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870" yWindow="30" windowWidth="18330" windowHeight="5355" tabRatio="911" activeTab="15"/>
  </bookViews>
  <sheets>
    <sheet name="Set25" sheetId="532" r:id="rId1"/>
    <sheet name="Out25" sheetId="549" r:id="rId2"/>
    <sheet name="Nov25" sheetId="550" r:id="rId3"/>
    <sheet name="Dez25" sheetId="551" r:id="rId4"/>
    <sheet name="Jan26" sheetId="552" r:id="rId5"/>
    <sheet name="Fev26" sheetId="554" r:id="rId6"/>
    <sheet name="Mar26" sheetId="557" r:id="rId7"/>
    <sheet name="Abr26" sheetId="565" r:id="rId8"/>
    <sheet name="Mai26" sheetId="566" r:id="rId9"/>
    <sheet name="Jun26" sheetId="568" r:id="rId10"/>
    <sheet name="Jul26" sheetId="569" r:id="rId11"/>
    <sheet name="Ago26" sheetId="570" r:id="rId12"/>
    <sheet name="Set26" sheetId="571" r:id="rId13"/>
    <sheet name="Out26" sheetId="572" r:id="rId14"/>
    <sheet name="Nov26" sheetId="573" r:id="rId15"/>
    <sheet name="Dez26" sheetId="574" r:id="rId16"/>
    <sheet name="01-30abr (2)" sheetId="560" r:id="rId17"/>
    <sheet name="Eraldo" sheetId="555" r:id="rId18"/>
    <sheet name="Luiz" sheetId="556" r:id="rId19"/>
  </sheets>
  <definedNames>
    <definedName name="_xlnm.Print_Area" localSheetId="16">'01-30abr (2)'!$A$1:$AR$485</definedName>
    <definedName name="_xlnm.Print_Area" localSheetId="7">'Abr26'!$A$1:$AR$542</definedName>
    <definedName name="_xlnm.Print_Area" localSheetId="11">'Ago26'!$A$1:$AR$542</definedName>
    <definedName name="_xlnm.Print_Area" localSheetId="3">'Dez25'!$A$1:$AO$467</definedName>
    <definedName name="_xlnm.Print_Area" localSheetId="15">'Dez26'!$A$1:$AR$542</definedName>
    <definedName name="_xlnm.Print_Area" localSheetId="5">'Fev26'!$A$1:$AO$482</definedName>
    <definedName name="_xlnm.Print_Area" localSheetId="4">'Jan26'!$A$1:$AO$591</definedName>
    <definedName name="_xlnm.Print_Area" localSheetId="10">'Jul26'!$A$1:$AR$542</definedName>
    <definedName name="_xlnm.Print_Area" localSheetId="9">'Jun26'!$A$1:$AR$542</definedName>
    <definedName name="_xlnm.Print_Area" localSheetId="8">'Mai26'!$A$1:$AR$542</definedName>
    <definedName name="_xlnm.Print_Area" localSheetId="6">'Mar26'!$A$1:$AR$542</definedName>
    <definedName name="_xlnm.Print_Area" localSheetId="2">'Nov25'!$A$1:$AO$453</definedName>
    <definedName name="_xlnm.Print_Area" localSheetId="14">'Nov26'!$A$1:$AR$542</definedName>
    <definedName name="_xlnm.Print_Area" localSheetId="1">'Out25'!$A$1:$AO$496</definedName>
    <definedName name="_xlnm.Print_Area" localSheetId="13">'Out26'!$A$1:$AR$542</definedName>
    <definedName name="_xlnm.Print_Area" localSheetId="0">'Set25'!$A$1:$AO$468</definedName>
    <definedName name="_xlnm.Print_Area" localSheetId="12">'Set26'!$A$1:$AR$542</definedName>
    <definedName name="_xlnm.Print_Titles" localSheetId="16">'01-30abr (2)'!$1:$1</definedName>
    <definedName name="_xlnm.Print_Titles" localSheetId="7">'Abr26'!$1:$1</definedName>
    <definedName name="_xlnm.Print_Titles" localSheetId="11">'Ago26'!$1:$1</definedName>
    <definedName name="_xlnm.Print_Titles" localSheetId="3">'Dez25'!$1:$1</definedName>
    <definedName name="_xlnm.Print_Titles" localSheetId="15">'Dez26'!$1:$1</definedName>
    <definedName name="_xlnm.Print_Titles" localSheetId="5">'Fev26'!$1:$1</definedName>
    <definedName name="_xlnm.Print_Titles" localSheetId="4">'Jan26'!$1:$1</definedName>
    <definedName name="_xlnm.Print_Titles" localSheetId="10">'Jul26'!$1:$1</definedName>
    <definedName name="_xlnm.Print_Titles" localSheetId="9">'Jun26'!$1:$1</definedName>
    <definedName name="_xlnm.Print_Titles" localSheetId="8">'Mai26'!$1:$1</definedName>
    <definedName name="_xlnm.Print_Titles" localSheetId="6">'Mar26'!$1:$1</definedName>
    <definedName name="_xlnm.Print_Titles" localSheetId="2">'Nov25'!$1:$1</definedName>
    <definedName name="_xlnm.Print_Titles" localSheetId="14">'Nov26'!$1:$1</definedName>
    <definedName name="_xlnm.Print_Titles" localSheetId="1">'Out25'!$1:$1</definedName>
    <definedName name="_xlnm.Print_Titles" localSheetId="13">'Out26'!$1:$1</definedName>
    <definedName name="_xlnm.Print_Titles" localSheetId="0">'Set25'!$1:$1</definedName>
    <definedName name="_xlnm.Print_Titles" localSheetId="12">'Set26'!$1:$1</definedName>
  </definedNames>
  <calcPr calcId="145621"/>
  <fileRecoveryPr autoRecover="0"/>
</workbook>
</file>

<file path=xl/calcChain.xml><?xml version="1.0" encoding="utf-8"?>
<calcChain xmlns="http://schemas.openxmlformats.org/spreadsheetml/2006/main">
  <c r="AR2" i="574" l="1"/>
  <c r="AQ2" i="574"/>
  <c r="AP2" i="574"/>
  <c r="AO2" i="574"/>
  <c r="AN2" i="574"/>
  <c r="AM2" i="574"/>
  <c r="AL2" i="574"/>
  <c r="AK2" i="574"/>
  <c r="AJ2" i="574"/>
  <c r="AI2" i="574"/>
  <c r="AH2" i="574"/>
  <c r="AG2" i="574"/>
  <c r="AF2" i="574"/>
  <c r="AE2" i="574"/>
  <c r="AD2" i="574"/>
  <c r="AC2" i="574"/>
  <c r="AB2" i="574"/>
  <c r="AA2" i="574"/>
  <c r="Z2" i="574"/>
  <c r="Y2" i="574"/>
  <c r="X2" i="574"/>
  <c r="W2" i="574"/>
  <c r="V2" i="574"/>
  <c r="U2" i="574"/>
  <c r="T2" i="574"/>
  <c r="S2" i="574"/>
  <c r="R2" i="574"/>
  <c r="Q2" i="574"/>
  <c r="P2" i="574"/>
  <c r="O2" i="574"/>
  <c r="N2" i="574"/>
  <c r="M2" i="574"/>
  <c r="L2" i="574"/>
  <c r="K2" i="574"/>
  <c r="J2" i="574"/>
  <c r="I2" i="574"/>
  <c r="H2" i="574"/>
  <c r="G2" i="574"/>
  <c r="F2" i="574"/>
  <c r="E2" i="574"/>
  <c r="D2" i="574"/>
  <c r="C540" i="574"/>
  <c r="N538" i="574"/>
  <c r="C535" i="574"/>
  <c r="S534" i="574"/>
  <c r="P534" i="574"/>
  <c r="M534" i="574"/>
  <c r="H534" i="574"/>
  <c r="C534" i="574"/>
  <c r="S533" i="574"/>
  <c r="P533" i="574"/>
  <c r="M533" i="574"/>
  <c r="N537" i="574" s="1"/>
  <c r="C531" i="574" s="1"/>
  <c r="C536" i="574" s="1"/>
  <c r="C538" i="574" s="1"/>
  <c r="H533" i="574"/>
  <c r="C533" i="574"/>
  <c r="U532" i="574"/>
  <c r="U534" i="574" s="1"/>
  <c r="S532" i="574"/>
  <c r="Q536" i="574" s="1"/>
  <c r="P532" i="574"/>
  <c r="M532" i="574"/>
  <c r="N536" i="574" s="1"/>
  <c r="H532" i="574"/>
  <c r="C532" i="574"/>
  <c r="H531" i="574"/>
  <c r="H536" i="574" s="1"/>
  <c r="AS526" i="574"/>
  <c r="AS525" i="574"/>
  <c r="AS524" i="574"/>
  <c r="AS523" i="574"/>
  <c r="AS522" i="574"/>
  <c r="AS520" i="574"/>
  <c r="AS509" i="574"/>
  <c r="AS508" i="574"/>
  <c r="AS507" i="574"/>
  <c r="AS506" i="574"/>
  <c r="AS505" i="574"/>
  <c r="AS503" i="574"/>
  <c r="AS492" i="574"/>
  <c r="AS491" i="574"/>
  <c r="AS490" i="574"/>
  <c r="AS489" i="574"/>
  <c r="AS488" i="574"/>
  <c r="AS486" i="574"/>
  <c r="AS475" i="574"/>
  <c r="AS474" i="574"/>
  <c r="AS473" i="574"/>
  <c r="AS472" i="574"/>
  <c r="AS471" i="574"/>
  <c r="AS469" i="574"/>
  <c r="AS458" i="574"/>
  <c r="AS457" i="574"/>
  <c r="AS456" i="574"/>
  <c r="AS455" i="574"/>
  <c r="AS454" i="574"/>
  <c r="AS452" i="574"/>
  <c r="AS441" i="574"/>
  <c r="AS440" i="574"/>
  <c r="AS439" i="574"/>
  <c r="AS438" i="574"/>
  <c r="AS437" i="574"/>
  <c r="AS435" i="574"/>
  <c r="AS424" i="574"/>
  <c r="AS423" i="574"/>
  <c r="AS422" i="574"/>
  <c r="AS421" i="574"/>
  <c r="AS420" i="574"/>
  <c r="AS418" i="574"/>
  <c r="AS407" i="574"/>
  <c r="AS406" i="574"/>
  <c r="AS405" i="574"/>
  <c r="AS404" i="574"/>
  <c r="AS403" i="574"/>
  <c r="AS401" i="574"/>
  <c r="AS390" i="574"/>
  <c r="AS389" i="574"/>
  <c r="AS388" i="574"/>
  <c r="AS387" i="574"/>
  <c r="AS386" i="574"/>
  <c r="AS384" i="574"/>
  <c r="AS373" i="574"/>
  <c r="AS372" i="574"/>
  <c r="AS371" i="574"/>
  <c r="AS370" i="574"/>
  <c r="AS369" i="574"/>
  <c r="AS367" i="574"/>
  <c r="AS356" i="574"/>
  <c r="AS355" i="574"/>
  <c r="AS354" i="574"/>
  <c r="AS353" i="574"/>
  <c r="AS352" i="574"/>
  <c r="AS350" i="574"/>
  <c r="AS339" i="574"/>
  <c r="AS338" i="574"/>
  <c r="AS337" i="574"/>
  <c r="AS336" i="574"/>
  <c r="AS335" i="574"/>
  <c r="AS333" i="574"/>
  <c r="AS322" i="574"/>
  <c r="AS321" i="574"/>
  <c r="AS320" i="574"/>
  <c r="AS319" i="574"/>
  <c r="AS318" i="574"/>
  <c r="AS316" i="574"/>
  <c r="AS305" i="574"/>
  <c r="AS304" i="574"/>
  <c r="AS303" i="574"/>
  <c r="AS302" i="574"/>
  <c r="AS301" i="574"/>
  <c r="AS299" i="574"/>
  <c r="AS288" i="574"/>
  <c r="AS287" i="574"/>
  <c r="AS286" i="574"/>
  <c r="AS285" i="574"/>
  <c r="AS284" i="574"/>
  <c r="AS282" i="574"/>
  <c r="AS271" i="574"/>
  <c r="AS270" i="574"/>
  <c r="AS269" i="574"/>
  <c r="AS268" i="574"/>
  <c r="AS267" i="574"/>
  <c r="AS265" i="574"/>
  <c r="AS254" i="574"/>
  <c r="AS253" i="574"/>
  <c r="AS252" i="574"/>
  <c r="AS251" i="574"/>
  <c r="AS250" i="574"/>
  <c r="AS248" i="574"/>
  <c r="AS237" i="574"/>
  <c r="AS236" i="574"/>
  <c r="AS235" i="574"/>
  <c r="AS234" i="574"/>
  <c r="AS233" i="574"/>
  <c r="AS231" i="574"/>
  <c r="AS220" i="574"/>
  <c r="AS219" i="574"/>
  <c r="AS218" i="574"/>
  <c r="AS217" i="574"/>
  <c r="AS216" i="574"/>
  <c r="AS214" i="574"/>
  <c r="AS203" i="574"/>
  <c r="AS202" i="574"/>
  <c r="AS201" i="574"/>
  <c r="AS200" i="574"/>
  <c r="AS199" i="574"/>
  <c r="AS197" i="574"/>
  <c r="AS186" i="574"/>
  <c r="AS185" i="574"/>
  <c r="AS184" i="574"/>
  <c r="AS183" i="574"/>
  <c r="AS182" i="574"/>
  <c r="AS180" i="574"/>
  <c r="AS169" i="574"/>
  <c r="AS168" i="574"/>
  <c r="AS167" i="574"/>
  <c r="AS166" i="574"/>
  <c r="AS165" i="574"/>
  <c r="AS163" i="574"/>
  <c r="AS152" i="574"/>
  <c r="AS151" i="574"/>
  <c r="AS150" i="574"/>
  <c r="AS149" i="574"/>
  <c r="AS148" i="574"/>
  <c r="AS146" i="574"/>
  <c r="AS136" i="574"/>
  <c r="AS135" i="574"/>
  <c r="AS134" i="574"/>
  <c r="AS133" i="574"/>
  <c r="AS132" i="574"/>
  <c r="AS131" i="574"/>
  <c r="AS129" i="574"/>
  <c r="AS119" i="574"/>
  <c r="AS118" i="574"/>
  <c r="AS117" i="574"/>
  <c r="AS116" i="574"/>
  <c r="AS115" i="574"/>
  <c r="AS114" i="574"/>
  <c r="AS112" i="574"/>
  <c r="AS102" i="574"/>
  <c r="AS101" i="574"/>
  <c r="AS100" i="574"/>
  <c r="AS99" i="574"/>
  <c r="AS98" i="574"/>
  <c r="AS97" i="574"/>
  <c r="AS95" i="574"/>
  <c r="AS85" i="574"/>
  <c r="AS84" i="574"/>
  <c r="AS83" i="574"/>
  <c r="AS82" i="574"/>
  <c r="AS81" i="574"/>
  <c r="AS80" i="574"/>
  <c r="AS78" i="574"/>
  <c r="AS68" i="574"/>
  <c r="AS67" i="574"/>
  <c r="AS66" i="574"/>
  <c r="AS65" i="574"/>
  <c r="AS64" i="574"/>
  <c r="AS63" i="574"/>
  <c r="AS61" i="574"/>
  <c r="AS51" i="574"/>
  <c r="AS50" i="574"/>
  <c r="AS49" i="574"/>
  <c r="AS48" i="574"/>
  <c r="AS47" i="574"/>
  <c r="AS46" i="574"/>
  <c r="AS44" i="574"/>
  <c r="AL36" i="574"/>
  <c r="AL53" i="574" s="1"/>
  <c r="AL70" i="574" s="1"/>
  <c r="AL87" i="574" s="1"/>
  <c r="AL104" i="574" s="1"/>
  <c r="AL121" i="574" s="1"/>
  <c r="AL138" i="574" s="1"/>
  <c r="AL155" i="574" s="1"/>
  <c r="AL172" i="574" s="1"/>
  <c r="AL189" i="574" s="1"/>
  <c r="AL206" i="574" s="1"/>
  <c r="AL223" i="574" s="1"/>
  <c r="AL240" i="574" s="1"/>
  <c r="AL257" i="574" s="1"/>
  <c r="AL274" i="574" s="1"/>
  <c r="AL291" i="574" s="1"/>
  <c r="AL308" i="574" s="1"/>
  <c r="AL325" i="574" s="1"/>
  <c r="AL342" i="574" s="1"/>
  <c r="AL359" i="574" s="1"/>
  <c r="AL376" i="574" s="1"/>
  <c r="AL393" i="574" s="1"/>
  <c r="AL410" i="574" s="1"/>
  <c r="AL427" i="574" s="1"/>
  <c r="AS34" i="574"/>
  <c r="AS33" i="574"/>
  <c r="AS32" i="574"/>
  <c r="AS31" i="574"/>
  <c r="AS30" i="574"/>
  <c r="AS29" i="574"/>
  <c r="AS27" i="574"/>
  <c r="A20" i="574"/>
  <c r="A37" i="574" s="1"/>
  <c r="A54" i="574" s="1"/>
  <c r="A71" i="574" s="1"/>
  <c r="A88" i="574" s="1"/>
  <c r="A105" i="574" s="1"/>
  <c r="A122" i="574" s="1"/>
  <c r="A139" i="574" s="1"/>
  <c r="A156" i="574" s="1"/>
  <c r="A173" i="574" s="1"/>
  <c r="A190" i="574" s="1"/>
  <c r="A207" i="574" s="1"/>
  <c r="A224" i="574" s="1"/>
  <c r="A241" i="574" s="1"/>
  <c r="A258" i="574" s="1"/>
  <c r="A275" i="574" s="1"/>
  <c r="A292" i="574" s="1"/>
  <c r="A309" i="574" s="1"/>
  <c r="A326" i="574" s="1"/>
  <c r="A343" i="574" s="1"/>
  <c r="A360" i="574" s="1"/>
  <c r="A377" i="574" s="1"/>
  <c r="A394" i="574" s="1"/>
  <c r="A411" i="574" s="1"/>
  <c r="A428" i="574" s="1"/>
  <c r="A445" i="574" s="1"/>
  <c r="A462" i="574" s="1"/>
  <c r="A479" i="574" s="1"/>
  <c r="A496" i="574" s="1"/>
  <c r="A513" i="574" s="1"/>
  <c r="AP19" i="574"/>
  <c r="AP36" i="574" s="1"/>
  <c r="AP53" i="574" s="1"/>
  <c r="AP70" i="574" s="1"/>
  <c r="AP87" i="574" s="1"/>
  <c r="AP104" i="574" s="1"/>
  <c r="AP121" i="574" s="1"/>
  <c r="AP138" i="574" s="1"/>
  <c r="AP155" i="574" s="1"/>
  <c r="AP172" i="574" s="1"/>
  <c r="AP189" i="574" s="1"/>
  <c r="AP206" i="574" s="1"/>
  <c r="AP223" i="574" s="1"/>
  <c r="AP240" i="574" s="1"/>
  <c r="AP257" i="574" s="1"/>
  <c r="AP274" i="574" s="1"/>
  <c r="AP291" i="574" s="1"/>
  <c r="AP308" i="574" s="1"/>
  <c r="AP325" i="574" s="1"/>
  <c r="AP342" i="574" s="1"/>
  <c r="AP359" i="574" s="1"/>
  <c r="AP376" i="574" s="1"/>
  <c r="AP393" i="574" s="1"/>
  <c r="AP410" i="574" s="1"/>
  <c r="AP427" i="574" s="1"/>
  <c r="AK19" i="574"/>
  <c r="AK36" i="574" s="1"/>
  <c r="AK53" i="574" s="1"/>
  <c r="AK70" i="574" s="1"/>
  <c r="AK87" i="574" s="1"/>
  <c r="AK104" i="574" s="1"/>
  <c r="AK121" i="574" s="1"/>
  <c r="AK138" i="574" s="1"/>
  <c r="AK155" i="574" s="1"/>
  <c r="AK172" i="574" s="1"/>
  <c r="AK189" i="574" s="1"/>
  <c r="AK206" i="574" s="1"/>
  <c r="AK223" i="574" s="1"/>
  <c r="AK240" i="574" s="1"/>
  <c r="AK257" i="574" s="1"/>
  <c r="AK274" i="574" s="1"/>
  <c r="AK291" i="574" s="1"/>
  <c r="AK308" i="574" s="1"/>
  <c r="AK325" i="574" s="1"/>
  <c r="AK342" i="574" s="1"/>
  <c r="AK359" i="574" s="1"/>
  <c r="AK376" i="574" s="1"/>
  <c r="AK393" i="574" s="1"/>
  <c r="AK410" i="574" s="1"/>
  <c r="AK427" i="574" s="1"/>
  <c r="AH19" i="574"/>
  <c r="AH36" i="574" s="1"/>
  <c r="AH53" i="574" s="1"/>
  <c r="AH70" i="574" s="1"/>
  <c r="AH87" i="574" s="1"/>
  <c r="AH104" i="574" s="1"/>
  <c r="AH121" i="574" s="1"/>
  <c r="AH138" i="574" s="1"/>
  <c r="AH155" i="574" s="1"/>
  <c r="AH172" i="574" s="1"/>
  <c r="AH189" i="574" s="1"/>
  <c r="AH206" i="574" s="1"/>
  <c r="AH223" i="574" s="1"/>
  <c r="AH240" i="574" s="1"/>
  <c r="AH257" i="574" s="1"/>
  <c r="AH274" i="574" s="1"/>
  <c r="AH291" i="574" s="1"/>
  <c r="AH308" i="574" s="1"/>
  <c r="AH325" i="574" s="1"/>
  <c r="AH342" i="574" s="1"/>
  <c r="AH359" i="574" s="1"/>
  <c r="AH376" i="574" s="1"/>
  <c r="AH393" i="574" s="1"/>
  <c r="AH410" i="574" s="1"/>
  <c r="AH427" i="574" s="1"/>
  <c r="AG19" i="574"/>
  <c r="AG36" i="574" s="1"/>
  <c r="AG53" i="574" s="1"/>
  <c r="AG70" i="574" s="1"/>
  <c r="AG87" i="574" s="1"/>
  <c r="AG104" i="574" s="1"/>
  <c r="AG121" i="574" s="1"/>
  <c r="AG138" i="574" s="1"/>
  <c r="AG155" i="574" s="1"/>
  <c r="AG172" i="574" s="1"/>
  <c r="AG189" i="574" s="1"/>
  <c r="AG206" i="574" s="1"/>
  <c r="AG223" i="574" s="1"/>
  <c r="AG240" i="574" s="1"/>
  <c r="AG257" i="574" s="1"/>
  <c r="AG274" i="574" s="1"/>
  <c r="AG291" i="574" s="1"/>
  <c r="AG308" i="574" s="1"/>
  <c r="AG325" i="574" s="1"/>
  <c r="AG342" i="574" s="1"/>
  <c r="AG359" i="574" s="1"/>
  <c r="AG376" i="574" s="1"/>
  <c r="AG393" i="574" s="1"/>
  <c r="AG410" i="574" s="1"/>
  <c r="AG427" i="574" s="1"/>
  <c r="AD19" i="574"/>
  <c r="AD36" i="574" s="1"/>
  <c r="AD53" i="574" s="1"/>
  <c r="AD70" i="574" s="1"/>
  <c r="AD87" i="574" s="1"/>
  <c r="AD104" i="574" s="1"/>
  <c r="AD121" i="574" s="1"/>
  <c r="AD138" i="574" s="1"/>
  <c r="AD155" i="574" s="1"/>
  <c r="AD172" i="574" s="1"/>
  <c r="AD189" i="574" s="1"/>
  <c r="AD206" i="574" s="1"/>
  <c r="AD223" i="574" s="1"/>
  <c r="AD240" i="574" s="1"/>
  <c r="AD257" i="574" s="1"/>
  <c r="AD274" i="574" s="1"/>
  <c r="AD291" i="574" s="1"/>
  <c r="AD308" i="574" s="1"/>
  <c r="AD325" i="574" s="1"/>
  <c r="AD342" i="574" s="1"/>
  <c r="AD359" i="574" s="1"/>
  <c r="AD376" i="574" s="1"/>
  <c r="AD393" i="574" s="1"/>
  <c r="AD410" i="574" s="1"/>
  <c r="AD427" i="574" s="1"/>
  <c r="AC19" i="574"/>
  <c r="AC36" i="574" s="1"/>
  <c r="AC53" i="574" s="1"/>
  <c r="AC70" i="574" s="1"/>
  <c r="AC87" i="574" s="1"/>
  <c r="AC104" i="574" s="1"/>
  <c r="AC121" i="574" s="1"/>
  <c r="AC138" i="574" s="1"/>
  <c r="AC155" i="574" s="1"/>
  <c r="AC172" i="574" s="1"/>
  <c r="AC189" i="574" s="1"/>
  <c r="AC206" i="574" s="1"/>
  <c r="AC223" i="574" s="1"/>
  <c r="AC240" i="574" s="1"/>
  <c r="AC257" i="574" s="1"/>
  <c r="AC274" i="574" s="1"/>
  <c r="AC291" i="574" s="1"/>
  <c r="AC308" i="574" s="1"/>
  <c r="AC325" i="574" s="1"/>
  <c r="AC342" i="574" s="1"/>
  <c r="AC359" i="574" s="1"/>
  <c r="AC376" i="574" s="1"/>
  <c r="AC393" i="574" s="1"/>
  <c r="AC410" i="574" s="1"/>
  <c r="AC427" i="574" s="1"/>
  <c r="Z19" i="574"/>
  <c r="Z36" i="574" s="1"/>
  <c r="Z53" i="574" s="1"/>
  <c r="Z70" i="574" s="1"/>
  <c r="Z87" i="574" s="1"/>
  <c r="Z104" i="574" s="1"/>
  <c r="Z121" i="574" s="1"/>
  <c r="Z138" i="574" s="1"/>
  <c r="Z155" i="574" s="1"/>
  <c r="Z172" i="574" s="1"/>
  <c r="Z189" i="574" s="1"/>
  <c r="Z206" i="574" s="1"/>
  <c r="Z223" i="574" s="1"/>
  <c r="Z240" i="574" s="1"/>
  <c r="Z257" i="574" s="1"/>
  <c r="Z274" i="574" s="1"/>
  <c r="Z291" i="574" s="1"/>
  <c r="Z308" i="574" s="1"/>
  <c r="Z325" i="574" s="1"/>
  <c r="Z342" i="574" s="1"/>
  <c r="Z359" i="574" s="1"/>
  <c r="Z376" i="574" s="1"/>
  <c r="Z393" i="574" s="1"/>
  <c r="Z410" i="574" s="1"/>
  <c r="Z427" i="574" s="1"/>
  <c r="Y19" i="574"/>
  <c r="Y36" i="574" s="1"/>
  <c r="Y53" i="574" s="1"/>
  <c r="Y70" i="574" s="1"/>
  <c r="Y87" i="574" s="1"/>
  <c r="Y104" i="574" s="1"/>
  <c r="Y121" i="574" s="1"/>
  <c r="Y138" i="574" s="1"/>
  <c r="Y155" i="574" s="1"/>
  <c r="Y172" i="574" s="1"/>
  <c r="Y189" i="574" s="1"/>
  <c r="Y206" i="574" s="1"/>
  <c r="Y223" i="574" s="1"/>
  <c r="Y240" i="574" s="1"/>
  <c r="Y257" i="574" s="1"/>
  <c r="Y274" i="574" s="1"/>
  <c r="Y291" i="574" s="1"/>
  <c r="Y308" i="574" s="1"/>
  <c r="Y325" i="574" s="1"/>
  <c r="Y342" i="574" s="1"/>
  <c r="Y359" i="574" s="1"/>
  <c r="Y376" i="574" s="1"/>
  <c r="Y393" i="574" s="1"/>
  <c r="Y410" i="574" s="1"/>
  <c r="Y427" i="574" s="1"/>
  <c r="Y444" i="574" s="1"/>
  <c r="Y461" i="574" s="1"/>
  <c r="Y478" i="574" s="1"/>
  <c r="Y495" i="574" s="1"/>
  <c r="Y512" i="574" s="1"/>
  <c r="Y529" i="574" s="1"/>
  <c r="V19" i="574"/>
  <c r="V36" i="574" s="1"/>
  <c r="V53" i="574" s="1"/>
  <c r="V70" i="574" s="1"/>
  <c r="V87" i="574" s="1"/>
  <c r="V104" i="574" s="1"/>
  <c r="V121" i="574" s="1"/>
  <c r="V138" i="574" s="1"/>
  <c r="V155" i="574" s="1"/>
  <c r="V172" i="574" s="1"/>
  <c r="V189" i="574" s="1"/>
  <c r="V206" i="574" s="1"/>
  <c r="V223" i="574" s="1"/>
  <c r="V240" i="574" s="1"/>
  <c r="V257" i="574" s="1"/>
  <c r="V274" i="574" s="1"/>
  <c r="V291" i="574" s="1"/>
  <c r="V308" i="574" s="1"/>
  <c r="V325" i="574" s="1"/>
  <c r="V342" i="574" s="1"/>
  <c r="V359" i="574" s="1"/>
  <c r="V376" i="574" s="1"/>
  <c r="V393" i="574" s="1"/>
  <c r="V410" i="574" s="1"/>
  <c r="V427" i="574" s="1"/>
  <c r="V444" i="574" s="1"/>
  <c r="V461" i="574" s="1"/>
  <c r="V478" i="574" s="1"/>
  <c r="V495" i="574" s="1"/>
  <c r="V512" i="574" s="1"/>
  <c r="V529" i="574" s="1"/>
  <c r="U19" i="574"/>
  <c r="U36" i="574" s="1"/>
  <c r="U53" i="574" s="1"/>
  <c r="U70" i="574" s="1"/>
  <c r="U87" i="574" s="1"/>
  <c r="U104" i="574" s="1"/>
  <c r="U121" i="574" s="1"/>
  <c r="U138" i="574" s="1"/>
  <c r="U155" i="574" s="1"/>
  <c r="U172" i="574" s="1"/>
  <c r="U189" i="574" s="1"/>
  <c r="U206" i="574" s="1"/>
  <c r="U223" i="574" s="1"/>
  <c r="U240" i="574" s="1"/>
  <c r="U257" i="574" s="1"/>
  <c r="U274" i="574" s="1"/>
  <c r="U291" i="574" s="1"/>
  <c r="U308" i="574" s="1"/>
  <c r="U325" i="574" s="1"/>
  <c r="U342" i="574" s="1"/>
  <c r="U359" i="574" s="1"/>
  <c r="U376" i="574" s="1"/>
  <c r="U393" i="574" s="1"/>
  <c r="U410" i="574" s="1"/>
  <c r="U427" i="574" s="1"/>
  <c r="U444" i="574" s="1"/>
  <c r="U461" i="574" s="1"/>
  <c r="U478" i="574" s="1"/>
  <c r="U495" i="574" s="1"/>
  <c r="U512" i="574" s="1"/>
  <c r="U529" i="574" s="1"/>
  <c r="Q19" i="574"/>
  <c r="Q36" i="574" s="1"/>
  <c r="Q53" i="574" s="1"/>
  <c r="Q70" i="574" s="1"/>
  <c r="Q87" i="574" s="1"/>
  <c r="Q104" i="574" s="1"/>
  <c r="Q121" i="574" s="1"/>
  <c r="Q138" i="574" s="1"/>
  <c r="Q155" i="574" s="1"/>
  <c r="Q172" i="574" s="1"/>
  <c r="Q189" i="574" s="1"/>
  <c r="Q206" i="574" s="1"/>
  <c r="Q223" i="574" s="1"/>
  <c r="Q240" i="574" s="1"/>
  <c r="Q257" i="574" s="1"/>
  <c r="Q274" i="574" s="1"/>
  <c r="Q291" i="574" s="1"/>
  <c r="Q308" i="574" s="1"/>
  <c r="Q325" i="574" s="1"/>
  <c r="Q342" i="574" s="1"/>
  <c r="Q359" i="574" s="1"/>
  <c r="Q376" i="574" s="1"/>
  <c r="Q393" i="574" s="1"/>
  <c r="Q410" i="574" s="1"/>
  <c r="Q427" i="574" s="1"/>
  <c r="Q444" i="574" s="1"/>
  <c r="Q461" i="574" s="1"/>
  <c r="Q478" i="574" s="1"/>
  <c r="Q495" i="574" s="1"/>
  <c r="Q512" i="574" s="1"/>
  <c r="Q529" i="574" s="1"/>
  <c r="N19" i="574"/>
  <c r="N36" i="574" s="1"/>
  <c r="N53" i="574" s="1"/>
  <c r="N70" i="574" s="1"/>
  <c r="N87" i="574" s="1"/>
  <c r="N104" i="574" s="1"/>
  <c r="N121" i="574" s="1"/>
  <c r="N138" i="574" s="1"/>
  <c r="N155" i="574" s="1"/>
  <c r="N172" i="574" s="1"/>
  <c r="N189" i="574" s="1"/>
  <c r="N206" i="574" s="1"/>
  <c r="N223" i="574" s="1"/>
  <c r="N240" i="574" s="1"/>
  <c r="N257" i="574" s="1"/>
  <c r="N274" i="574" s="1"/>
  <c r="N291" i="574" s="1"/>
  <c r="N308" i="574" s="1"/>
  <c r="N325" i="574" s="1"/>
  <c r="N342" i="574" s="1"/>
  <c r="N359" i="574" s="1"/>
  <c r="N376" i="574" s="1"/>
  <c r="N393" i="574" s="1"/>
  <c r="N410" i="574" s="1"/>
  <c r="N427" i="574" s="1"/>
  <c r="N444" i="574" s="1"/>
  <c r="N461" i="574" s="1"/>
  <c r="N478" i="574" s="1"/>
  <c r="N495" i="574" s="1"/>
  <c r="N512" i="574" s="1"/>
  <c r="N529" i="574" s="1"/>
  <c r="M19" i="574"/>
  <c r="M36" i="574" s="1"/>
  <c r="J19" i="574"/>
  <c r="J36" i="574" s="1"/>
  <c r="J53" i="574" s="1"/>
  <c r="J70" i="574" s="1"/>
  <c r="J87" i="574" s="1"/>
  <c r="J104" i="574" s="1"/>
  <c r="J121" i="574" s="1"/>
  <c r="J138" i="574" s="1"/>
  <c r="J155" i="574" s="1"/>
  <c r="J172" i="574" s="1"/>
  <c r="J189" i="574" s="1"/>
  <c r="J206" i="574" s="1"/>
  <c r="J223" i="574" s="1"/>
  <c r="J240" i="574" s="1"/>
  <c r="J257" i="574" s="1"/>
  <c r="J274" i="574" s="1"/>
  <c r="J291" i="574" s="1"/>
  <c r="J308" i="574" s="1"/>
  <c r="J325" i="574" s="1"/>
  <c r="J342" i="574" s="1"/>
  <c r="J359" i="574" s="1"/>
  <c r="J376" i="574" s="1"/>
  <c r="J393" i="574" s="1"/>
  <c r="J410" i="574" s="1"/>
  <c r="J427" i="574" s="1"/>
  <c r="J444" i="574" s="1"/>
  <c r="J461" i="574" s="1"/>
  <c r="J478" i="574" s="1"/>
  <c r="J495" i="574" s="1"/>
  <c r="J512" i="574" s="1"/>
  <c r="J529" i="574" s="1"/>
  <c r="I19" i="574"/>
  <c r="I36" i="574" s="1"/>
  <c r="I53" i="574" s="1"/>
  <c r="I70" i="574" s="1"/>
  <c r="I87" i="574" s="1"/>
  <c r="I104" i="574" s="1"/>
  <c r="I121" i="574" s="1"/>
  <c r="I138" i="574" s="1"/>
  <c r="I155" i="574" s="1"/>
  <c r="I172" i="574" s="1"/>
  <c r="I189" i="574" s="1"/>
  <c r="I206" i="574" s="1"/>
  <c r="I223" i="574" s="1"/>
  <c r="I240" i="574" s="1"/>
  <c r="I257" i="574" s="1"/>
  <c r="I274" i="574" s="1"/>
  <c r="I291" i="574" s="1"/>
  <c r="I308" i="574" s="1"/>
  <c r="I325" i="574" s="1"/>
  <c r="I342" i="574" s="1"/>
  <c r="I359" i="574" s="1"/>
  <c r="I376" i="574" s="1"/>
  <c r="I393" i="574" s="1"/>
  <c r="I410" i="574" s="1"/>
  <c r="I427" i="574" s="1"/>
  <c r="I444" i="574" s="1"/>
  <c r="I461" i="574" s="1"/>
  <c r="I478" i="574" s="1"/>
  <c r="I495" i="574" s="1"/>
  <c r="I512" i="574" s="1"/>
  <c r="I529" i="574" s="1"/>
  <c r="F19" i="574"/>
  <c r="F36" i="574" s="1"/>
  <c r="F53" i="574" s="1"/>
  <c r="F70" i="574" s="1"/>
  <c r="F87" i="574" s="1"/>
  <c r="F104" i="574" s="1"/>
  <c r="F121" i="574" s="1"/>
  <c r="F138" i="574" s="1"/>
  <c r="F155" i="574" s="1"/>
  <c r="F172" i="574" s="1"/>
  <c r="F189" i="574" s="1"/>
  <c r="F206" i="574" s="1"/>
  <c r="F223" i="574" s="1"/>
  <c r="F240" i="574" s="1"/>
  <c r="F257" i="574" s="1"/>
  <c r="F274" i="574" s="1"/>
  <c r="F291" i="574" s="1"/>
  <c r="F308" i="574" s="1"/>
  <c r="F325" i="574" s="1"/>
  <c r="F342" i="574" s="1"/>
  <c r="F359" i="574" s="1"/>
  <c r="F376" i="574" s="1"/>
  <c r="F393" i="574" s="1"/>
  <c r="F410" i="574" s="1"/>
  <c r="F427" i="574" s="1"/>
  <c r="F444" i="574" s="1"/>
  <c r="F461" i="574" s="1"/>
  <c r="F478" i="574" s="1"/>
  <c r="F495" i="574" s="1"/>
  <c r="F512" i="574" s="1"/>
  <c r="F529" i="574" s="1"/>
  <c r="E19" i="574"/>
  <c r="E36" i="574" s="1"/>
  <c r="E53" i="574" s="1"/>
  <c r="E70" i="574" s="1"/>
  <c r="E87" i="574" s="1"/>
  <c r="E104" i="574" s="1"/>
  <c r="E121" i="574" s="1"/>
  <c r="E138" i="574" s="1"/>
  <c r="E155" i="574" s="1"/>
  <c r="E172" i="574" s="1"/>
  <c r="E189" i="574" s="1"/>
  <c r="E206" i="574" s="1"/>
  <c r="E223" i="574" s="1"/>
  <c r="E240" i="574" s="1"/>
  <c r="E257" i="574" s="1"/>
  <c r="E274" i="574" s="1"/>
  <c r="E291" i="574" s="1"/>
  <c r="E308" i="574" s="1"/>
  <c r="E325" i="574" s="1"/>
  <c r="E342" i="574" s="1"/>
  <c r="E359" i="574" s="1"/>
  <c r="E376" i="574" s="1"/>
  <c r="E393" i="574" s="1"/>
  <c r="E410" i="574" s="1"/>
  <c r="E427" i="574" s="1"/>
  <c r="E444" i="574" s="1"/>
  <c r="E461" i="574" s="1"/>
  <c r="E478" i="574" s="1"/>
  <c r="E495" i="574" s="1"/>
  <c r="E512" i="574" s="1"/>
  <c r="E529" i="574" s="1"/>
  <c r="AS17" i="574"/>
  <c r="AS16" i="574"/>
  <c r="AS15" i="574"/>
  <c r="AS14" i="574"/>
  <c r="AS13" i="574"/>
  <c r="AS12" i="574"/>
  <c r="AS10" i="574"/>
  <c r="AU2" i="574"/>
  <c r="AT2" i="574"/>
  <c r="AS2" i="574"/>
  <c r="AQ19" i="574"/>
  <c r="AQ36" i="574" s="1"/>
  <c r="AQ53" i="574" s="1"/>
  <c r="AQ70" i="574" s="1"/>
  <c r="AQ87" i="574" s="1"/>
  <c r="AQ104" i="574" s="1"/>
  <c r="AQ121" i="574" s="1"/>
  <c r="AQ138" i="574" s="1"/>
  <c r="AQ155" i="574" s="1"/>
  <c r="AQ172" i="574" s="1"/>
  <c r="AQ189" i="574" s="1"/>
  <c r="AQ206" i="574" s="1"/>
  <c r="AQ223" i="574" s="1"/>
  <c r="AQ240" i="574" s="1"/>
  <c r="AQ257" i="574" s="1"/>
  <c r="AQ274" i="574" s="1"/>
  <c r="AQ291" i="574" s="1"/>
  <c r="AQ308" i="574" s="1"/>
  <c r="AQ325" i="574" s="1"/>
  <c r="AQ342" i="574" s="1"/>
  <c r="AQ359" i="574" s="1"/>
  <c r="AQ376" i="574" s="1"/>
  <c r="AQ393" i="574" s="1"/>
  <c r="AQ410" i="574" s="1"/>
  <c r="AQ427" i="574" s="1"/>
  <c r="AO19" i="574"/>
  <c r="AO36" i="574" s="1"/>
  <c r="AO53" i="574" s="1"/>
  <c r="AO70" i="574" s="1"/>
  <c r="AO87" i="574" s="1"/>
  <c r="AO104" i="574" s="1"/>
  <c r="AO121" i="574" s="1"/>
  <c r="AO138" i="574" s="1"/>
  <c r="AO155" i="574" s="1"/>
  <c r="AO172" i="574" s="1"/>
  <c r="AO189" i="574" s="1"/>
  <c r="AO206" i="574" s="1"/>
  <c r="AO223" i="574" s="1"/>
  <c r="AO240" i="574" s="1"/>
  <c r="AO257" i="574" s="1"/>
  <c r="AO274" i="574" s="1"/>
  <c r="AO291" i="574" s="1"/>
  <c r="AO308" i="574" s="1"/>
  <c r="AO325" i="574" s="1"/>
  <c r="AO342" i="574" s="1"/>
  <c r="AO359" i="574" s="1"/>
  <c r="AO376" i="574" s="1"/>
  <c r="AO393" i="574" s="1"/>
  <c r="AO410" i="574" s="1"/>
  <c r="AO427" i="574" s="1"/>
  <c r="AN19" i="574"/>
  <c r="AN36" i="574" s="1"/>
  <c r="AN53" i="574" s="1"/>
  <c r="AN70" i="574" s="1"/>
  <c r="AN87" i="574" s="1"/>
  <c r="AN104" i="574" s="1"/>
  <c r="AN121" i="574" s="1"/>
  <c r="AN138" i="574" s="1"/>
  <c r="AN155" i="574" s="1"/>
  <c r="AN172" i="574" s="1"/>
  <c r="AN189" i="574" s="1"/>
  <c r="AN206" i="574" s="1"/>
  <c r="AN223" i="574" s="1"/>
  <c r="AN240" i="574" s="1"/>
  <c r="AN257" i="574" s="1"/>
  <c r="AN274" i="574" s="1"/>
  <c r="AN291" i="574" s="1"/>
  <c r="AN308" i="574" s="1"/>
  <c r="AN325" i="574" s="1"/>
  <c r="AN342" i="574" s="1"/>
  <c r="AN359" i="574" s="1"/>
  <c r="AN376" i="574" s="1"/>
  <c r="AN393" i="574" s="1"/>
  <c r="AN410" i="574" s="1"/>
  <c r="AN427" i="574" s="1"/>
  <c r="AM19" i="574"/>
  <c r="AM36" i="574" s="1"/>
  <c r="AM53" i="574" s="1"/>
  <c r="AM70" i="574" s="1"/>
  <c r="AM87" i="574" s="1"/>
  <c r="AM104" i="574" s="1"/>
  <c r="AM121" i="574" s="1"/>
  <c r="AM138" i="574" s="1"/>
  <c r="AM155" i="574" s="1"/>
  <c r="AM172" i="574" s="1"/>
  <c r="AM189" i="574" s="1"/>
  <c r="AM206" i="574" s="1"/>
  <c r="AM223" i="574" s="1"/>
  <c r="AM240" i="574" s="1"/>
  <c r="AM257" i="574" s="1"/>
  <c r="AM274" i="574" s="1"/>
  <c r="AM291" i="574" s="1"/>
  <c r="AM308" i="574" s="1"/>
  <c r="AM325" i="574" s="1"/>
  <c r="AM342" i="574" s="1"/>
  <c r="AM359" i="574" s="1"/>
  <c r="AM376" i="574" s="1"/>
  <c r="AM393" i="574" s="1"/>
  <c r="AM410" i="574" s="1"/>
  <c r="AM427" i="574" s="1"/>
  <c r="AJ19" i="574"/>
  <c r="AJ36" i="574" s="1"/>
  <c r="AJ53" i="574" s="1"/>
  <c r="AJ70" i="574" s="1"/>
  <c r="AJ87" i="574" s="1"/>
  <c r="AJ104" i="574" s="1"/>
  <c r="AJ121" i="574" s="1"/>
  <c r="AJ138" i="574" s="1"/>
  <c r="AJ155" i="574" s="1"/>
  <c r="AJ172" i="574" s="1"/>
  <c r="AJ189" i="574" s="1"/>
  <c r="AJ206" i="574" s="1"/>
  <c r="AJ223" i="574" s="1"/>
  <c r="AJ240" i="574" s="1"/>
  <c r="AJ257" i="574" s="1"/>
  <c r="AJ274" i="574" s="1"/>
  <c r="AJ291" i="574" s="1"/>
  <c r="AJ308" i="574" s="1"/>
  <c r="AJ325" i="574" s="1"/>
  <c r="AJ342" i="574" s="1"/>
  <c r="AJ359" i="574" s="1"/>
  <c r="AJ376" i="574" s="1"/>
  <c r="AJ393" i="574" s="1"/>
  <c r="AJ410" i="574" s="1"/>
  <c r="AJ427" i="574" s="1"/>
  <c r="AI19" i="574"/>
  <c r="AI36" i="574" s="1"/>
  <c r="AI53" i="574" s="1"/>
  <c r="AI70" i="574" s="1"/>
  <c r="AI87" i="574" s="1"/>
  <c r="AI104" i="574" s="1"/>
  <c r="AI121" i="574" s="1"/>
  <c r="AI138" i="574" s="1"/>
  <c r="AI155" i="574" s="1"/>
  <c r="AI172" i="574" s="1"/>
  <c r="AI189" i="574" s="1"/>
  <c r="AI206" i="574" s="1"/>
  <c r="AI223" i="574" s="1"/>
  <c r="AI240" i="574" s="1"/>
  <c r="AI257" i="574" s="1"/>
  <c r="AI274" i="574" s="1"/>
  <c r="AI291" i="574" s="1"/>
  <c r="AI308" i="574" s="1"/>
  <c r="AI325" i="574" s="1"/>
  <c r="AI342" i="574" s="1"/>
  <c r="AI359" i="574" s="1"/>
  <c r="AI376" i="574" s="1"/>
  <c r="AI393" i="574" s="1"/>
  <c r="AI410" i="574" s="1"/>
  <c r="AI427" i="574" s="1"/>
  <c r="AF19" i="574"/>
  <c r="AF36" i="574" s="1"/>
  <c r="AF53" i="574" s="1"/>
  <c r="AF70" i="574" s="1"/>
  <c r="AF87" i="574" s="1"/>
  <c r="AF104" i="574" s="1"/>
  <c r="AF121" i="574" s="1"/>
  <c r="AF138" i="574" s="1"/>
  <c r="AF155" i="574" s="1"/>
  <c r="AF172" i="574" s="1"/>
  <c r="AF189" i="574" s="1"/>
  <c r="AF206" i="574" s="1"/>
  <c r="AF223" i="574" s="1"/>
  <c r="AF240" i="574" s="1"/>
  <c r="AF257" i="574" s="1"/>
  <c r="AF274" i="574" s="1"/>
  <c r="AF291" i="574" s="1"/>
  <c r="AF308" i="574" s="1"/>
  <c r="AF325" i="574" s="1"/>
  <c r="AF342" i="574" s="1"/>
  <c r="AF359" i="574" s="1"/>
  <c r="AF376" i="574" s="1"/>
  <c r="AF393" i="574" s="1"/>
  <c r="AF410" i="574" s="1"/>
  <c r="AF427" i="574" s="1"/>
  <c r="AE19" i="574"/>
  <c r="AE36" i="574" s="1"/>
  <c r="AE53" i="574" s="1"/>
  <c r="AE70" i="574" s="1"/>
  <c r="AE87" i="574" s="1"/>
  <c r="AE104" i="574" s="1"/>
  <c r="AE121" i="574" s="1"/>
  <c r="AE138" i="574" s="1"/>
  <c r="AE155" i="574" s="1"/>
  <c r="AE172" i="574" s="1"/>
  <c r="AE189" i="574" s="1"/>
  <c r="AE206" i="574" s="1"/>
  <c r="AE223" i="574" s="1"/>
  <c r="AE240" i="574" s="1"/>
  <c r="AE257" i="574" s="1"/>
  <c r="AE274" i="574" s="1"/>
  <c r="AE291" i="574" s="1"/>
  <c r="AE308" i="574" s="1"/>
  <c r="AE325" i="574" s="1"/>
  <c r="AE342" i="574" s="1"/>
  <c r="AE359" i="574" s="1"/>
  <c r="AE376" i="574" s="1"/>
  <c r="AE393" i="574" s="1"/>
  <c r="AE410" i="574" s="1"/>
  <c r="AE427" i="574" s="1"/>
  <c r="AB19" i="574"/>
  <c r="AB36" i="574" s="1"/>
  <c r="AB53" i="574" s="1"/>
  <c r="AB70" i="574" s="1"/>
  <c r="AB87" i="574" s="1"/>
  <c r="AB104" i="574" s="1"/>
  <c r="AB121" i="574" s="1"/>
  <c r="AB138" i="574" s="1"/>
  <c r="AB155" i="574" s="1"/>
  <c r="AB172" i="574" s="1"/>
  <c r="AB189" i="574" s="1"/>
  <c r="AB206" i="574" s="1"/>
  <c r="AB223" i="574" s="1"/>
  <c r="AB240" i="574" s="1"/>
  <c r="AB257" i="574" s="1"/>
  <c r="AB274" i="574" s="1"/>
  <c r="AB291" i="574" s="1"/>
  <c r="AB308" i="574" s="1"/>
  <c r="AB325" i="574" s="1"/>
  <c r="AB342" i="574" s="1"/>
  <c r="AB359" i="574" s="1"/>
  <c r="AB376" i="574" s="1"/>
  <c r="AB393" i="574" s="1"/>
  <c r="AB410" i="574" s="1"/>
  <c r="AB427" i="574" s="1"/>
  <c r="AA19" i="574"/>
  <c r="AA36" i="574" s="1"/>
  <c r="AA53" i="574" s="1"/>
  <c r="AA70" i="574" s="1"/>
  <c r="AA87" i="574" s="1"/>
  <c r="AA104" i="574" s="1"/>
  <c r="AA121" i="574" s="1"/>
  <c r="AA138" i="574" s="1"/>
  <c r="AA155" i="574" s="1"/>
  <c r="AA172" i="574" s="1"/>
  <c r="AA189" i="574" s="1"/>
  <c r="AA206" i="574" s="1"/>
  <c r="AA223" i="574" s="1"/>
  <c r="AA240" i="574" s="1"/>
  <c r="AA257" i="574" s="1"/>
  <c r="AA274" i="574" s="1"/>
  <c r="AA291" i="574" s="1"/>
  <c r="AA308" i="574" s="1"/>
  <c r="AA325" i="574" s="1"/>
  <c r="AA342" i="574" s="1"/>
  <c r="AA359" i="574" s="1"/>
  <c r="AA376" i="574" s="1"/>
  <c r="AA393" i="574" s="1"/>
  <c r="AA410" i="574" s="1"/>
  <c r="AA427" i="574" s="1"/>
  <c r="X19" i="574"/>
  <c r="X36" i="574" s="1"/>
  <c r="X53" i="574" s="1"/>
  <c r="X70" i="574" s="1"/>
  <c r="X87" i="574" s="1"/>
  <c r="X104" i="574" s="1"/>
  <c r="X121" i="574" s="1"/>
  <c r="X138" i="574" s="1"/>
  <c r="X155" i="574" s="1"/>
  <c r="X172" i="574" s="1"/>
  <c r="X189" i="574" s="1"/>
  <c r="X206" i="574" s="1"/>
  <c r="X223" i="574" s="1"/>
  <c r="X240" i="574" s="1"/>
  <c r="X257" i="574" s="1"/>
  <c r="X274" i="574" s="1"/>
  <c r="X291" i="574" s="1"/>
  <c r="X308" i="574" s="1"/>
  <c r="X325" i="574" s="1"/>
  <c r="X342" i="574" s="1"/>
  <c r="X359" i="574" s="1"/>
  <c r="X376" i="574" s="1"/>
  <c r="X393" i="574" s="1"/>
  <c r="X410" i="574" s="1"/>
  <c r="X427" i="574" s="1"/>
  <c r="X444" i="574" s="1"/>
  <c r="X461" i="574" s="1"/>
  <c r="X478" i="574" s="1"/>
  <c r="X495" i="574" s="1"/>
  <c r="X512" i="574" s="1"/>
  <c r="X529" i="574" s="1"/>
  <c r="W19" i="574"/>
  <c r="W36" i="574" s="1"/>
  <c r="W53" i="574" s="1"/>
  <c r="W70" i="574" s="1"/>
  <c r="W87" i="574" s="1"/>
  <c r="W104" i="574" s="1"/>
  <c r="W121" i="574" s="1"/>
  <c r="W138" i="574" s="1"/>
  <c r="W155" i="574" s="1"/>
  <c r="W172" i="574" s="1"/>
  <c r="W189" i="574" s="1"/>
  <c r="W206" i="574" s="1"/>
  <c r="W223" i="574" s="1"/>
  <c r="W240" i="574" s="1"/>
  <c r="W257" i="574" s="1"/>
  <c r="W274" i="574" s="1"/>
  <c r="W291" i="574" s="1"/>
  <c r="W308" i="574" s="1"/>
  <c r="W325" i="574" s="1"/>
  <c r="W342" i="574" s="1"/>
  <c r="W359" i="574" s="1"/>
  <c r="W376" i="574" s="1"/>
  <c r="W393" i="574" s="1"/>
  <c r="W410" i="574" s="1"/>
  <c r="W427" i="574" s="1"/>
  <c r="W444" i="574" s="1"/>
  <c r="W461" i="574" s="1"/>
  <c r="W478" i="574" s="1"/>
  <c r="W495" i="574" s="1"/>
  <c r="W512" i="574" s="1"/>
  <c r="W529" i="574" s="1"/>
  <c r="AR18" i="574"/>
  <c r="S19" i="574"/>
  <c r="P19" i="574"/>
  <c r="K19" i="574"/>
  <c r="K36" i="574" s="1"/>
  <c r="K53" i="574" s="1"/>
  <c r="K70" i="574" s="1"/>
  <c r="K87" i="574" s="1"/>
  <c r="K104" i="574" s="1"/>
  <c r="K121" i="574" s="1"/>
  <c r="K138" i="574" s="1"/>
  <c r="K155" i="574" s="1"/>
  <c r="K172" i="574" s="1"/>
  <c r="K189" i="574" s="1"/>
  <c r="K206" i="574" s="1"/>
  <c r="K223" i="574" s="1"/>
  <c r="K240" i="574" s="1"/>
  <c r="K257" i="574" s="1"/>
  <c r="K274" i="574" s="1"/>
  <c r="K291" i="574" s="1"/>
  <c r="K308" i="574" s="1"/>
  <c r="K325" i="574" s="1"/>
  <c r="K342" i="574" s="1"/>
  <c r="K359" i="574" s="1"/>
  <c r="K376" i="574" s="1"/>
  <c r="K393" i="574" s="1"/>
  <c r="K410" i="574" s="1"/>
  <c r="K427" i="574" s="1"/>
  <c r="K444" i="574" s="1"/>
  <c r="K461" i="574" s="1"/>
  <c r="K478" i="574" s="1"/>
  <c r="K495" i="574" s="1"/>
  <c r="K512" i="574" s="1"/>
  <c r="K529" i="574" s="1"/>
  <c r="H19" i="574"/>
  <c r="H36" i="574" s="1"/>
  <c r="H53" i="574" s="1"/>
  <c r="H70" i="574" s="1"/>
  <c r="H87" i="574" s="1"/>
  <c r="H104" i="574" s="1"/>
  <c r="H121" i="574" s="1"/>
  <c r="H138" i="574" s="1"/>
  <c r="H155" i="574" s="1"/>
  <c r="H172" i="574" s="1"/>
  <c r="H189" i="574" s="1"/>
  <c r="H206" i="574" s="1"/>
  <c r="H223" i="574" s="1"/>
  <c r="H240" i="574" s="1"/>
  <c r="H257" i="574" s="1"/>
  <c r="H274" i="574" s="1"/>
  <c r="H291" i="574" s="1"/>
  <c r="H308" i="574" s="1"/>
  <c r="H325" i="574" s="1"/>
  <c r="H342" i="574" s="1"/>
  <c r="H359" i="574" s="1"/>
  <c r="H376" i="574" s="1"/>
  <c r="H393" i="574" s="1"/>
  <c r="H410" i="574" s="1"/>
  <c r="H427" i="574" s="1"/>
  <c r="H444" i="574" s="1"/>
  <c r="H461" i="574" s="1"/>
  <c r="H478" i="574" s="1"/>
  <c r="H495" i="574" s="1"/>
  <c r="H512" i="574" s="1"/>
  <c r="H529" i="574" s="1"/>
  <c r="G19" i="574"/>
  <c r="G36" i="574" s="1"/>
  <c r="G53" i="574" s="1"/>
  <c r="G70" i="574" s="1"/>
  <c r="G87" i="574" s="1"/>
  <c r="G104" i="574" s="1"/>
  <c r="G121" i="574" s="1"/>
  <c r="G138" i="574" s="1"/>
  <c r="G155" i="574" s="1"/>
  <c r="G172" i="574" s="1"/>
  <c r="G189" i="574" s="1"/>
  <c r="G206" i="574" s="1"/>
  <c r="G223" i="574" s="1"/>
  <c r="G240" i="574" s="1"/>
  <c r="G257" i="574" s="1"/>
  <c r="G274" i="574" s="1"/>
  <c r="G291" i="574" s="1"/>
  <c r="G308" i="574" s="1"/>
  <c r="G325" i="574" s="1"/>
  <c r="G342" i="574" s="1"/>
  <c r="G359" i="574" s="1"/>
  <c r="G376" i="574" s="1"/>
  <c r="G393" i="574" s="1"/>
  <c r="G410" i="574" s="1"/>
  <c r="G427" i="574" s="1"/>
  <c r="G444" i="574" s="1"/>
  <c r="G461" i="574" s="1"/>
  <c r="G478" i="574" s="1"/>
  <c r="G495" i="574" s="1"/>
  <c r="G512" i="574" s="1"/>
  <c r="G529" i="574" s="1"/>
  <c r="D19" i="574"/>
  <c r="C2" i="574"/>
  <c r="AR2" i="573"/>
  <c r="AQ2" i="573"/>
  <c r="AP2" i="573"/>
  <c r="AO2" i="573"/>
  <c r="AN2" i="573"/>
  <c r="AM2" i="573"/>
  <c r="AL2" i="573"/>
  <c r="AK2" i="573"/>
  <c r="AJ2" i="573"/>
  <c r="AI2" i="573"/>
  <c r="AH2" i="573"/>
  <c r="AG2" i="573"/>
  <c r="AF2" i="573"/>
  <c r="AE2" i="573"/>
  <c r="AD2" i="573"/>
  <c r="AC2" i="573"/>
  <c r="AB2" i="573"/>
  <c r="AA2" i="573"/>
  <c r="Z2" i="573"/>
  <c r="Y2" i="573"/>
  <c r="X2" i="573"/>
  <c r="W2" i="573"/>
  <c r="V2" i="573"/>
  <c r="U2" i="573"/>
  <c r="T2" i="573"/>
  <c r="S2" i="573"/>
  <c r="R2" i="573"/>
  <c r="Q2" i="573"/>
  <c r="P2" i="573"/>
  <c r="O2" i="573"/>
  <c r="N2" i="573"/>
  <c r="M2" i="573"/>
  <c r="L2" i="573"/>
  <c r="K2" i="573"/>
  <c r="J2" i="573"/>
  <c r="I2" i="573"/>
  <c r="H2" i="573"/>
  <c r="G2" i="573"/>
  <c r="F2" i="573"/>
  <c r="E2" i="573"/>
  <c r="D2" i="573"/>
  <c r="C540" i="573"/>
  <c r="C535" i="573"/>
  <c r="S534" i="573"/>
  <c r="P534" i="573"/>
  <c r="N538" i="573" s="1"/>
  <c r="M534" i="573"/>
  <c r="H534" i="573"/>
  <c r="C534" i="573"/>
  <c r="S533" i="573"/>
  <c r="P533" i="573"/>
  <c r="M533" i="573"/>
  <c r="N537" i="573" s="1"/>
  <c r="C531" i="573" s="1"/>
  <c r="C536" i="573" s="1"/>
  <c r="C538" i="573" s="1"/>
  <c r="H533" i="573"/>
  <c r="C533" i="573"/>
  <c r="U532" i="573"/>
  <c r="U534" i="573" s="1"/>
  <c r="S532" i="573"/>
  <c r="Q536" i="573" s="1"/>
  <c r="P532" i="573"/>
  <c r="M532" i="573"/>
  <c r="N536" i="573" s="1"/>
  <c r="H532" i="573"/>
  <c r="C532" i="573"/>
  <c r="H531" i="573"/>
  <c r="H536" i="573" s="1"/>
  <c r="AS526" i="573"/>
  <c r="AS525" i="573"/>
  <c r="AS524" i="573"/>
  <c r="AS523" i="573"/>
  <c r="AS522" i="573"/>
  <c r="AS520" i="573"/>
  <c r="AS509" i="573"/>
  <c r="AS508" i="573"/>
  <c r="AS507" i="573"/>
  <c r="AS506" i="573"/>
  <c r="AS505" i="573"/>
  <c r="AS503" i="573"/>
  <c r="AS492" i="573"/>
  <c r="AS491" i="573"/>
  <c r="AS490" i="573"/>
  <c r="AS489" i="573"/>
  <c r="AS488" i="573"/>
  <c r="AS486" i="573"/>
  <c r="AS475" i="573"/>
  <c r="AS474" i="573"/>
  <c r="AS473" i="573"/>
  <c r="AS472" i="573"/>
  <c r="AS471" i="573"/>
  <c r="AS469" i="573"/>
  <c r="AS458" i="573"/>
  <c r="AS457" i="573"/>
  <c r="AS456" i="573"/>
  <c r="AS455" i="573"/>
  <c r="AS454" i="573"/>
  <c r="AS452" i="573"/>
  <c r="AS441" i="573"/>
  <c r="AS440" i="573"/>
  <c r="AS439" i="573"/>
  <c r="AS438" i="573"/>
  <c r="AS437" i="573"/>
  <c r="AS435" i="573"/>
  <c r="AS424" i="573"/>
  <c r="AS423" i="573"/>
  <c r="AS422" i="573"/>
  <c r="AS421" i="573"/>
  <c r="AS420" i="573"/>
  <c r="AS418" i="573"/>
  <c r="AS407" i="573"/>
  <c r="AS406" i="573"/>
  <c r="AS405" i="573"/>
  <c r="AS404" i="573"/>
  <c r="AS403" i="573"/>
  <c r="AS401" i="573"/>
  <c r="AS390" i="573"/>
  <c r="AS389" i="573"/>
  <c r="AS388" i="573"/>
  <c r="AS387" i="573"/>
  <c r="AS386" i="573"/>
  <c r="AS384" i="573"/>
  <c r="AS373" i="573"/>
  <c r="AS372" i="573"/>
  <c r="AS371" i="573"/>
  <c r="AS370" i="573"/>
  <c r="AS369" i="573"/>
  <c r="AS367" i="573"/>
  <c r="AS356" i="573"/>
  <c r="AS355" i="573"/>
  <c r="AS354" i="573"/>
  <c r="AS353" i="573"/>
  <c r="AS352" i="573"/>
  <c r="AS350" i="573"/>
  <c r="AS339" i="573"/>
  <c r="AS338" i="573"/>
  <c r="AS337" i="573"/>
  <c r="AS336" i="573"/>
  <c r="AS335" i="573"/>
  <c r="AS333" i="573"/>
  <c r="AS322" i="573"/>
  <c r="AS321" i="573"/>
  <c r="AS320" i="573"/>
  <c r="AS319" i="573"/>
  <c r="AS318" i="573"/>
  <c r="AS316" i="573"/>
  <c r="AS305" i="573"/>
  <c r="AS304" i="573"/>
  <c r="AS303" i="573"/>
  <c r="AS302" i="573"/>
  <c r="AS301" i="573"/>
  <c r="AS299" i="573"/>
  <c r="AS288" i="573"/>
  <c r="AS287" i="573"/>
  <c r="AS286" i="573"/>
  <c r="AS285" i="573"/>
  <c r="AS284" i="573"/>
  <c r="AS282" i="573"/>
  <c r="AS271" i="573"/>
  <c r="AS270" i="573"/>
  <c r="AS269" i="573"/>
  <c r="AS268" i="573"/>
  <c r="AS267" i="573"/>
  <c r="AS265" i="573"/>
  <c r="AS254" i="573"/>
  <c r="AS253" i="573"/>
  <c r="AS252" i="573"/>
  <c r="AS251" i="573"/>
  <c r="AS250" i="573"/>
  <c r="AS248" i="573"/>
  <c r="AS237" i="573"/>
  <c r="AS236" i="573"/>
  <c r="AS235" i="573"/>
  <c r="AS234" i="573"/>
  <c r="AS233" i="573"/>
  <c r="AS231" i="573"/>
  <c r="AS220" i="573"/>
  <c r="AS219" i="573"/>
  <c r="AS218" i="573"/>
  <c r="AS217" i="573"/>
  <c r="AS216" i="573"/>
  <c r="AS214" i="573"/>
  <c r="AS203" i="573"/>
  <c r="AS202" i="573"/>
  <c r="AS201" i="573"/>
  <c r="AS200" i="573"/>
  <c r="AS199" i="573"/>
  <c r="AS197" i="573"/>
  <c r="AS186" i="573"/>
  <c r="AS185" i="573"/>
  <c r="AS184" i="573"/>
  <c r="AS183" i="573"/>
  <c r="AS182" i="573"/>
  <c r="AS180" i="573"/>
  <c r="AS169" i="573"/>
  <c r="AS168" i="573"/>
  <c r="AS167" i="573"/>
  <c r="AS166" i="573"/>
  <c r="AS165" i="573"/>
  <c r="AS163" i="573"/>
  <c r="AS152" i="573"/>
  <c r="AS151" i="573"/>
  <c r="AS150" i="573"/>
  <c r="AS149" i="573"/>
  <c r="AS148" i="573"/>
  <c r="AS146" i="573"/>
  <c r="AS136" i="573"/>
  <c r="AS135" i="573"/>
  <c r="AS134" i="573"/>
  <c r="AS133" i="573"/>
  <c r="AS132" i="573"/>
  <c r="AS131" i="573"/>
  <c r="AS129" i="573"/>
  <c r="AS119" i="573"/>
  <c r="AS118" i="573"/>
  <c r="AS117" i="573"/>
  <c r="AS116" i="573"/>
  <c r="AS115" i="573"/>
  <c r="AS114" i="573"/>
  <c r="AS112" i="573"/>
  <c r="AS102" i="573"/>
  <c r="AS101" i="573"/>
  <c r="AS100" i="573"/>
  <c r="AS99" i="573"/>
  <c r="AS98" i="573"/>
  <c r="AS97" i="573"/>
  <c r="AS95" i="573"/>
  <c r="AS85" i="573"/>
  <c r="AS84" i="573"/>
  <c r="AS83" i="573"/>
  <c r="AS82" i="573"/>
  <c r="AS81" i="573"/>
  <c r="AS80" i="573"/>
  <c r="AS78" i="573"/>
  <c r="AS68" i="573"/>
  <c r="AS67" i="573"/>
  <c r="AS66" i="573"/>
  <c r="AS65" i="573"/>
  <c r="AS64" i="573"/>
  <c r="AS63" i="573"/>
  <c r="AS61" i="573"/>
  <c r="AS51" i="573"/>
  <c r="AS50" i="573"/>
  <c r="AS49" i="573"/>
  <c r="AS48" i="573"/>
  <c r="AS47" i="573"/>
  <c r="AS46" i="573"/>
  <c r="AS44" i="573"/>
  <c r="AL36" i="573"/>
  <c r="AL53" i="573" s="1"/>
  <c r="AL70" i="573" s="1"/>
  <c r="AL87" i="573" s="1"/>
  <c r="AL104" i="573" s="1"/>
  <c r="AL121" i="573" s="1"/>
  <c r="AL138" i="573" s="1"/>
  <c r="AL155" i="573" s="1"/>
  <c r="AL172" i="573" s="1"/>
  <c r="AL189" i="573" s="1"/>
  <c r="AL206" i="573" s="1"/>
  <c r="AL223" i="573" s="1"/>
  <c r="AL240" i="573" s="1"/>
  <c r="AL257" i="573" s="1"/>
  <c r="AL274" i="573" s="1"/>
  <c r="AL291" i="573" s="1"/>
  <c r="AL308" i="573" s="1"/>
  <c r="AL325" i="573" s="1"/>
  <c r="AL342" i="573" s="1"/>
  <c r="AL359" i="573" s="1"/>
  <c r="AL376" i="573" s="1"/>
  <c r="AL393" i="573" s="1"/>
  <c r="AL410" i="573" s="1"/>
  <c r="AL427" i="573" s="1"/>
  <c r="AS34" i="573"/>
  <c r="AS33" i="573"/>
  <c r="AS32" i="573"/>
  <c r="AS31" i="573"/>
  <c r="AS30" i="573"/>
  <c r="AS29" i="573"/>
  <c r="AS27" i="573"/>
  <c r="A20" i="573"/>
  <c r="A37" i="573" s="1"/>
  <c r="A54" i="573" s="1"/>
  <c r="A71" i="573" s="1"/>
  <c r="A88" i="573" s="1"/>
  <c r="A105" i="573" s="1"/>
  <c r="A122" i="573" s="1"/>
  <c r="A139" i="573" s="1"/>
  <c r="A156" i="573" s="1"/>
  <c r="A173" i="573" s="1"/>
  <c r="A190" i="573" s="1"/>
  <c r="A207" i="573" s="1"/>
  <c r="A224" i="573" s="1"/>
  <c r="A241" i="573" s="1"/>
  <c r="A258" i="573" s="1"/>
  <c r="A275" i="573" s="1"/>
  <c r="A292" i="573" s="1"/>
  <c r="A309" i="573" s="1"/>
  <c r="A326" i="573" s="1"/>
  <c r="A343" i="573" s="1"/>
  <c r="A360" i="573" s="1"/>
  <c r="A377" i="573" s="1"/>
  <c r="A394" i="573" s="1"/>
  <c r="A411" i="573" s="1"/>
  <c r="A428" i="573" s="1"/>
  <c r="A445" i="573" s="1"/>
  <c r="A462" i="573" s="1"/>
  <c r="A479" i="573" s="1"/>
  <c r="A496" i="573" s="1"/>
  <c r="A513" i="573" s="1"/>
  <c r="AP19" i="573"/>
  <c r="AP36" i="573" s="1"/>
  <c r="AP53" i="573" s="1"/>
  <c r="AP70" i="573" s="1"/>
  <c r="AP87" i="573" s="1"/>
  <c r="AP104" i="573" s="1"/>
  <c r="AP121" i="573" s="1"/>
  <c r="AP138" i="573" s="1"/>
  <c r="AP155" i="573" s="1"/>
  <c r="AP172" i="573" s="1"/>
  <c r="AP189" i="573" s="1"/>
  <c r="AP206" i="573" s="1"/>
  <c r="AP223" i="573" s="1"/>
  <c r="AP240" i="573" s="1"/>
  <c r="AP257" i="573" s="1"/>
  <c r="AP274" i="573" s="1"/>
  <c r="AP291" i="573" s="1"/>
  <c r="AP308" i="573" s="1"/>
  <c r="AP325" i="573" s="1"/>
  <c r="AP342" i="573" s="1"/>
  <c r="AP359" i="573" s="1"/>
  <c r="AP376" i="573" s="1"/>
  <c r="AP393" i="573" s="1"/>
  <c r="AP410" i="573" s="1"/>
  <c r="AP427" i="573" s="1"/>
  <c r="AK19" i="573"/>
  <c r="AK36" i="573" s="1"/>
  <c r="AK53" i="573" s="1"/>
  <c r="AK70" i="573" s="1"/>
  <c r="AK87" i="573" s="1"/>
  <c r="AK104" i="573" s="1"/>
  <c r="AK121" i="573" s="1"/>
  <c r="AK138" i="573" s="1"/>
  <c r="AK155" i="573" s="1"/>
  <c r="AK172" i="573" s="1"/>
  <c r="AK189" i="573" s="1"/>
  <c r="AK206" i="573" s="1"/>
  <c r="AK223" i="573" s="1"/>
  <c r="AK240" i="573" s="1"/>
  <c r="AK257" i="573" s="1"/>
  <c r="AK274" i="573" s="1"/>
  <c r="AK291" i="573" s="1"/>
  <c r="AK308" i="573" s="1"/>
  <c r="AK325" i="573" s="1"/>
  <c r="AK342" i="573" s="1"/>
  <c r="AK359" i="573" s="1"/>
  <c r="AK376" i="573" s="1"/>
  <c r="AK393" i="573" s="1"/>
  <c r="AK410" i="573" s="1"/>
  <c r="AK427" i="573" s="1"/>
  <c r="AH19" i="573"/>
  <c r="AH36" i="573" s="1"/>
  <c r="AH53" i="573" s="1"/>
  <c r="AH70" i="573" s="1"/>
  <c r="AH87" i="573" s="1"/>
  <c r="AH104" i="573" s="1"/>
  <c r="AH121" i="573" s="1"/>
  <c r="AH138" i="573" s="1"/>
  <c r="AH155" i="573" s="1"/>
  <c r="AH172" i="573" s="1"/>
  <c r="AH189" i="573" s="1"/>
  <c r="AH206" i="573" s="1"/>
  <c r="AH223" i="573" s="1"/>
  <c r="AH240" i="573" s="1"/>
  <c r="AH257" i="573" s="1"/>
  <c r="AH274" i="573" s="1"/>
  <c r="AH291" i="573" s="1"/>
  <c r="AH308" i="573" s="1"/>
  <c r="AH325" i="573" s="1"/>
  <c r="AH342" i="573" s="1"/>
  <c r="AH359" i="573" s="1"/>
  <c r="AH376" i="573" s="1"/>
  <c r="AH393" i="573" s="1"/>
  <c r="AH410" i="573" s="1"/>
  <c r="AH427" i="573" s="1"/>
  <c r="AG19" i="573"/>
  <c r="AG36" i="573" s="1"/>
  <c r="AG53" i="573" s="1"/>
  <c r="AG70" i="573" s="1"/>
  <c r="AG87" i="573" s="1"/>
  <c r="AG104" i="573" s="1"/>
  <c r="AG121" i="573" s="1"/>
  <c r="AG138" i="573" s="1"/>
  <c r="AG155" i="573" s="1"/>
  <c r="AG172" i="573" s="1"/>
  <c r="AG189" i="573" s="1"/>
  <c r="AG206" i="573" s="1"/>
  <c r="AG223" i="573" s="1"/>
  <c r="AG240" i="573" s="1"/>
  <c r="AG257" i="573" s="1"/>
  <c r="AG274" i="573" s="1"/>
  <c r="AG291" i="573" s="1"/>
  <c r="AG308" i="573" s="1"/>
  <c r="AG325" i="573" s="1"/>
  <c r="AG342" i="573" s="1"/>
  <c r="AG359" i="573" s="1"/>
  <c r="AG376" i="573" s="1"/>
  <c r="AG393" i="573" s="1"/>
  <c r="AG410" i="573" s="1"/>
  <c r="AG427" i="573" s="1"/>
  <c r="AD19" i="573"/>
  <c r="AD36" i="573" s="1"/>
  <c r="AD53" i="573" s="1"/>
  <c r="AD70" i="573" s="1"/>
  <c r="AD87" i="573" s="1"/>
  <c r="AD104" i="573" s="1"/>
  <c r="AD121" i="573" s="1"/>
  <c r="AD138" i="573" s="1"/>
  <c r="AD155" i="573" s="1"/>
  <c r="AD172" i="573" s="1"/>
  <c r="AD189" i="573" s="1"/>
  <c r="AD206" i="573" s="1"/>
  <c r="AD223" i="573" s="1"/>
  <c r="AD240" i="573" s="1"/>
  <c r="AD257" i="573" s="1"/>
  <c r="AD274" i="573" s="1"/>
  <c r="AD291" i="573" s="1"/>
  <c r="AD308" i="573" s="1"/>
  <c r="AD325" i="573" s="1"/>
  <c r="AD342" i="573" s="1"/>
  <c r="AD359" i="573" s="1"/>
  <c r="AD376" i="573" s="1"/>
  <c r="AD393" i="573" s="1"/>
  <c r="AD410" i="573" s="1"/>
  <c r="AD427" i="573" s="1"/>
  <c r="AC19" i="573"/>
  <c r="AC36" i="573" s="1"/>
  <c r="AC53" i="573" s="1"/>
  <c r="AC70" i="573" s="1"/>
  <c r="AC87" i="573" s="1"/>
  <c r="AC104" i="573" s="1"/>
  <c r="AC121" i="573" s="1"/>
  <c r="AC138" i="573" s="1"/>
  <c r="AC155" i="573" s="1"/>
  <c r="AC172" i="573" s="1"/>
  <c r="AC189" i="573" s="1"/>
  <c r="AC206" i="573" s="1"/>
  <c r="AC223" i="573" s="1"/>
  <c r="AC240" i="573" s="1"/>
  <c r="AC257" i="573" s="1"/>
  <c r="AC274" i="573" s="1"/>
  <c r="AC291" i="573" s="1"/>
  <c r="AC308" i="573" s="1"/>
  <c r="AC325" i="573" s="1"/>
  <c r="AC342" i="573" s="1"/>
  <c r="AC359" i="573" s="1"/>
  <c r="AC376" i="573" s="1"/>
  <c r="AC393" i="573" s="1"/>
  <c r="AC410" i="573" s="1"/>
  <c r="AC427" i="573" s="1"/>
  <c r="Z19" i="573"/>
  <c r="Z36" i="573" s="1"/>
  <c r="Z53" i="573" s="1"/>
  <c r="Z70" i="573" s="1"/>
  <c r="Z87" i="573" s="1"/>
  <c r="Z104" i="573" s="1"/>
  <c r="Z121" i="573" s="1"/>
  <c r="Z138" i="573" s="1"/>
  <c r="Z155" i="573" s="1"/>
  <c r="Z172" i="573" s="1"/>
  <c r="Z189" i="573" s="1"/>
  <c r="Z206" i="573" s="1"/>
  <c r="Z223" i="573" s="1"/>
  <c r="Z240" i="573" s="1"/>
  <c r="Z257" i="573" s="1"/>
  <c r="Z274" i="573" s="1"/>
  <c r="Z291" i="573" s="1"/>
  <c r="Z308" i="573" s="1"/>
  <c r="Z325" i="573" s="1"/>
  <c r="Z342" i="573" s="1"/>
  <c r="Z359" i="573" s="1"/>
  <c r="Z376" i="573" s="1"/>
  <c r="Z393" i="573" s="1"/>
  <c r="Z410" i="573" s="1"/>
  <c r="Z427" i="573" s="1"/>
  <c r="Y19" i="573"/>
  <c r="Y36" i="573" s="1"/>
  <c r="Y53" i="573" s="1"/>
  <c r="Y70" i="573" s="1"/>
  <c r="Y87" i="573" s="1"/>
  <c r="Y104" i="573" s="1"/>
  <c r="Y121" i="573" s="1"/>
  <c r="Y138" i="573" s="1"/>
  <c r="Y155" i="573" s="1"/>
  <c r="Y172" i="573" s="1"/>
  <c r="Y189" i="573" s="1"/>
  <c r="Y206" i="573" s="1"/>
  <c r="Y223" i="573" s="1"/>
  <c r="Y240" i="573" s="1"/>
  <c r="Y257" i="573" s="1"/>
  <c r="Y274" i="573" s="1"/>
  <c r="Y291" i="573" s="1"/>
  <c r="Y308" i="573" s="1"/>
  <c r="Y325" i="573" s="1"/>
  <c r="Y342" i="573" s="1"/>
  <c r="Y359" i="573" s="1"/>
  <c r="Y376" i="573" s="1"/>
  <c r="Y393" i="573" s="1"/>
  <c r="Y410" i="573" s="1"/>
  <c r="Y427" i="573" s="1"/>
  <c r="Y444" i="573" s="1"/>
  <c r="Y461" i="573" s="1"/>
  <c r="Y478" i="573" s="1"/>
  <c r="Y495" i="573" s="1"/>
  <c r="Y512" i="573" s="1"/>
  <c r="Y529" i="573" s="1"/>
  <c r="V19" i="573"/>
  <c r="V36" i="573" s="1"/>
  <c r="V53" i="573" s="1"/>
  <c r="V70" i="573" s="1"/>
  <c r="V87" i="573" s="1"/>
  <c r="V104" i="573" s="1"/>
  <c r="V121" i="573" s="1"/>
  <c r="V138" i="573" s="1"/>
  <c r="V155" i="573" s="1"/>
  <c r="V172" i="573" s="1"/>
  <c r="V189" i="573" s="1"/>
  <c r="V206" i="573" s="1"/>
  <c r="V223" i="573" s="1"/>
  <c r="V240" i="573" s="1"/>
  <c r="V257" i="573" s="1"/>
  <c r="V274" i="573" s="1"/>
  <c r="V291" i="573" s="1"/>
  <c r="V308" i="573" s="1"/>
  <c r="V325" i="573" s="1"/>
  <c r="V342" i="573" s="1"/>
  <c r="V359" i="573" s="1"/>
  <c r="V376" i="573" s="1"/>
  <c r="V393" i="573" s="1"/>
  <c r="V410" i="573" s="1"/>
  <c r="V427" i="573" s="1"/>
  <c r="V444" i="573" s="1"/>
  <c r="V461" i="573" s="1"/>
  <c r="V478" i="573" s="1"/>
  <c r="V495" i="573" s="1"/>
  <c r="V512" i="573" s="1"/>
  <c r="V529" i="573" s="1"/>
  <c r="U19" i="573"/>
  <c r="U36" i="573" s="1"/>
  <c r="U53" i="573" s="1"/>
  <c r="U70" i="573" s="1"/>
  <c r="U87" i="573" s="1"/>
  <c r="U104" i="573" s="1"/>
  <c r="U121" i="573" s="1"/>
  <c r="U138" i="573" s="1"/>
  <c r="U155" i="573" s="1"/>
  <c r="U172" i="573" s="1"/>
  <c r="U189" i="573" s="1"/>
  <c r="U206" i="573" s="1"/>
  <c r="U223" i="573" s="1"/>
  <c r="U240" i="573" s="1"/>
  <c r="U257" i="573" s="1"/>
  <c r="U274" i="573" s="1"/>
  <c r="U291" i="573" s="1"/>
  <c r="U308" i="573" s="1"/>
  <c r="U325" i="573" s="1"/>
  <c r="U342" i="573" s="1"/>
  <c r="U359" i="573" s="1"/>
  <c r="U376" i="573" s="1"/>
  <c r="U393" i="573" s="1"/>
  <c r="U410" i="573" s="1"/>
  <c r="U427" i="573" s="1"/>
  <c r="U444" i="573" s="1"/>
  <c r="U461" i="573" s="1"/>
  <c r="U478" i="573" s="1"/>
  <c r="U495" i="573" s="1"/>
  <c r="U512" i="573" s="1"/>
  <c r="U529" i="573" s="1"/>
  <c r="Q19" i="573"/>
  <c r="Q36" i="573" s="1"/>
  <c r="Q53" i="573" s="1"/>
  <c r="Q70" i="573" s="1"/>
  <c r="Q87" i="573" s="1"/>
  <c r="Q104" i="573" s="1"/>
  <c r="Q121" i="573" s="1"/>
  <c r="Q138" i="573" s="1"/>
  <c r="Q155" i="573" s="1"/>
  <c r="Q172" i="573" s="1"/>
  <c r="Q189" i="573" s="1"/>
  <c r="Q206" i="573" s="1"/>
  <c r="Q223" i="573" s="1"/>
  <c r="Q240" i="573" s="1"/>
  <c r="Q257" i="573" s="1"/>
  <c r="Q274" i="573" s="1"/>
  <c r="Q291" i="573" s="1"/>
  <c r="Q308" i="573" s="1"/>
  <c r="Q325" i="573" s="1"/>
  <c r="Q342" i="573" s="1"/>
  <c r="Q359" i="573" s="1"/>
  <c r="Q376" i="573" s="1"/>
  <c r="Q393" i="573" s="1"/>
  <c r="Q410" i="573" s="1"/>
  <c r="Q427" i="573" s="1"/>
  <c r="Q444" i="573" s="1"/>
  <c r="Q461" i="573" s="1"/>
  <c r="Q478" i="573" s="1"/>
  <c r="Q495" i="573" s="1"/>
  <c r="Q512" i="573" s="1"/>
  <c r="Q529" i="573" s="1"/>
  <c r="N19" i="573"/>
  <c r="N36" i="573" s="1"/>
  <c r="N53" i="573" s="1"/>
  <c r="N70" i="573" s="1"/>
  <c r="N87" i="573" s="1"/>
  <c r="N104" i="573" s="1"/>
  <c r="N121" i="573" s="1"/>
  <c r="N138" i="573" s="1"/>
  <c r="N155" i="573" s="1"/>
  <c r="N172" i="573" s="1"/>
  <c r="N189" i="573" s="1"/>
  <c r="N206" i="573" s="1"/>
  <c r="N223" i="573" s="1"/>
  <c r="N240" i="573" s="1"/>
  <c r="N257" i="573" s="1"/>
  <c r="N274" i="573" s="1"/>
  <c r="N291" i="573" s="1"/>
  <c r="N308" i="573" s="1"/>
  <c r="N325" i="573" s="1"/>
  <c r="N342" i="573" s="1"/>
  <c r="N359" i="573" s="1"/>
  <c r="N376" i="573" s="1"/>
  <c r="N393" i="573" s="1"/>
  <c r="N410" i="573" s="1"/>
  <c r="N427" i="573" s="1"/>
  <c r="N444" i="573" s="1"/>
  <c r="N461" i="573" s="1"/>
  <c r="N478" i="573" s="1"/>
  <c r="N495" i="573" s="1"/>
  <c r="N512" i="573" s="1"/>
  <c r="N529" i="573" s="1"/>
  <c r="M19" i="573"/>
  <c r="M36" i="573" s="1"/>
  <c r="J19" i="573"/>
  <c r="J36" i="573" s="1"/>
  <c r="J53" i="573" s="1"/>
  <c r="J70" i="573" s="1"/>
  <c r="J87" i="573" s="1"/>
  <c r="J104" i="573" s="1"/>
  <c r="J121" i="573" s="1"/>
  <c r="J138" i="573" s="1"/>
  <c r="J155" i="573" s="1"/>
  <c r="J172" i="573" s="1"/>
  <c r="J189" i="573" s="1"/>
  <c r="J206" i="573" s="1"/>
  <c r="J223" i="573" s="1"/>
  <c r="J240" i="573" s="1"/>
  <c r="J257" i="573" s="1"/>
  <c r="J274" i="573" s="1"/>
  <c r="J291" i="573" s="1"/>
  <c r="J308" i="573" s="1"/>
  <c r="J325" i="573" s="1"/>
  <c r="J342" i="573" s="1"/>
  <c r="J359" i="573" s="1"/>
  <c r="J376" i="573" s="1"/>
  <c r="J393" i="573" s="1"/>
  <c r="J410" i="573" s="1"/>
  <c r="J427" i="573" s="1"/>
  <c r="J444" i="573" s="1"/>
  <c r="J461" i="573" s="1"/>
  <c r="J478" i="573" s="1"/>
  <c r="J495" i="573" s="1"/>
  <c r="J512" i="573" s="1"/>
  <c r="J529" i="573" s="1"/>
  <c r="I19" i="573"/>
  <c r="I36" i="573" s="1"/>
  <c r="I53" i="573" s="1"/>
  <c r="I70" i="573" s="1"/>
  <c r="I87" i="573" s="1"/>
  <c r="I104" i="573" s="1"/>
  <c r="I121" i="573" s="1"/>
  <c r="I138" i="573" s="1"/>
  <c r="I155" i="573" s="1"/>
  <c r="I172" i="573" s="1"/>
  <c r="I189" i="573" s="1"/>
  <c r="I206" i="573" s="1"/>
  <c r="I223" i="573" s="1"/>
  <c r="I240" i="573" s="1"/>
  <c r="I257" i="573" s="1"/>
  <c r="I274" i="573" s="1"/>
  <c r="I291" i="573" s="1"/>
  <c r="I308" i="573" s="1"/>
  <c r="I325" i="573" s="1"/>
  <c r="I342" i="573" s="1"/>
  <c r="I359" i="573" s="1"/>
  <c r="I376" i="573" s="1"/>
  <c r="I393" i="573" s="1"/>
  <c r="I410" i="573" s="1"/>
  <c r="I427" i="573" s="1"/>
  <c r="I444" i="573" s="1"/>
  <c r="I461" i="573" s="1"/>
  <c r="I478" i="573" s="1"/>
  <c r="I495" i="573" s="1"/>
  <c r="I512" i="573" s="1"/>
  <c r="I529" i="573" s="1"/>
  <c r="F19" i="573"/>
  <c r="F36" i="573" s="1"/>
  <c r="F53" i="573" s="1"/>
  <c r="F70" i="573" s="1"/>
  <c r="F87" i="573" s="1"/>
  <c r="F104" i="573" s="1"/>
  <c r="F121" i="573" s="1"/>
  <c r="F138" i="573" s="1"/>
  <c r="F155" i="573" s="1"/>
  <c r="F172" i="573" s="1"/>
  <c r="F189" i="573" s="1"/>
  <c r="F206" i="573" s="1"/>
  <c r="F223" i="573" s="1"/>
  <c r="F240" i="573" s="1"/>
  <c r="F257" i="573" s="1"/>
  <c r="F274" i="573" s="1"/>
  <c r="F291" i="573" s="1"/>
  <c r="F308" i="573" s="1"/>
  <c r="F325" i="573" s="1"/>
  <c r="F342" i="573" s="1"/>
  <c r="F359" i="573" s="1"/>
  <c r="F376" i="573" s="1"/>
  <c r="F393" i="573" s="1"/>
  <c r="F410" i="573" s="1"/>
  <c r="F427" i="573" s="1"/>
  <c r="F444" i="573" s="1"/>
  <c r="F461" i="573" s="1"/>
  <c r="F478" i="573" s="1"/>
  <c r="F495" i="573" s="1"/>
  <c r="F512" i="573" s="1"/>
  <c r="F529" i="573" s="1"/>
  <c r="E19" i="573"/>
  <c r="E36" i="573" s="1"/>
  <c r="E53" i="573" s="1"/>
  <c r="E70" i="573" s="1"/>
  <c r="E87" i="573" s="1"/>
  <c r="E104" i="573" s="1"/>
  <c r="E121" i="573" s="1"/>
  <c r="E138" i="573" s="1"/>
  <c r="E155" i="573" s="1"/>
  <c r="E172" i="573" s="1"/>
  <c r="E189" i="573" s="1"/>
  <c r="E206" i="573" s="1"/>
  <c r="E223" i="573" s="1"/>
  <c r="E240" i="573" s="1"/>
  <c r="E257" i="573" s="1"/>
  <c r="E274" i="573" s="1"/>
  <c r="E291" i="573" s="1"/>
  <c r="E308" i="573" s="1"/>
  <c r="E325" i="573" s="1"/>
  <c r="E342" i="573" s="1"/>
  <c r="E359" i="573" s="1"/>
  <c r="E376" i="573" s="1"/>
  <c r="E393" i="573" s="1"/>
  <c r="E410" i="573" s="1"/>
  <c r="E427" i="573" s="1"/>
  <c r="E444" i="573" s="1"/>
  <c r="E461" i="573" s="1"/>
  <c r="E478" i="573" s="1"/>
  <c r="E495" i="573" s="1"/>
  <c r="E512" i="573" s="1"/>
  <c r="E529" i="573" s="1"/>
  <c r="AS17" i="573"/>
  <c r="AS16" i="573"/>
  <c r="AS15" i="573"/>
  <c r="AS14" i="573"/>
  <c r="AS13" i="573"/>
  <c r="AS12" i="573"/>
  <c r="AS10" i="573"/>
  <c r="AU2" i="573"/>
  <c r="AT2" i="573"/>
  <c r="AS2" i="573"/>
  <c r="AQ19" i="573"/>
  <c r="AQ36" i="573" s="1"/>
  <c r="AQ53" i="573" s="1"/>
  <c r="AQ70" i="573" s="1"/>
  <c r="AQ87" i="573" s="1"/>
  <c r="AQ104" i="573" s="1"/>
  <c r="AQ121" i="573" s="1"/>
  <c r="AQ138" i="573" s="1"/>
  <c r="AQ155" i="573" s="1"/>
  <c r="AQ172" i="573" s="1"/>
  <c r="AQ189" i="573" s="1"/>
  <c r="AQ206" i="573" s="1"/>
  <c r="AQ223" i="573" s="1"/>
  <c r="AQ240" i="573" s="1"/>
  <c r="AQ257" i="573" s="1"/>
  <c r="AQ274" i="573" s="1"/>
  <c r="AQ291" i="573" s="1"/>
  <c r="AQ308" i="573" s="1"/>
  <c r="AQ325" i="573" s="1"/>
  <c r="AQ342" i="573" s="1"/>
  <c r="AQ359" i="573" s="1"/>
  <c r="AQ376" i="573" s="1"/>
  <c r="AQ393" i="573" s="1"/>
  <c r="AQ410" i="573" s="1"/>
  <c r="AQ427" i="573" s="1"/>
  <c r="AO19" i="573"/>
  <c r="AO36" i="573" s="1"/>
  <c r="AO53" i="573" s="1"/>
  <c r="AO70" i="573" s="1"/>
  <c r="AO87" i="573" s="1"/>
  <c r="AO104" i="573" s="1"/>
  <c r="AO121" i="573" s="1"/>
  <c r="AO138" i="573" s="1"/>
  <c r="AO155" i="573" s="1"/>
  <c r="AO172" i="573" s="1"/>
  <c r="AO189" i="573" s="1"/>
  <c r="AO206" i="573" s="1"/>
  <c r="AO223" i="573" s="1"/>
  <c r="AO240" i="573" s="1"/>
  <c r="AO257" i="573" s="1"/>
  <c r="AO274" i="573" s="1"/>
  <c r="AO291" i="573" s="1"/>
  <c r="AO308" i="573" s="1"/>
  <c r="AO325" i="573" s="1"/>
  <c r="AO342" i="573" s="1"/>
  <c r="AO359" i="573" s="1"/>
  <c r="AO376" i="573" s="1"/>
  <c r="AO393" i="573" s="1"/>
  <c r="AO410" i="573" s="1"/>
  <c r="AO427" i="573" s="1"/>
  <c r="AN19" i="573"/>
  <c r="AN36" i="573" s="1"/>
  <c r="AN53" i="573" s="1"/>
  <c r="AN70" i="573" s="1"/>
  <c r="AN87" i="573" s="1"/>
  <c r="AN104" i="573" s="1"/>
  <c r="AN121" i="573" s="1"/>
  <c r="AN138" i="573" s="1"/>
  <c r="AN155" i="573" s="1"/>
  <c r="AN172" i="573" s="1"/>
  <c r="AN189" i="573" s="1"/>
  <c r="AN206" i="573" s="1"/>
  <c r="AN223" i="573" s="1"/>
  <c r="AN240" i="573" s="1"/>
  <c r="AN257" i="573" s="1"/>
  <c r="AN274" i="573" s="1"/>
  <c r="AN291" i="573" s="1"/>
  <c r="AN308" i="573" s="1"/>
  <c r="AN325" i="573" s="1"/>
  <c r="AN342" i="573" s="1"/>
  <c r="AN359" i="573" s="1"/>
  <c r="AN376" i="573" s="1"/>
  <c r="AN393" i="573" s="1"/>
  <c r="AN410" i="573" s="1"/>
  <c r="AN427" i="573" s="1"/>
  <c r="AM19" i="573"/>
  <c r="AM36" i="573" s="1"/>
  <c r="AM53" i="573" s="1"/>
  <c r="AM70" i="573" s="1"/>
  <c r="AM87" i="573" s="1"/>
  <c r="AM104" i="573" s="1"/>
  <c r="AM121" i="573" s="1"/>
  <c r="AM138" i="573" s="1"/>
  <c r="AM155" i="573" s="1"/>
  <c r="AM172" i="573" s="1"/>
  <c r="AM189" i="573" s="1"/>
  <c r="AM206" i="573" s="1"/>
  <c r="AM223" i="573" s="1"/>
  <c r="AM240" i="573" s="1"/>
  <c r="AM257" i="573" s="1"/>
  <c r="AM274" i="573" s="1"/>
  <c r="AM291" i="573" s="1"/>
  <c r="AM308" i="573" s="1"/>
  <c r="AM325" i="573" s="1"/>
  <c r="AM342" i="573" s="1"/>
  <c r="AM359" i="573" s="1"/>
  <c r="AM376" i="573" s="1"/>
  <c r="AM393" i="573" s="1"/>
  <c r="AM410" i="573" s="1"/>
  <c r="AM427" i="573" s="1"/>
  <c r="AJ19" i="573"/>
  <c r="AJ36" i="573" s="1"/>
  <c r="AJ53" i="573" s="1"/>
  <c r="AJ70" i="573" s="1"/>
  <c r="AJ87" i="573" s="1"/>
  <c r="AJ104" i="573" s="1"/>
  <c r="AJ121" i="573" s="1"/>
  <c r="AJ138" i="573" s="1"/>
  <c r="AJ155" i="573" s="1"/>
  <c r="AJ172" i="573" s="1"/>
  <c r="AJ189" i="573" s="1"/>
  <c r="AJ206" i="573" s="1"/>
  <c r="AJ223" i="573" s="1"/>
  <c r="AJ240" i="573" s="1"/>
  <c r="AJ257" i="573" s="1"/>
  <c r="AJ274" i="573" s="1"/>
  <c r="AJ291" i="573" s="1"/>
  <c r="AJ308" i="573" s="1"/>
  <c r="AJ325" i="573" s="1"/>
  <c r="AJ342" i="573" s="1"/>
  <c r="AJ359" i="573" s="1"/>
  <c r="AJ376" i="573" s="1"/>
  <c r="AJ393" i="573" s="1"/>
  <c r="AJ410" i="573" s="1"/>
  <c r="AJ427" i="573" s="1"/>
  <c r="AI19" i="573"/>
  <c r="AI36" i="573" s="1"/>
  <c r="AI53" i="573" s="1"/>
  <c r="AI70" i="573" s="1"/>
  <c r="AI87" i="573" s="1"/>
  <c r="AI104" i="573" s="1"/>
  <c r="AI121" i="573" s="1"/>
  <c r="AI138" i="573" s="1"/>
  <c r="AI155" i="573" s="1"/>
  <c r="AI172" i="573" s="1"/>
  <c r="AI189" i="573" s="1"/>
  <c r="AI206" i="573" s="1"/>
  <c r="AI223" i="573" s="1"/>
  <c r="AI240" i="573" s="1"/>
  <c r="AI257" i="573" s="1"/>
  <c r="AI274" i="573" s="1"/>
  <c r="AI291" i="573" s="1"/>
  <c r="AI308" i="573" s="1"/>
  <c r="AI325" i="573" s="1"/>
  <c r="AI342" i="573" s="1"/>
  <c r="AI359" i="573" s="1"/>
  <c r="AI376" i="573" s="1"/>
  <c r="AI393" i="573" s="1"/>
  <c r="AI410" i="573" s="1"/>
  <c r="AI427" i="573" s="1"/>
  <c r="AF19" i="573"/>
  <c r="AF36" i="573" s="1"/>
  <c r="AF53" i="573" s="1"/>
  <c r="AF70" i="573" s="1"/>
  <c r="AF87" i="573" s="1"/>
  <c r="AF104" i="573" s="1"/>
  <c r="AF121" i="573" s="1"/>
  <c r="AF138" i="573" s="1"/>
  <c r="AF155" i="573" s="1"/>
  <c r="AF172" i="573" s="1"/>
  <c r="AF189" i="573" s="1"/>
  <c r="AF206" i="573" s="1"/>
  <c r="AF223" i="573" s="1"/>
  <c r="AF240" i="573" s="1"/>
  <c r="AF257" i="573" s="1"/>
  <c r="AF274" i="573" s="1"/>
  <c r="AF291" i="573" s="1"/>
  <c r="AF308" i="573" s="1"/>
  <c r="AF325" i="573" s="1"/>
  <c r="AF342" i="573" s="1"/>
  <c r="AF359" i="573" s="1"/>
  <c r="AF376" i="573" s="1"/>
  <c r="AF393" i="573" s="1"/>
  <c r="AF410" i="573" s="1"/>
  <c r="AF427" i="573" s="1"/>
  <c r="AE19" i="573"/>
  <c r="AE36" i="573" s="1"/>
  <c r="AE53" i="573" s="1"/>
  <c r="AE70" i="573" s="1"/>
  <c r="AE87" i="573" s="1"/>
  <c r="AE104" i="573" s="1"/>
  <c r="AE121" i="573" s="1"/>
  <c r="AE138" i="573" s="1"/>
  <c r="AE155" i="573" s="1"/>
  <c r="AE172" i="573" s="1"/>
  <c r="AE189" i="573" s="1"/>
  <c r="AE206" i="573" s="1"/>
  <c r="AE223" i="573" s="1"/>
  <c r="AE240" i="573" s="1"/>
  <c r="AE257" i="573" s="1"/>
  <c r="AE274" i="573" s="1"/>
  <c r="AE291" i="573" s="1"/>
  <c r="AE308" i="573" s="1"/>
  <c r="AE325" i="573" s="1"/>
  <c r="AE342" i="573" s="1"/>
  <c r="AE359" i="573" s="1"/>
  <c r="AE376" i="573" s="1"/>
  <c r="AE393" i="573" s="1"/>
  <c r="AE410" i="573" s="1"/>
  <c r="AE427" i="573" s="1"/>
  <c r="AB19" i="573"/>
  <c r="AB36" i="573" s="1"/>
  <c r="AB53" i="573" s="1"/>
  <c r="AB70" i="573" s="1"/>
  <c r="AB87" i="573" s="1"/>
  <c r="AB104" i="573" s="1"/>
  <c r="AB121" i="573" s="1"/>
  <c r="AB138" i="573" s="1"/>
  <c r="AB155" i="573" s="1"/>
  <c r="AB172" i="573" s="1"/>
  <c r="AB189" i="573" s="1"/>
  <c r="AB206" i="573" s="1"/>
  <c r="AB223" i="573" s="1"/>
  <c r="AB240" i="573" s="1"/>
  <c r="AB257" i="573" s="1"/>
  <c r="AB274" i="573" s="1"/>
  <c r="AB291" i="573" s="1"/>
  <c r="AB308" i="573" s="1"/>
  <c r="AB325" i="573" s="1"/>
  <c r="AB342" i="573" s="1"/>
  <c r="AB359" i="573" s="1"/>
  <c r="AB376" i="573" s="1"/>
  <c r="AB393" i="573" s="1"/>
  <c r="AB410" i="573" s="1"/>
  <c r="AB427" i="573" s="1"/>
  <c r="AA19" i="573"/>
  <c r="AA36" i="573" s="1"/>
  <c r="AA53" i="573" s="1"/>
  <c r="AA70" i="573" s="1"/>
  <c r="AA87" i="573" s="1"/>
  <c r="AA104" i="573" s="1"/>
  <c r="AA121" i="573" s="1"/>
  <c r="AA138" i="573" s="1"/>
  <c r="AA155" i="573" s="1"/>
  <c r="AA172" i="573" s="1"/>
  <c r="AA189" i="573" s="1"/>
  <c r="AA206" i="573" s="1"/>
  <c r="AA223" i="573" s="1"/>
  <c r="AA240" i="573" s="1"/>
  <c r="AA257" i="573" s="1"/>
  <c r="AA274" i="573" s="1"/>
  <c r="AA291" i="573" s="1"/>
  <c r="AA308" i="573" s="1"/>
  <c r="AA325" i="573" s="1"/>
  <c r="AA342" i="573" s="1"/>
  <c r="AA359" i="573" s="1"/>
  <c r="AA376" i="573" s="1"/>
  <c r="AA393" i="573" s="1"/>
  <c r="AA410" i="573" s="1"/>
  <c r="AA427" i="573" s="1"/>
  <c r="X19" i="573"/>
  <c r="X36" i="573" s="1"/>
  <c r="X53" i="573" s="1"/>
  <c r="X70" i="573" s="1"/>
  <c r="X87" i="573" s="1"/>
  <c r="X104" i="573" s="1"/>
  <c r="X121" i="573" s="1"/>
  <c r="X138" i="573" s="1"/>
  <c r="X155" i="573" s="1"/>
  <c r="X172" i="573" s="1"/>
  <c r="X189" i="573" s="1"/>
  <c r="X206" i="573" s="1"/>
  <c r="X223" i="573" s="1"/>
  <c r="X240" i="573" s="1"/>
  <c r="X257" i="573" s="1"/>
  <c r="X274" i="573" s="1"/>
  <c r="X291" i="573" s="1"/>
  <c r="X308" i="573" s="1"/>
  <c r="X325" i="573" s="1"/>
  <c r="X342" i="573" s="1"/>
  <c r="X359" i="573" s="1"/>
  <c r="X376" i="573" s="1"/>
  <c r="X393" i="573" s="1"/>
  <c r="X410" i="573" s="1"/>
  <c r="X427" i="573" s="1"/>
  <c r="X444" i="573" s="1"/>
  <c r="X461" i="573" s="1"/>
  <c r="X478" i="573" s="1"/>
  <c r="X495" i="573" s="1"/>
  <c r="X512" i="573" s="1"/>
  <c r="X529" i="573" s="1"/>
  <c r="W19" i="573"/>
  <c r="W36" i="573" s="1"/>
  <c r="W53" i="573" s="1"/>
  <c r="W70" i="573" s="1"/>
  <c r="W87" i="573" s="1"/>
  <c r="W104" i="573" s="1"/>
  <c r="W121" i="573" s="1"/>
  <c r="W138" i="573" s="1"/>
  <c r="W155" i="573" s="1"/>
  <c r="W172" i="573" s="1"/>
  <c r="W189" i="573" s="1"/>
  <c r="W206" i="573" s="1"/>
  <c r="W223" i="573" s="1"/>
  <c r="W240" i="573" s="1"/>
  <c r="W257" i="573" s="1"/>
  <c r="W274" i="573" s="1"/>
  <c r="W291" i="573" s="1"/>
  <c r="W308" i="573" s="1"/>
  <c r="W325" i="573" s="1"/>
  <c r="W342" i="573" s="1"/>
  <c r="W359" i="573" s="1"/>
  <c r="W376" i="573" s="1"/>
  <c r="W393" i="573" s="1"/>
  <c r="W410" i="573" s="1"/>
  <c r="W427" i="573" s="1"/>
  <c r="W444" i="573" s="1"/>
  <c r="W461" i="573" s="1"/>
  <c r="W478" i="573" s="1"/>
  <c r="W495" i="573" s="1"/>
  <c r="W512" i="573" s="1"/>
  <c r="W529" i="573" s="1"/>
  <c r="T19" i="573"/>
  <c r="S19" i="573"/>
  <c r="P19" i="573"/>
  <c r="K19" i="573"/>
  <c r="K36" i="573" s="1"/>
  <c r="K53" i="573" s="1"/>
  <c r="K70" i="573" s="1"/>
  <c r="K87" i="573" s="1"/>
  <c r="K104" i="573" s="1"/>
  <c r="K121" i="573" s="1"/>
  <c r="K138" i="573" s="1"/>
  <c r="K155" i="573" s="1"/>
  <c r="K172" i="573" s="1"/>
  <c r="K189" i="573" s="1"/>
  <c r="K206" i="573" s="1"/>
  <c r="K223" i="573" s="1"/>
  <c r="K240" i="573" s="1"/>
  <c r="K257" i="573" s="1"/>
  <c r="K274" i="573" s="1"/>
  <c r="K291" i="573" s="1"/>
  <c r="K308" i="573" s="1"/>
  <c r="K325" i="573" s="1"/>
  <c r="K342" i="573" s="1"/>
  <c r="K359" i="573" s="1"/>
  <c r="K376" i="573" s="1"/>
  <c r="K393" i="573" s="1"/>
  <c r="K410" i="573" s="1"/>
  <c r="K427" i="573" s="1"/>
  <c r="K444" i="573" s="1"/>
  <c r="K461" i="573" s="1"/>
  <c r="K478" i="573" s="1"/>
  <c r="K495" i="573" s="1"/>
  <c r="K512" i="573" s="1"/>
  <c r="K529" i="573" s="1"/>
  <c r="H19" i="573"/>
  <c r="H36" i="573" s="1"/>
  <c r="H53" i="573" s="1"/>
  <c r="H70" i="573" s="1"/>
  <c r="H87" i="573" s="1"/>
  <c r="H104" i="573" s="1"/>
  <c r="H121" i="573" s="1"/>
  <c r="H138" i="573" s="1"/>
  <c r="H155" i="573" s="1"/>
  <c r="H172" i="573" s="1"/>
  <c r="H189" i="573" s="1"/>
  <c r="H206" i="573" s="1"/>
  <c r="H223" i="573" s="1"/>
  <c r="H240" i="573" s="1"/>
  <c r="H257" i="573" s="1"/>
  <c r="H274" i="573" s="1"/>
  <c r="H291" i="573" s="1"/>
  <c r="H308" i="573" s="1"/>
  <c r="H325" i="573" s="1"/>
  <c r="H342" i="573" s="1"/>
  <c r="H359" i="573" s="1"/>
  <c r="H376" i="573" s="1"/>
  <c r="H393" i="573" s="1"/>
  <c r="H410" i="573" s="1"/>
  <c r="H427" i="573" s="1"/>
  <c r="H444" i="573" s="1"/>
  <c r="H461" i="573" s="1"/>
  <c r="H478" i="573" s="1"/>
  <c r="H495" i="573" s="1"/>
  <c r="H512" i="573" s="1"/>
  <c r="H529" i="573" s="1"/>
  <c r="G19" i="573"/>
  <c r="G36" i="573" s="1"/>
  <c r="G53" i="573" s="1"/>
  <c r="G70" i="573" s="1"/>
  <c r="G87" i="573" s="1"/>
  <c r="G104" i="573" s="1"/>
  <c r="G121" i="573" s="1"/>
  <c r="G138" i="573" s="1"/>
  <c r="G155" i="573" s="1"/>
  <c r="G172" i="573" s="1"/>
  <c r="G189" i="573" s="1"/>
  <c r="G206" i="573" s="1"/>
  <c r="G223" i="573" s="1"/>
  <c r="G240" i="573" s="1"/>
  <c r="G257" i="573" s="1"/>
  <c r="G274" i="573" s="1"/>
  <c r="G291" i="573" s="1"/>
  <c r="G308" i="573" s="1"/>
  <c r="G325" i="573" s="1"/>
  <c r="G342" i="573" s="1"/>
  <c r="G359" i="573" s="1"/>
  <c r="G376" i="573" s="1"/>
  <c r="G393" i="573" s="1"/>
  <c r="G410" i="573" s="1"/>
  <c r="G427" i="573" s="1"/>
  <c r="G444" i="573" s="1"/>
  <c r="G461" i="573" s="1"/>
  <c r="G478" i="573" s="1"/>
  <c r="G495" i="573" s="1"/>
  <c r="G512" i="573" s="1"/>
  <c r="G529" i="573" s="1"/>
  <c r="D19" i="573"/>
  <c r="C2" i="573"/>
  <c r="AR2" i="572"/>
  <c r="AQ2" i="572"/>
  <c r="AP2" i="572"/>
  <c r="AO2" i="572"/>
  <c r="AN2" i="572"/>
  <c r="AM2" i="572"/>
  <c r="AL2" i="572"/>
  <c r="AK2" i="572"/>
  <c r="AJ2" i="572"/>
  <c r="AI2" i="572"/>
  <c r="AH2" i="572"/>
  <c r="AG2" i="572"/>
  <c r="AF2" i="572"/>
  <c r="AE2" i="572"/>
  <c r="AD2" i="572"/>
  <c r="AC2" i="572"/>
  <c r="AB2" i="572"/>
  <c r="AA2" i="572"/>
  <c r="Z2" i="572"/>
  <c r="Y2" i="572"/>
  <c r="X2" i="572"/>
  <c r="W2" i="572"/>
  <c r="V2" i="572"/>
  <c r="U2" i="572"/>
  <c r="T2" i="572"/>
  <c r="S2" i="572"/>
  <c r="R2" i="572"/>
  <c r="Q2" i="572"/>
  <c r="P2" i="572"/>
  <c r="O2" i="572"/>
  <c r="N2" i="572"/>
  <c r="M2" i="572"/>
  <c r="L2" i="572"/>
  <c r="K2" i="572"/>
  <c r="J2" i="572"/>
  <c r="I2" i="572"/>
  <c r="H2" i="572"/>
  <c r="G2" i="572"/>
  <c r="F2" i="572"/>
  <c r="E2" i="572"/>
  <c r="D2" i="572"/>
  <c r="C540" i="572"/>
  <c r="N538" i="572"/>
  <c r="C535" i="572"/>
  <c r="S534" i="572"/>
  <c r="P534" i="572"/>
  <c r="M534" i="572"/>
  <c r="H534" i="572"/>
  <c r="C534" i="572"/>
  <c r="S533" i="572"/>
  <c r="P533" i="572"/>
  <c r="M533" i="572"/>
  <c r="N537" i="572" s="1"/>
  <c r="C531" i="572" s="1"/>
  <c r="C536" i="572" s="1"/>
  <c r="C538" i="572" s="1"/>
  <c r="H533" i="572"/>
  <c r="C533" i="572"/>
  <c r="U532" i="572"/>
  <c r="U534" i="572" s="1"/>
  <c r="S532" i="572"/>
  <c r="Q536" i="572" s="1"/>
  <c r="P532" i="572"/>
  <c r="M532" i="572"/>
  <c r="N536" i="572" s="1"/>
  <c r="H532" i="572"/>
  <c r="C532" i="572"/>
  <c r="H531" i="572"/>
  <c r="H536" i="572" s="1"/>
  <c r="AS526" i="572"/>
  <c r="AS525" i="572"/>
  <c r="AS524" i="572"/>
  <c r="AS523" i="572"/>
  <c r="AS522" i="572"/>
  <c r="AS520" i="572"/>
  <c r="AS509" i="572"/>
  <c r="AS508" i="572"/>
  <c r="AS507" i="572"/>
  <c r="AS506" i="572"/>
  <c r="AS505" i="572"/>
  <c r="AS503" i="572"/>
  <c r="AS492" i="572"/>
  <c r="AS491" i="572"/>
  <c r="AS490" i="572"/>
  <c r="AS489" i="572"/>
  <c r="AS488" i="572"/>
  <c r="AS486" i="572"/>
  <c r="AS475" i="572"/>
  <c r="AS474" i="572"/>
  <c r="AS473" i="572"/>
  <c r="AS472" i="572"/>
  <c r="AS471" i="572"/>
  <c r="AS469" i="572"/>
  <c r="AS458" i="572"/>
  <c r="AS457" i="572"/>
  <c r="AS456" i="572"/>
  <c r="AS455" i="572"/>
  <c r="AS454" i="572"/>
  <c r="AS452" i="572"/>
  <c r="AS441" i="572"/>
  <c r="AS440" i="572"/>
  <c r="AS439" i="572"/>
  <c r="AS438" i="572"/>
  <c r="AS437" i="572"/>
  <c r="AS435" i="572"/>
  <c r="AS424" i="572"/>
  <c r="AS423" i="572"/>
  <c r="AS422" i="572"/>
  <c r="AS421" i="572"/>
  <c r="AS420" i="572"/>
  <c r="AS418" i="572"/>
  <c r="AS407" i="572"/>
  <c r="AS406" i="572"/>
  <c r="AS405" i="572"/>
  <c r="AS404" i="572"/>
  <c r="AS403" i="572"/>
  <c r="AS401" i="572"/>
  <c r="AS390" i="572"/>
  <c r="AS389" i="572"/>
  <c r="AS388" i="572"/>
  <c r="AS387" i="572"/>
  <c r="AS386" i="572"/>
  <c r="AS384" i="572"/>
  <c r="AS373" i="572"/>
  <c r="AS372" i="572"/>
  <c r="AS371" i="572"/>
  <c r="AS370" i="572"/>
  <c r="AS369" i="572"/>
  <c r="AS367" i="572"/>
  <c r="AS356" i="572"/>
  <c r="AS355" i="572"/>
  <c r="AS354" i="572"/>
  <c r="AS353" i="572"/>
  <c r="AS352" i="572"/>
  <c r="AS350" i="572"/>
  <c r="AS339" i="572"/>
  <c r="AS338" i="572"/>
  <c r="AS337" i="572"/>
  <c r="AS336" i="572"/>
  <c r="AS335" i="572"/>
  <c r="AS333" i="572"/>
  <c r="AS322" i="572"/>
  <c r="AS321" i="572"/>
  <c r="AS320" i="572"/>
  <c r="AS319" i="572"/>
  <c r="AS318" i="572"/>
  <c r="AS316" i="572"/>
  <c r="AS305" i="572"/>
  <c r="AS304" i="572"/>
  <c r="AS303" i="572"/>
  <c r="AS302" i="572"/>
  <c r="AS301" i="572"/>
  <c r="AS299" i="572"/>
  <c r="AS288" i="572"/>
  <c r="AS287" i="572"/>
  <c r="AS286" i="572"/>
  <c r="AS285" i="572"/>
  <c r="AS284" i="572"/>
  <c r="AS282" i="572"/>
  <c r="AS271" i="572"/>
  <c r="AS270" i="572"/>
  <c r="AS269" i="572"/>
  <c r="AS268" i="572"/>
  <c r="AS267" i="572"/>
  <c r="AS265" i="572"/>
  <c r="AS254" i="572"/>
  <c r="AS253" i="572"/>
  <c r="AS252" i="572"/>
  <c r="AS251" i="572"/>
  <c r="AS250" i="572"/>
  <c r="AS248" i="572"/>
  <c r="AS237" i="572"/>
  <c r="AS236" i="572"/>
  <c r="AS235" i="572"/>
  <c r="AS234" i="572"/>
  <c r="AS233" i="572"/>
  <c r="AS231" i="572"/>
  <c r="AS220" i="572"/>
  <c r="AS219" i="572"/>
  <c r="AS218" i="572"/>
  <c r="AS217" i="572"/>
  <c r="AS216" i="572"/>
  <c r="AS214" i="572"/>
  <c r="AS203" i="572"/>
  <c r="AS202" i="572"/>
  <c r="AS201" i="572"/>
  <c r="AS200" i="572"/>
  <c r="AS199" i="572"/>
  <c r="AS197" i="572"/>
  <c r="AS186" i="572"/>
  <c r="AS185" i="572"/>
  <c r="AS184" i="572"/>
  <c r="AS183" i="572"/>
  <c r="AS182" i="572"/>
  <c r="AS180" i="572"/>
  <c r="AS169" i="572"/>
  <c r="AS168" i="572"/>
  <c r="AS167" i="572"/>
  <c r="AS166" i="572"/>
  <c r="AS165" i="572"/>
  <c r="AS163" i="572"/>
  <c r="AS152" i="572"/>
  <c r="AS151" i="572"/>
  <c r="AS150" i="572"/>
  <c r="AS149" i="572"/>
  <c r="AS148" i="572"/>
  <c r="AS146" i="572"/>
  <c r="AS136" i="572"/>
  <c r="AS135" i="572"/>
  <c r="AS134" i="572"/>
  <c r="AS133" i="572"/>
  <c r="AS132" i="572"/>
  <c r="AS131" i="572"/>
  <c r="AS129" i="572"/>
  <c r="AS119" i="572"/>
  <c r="AS118" i="572"/>
  <c r="AS117" i="572"/>
  <c r="AS116" i="572"/>
  <c r="AS115" i="572"/>
  <c r="AS114" i="572"/>
  <c r="AS112" i="572"/>
  <c r="AS102" i="572"/>
  <c r="AS101" i="572"/>
  <c r="AS100" i="572"/>
  <c r="AS99" i="572"/>
  <c r="AS98" i="572"/>
  <c r="AS97" i="572"/>
  <c r="AS95" i="572"/>
  <c r="AS85" i="572"/>
  <c r="AS84" i="572"/>
  <c r="AS83" i="572"/>
  <c r="AS82" i="572"/>
  <c r="AS81" i="572"/>
  <c r="AS80" i="572"/>
  <c r="AS78" i="572"/>
  <c r="AS68" i="572"/>
  <c r="AS67" i="572"/>
  <c r="AS66" i="572"/>
  <c r="AS65" i="572"/>
  <c r="AS64" i="572"/>
  <c r="AS63" i="572"/>
  <c r="AS61" i="572"/>
  <c r="AS51" i="572"/>
  <c r="AS50" i="572"/>
  <c r="AS49" i="572"/>
  <c r="AS48" i="572"/>
  <c r="AS47" i="572"/>
  <c r="AS46" i="572"/>
  <c r="AS44" i="572"/>
  <c r="AL36" i="572"/>
  <c r="AL53" i="572" s="1"/>
  <c r="AL70" i="572" s="1"/>
  <c r="AL87" i="572" s="1"/>
  <c r="AL104" i="572" s="1"/>
  <c r="AL121" i="572" s="1"/>
  <c r="AL138" i="572" s="1"/>
  <c r="AL155" i="572" s="1"/>
  <c r="AL172" i="572" s="1"/>
  <c r="AL189" i="572" s="1"/>
  <c r="AL206" i="572" s="1"/>
  <c r="AL223" i="572" s="1"/>
  <c r="AL240" i="572" s="1"/>
  <c r="AL257" i="572" s="1"/>
  <c r="AL274" i="572" s="1"/>
  <c r="AL291" i="572" s="1"/>
  <c r="AL308" i="572" s="1"/>
  <c r="AL325" i="572" s="1"/>
  <c r="AL342" i="572" s="1"/>
  <c r="AL359" i="572" s="1"/>
  <c r="AL376" i="572" s="1"/>
  <c r="AL393" i="572" s="1"/>
  <c r="AL410" i="572" s="1"/>
  <c r="AL427" i="572" s="1"/>
  <c r="AS34" i="572"/>
  <c r="AS33" i="572"/>
  <c r="AS32" i="572"/>
  <c r="AS31" i="572"/>
  <c r="AS30" i="572"/>
  <c r="AS29" i="572"/>
  <c r="AS27" i="572"/>
  <c r="A20" i="572"/>
  <c r="A37" i="572" s="1"/>
  <c r="A54" i="572" s="1"/>
  <c r="A71" i="572" s="1"/>
  <c r="A88" i="572" s="1"/>
  <c r="A105" i="572" s="1"/>
  <c r="A122" i="572" s="1"/>
  <c r="A139" i="572" s="1"/>
  <c r="A156" i="572" s="1"/>
  <c r="A173" i="572" s="1"/>
  <c r="A190" i="572" s="1"/>
  <c r="A207" i="572" s="1"/>
  <c r="A224" i="572" s="1"/>
  <c r="A241" i="572" s="1"/>
  <c r="A258" i="572" s="1"/>
  <c r="A275" i="572" s="1"/>
  <c r="A292" i="572" s="1"/>
  <c r="A309" i="572" s="1"/>
  <c r="A326" i="572" s="1"/>
  <c r="A343" i="572" s="1"/>
  <c r="A360" i="572" s="1"/>
  <c r="A377" i="572" s="1"/>
  <c r="A394" i="572" s="1"/>
  <c r="A411" i="572" s="1"/>
  <c r="A428" i="572" s="1"/>
  <c r="A445" i="572" s="1"/>
  <c r="A462" i="572" s="1"/>
  <c r="A479" i="572" s="1"/>
  <c r="A496" i="572" s="1"/>
  <c r="A513" i="572" s="1"/>
  <c r="AN19" i="572"/>
  <c r="AN36" i="572" s="1"/>
  <c r="AN53" i="572" s="1"/>
  <c r="AN70" i="572" s="1"/>
  <c r="AN87" i="572" s="1"/>
  <c r="AN104" i="572" s="1"/>
  <c r="AN121" i="572" s="1"/>
  <c r="AN138" i="572" s="1"/>
  <c r="AN155" i="572" s="1"/>
  <c r="AN172" i="572" s="1"/>
  <c r="AN189" i="572" s="1"/>
  <c r="AN206" i="572" s="1"/>
  <c r="AN223" i="572" s="1"/>
  <c r="AN240" i="572" s="1"/>
  <c r="AN257" i="572" s="1"/>
  <c r="AN274" i="572" s="1"/>
  <c r="AN291" i="572" s="1"/>
  <c r="AN308" i="572" s="1"/>
  <c r="AN325" i="572" s="1"/>
  <c r="AN342" i="572" s="1"/>
  <c r="AN359" i="572" s="1"/>
  <c r="AN376" i="572" s="1"/>
  <c r="AN393" i="572" s="1"/>
  <c r="AN410" i="572" s="1"/>
  <c r="AN427" i="572" s="1"/>
  <c r="AJ19" i="572"/>
  <c r="AJ36" i="572" s="1"/>
  <c r="AJ53" i="572" s="1"/>
  <c r="AJ70" i="572" s="1"/>
  <c r="AJ87" i="572" s="1"/>
  <c r="AJ104" i="572" s="1"/>
  <c r="AJ121" i="572" s="1"/>
  <c r="AJ138" i="572" s="1"/>
  <c r="AJ155" i="572" s="1"/>
  <c r="AJ172" i="572" s="1"/>
  <c r="AJ189" i="572" s="1"/>
  <c r="AJ206" i="572" s="1"/>
  <c r="AJ223" i="572" s="1"/>
  <c r="AJ240" i="572" s="1"/>
  <c r="AJ257" i="572" s="1"/>
  <c r="AJ274" i="572" s="1"/>
  <c r="AJ291" i="572" s="1"/>
  <c r="AJ308" i="572" s="1"/>
  <c r="AJ325" i="572" s="1"/>
  <c r="AJ342" i="572" s="1"/>
  <c r="AJ359" i="572" s="1"/>
  <c r="AJ376" i="572" s="1"/>
  <c r="AJ393" i="572" s="1"/>
  <c r="AJ410" i="572" s="1"/>
  <c r="AJ427" i="572" s="1"/>
  <c r="AI19" i="572"/>
  <c r="AI36" i="572" s="1"/>
  <c r="AI53" i="572" s="1"/>
  <c r="AI70" i="572" s="1"/>
  <c r="AI87" i="572" s="1"/>
  <c r="AI104" i="572" s="1"/>
  <c r="AI121" i="572" s="1"/>
  <c r="AI138" i="572" s="1"/>
  <c r="AI155" i="572" s="1"/>
  <c r="AI172" i="572" s="1"/>
  <c r="AI189" i="572" s="1"/>
  <c r="AI206" i="572" s="1"/>
  <c r="AI223" i="572" s="1"/>
  <c r="AI240" i="572" s="1"/>
  <c r="AI257" i="572" s="1"/>
  <c r="AI274" i="572" s="1"/>
  <c r="AI291" i="572" s="1"/>
  <c r="AI308" i="572" s="1"/>
  <c r="AI325" i="572" s="1"/>
  <c r="AI342" i="572" s="1"/>
  <c r="AI359" i="572" s="1"/>
  <c r="AI376" i="572" s="1"/>
  <c r="AI393" i="572" s="1"/>
  <c r="AI410" i="572" s="1"/>
  <c r="AI427" i="572" s="1"/>
  <c r="AF19" i="572"/>
  <c r="AF36" i="572" s="1"/>
  <c r="AF53" i="572" s="1"/>
  <c r="AF70" i="572" s="1"/>
  <c r="AF87" i="572" s="1"/>
  <c r="AF104" i="572" s="1"/>
  <c r="AF121" i="572" s="1"/>
  <c r="AF138" i="572" s="1"/>
  <c r="AF155" i="572" s="1"/>
  <c r="AF172" i="572" s="1"/>
  <c r="AF189" i="572" s="1"/>
  <c r="AF206" i="572" s="1"/>
  <c r="AF223" i="572" s="1"/>
  <c r="AF240" i="572" s="1"/>
  <c r="AF257" i="572" s="1"/>
  <c r="AF274" i="572" s="1"/>
  <c r="AF291" i="572" s="1"/>
  <c r="AF308" i="572" s="1"/>
  <c r="AF325" i="572" s="1"/>
  <c r="AF342" i="572" s="1"/>
  <c r="AF359" i="572" s="1"/>
  <c r="AF376" i="572" s="1"/>
  <c r="AF393" i="572" s="1"/>
  <c r="AF410" i="572" s="1"/>
  <c r="AF427" i="572" s="1"/>
  <c r="AE19" i="572"/>
  <c r="AE36" i="572" s="1"/>
  <c r="AE53" i="572" s="1"/>
  <c r="AE70" i="572" s="1"/>
  <c r="AE87" i="572" s="1"/>
  <c r="AE104" i="572" s="1"/>
  <c r="AE121" i="572" s="1"/>
  <c r="AE138" i="572" s="1"/>
  <c r="AE155" i="572" s="1"/>
  <c r="AE172" i="572" s="1"/>
  <c r="AE189" i="572" s="1"/>
  <c r="AE206" i="572" s="1"/>
  <c r="AE223" i="572" s="1"/>
  <c r="AE240" i="572" s="1"/>
  <c r="AE257" i="572" s="1"/>
  <c r="AE274" i="572" s="1"/>
  <c r="AE291" i="572" s="1"/>
  <c r="AE308" i="572" s="1"/>
  <c r="AE325" i="572" s="1"/>
  <c r="AE342" i="572" s="1"/>
  <c r="AE359" i="572" s="1"/>
  <c r="AE376" i="572" s="1"/>
  <c r="AE393" i="572" s="1"/>
  <c r="AE410" i="572" s="1"/>
  <c r="AE427" i="572" s="1"/>
  <c r="AB19" i="572"/>
  <c r="AB36" i="572" s="1"/>
  <c r="AB53" i="572" s="1"/>
  <c r="AB70" i="572" s="1"/>
  <c r="AB87" i="572" s="1"/>
  <c r="AB104" i="572" s="1"/>
  <c r="AB121" i="572" s="1"/>
  <c r="AB138" i="572" s="1"/>
  <c r="AB155" i="572" s="1"/>
  <c r="AB172" i="572" s="1"/>
  <c r="AB189" i="572" s="1"/>
  <c r="AB206" i="572" s="1"/>
  <c r="AB223" i="572" s="1"/>
  <c r="AB240" i="572" s="1"/>
  <c r="AB257" i="572" s="1"/>
  <c r="AB274" i="572" s="1"/>
  <c r="AB291" i="572" s="1"/>
  <c r="AB308" i="572" s="1"/>
  <c r="AB325" i="572" s="1"/>
  <c r="AB342" i="572" s="1"/>
  <c r="AB359" i="572" s="1"/>
  <c r="AB376" i="572" s="1"/>
  <c r="AB393" i="572" s="1"/>
  <c r="AB410" i="572" s="1"/>
  <c r="AB427" i="572" s="1"/>
  <c r="AA19" i="572"/>
  <c r="AA36" i="572" s="1"/>
  <c r="AA53" i="572" s="1"/>
  <c r="AA70" i="572" s="1"/>
  <c r="AA87" i="572" s="1"/>
  <c r="AA104" i="572" s="1"/>
  <c r="AA121" i="572" s="1"/>
  <c r="AA138" i="572" s="1"/>
  <c r="AA155" i="572" s="1"/>
  <c r="AA172" i="572" s="1"/>
  <c r="AA189" i="572" s="1"/>
  <c r="AA206" i="572" s="1"/>
  <c r="AA223" i="572" s="1"/>
  <c r="AA240" i="572" s="1"/>
  <c r="AA257" i="572" s="1"/>
  <c r="AA274" i="572" s="1"/>
  <c r="AA291" i="572" s="1"/>
  <c r="AA308" i="572" s="1"/>
  <c r="AA325" i="572" s="1"/>
  <c r="AA342" i="572" s="1"/>
  <c r="AA359" i="572" s="1"/>
  <c r="AA376" i="572" s="1"/>
  <c r="AA393" i="572" s="1"/>
  <c r="AA410" i="572" s="1"/>
  <c r="AA427" i="572" s="1"/>
  <c r="X19" i="572"/>
  <c r="X36" i="572" s="1"/>
  <c r="X53" i="572" s="1"/>
  <c r="X70" i="572" s="1"/>
  <c r="X87" i="572" s="1"/>
  <c r="X104" i="572" s="1"/>
  <c r="X121" i="572" s="1"/>
  <c r="X138" i="572" s="1"/>
  <c r="X155" i="572" s="1"/>
  <c r="X172" i="572" s="1"/>
  <c r="X189" i="572" s="1"/>
  <c r="X206" i="572" s="1"/>
  <c r="X223" i="572" s="1"/>
  <c r="X240" i="572" s="1"/>
  <c r="X257" i="572" s="1"/>
  <c r="X274" i="572" s="1"/>
  <c r="X291" i="572" s="1"/>
  <c r="X308" i="572" s="1"/>
  <c r="X325" i="572" s="1"/>
  <c r="X342" i="572" s="1"/>
  <c r="X359" i="572" s="1"/>
  <c r="X376" i="572" s="1"/>
  <c r="X393" i="572" s="1"/>
  <c r="X410" i="572" s="1"/>
  <c r="X427" i="572" s="1"/>
  <c r="X444" i="572" s="1"/>
  <c r="X461" i="572" s="1"/>
  <c r="X478" i="572" s="1"/>
  <c r="X495" i="572" s="1"/>
  <c r="X512" i="572" s="1"/>
  <c r="X529" i="572" s="1"/>
  <c r="W19" i="572"/>
  <c r="W36" i="572" s="1"/>
  <c r="W53" i="572" s="1"/>
  <c r="W70" i="572" s="1"/>
  <c r="W87" i="572" s="1"/>
  <c r="W104" i="572" s="1"/>
  <c r="W121" i="572" s="1"/>
  <c r="W138" i="572" s="1"/>
  <c r="W155" i="572" s="1"/>
  <c r="W172" i="572" s="1"/>
  <c r="W189" i="572" s="1"/>
  <c r="W206" i="572" s="1"/>
  <c r="W223" i="572" s="1"/>
  <c r="W240" i="572" s="1"/>
  <c r="W257" i="572" s="1"/>
  <c r="W274" i="572" s="1"/>
  <c r="W291" i="572" s="1"/>
  <c r="W308" i="572" s="1"/>
  <c r="W325" i="572" s="1"/>
  <c r="W342" i="572" s="1"/>
  <c r="W359" i="572" s="1"/>
  <c r="W376" i="572" s="1"/>
  <c r="W393" i="572" s="1"/>
  <c r="W410" i="572" s="1"/>
  <c r="W427" i="572" s="1"/>
  <c r="W444" i="572" s="1"/>
  <c r="W461" i="572" s="1"/>
  <c r="W478" i="572" s="1"/>
  <c r="W495" i="572" s="1"/>
  <c r="W512" i="572" s="1"/>
  <c r="W529" i="572" s="1"/>
  <c r="T19" i="572"/>
  <c r="T36" i="572" s="1"/>
  <c r="S19" i="572"/>
  <c r="S36" i="572" s="1"/>
  <c r="P19" i="572"/>
  <c r="P36" i="572" s="1"/>
  <c r="K19" i="572"/>
  <c r="K36" i="572" s="1"/>
  <c r="K53" i="572" s="1"/>
  <c r="K70" i="572" s="1"/>
  <c r="K87" i="572" s="1"/>
  <c r="K104" i="572" s="1"/>
  <c r="K121" i="572" s="1"/>
  <c r="K138" i="572" s="1"/>
  <c r="K155" i="572" s="1"/>
  <c r="K172" i="572" s="1"/>
  <c r="K189" i="572" s="1"/>
  <c r="K206" i="572" s="1"/>
  <c r="K223" i="572" s="1"/>
  <c r="K240" i="572" s="1"/>
  <c r="K257" i="572" s="1"/>
  <c r="K274" i="572" s="1"/>
  <c r="K291" i="572" s="1"/>
  <c r="K308" i="572" s="1"/>
  <c r="K325" i="572" s="1"/>
  <c r="K342" i="572" s="1"/>
  <c r="K359" i="572" s="1"/>
  <c r="K376" i="572" s="1"/>
  <c r="K393" i="572" s="1"/>
  <c r="K410" i="572" s="1"/>
  <c r="K427" i="572" s="1"/>
  <c r="K444" i="572" s="1"/>
  <c r="K461" i="572" s="1"/>
  <c r="K478" i="572" s="1"/>
  <c r="K495" i="572" s="1"/>
  <c r="K512" i="572" s="1"/>
  <c r="K529" i="572" s="1"/>
  <c r="H19" i="572"/>
  <c r="H36" i="572" s="1"/>
  <c r="H53" i="572" s="1"/>
  <c r="H70" i="572" s="1"/>
  <c r="H87" i="572" s="1"/>
  <c r="H104" i="572" s="1"/>
  <c r="H121" i="572" s="1"/>
  <c r="H138" i="572" s="1"/>
  <c r="H155" i="572" s="1"/>
  <c r="H172" i="572" s="1"/>
  <c r="H189" i="572" s="1"/>
  <c r="H206" i="572" s="1"/>
  <c r="H223" i="572" s="1"/>
  <c r="H240" i="572" s="1"/>
  <c r="H257" i="572" s="1"/>
  <c r="H274" i="572" s="1"/>
  <c r="H291" i="572" s="1"/>
  <c r="H308" i="572" s="1"/>
  <c r="H325" i="572" s="1"/>
  <c r="H342" i="572" s="1"/>
  <c r="H359" i="572" s="1"/>
  <c r="H376" i="572" s="1"/>
  <c r="H393" i="572" s="1"/>
  <c r="H410" i="572" s="1"/>
  <c r="H427" i="572" s="1"/>
  <c r="H444" i="572" s="1"/>
  <c r="H461" i="572" s="1"/>
  <c r="H478" i="572" s="1"/>
  <c r="H495" i="572" s="1"/>
  <c r="H512" i="572" s="1"/>
  <c r="H529" i="572" s="1"/>
  <c r="G19" i="572"/>
  <c r="G36" i="572" s="1"/>
  <c r="G53" i="572" s="1"/>
  <c r="G70" i="572" s="1"/>
  <c r="G87" i="572" s="1"/>
  <c r="G104" i="572" s="1"/>
  <c r="G121" i="572" s="1"/>
  <c r="G138" i="572" s="1"/>
  <c r="G155" i="572" s="1"/>
  <c r="G172" i="572" s="1"/>
  <c r="G189" i="572" s="1"/>
  <c r="G206" i="572" s="1"/>
  <c r="G223" i="572" s="1"/>
  <c r="G240" i="572" s="1"/>
  <c r="G257" i="572" s="1"/>
  <c r="G274" i="572" s="1"/>
  <c r="G291" i="572" s="1"/>
  <c r="G308" i="572" s="1"/>
  <c r="G325" i="572" s="1"/>
  <c r="G342" i="572" s="1"/>
  <c r="G359" i="572" s="1"/>
  <c r="G376" i="572" s="1"/>
  <c r="G393" i="572" s="1"/>
  <c r="G410" i="572" s="1"/>
  <c r="G427" i="572" s="1"/>
  <c r="G444" i="572" s="1"/>
  <c r="G461" i="572" s="1"/>
  <c r="G478" i="572" s="1"/>
  <c r="G495" i="572" s="1"/>
  <c r="G512" i="572" s="1"/>
  <c r="G529" i="572" s="1"/>
  <c r="D19" i="572"/>
  <c r="D36" i="572" s="1"/>
  <c r="AS17" i="572"/>
  <c r="AS16" i="572"/>
  <c r="AS15" i="572"/>
  <c r="AS14" i="572"/>
  <c r="AS13" i="572"/>
  <c r="AS12" i="572"/>
  <c r="AS10" i="572"/>
  <c r="AT2" i="572"/>
  <c r="AS2" i="572"/>
  <c r="AU2" i="572" s="1"/>
  <c r="AQ19" i="572"/>
  <c r="AQ36" i="572" s="1"/>
  <c r="AQ53" i="572" s="1"/>
  <c r="AQ70" i="572" s="1"/>
  <c r="AQ87" i="572" s="1"/>
  <c r="AQ104" i="572" s="1"/>
  <c r="AQ121" i="572" s="1"/>
  <c r="AQ138" i="572" s="1"/>
  <c r="AQ155" i="572" s="1"/>
  <c r="AQ172" i="572" s="1"/>
  <c r="AQ189" i="572" s="1"/>
  <c r="AQ206" i="572" s="1"/>
  <c r="AQ223" i="572" s="1"/>
  <c r="AQ240" i="572" s="1"/>
  <c r="AQ257" i="572" s="1"/>
  <c r="AQ274" i="572" s="1"/>
  <c r="AQ291" i="572" s="1"/>
  <c r="AQ308" i="572" s="1"/>
  <c r="AQ325" i="572" s="1"/>
  <c r="AQ342" i="572" s="1"/>
  <c r="AQ359" i="572" s="1"/>
  <c r="AQ376" i="572" s="1"/>
  <c r="AQ393" i="572" s="1"/>
  <c r="AQ410" i="572" s="1"/>
  <c r="AQ427" i="572" s="1"/>
  <c r="AP19" i="572"/>
  <c r="AP36" i="572" s="1"/>
  <c r="AP53" i="572" s="1"/>
  <c r="AP70" i="572" s="1"/>
  <c r="AP87" i="572" s="1"/>
  <c r="AP104" i="572" s="1"/>
  <c r="AP121" i="572" s="1"/>
  <c r="AP138" i="572" s="1"/>
  <c r="AP155" i="572" s="1"/>
  <c r="AP172" i="572" s="1"/>
  <c r="AP189" i="572" s="1"/>
  <c r="AP206" i="572" s="1"/>
  <c r="AP223" i="572" s="1"/>
  <c r="AP240" i="572" s="1"/>
  <c r="AP257" i="572" s="1"/>
  <c r="AP274" i="572" s="1"/>
  <c r="AP291" i="572" s="1"/>
  <c r="AP308" i="572" s="1"/>
  <c r="AP325" i="572" s="1"/>
  <c r="AP342" i="572" s="1"/>
  <c r="AP359" i="572" s="1"/>
  <c r="AP376" i="572" s="1"/>
  <c r="AP393" i="572" s="1"/>
  <c r="AP410" i="572" s="1"/>
  <c r="AP427" i="572" s="1"/>
  <c r="AO19" i="572"/>
  <c r="AO36" i="572" s="1"/>
  <c r="AO53" i="572" s="1"/>
  <c r="AO70" i="572" s="1"/>
  <c r="AO87" i="572" s="1"/>
  <c r="AO104" i="572" s="1"/>
  <c r="AO121" i="572" s="1"/>
  <c r="AO138" i="572" s="1"/>
  <c r="AO155" i="572" s="1"/>
  <c r="AO172" i="572" s="1"/>
  <c r="AO189" i="572" s="1"/>
  <c r="AO206" i="572" s="1"/>
  <c r="AO223" i="572" s="1"/>
  <c r="AO240" i="572" s="1"/>
  <c r="AO257" i="572" s="1"/>
  <c r="AO274" i="572" s="1"/>
  <c r="AO291" i="572" s="1"/>
  <c r="AO308" i="572" s="1"/>
  <c r="AO325" i="572" s="1"/>
  <c r="AO342" i="572" s="1"/>
  <c r="AO359" i="572" s="1"/>
  <c r="AO376" i="572" s="1"/>
  <c r="AO393" i="572" s="1"/>
  <c r="AO410" i="572" s="1"/>
  <c r="AO427" i="572" s="1"/>
  <c r="AM19" i="572"/>
  <c r="AM36" i="572" s="1"/>
  <c r="AM53" i="572" s="1"/>
  <c r="AM70" i="572" s="1"/>
  <c r="AM87" i="572" s="1"/>
  <c r="AM104" i="572" s="1"/>
  <c r="AM121" i="572" s="1"/>
  <c r="AM138" i="572" s="1"/>
  <c r="AM155" i="572" s="1"/>
  <c r="AM172" i="572" s="1"/>
  <c r="AM189" i="572" s="1"/>
  <c r="AM206" i="572" s="1"/>
  <c r="AM223" i="572" s="1"/>
  <c r="AM240" i="572" s="1"/>
  <c r="AM257" i="572" s="1"/>
  <c r="AM274" i="572" s="1"/>
  <c r="AM291" i="572" s="1"/>
  <c r="AM308" i="572" s="1"/>
  <c r="AM325" i="572" s="1"/>
  <c r="AM342" i="572" s="1"/>
  <c r="AM359" i="572" s="1"/>
  <c r="AM376" i="572" s="1"/>
  <c r="AM393" i="572" s="1"/>
  <c r="AM410" i="572" s="1"/>
  <c r="AM427" i="572" s="1"/>
  <c r="AK19" i="572"/>
  <c r="AK36" i="572" s="1"/>
  <c r="AK53" i="572" s="1"/>
  <c r="AK70" i="572" s="1"/>
  <c r="AK87" i="572" s="1"/>
  <c r="AK104" i="572" s="1"/>
  <c r="AK121" i="572" s="1"/>
  <c r="AK138" i="572" s="1"/>
  <c r="AK155" i="572" s="1"/>
  <c r="AK172" i="572" s="1"/>
  <c r="AK189" i="572" s="1"/>
  <c r="AK206" i="572" s="1"/>
  <c r="AK223" i="572" s="1"/>
  <c r="AK240" i="572" s="1"/>
  <c r="AK257" i="572" s="1"/>
  <c r="AK274" i="572" s="1"/>
  <c r="AK291" i="572" s="1"/>
  <c r="AK308" i="572" s="1"/>
  <c r="AK325" i="572" s="1"/>
  <c r="AK342" i="572" s="1"/>
  <c r="AK359" i="572" s="1"/>
  <c r="AK376" i="572" s="1"/>
  <c r="AK393" i="572" s="1"/>
  <c r="AK410" i="572" s="1"/>
  <c r="AK427" i="572" s="1"/>
  <c r="AH19" i="572"/>
  <c r="AH36" i="572" s="1"/>
  <c r="AH53" i="572" s="1"/>
  <c r="AH70" i="572" s="1"/>
  <c r="AH87" i="572" s="1"/>
  <c r="AH104" i="572" s="1"/>
  <c r="AH121" i="572" s="1"/>
  <c r="AH138" i="572" s="1"/>
  <c r="AH155" i="572" s="1"/>
  <c r="AH172" i="572" s="1"/>
  <c r="AH189" i="572" s="1"/>
  <c r="AH206" i="572" s="1"/>
  <c r="AH223" i="572" s="1"/>
  <c r="AH240" i="572" s="1"/>
  <c r="AH257" i="572" s="1"/>
  <c r="AH274" i="572" s="1"/>
  <c r="AH291" i="572" s="1"/>
  <c r="AH308" i="572" s="1"/>
  <c r="AH325" i="572" s="1"/>
  <c r="AH342" i="572" s="1"/>
  <c r="AH359" i="572" s="1"/>
  <c r="AH376" i="572" s="1"/>
  <c r="AH393" i="572" s="1"/>
  <c r="AH410" i="572" s="1"/>
  <c r="AH427" i="572" s="1"/>
  <c r="AG19" i="572"/>
  <c r="AG36" i="572" s="1"/>
  <c r="AG53" i="572" s="1"/>
  <c r="AG70" i="572" s="1"/>
  <c r="AG87" i="572" s="1"/>
  <c r="AG104" i="572" s="1"/>
  <c r="AG121" i="572" s="1"/>
  <c r="AG138" i="572" s="1"/>
  <c r="AG155" i="572" s="1"/>
  <c r="AG172" i="572" s="1"/>
  <c r="AG189" i="572" s="1"/>
  <c r="AG206" i="572" s="1"/>
  <c r="AG223" i="572" s="1"/>
  <c r="AG240" i="572" s="1"/>
  <c r="AG257" i="572" s="1"/>
  <c r="AG274" i="572" s="1"/>
  <c r="AG291" i="572" s="1"/>
  <c r="AG308" i="572" s="1"/>
  <c r="AG325" i="572" s="1"/>
  <c r="AG342" i="572" s="1"/>
  <c r="AG359" i="572" s="1"/>
  <c r="AG376" i="572" s="1"/>
  <c r="AG393" i="572" s="1"/>
  <c r="AG410" i="572" s="1"/>
  <c r="AG427" i="572" s="1"/>
  <c r="AD19" i="572"/>
  <c r="AD36" i="572" s="1"/>
  <c r="AD53" i="572" s="1"/>
  <c r="AD70" i="572" s="1"/>
  <c r="AD87" i="572" s="1"/>
  <c r="AD104" i="572" s="1"/>
  <c r="AD121" i="572" s="1"/>
  <c r="AD138" i="572" s="1"/>
  <c r="AD155" i="572" s="1"/>
  <c r="AD172" i="572" s="1"/>
  <c r="AD189" i="572" s="1"/>
  <c r="AD206" i="572" s="1"/>
  <c r="AD223" i="572" s="1"/>
  <c r="AD240" i="572" s="1"/>
  <c r="AD257" i="572" s="1"/>
  <c r="AD274" i="572" s="1"/>
  <c r="AD291" i="572" s="1"/>
  <c r="AD308" i="572" s="1"/>
  <c r="AD325" i="572" s="1"/>
  <c r="AD342" i="572" s="1"/>
  <c r="AD359" i="572" s="1"/>
  <c r="AD376" i="572" s="1"/>
  <c r="AD393" i="572" s="1"/>
  <c r="AD410" i="572" s="1"/>
  <c r="AD427" i="572" s="1"/>
  <c r="AC19" i="572"/>
  <c r="AC36" i="572" s="1"/>
  <c r="AC53" i="572" s="1"/>
  <c r="AC70" i="572" s="1"/>
  <c r="AC87" i="572" s="1"/>
  <c r="AC104" i="572" s="1"/>
  <c r="AC121" i="572" s="1"/>
  <c r="AC138" i="572" s="1"/>
  <c r="AC155" i="572" s="1"/>
  <c r="AC172" i="572" s="1"/>
  <c r="AC189" i="572" s="1"/>
  <c r="AC206" i="572" s="1"/>
  <c r="AC223" i="572" s="1"/>
  <c r="AC240" i="572" s="1"/>
  <c r="AC257" i="572" s="1"/>
  <c r="AC274" i="572" s="1"/>
  <c r="AC291" i="572" s="1"/>
  <c r="AC308" i="572" s="1"/>
  <c r="AC325" i="572" s="1"/>
  <c r="AC342" i="572" s="1"/>
  <c r="AC359" i="572" s="1"/>
  <c r="AC376" i="572" s="1"/>
  <c r="AC393" i="572" s="1"/>
  <c r="AC410" i="572" s="1"/>
  <c r="AC427" i="572" s="1"/>
  <c r="Z19" i="572"/>
  <c r="Z36" i="572" s="1"/>
  <c r="Z53" i="572" s="1"/>
  <c r="Z70" i="572" s="1"/>
  <c r="Z87" i="572" s="1"/>
  <c r="Z104" i="572" s="1"/>
  <c r="Z121" i="572" s="1"/>
  <c r="Z138" i="572" s="1"/>
  <c r="Z155" i="572" s="1"/>
  <c r="Z172" i="572" s="1"/>
  <c r="Z189" i="572" s="1"/>
  <c r="Z206" i="572" s="1"/>
  <c r="Z223" i="572" s="1"/>
  <c r="Z240" i="572" s="1"/>
  <c r="Z257" i="572" s="1"/>
  <c r="Z274" i="572" s="1"/>
  <c r="Z291" i="572" s="1"/>
  <c r="Z308" i="572" s="1"/>
  <c r="Z325" i="572" s="1"/>
  <c r="Z342" i="572" s="1"/>
  <c r="Z359" i="572" s="1"/>
  <c r="Z376" i="572" s="1"/>
  <c r="Z393" i="572" s="1"/>
  <c r="Z410" i="572" s="1"/>
  <c r="Z427" i="572" s="1"/>
  <c r="Y19" i="572"/>
  <c r="Y36" i="572" s="1"/>
  <c r="Y53" i="572" s="1"/>
  <c r="Y70" i="572" s="1"/>
  <c r="Y87" i="572" s="1"/>
  <c r="Y104" i="572" s="1"/>
  <c r="Y121" i="572" s="1"/>
  <c r="Y138" i="572" s="1"/>
  <c r="Y155" i="572" s="1"/>
  <c r="Y172" i="572" s="1"/>
  <c r="Y189" i="572" s="1"/>
  <c r="Y206" i="572" s="1"/>
  <c r="Y223" i="572" s="1"/>
  <c r="Y240" i="572" s="1"/>
  <c r="Y257" i="572" s="1"/>
  <c r="Y274" i="572" s="1"/>
  <c r="Y291" i="572" s="1"/>
  <c r="Y308" i="572" s="1"/>
  <c r="Y325" i="572" s="1"/>
  <c r="Y342" i="572" s="1"/>
  <c r="Y359" i="572" s="1"/>
  <c r="Y376" i="572" s="1"/>
  <c r="Y393" i="572" s="1"/>
  <c r="Y410" i="572" s="1"/>
  <c r="Y427" i="572" s="1"/>
  <c r="Y444" i="572" s="1"/>
  <c r="Y461" i="572" s="1"/>
  <c r="Y478" i="572" s="1"/>
  <c r="Y495" i="572" s="1"/>
  <c r="Y512" i="572" s="1"/>
  <c r="Y529" i="572" s="1"/>
  <c r="V19" i="572"/>
  <c r="V36" i="572" s="1"/>
  <c r="V53" i="572" s="1"/>
  <c r="V70" i="572" s="1"/>
  <c r="V87" i="572" s="1"/>
  <c r="V104" i="572" s="1"/>
  <c r="V121" i="572" s="1"/>
  <c r="V138" i="572" s="1"/>
  <c r="V155" i="572" s="1"/>
  <c r="V172" i="572" s="1"/>
  <c r="V189" i="572" s="1"/>
  <c r="V206" i="572" s="1"/>
  <c r="V223" i="572" s="1"/>
  <c r="V240" i="572" s="1"/>
  <c r="V257" i="572" s="1"/>
  <c r="V274" i="572" s="1"/>
  <c r="V291" i="572" s="1"/>
  <c r="V308" i="572" s="1"/>
  <c r="V325" i="572" s="1"/>
  <c r="V342" i="572" s="1"/>
  <c r="V359" i="572" s="1"/>
  <c r="V376" i="572" s="1"/>
  <c r="V393" i="572" s="1"/>
  <c r="V410" i="572" s="1"/>
  <c r="V427" i="572" s="1"/>
  <c r="V444" i="572" s="1"/>
  <c r="V461" i="572" s="1"/>
  <c r="V478" i="572" s="1"/>
  <c r="V495" i="572" s="1"/>
  <c r="V512" i="572" s="1"/>
  <c r="V529" i="572" s="1"/>
  <c r="U19" i="572"/>
  <c r="U36" i="572" s="1"/>
  <c r="U53" i="572" s="1"/>
  <c r="U70" i="572" s="1"/>
  <c r="U87" i="572" s="1"/>
  <c r="U104" i="572" s="1"/>
  <c r="U121" i="572" s="1"/>
  <c r="U138" i="572" s="1"/>
  <c r="U155" i="572" s="1"/>
  <c r="U172" i="572" s="1"/>
  <c r="U189" i="572" s="1"/>
  <c r="U206" i="572" s="1"/>
  <c r="U223" i="572" s="1"/>
  <c r="U240" i="572" s="1"/>
  <c r="U257" i="572" s="1"/>
  <c r="U274" i="572" s="1"/>
  <c r="U291" i="572" s="1"/>
  <c r="U308" i="572" s="1"/>
  <c r="U325" i="572" s="1"/>
  <c r="U342" i="572" s="1"/>
  <c r="U359" i="572" s="1"/>
  <c r="U376" i="572" s="1"/>
  <c r="U393" i="572" s="1"/>
  <c r="U410" i="572" s="1"/>
  <c r="U427" i="572" s="1"/>
  <c r="U444" i="572" s="1"/>
  <c r="U461" i="572" s="1"/>
  <c r="U478" i="572" s="1"/>
  <c r="U495" i="572" s="1"/>
  <c r="U512" i="572" s="1"/>
  <c r="U529" i="572" s="1"/>
  <c r="AR18" i="572"/>
  <c r="Q19" i="572"/>
  <c r="Q36" i="572" s="1"/>
  <c r="Q53" i="572" s="1"/>
  <c r="Q70" i="572" s="1"/>
  <c r="Q87" i="572" s="1"/>
  <c r="Q104" i="572" s="1"/>
  <c r="Q121" i="572" s="1"/>
  <c r="Q138" i="572" s="1"/>
  <c r="Q155" i="572" s="1"/>
  <c r="Q172" i="572" s="1"/>
  <c r="Q189" i="572" s="1"/>
  <c r="Q206" i="572" s="1"/>
  <c r="Q223" i="572" s="1"/>
  <c r="Q240" i="572" s="1"/>
  <c r="Q257" i="572" s="1"/>
  <c r="Q274" i="572" s="1"/>
  <c r="Q291" i="572" s="1"/>
  <c r="Q308" i="572" s="1"/>
  <c r="Q325" i="572" s="1"/>
  <c r="Q342" i="572" s="1"/>
  <c r="Q359" i="572" s="1"/>
  <c r="Q376" i="572" s="1"/>
  <c r="Q393" i="572" s="1"/>
  <c r="Q410" i="572" s="1"/>
  <c r="Q427" i="572" s="1"/>
  <c r="Q444" i="572" s="1"/>
  <c r="Q461" i="572" s="1"/>
  <c r="Q478" i="572" s="1"/>
  <c r="Q495" i="572" s="1"/>
  <c r="Q512" i="572" s="1"/>
  <c r="Q529" i="572" s="1"/>
  <c r="N19" i="572"/>
  <c r="M19" i="572"/>
  <c r="J19" i="572"/>
  <c r="J36" i="572" s="1"/>
  <c r="J53" i="572" s="1"/>
  <c r="J70" i="572" s="1"/>
  <c r="J87" i="572" s="1"/>
  <c r="J104" i="572" s="1"/>
  <c r="J121" i="572" s="1"/>
  <c r="J138" i="572" s="1"/>
  <c r="J155" i="572" s="1"/>
  <c r="J172" i="572" s="1"/>
  <c r="J189" i="572" s="1"/>
  <c r="J206" i="572" s="1"/>
  <c r="J223" i="572" s="1"/>
  <c r="J240" i="572" s="1"/>
  <c r="J257" i="572" s="1"/>
  <c r="J274" i="572" s="1"/>
  <c r="J291" i="572" s="1"/>
  <c r="J308" i="572" s="1"/>
  <c r="J325" i="572" s="1"/>
  <c r="J342" i="572" s="1"/>
  <c r="J359" i="572" s="1"/>
  <c r="J376" i="572" s="1"/>
  <c r="J393" i="572" s="1"/>
  <c r="J410" i="572" s="1"/>
  <c r="J427" i="572" s="1"/>
  <c r="J444" i="572" s="1"/>
  <c r="J461" i="572" s="1"/>
  <c r="J478" i="572" s="1"/>
  <c r="J495" i="572" s="1"/>
  <c r="J512" i="572" s="1"/>
  <c r="J529" i="572" s="1"/>
  <c r="I19" i="572"/>
  <c r="I36" i="572" s="1"/>
  <c r="I53" i="572" s="1"/>
  <c r="I70" i="572" s="1"/>
  <c r="I87" i="572" s="1"/>
  <c r="I104" i="572" s="1"/>
  <c r="I121" i="572" s="1"/>
  <c r="I138" i="572" s="1"/>
  <c r="I155" i="572" s="1"/>
  <c r="I172" i="572" s="1"/>
  <c r="I189" i="572" s="1"/>
  <c r="I206" i="572" s="1"/>
  <c r="I223" i="572" s="1"/>
  <c r="I240" i="572" s="1"/>
  <c r="I257" i="572" s="1"/>
  <c r="I274" i="572" s="1"/>
  <c r="I291" i="572" s="1"/>
  <c r="I308" i="572" s="1"/>
  <c r="I325" i="572" s="1"/>
  <c r="I342" i="572" s="1"/>
  <c r="I359" i="572" s="1"/>
  <c r="I376" i="572" s="1"/>
  <c r="I393" i="572" s="1"/>
  <c r="I410" i="572" s="1"/>
  <c r="I427" i="572" s="1"/>
  <c r="I444" i="572" s="1"/>
  <c r="I461" i="572" s="1"/>
  <c r="I478" i="572" s="1"/>
  <c r="I495" i="572" s="1"/>
  <c r="I512" i="572" s="1"/>
  <c r="I529" i="572" s="1"/>
  <c r="F19" i="572"/>
  <c r="F36" i="572" s="1"/>
  <c r="F53" i="572" s="1"/>
  <c r="F70" i="572" s="1"/>
  <c r="F87" i="572" s="1"/>
  <c r="F104" i="572" s="1"/>
  <c r="F121" i="572" s="1"/>
  <c r="F138" i="572" s="1"/>
  <c r="F155" i="572" s="1"/>
  <c r="F172" i="572" s="1"/>
  <c r="F189" i="572" s="1"/>
  <c r="F206" i="572" s="1"/>
  <c r="F223" i="572" s="1"/>
  <c r="F240" i="572" s="1"/>
  <c r="F257" i="572" s="1"/>
  <c r="F274" i="572" s="1"/>
  <c r="F291" i="572" s="1"/>
  <c r="F308" i="572" s="1"/>
  <c r="F325" i="572" s="1"/>
  <c r="F342" i="572" s="1"/>
  <c r="F359" i="572" s="1"/>
  <c r="F376" i="572" s="1"/>
  <c r="F393" i="572" s="1"/>
  <c r="F410" i="572" s="1"/>
  <c r="F427" i="572" s="1"/>
  <c r="F444" i="572" s="1"/>
  <c r="F461" i="572" s="1"/>
  <c r="F478" i="572" s="1"/>
  <c r="F495" i="572" s="1"/>
  <c r="F512" i="572" s="1"/>
  <c r="F529" i="572" s="1"/>
  <c r="E19" i="572"/>
  <c r="E36" i="572" s="1"/>
  <c r="E53" i="572" s="1"/>
  <c r="E70" i="572" s="1"/>
  <c r="E87" i="572" s="1"/>
  <c r="E104" i="572" s="1"/>
  <c r="E121" i="572" s="1"/>
  <c r="E138" i="572" s="1"/>
  <c r="E155" i="572" s="1"/>
  <c r="E172" i="572" s="1"/>
  <c r="E189" i="572" s="1"/>
  <c r="E206" i="572" s="1"/>
  <c r="E223" i="572" s="1"/>
  <c r="E240" i="572" s="1"/>
  <c r="E257" i="572" s="1"/>
  <c r="E274" i="572" s="1"/>
  <c r="E291" i="572" s="1"/>
  <c r="E308" i="572" s="1"/>
  <c r="E325" i="572" s="1"/>
  <c r="E342" i="572" s="1"/>
  <c r="E359" i="572" s="1"/>
  <c r="E376" i="572" s="1"/>
  <c r="E393" i="572" s="1"/>
  <c r="E410" i="572" s="1"/>
  <c r="E427" i="572" s="1"/>
  <c r="E444" i="572" s="1"/>
  <c r="E461" i="572" s="1"/>
  <c r="E478" i="572" s="1"/>
  <c r="E495" i="572" s="1"/>
  <c r="E512" i="572" s="1"/>
  <c r="E529" i="572" s="1"/>
  <c r="C2" i="572"/>
  <c r="C1" i="572"/>
  <c r="AR2" i="571"/>
  <c r="AQ2" i="571"/>
  <c r="AP2" i="571"/>
  <c r="AO2" i="571"/>
  <c r="AN2" i="571"/>
  <c r="AM2" i="571"/>
  <c r="AL2" i="571"/>
  <c r="AK2" i="571"/>
  <c r="AJ2" i="571"/>
  <c r="AI2" i="571"/>
  <c r="AH2" i="571"/>
  <c r="AG2" i="571"/>
  <c r="AF2" i="571"/>
  <c r="AE2" i="571"/>
  <c r="AD2" i="571"/>
  <c r="AC2" i="571"/>
  <c r="AB2" i="571"/>
  <c r="AA2" i="571"/>
  <c r="Z2" i="571"/>
  <c r="Y2" i="571"/>
  <c r="X2" i="571"/>
  <c r="W2" i="571"/>
  <c r="V2" i="571"/>
  <c r="U2" i="571"/>
  <c r="T2" i="571"/>
  <c r="S2" i="571"/>
  <c r="R2" i="571"/>
  <c r="Q2" i="571"/>
  <c r="P2" i="571"/>
  <c r="O2" i="571"/>
  <c r="N2" i="571"/>
  <c r="M2" i="571"/>
  <c r="L2" i="571"/>
  <c r="K2" i="571"/>
  <c r="J2" i="571"/>
  <c r="I2" i="571"/>
  <c r="H2" i="571"/>
  <c r="G2" i="571"/>
  <c r="F2" i="571"/>
  <c r="E2" i="571"/>
  <c r="D2" i="571"/>
  <c r="C540" i="571"/>
  <c r="N538" i="571"/>
  <c r="C535" i="571"/>
  <c r="S534" i="571"/>
  <c r="P534" i="571"/>
  <c r="M534" i="571"/>
  <c r="H534" i="571"/>
  <c r="C534" i="571"/>
  <c r="S533" i="571"/>
  <c r="P533" i="571"/>
  <c r="M533" i="571"/>
  <c r="N537" i="571" s="1"/>
  <c r="C531" i="571" s="1"/>
  <c r="C536" i="571" s="1"/>
  <c r="C538" i="571" s="1"/>
  <c r="H533" i="571"/>
  <c r="C533" i="571"/>
  <c r="U532" i="571"/>
  <c r="U534" i="571" s="1"/>
  <c r="S532" i="571"/>
  <c r="Q536" i="571" s="1"/>
  <c r="P532" i="571"/>
  <c r="M532" i="571"/>
  <c r="N536" i="571" s="1"/>
  <c r="H532" i="571"/>
  <c r="C532" i="571"/>
  <c r="H531" i="571"/>
  <c r="H536" i="571" s="1"/>
  <c r="AS526" i="571"/>
  <c r="AS525" i="571"/>
  <c r="AS524" i="571"/>
  <c r="AS523" i="571"/>
  <c r="AS522" i="571"/>
  <c r="AS520" i="571"/>
  <c r="AS509" i="571"/>
  <c r="AS508" i="571"/>
  <c r="AS507" i="571"/>
  <c r="AS506" i="571"/>
  <c r="AS505" i="571"/>
  <c r="AS503" i="571"/>
  <c r="AS492" i="571"/>
  <c r="AS491" i="571"/>
  <c r="AS490" i="571"/>
  <c r="AS489" i="571"/>
  <c r="AS488" i="571"/>
  <c r="AS486" i="571"/>
  <c r="AS475" i="571"/>
  <c r="AS474" i="571"/>
  <c r="AS473" i="571"/>
  <c r="AS472" i="571"/>
  <c r="AS471" i="571"/>
  <c r="AS469" i="571"/>
  <c r="AS458" i="571"/>
  <c r="AS457" i="571"/>
  <c r="AS456" i="571"/>
  <c r="AS455" i="571"/>
  <c r="AS454" i="571"/>
  <c r="AS452" i="571"/>
  <c r="AS441" i="571"/>
  <c r="AS440" i="571"/>
  <c r="AS439" i="571"/>
  <c r="AS438" i="571"/>
  <c r="AS437" i="571"/>
  <c r="AS435" i="571"/>
  <c r="AS424" i="571"/>
  <c r="AS423" i="571"/>
  <c r="AS422" i="571"/>
  <c r="AS421" i="571"/>
  <c r="AS420" i="571"/>
  <c r="AS418" i="571"/>
  <c r="AS407" i="571"/>
  <c r="AS406" i="571"/>
  <c r="AS405" i="571"/>
  <c r="AS404" i="571"/>
  <c r="AS403" i="571"/>
  <c r="AS401" i="571"/>
  <c r="AS390" i="571"/>
  <c r="AS389" i="571"/>
  <c r="AS388" i="571"/>
  <c r="AS387" i="571"/>
  <c r="AS386" i="571"/>
  <c r="AS384" i="571"/>
  <c r="AS373" i="571"/>
  <c r="AS372" i="571"/>
  <c r="AS371" i="571"/>
  <c r="AS370" i="571"/>
  <c r="AS369" i="571"/>
  <c r="AS367" i="571"/>
  <c r="AS356" i="571"/>
  <c r="AS355" i="571"/>
  <c r="AS354" i="571"/>
  <c r="AS353" i="571"/>
  <c r="AS352" i="571"/>
  <c r="AS350" i="571"/>
  <c r="AS339" i="571"/>
  <c r="AS338" i="571"/>
  <c r="AS337" i="571"/>
  <c r="AS336" i="571"/>
  <c r="AS335" i="571"/>
  <c r="AS333" i="571"/>
  <c r="AS322" i="571"/>
  <c r="AS321" i="571"/>
  <c r="AS320" i="571"/>
  <c r="AS319" i="571"/>
  <c r="AS318" i="571"/>
  <c r="AS316" i="571"/>
  <c r="AS305" i="571"/>
  <c r="AS304" i="571"/>
  <c r="AS303" i="571"/>
  <c r="AS302" i="571"/>
  <c r="AS301" i="571"/>
  <c r="AS299" i="571"/>
  <c r="AS288" i="571"/>
  <c r="AS287" i="571"/>
  <c r="AS286" i="571"/>
  <c r="AS285" i="571"/>
  <c r="AS284" i="571"/>
  <c r="AS282" i="571"/>
  <c r="AS271" i="571"/>
  <c r="AS270" i="571"/>
  <c r="AS269" i="571"/>
  <c r="AS268" i="571"/>
  <c r="AS267" i="571"/>
  <c r="AS265" i="571"/>
  <c r="AS254" i="571"/>
  <c r="AS253" i="571"/>
  <c r="AS252" i="571"/>
  <c r="AS251" i="571"/>
  <c r="AS250" i="571"/>
  <c r="AS248" i="571"/>
  <c r="AS237" i="571"/>
  <c r="AS236" i="571"/>
  <c r="AS235" i="571"/>
  <c r="AS234" i="571"/>
  <c r="AS233" i="571"/>
  <c r="AS231" i="571"/>
  <c r="AS220" i="571"/>
  <c r="AS219" i="571"/>
  <c r="AS218" i="571"/>
  <c r="AS217" i="571"/>
  <c r="AS216" i="571"/>
  <c r="AS214" i="571"/>
  <c r="AS203" i="571"/>
  <c r="AS202" i="571"/>
  <c r="AS201" i="571"/>
  <c r="AS200" i="571"/>
  <c r="AS199" i="571"/>
  <c r="AS197" i="571"/>
  <c r="AS186" i="571"/>
  <c r="AS185" i="571"/>
  <c r="AS184" i="571"/>
  <c r="AS183" i="571"/>
  <c r="AS182" i="571"/>
  <c r="AS180" i="571"/>
  <c r="AS169" i="571"/>
  <c r="AS168" i="571"/>
  <c r="AS167" i="571"/>
  <c r="AS166" i="571"/>
  <c r="AS165" i="571"/>
  <c r="AS163" i="571"/>
  <c r="AS152" i="571"/>
  <c r="AS151" i="571"/>
  <c r="AS150" i="571"/>
  <c r="AS149" i="571"/>
  <c r="AS148" i="571"/>
  <c r="AS146" i="571"/>
  <c r="AS136" i="571"/>
  <c r="AS135" i="571"/>
  <c r="AS134" i="571"/>
  <c r="AS133" i="571"/>
  <c r="AS132" i="571"/>
  <c r="AS131" i="571"/>
  <c r="AS129" i="571"/>
  <c r="AS119" i="571"/>
  <c r="AS118" i="571"/>
  <c r="AS117" i="571"/>
  <c r="AS116" i="571"/>
  <c r="AS115" i="571"/>
  <c r="AS114" i="571"/>
  <c r="AS112" i="571"/>
  <c r="AS102" i="571"/>
  <c r="AS101" i="571"/>
  <c r="AS100" i="571"/>
  <c r="AS99" i="571"/>
  <c r="AS98" i="571"/>
  <c r="AS97" i="571"/>
  <c r="AS95" i="571"/>
  <c r="AS85" i="571"/>
  <c r="AS84" i="571"/>
  <c r="AS83" i="571"/>
  <c r="AS82" i="571"/>
  <c r="AS81" i="571"/>
  <c r="AS80" i="571"/>
  <c r="AS78" i="571"/>
  <c r="AS68" i="571"/>
  <c r="AS67" i="571"/>
  <c r="AS66" i="571"/>
  <c r="AS65" i="571"/>
  <c r="AS64" i="571"/>
  <c r="AS63" i="571"/>
  <c r="AS61" i="571"/>
  <c r="AS51" i="571"/>
  <c r="AS50" i="571"/>
  <c r="AS49" i="571"/>
  <c r="AS48" i="571"/>
  <c r="AS47" i="571"/>
  <c r="AS46" i="571"/>
  <c r="AS44" i="571"/>
  <c r="AL36" i="571"/>
  <c r="AL53" i="571" s="1"/>
  <c r="AL70" i="571" s="1"/>
  <c r="AL87" i="571" s="1"/>
  <c r="AL104" i="571" s="1"/>
  <c r="AL121" i="571" s="1"/>
  <c r="AL138" i="571" s="1"/>
  <c r="AL155" i="571" s="1"/>
  <c r="AL172" i="571" s="1"/>
  <c r="AL189" i="571" s="1"/>
  <c r="AL206" i="571" s="1"/>
  <c r="AL223" i="571" s="1"/>
  <c r="AL240" i="571" s="1"/>
  <c r="AL257" i="571" s="1"/>
  <c r="AL274" i="571" s="1"/>
  <c r="AL291" i="571" s="1"/>
  <c r="AL308" i="571" s="1"/>
  <c r="AL325" i="571" s="1"/>
  <c r="AL342" i="571" s="1"/>
  <c r="AL359" i="571" s="1"/>
  <c r="AL376" i="571" s="1"/>
  <c r="AL393" i="571" s="1"/>
  <c r="AL410" i="571" s="1"/>
  <c r="AL427" i="571" s="1"/>
  <c r="AS34" i="571"/>
  <c r="AS33" i="571"/>
  <c r="AS32" i="571"/>
  <c r="AS31" i="571"/>
  <c r="AS30" i="571"/>
  <c r="AS29" i="571"/>
  <c r="AS27" i="571"/>
  <c r="A20" i="571"/>
  <c r="A37" i="571" s="1"/>
  <c r="A54" i="571" s="1"/>
  <c r="A71" i="571" s="1"/>
  <c r="A88" i="571" s="1"/>
  <c r="A105" i="571" s="1"/>
  <c r="A122" i="571" s="1"/>
  <c r="A139" i="571" s="1"/>
  <c r="A156" i="571" s="1"/>
  <c r="A173" i="571" s="1"/>
  <c r="A190" i="571" s="1"/>
  <c r="A207" i="571" s="1"/>
  <c r="A224" i="571" s="1"/>
  <c r="A241" i="571" s="1"/>
  <c r="A258" i="571" s="1"/>
  <c r="A275" i="571" s="1"/>
  <c r="A292" i="571" s="1"/>
  <c r="A309" i="571" s="1"/>
  <c r="A326" i="571" s="1"/>
  <c r="A343" i="571" s="1"/>
  <c r="A360" i="571" s="1"/>
  <c r="A377" i="571" s="1"/>
  <c r="A394" i="571" s="1"/>
  <c r="A411" i="571" s="1"/>
  <c r="A428" i="571" s="1"/>
  <c r="A445" i="571" s="1"/>
  <c r="A462" i="571" s="1"/>
  <c r="A479" i="571" s="1"/>
  <c r="A496" i="571" s="1"/>
  <c r="A513" i="571" s="1"/>
  <c r="AS17" i="571"/>
  <c r="AS16" i="571"/>
  <c r="AS15" i="571"/>
  <c r="AS14" i="571"/>
  <c r="AS13" i="571"/>
  <c r="AS12" i="571"/>
  <c r="AS10" i="571"/>
  <c r="AU2" i="571"/>
  <c r="AT2" i="571"/>
  <c r="AS2" i="571"/>
  <c r="AQ19" i="571"/>
  <c r="AQ36" i="571" s="1"/>
  <c r="AQ53" i="571" s="1"/>
  <c r="AQ70" i="571" s="1"/>
  <c r="AQ87" i="571" s="1"/>
  <c r="AQ104" i="571" s="1"/>
  <c r="AQ121" i="571" s="1"/>
  <c r="AQ138" i="571" s="1"/>
  <c r="AQ155" i="571" s="1"/>
  <c r="AQ172" i="571" s="1"/>
  <c r="AQ189" i="571" s="1"/>
  <c r="AQ206" i="571" s="1"/>
  <c r="AQ223" i="571" s="1"/>
  <c r="AQ240" i="571" s="1"/>
  <c r="AQ257" i="571" s="1"/>
  <c r="AQ274" i="571" s="1"/>
  <c r="AQ291" i="571" s="1"/>
  <c r="AQ308" i="571" s="1"/>
  <c r="AQ325" i="571" s="1"/>
  <c r="AQ342" i="571" s="1"/>
  <c r="AQ359" i="571" s="1"/>
  <c r="AQ376" i="571" s="1"/>
  <c r="AQ393" i="571" s="1"/>
  <c r="AQ410" i="571" s="1"/>
  <c r="AQ427" i="571" s="1"/>
  <c r="AP19" i="571"/>
  <c r="AP36" i="571" s="1"/>
  <c r="AP53" i="571" s="1"/>
  <c r="AP70" i="571" s="1"/>
  <c r="AP87" i="571" s="1"/>
  <c r="AP104" i="571" s="1"/>
  <c r="AP121" i="571" s="1"/>
  <c r="AP138" i="571" s="1"/>
  <c r="AP155" i="571" s="1"/>
  <c r="AP172" i="571" s="1"/>
  <c r="AP189" i="571" s="1"/>
  <c r="AP206" i="571" s="1"/>
  <c r="AP223" i="571" s="1"/>
  <c r="AP240" i="571" s="1"/>
  <c r="AP257" i="571" s="1"/>
  <c r="AP274" i="571" s="1"/>
  <c r="AP291" i="571" s="1"/>
  <c r="AP308" i="571" s="1"/>
  <c r="AP325" i="571" s="1"/>
  <c r="AP342" i="571" s="1"/>
  <c r="AP359" i="571" s="1"/>
  <c r="AP376" i="571" s="1"/>
  <c r="AP393" i="571" s="1"/>
  <c r="AP410" i="571" s="1"/>
  <c r="AP427" i="571" s="1"/>
  <c r="AO19" i="571"/>
  <c r="AO36" i="571" s="1"/>
  <c r="AO53" i="571" s="1"/>
  <c r="AO70" i="571" s="1"/>
  <c r="AO87" i="571" s="1"/>
  <c r="AO104" i="571" s="1"/>
  <c r="AO121" i="571" s="1"/>
  <c r="AO138" i="571" s="1"/>
  <c r="AO155" i="571" s="1"/>
  <c r="AO172" i="571" s="1"/>
  <c r="AO189" i="571" s="1"/>
  <c r="AO206" i="571" s="1"/>
  <c r="AO223" i="571" s="1"/>
  <c r="AO240" i="571" s="1"/>
  <c r="AO257" i="571" s="1"/>
  <c r="AO274" i="571" s="1"/>
  <c r="AO291" i="571" s="1"/>
  <c r="AO308" i="571" s="1"/>
  <c r="AO325" i="571" s="1"/>
  <c r="AO342" i="571" s="1"/>
  <c r="AO359" i="571" s="1"/>
  <c r="AO376" i="571" s="1"/>
  <c r="AO393" i="571" s="1"/>
  <c r="AO410" i="571" s="1"/>
  <c r="AO427" i="571" s="1"/>
  <c r="AN19" i="571"/>
  <c r="AN36" i="571" s="1"/>
  <c r="AN53" i="571" s="1"/>
  <c r="AN70" i="571" s="1"/>
  <c r="AN87" i="571" s="1"/>
  <c r="AN104" i="571" s="1"/>
  <c r="AN121" i="571" s="1"/>
  <c r="AN138" i="571" s="1"/>
  <c r="AN155" i="571" s="1"/>
  <c r="AN172" i="571" s="1"/>
  <c r="AN189" i="571" s="1"/>
  <c r="AN206" i="571" s="1"/>
  <c r="AN223" i="571" s="1"/>
  <c r="AN240" i="571" s="1"/>
  <c r="AN257" i="571" s="1"/>
  <c r="AN274" i="571" s="1"/>
  <c r="AN291" i="571" s="1"/>
  <c r="AN308" i="571" s="1"/>
  <c r="AN325" i="571" s="1"/>
  <c r="AN342" i="571" s="1"/>
  <c r="AN359" i="571" s="1"/>
  <c r="AN376" i="571" s="1"/>
  <c r="AN393" i="571" s="1"/>
  <c r="AN410" i="571" s="1"/>
  <c r="AN427" i="571" s="1"/>
  <c r="AM19" i="571"/>
  <c r="AM36" i="571" s="1"/>
  <c r="AM53" i="571" s="1"/>
  <c r="AM70" i="571" s="1"/>
  <c r="AM87" i="571" s="1"/>
  <c r="AM104" i="571" s="1"/>
  <c r="AM121" i="571" s="1"/>
  <c r="AM138" i="571" s="1"/>
  <c r="AM155" i="571" s="1"/>
  <c r="AM172" i="571" s="1"/>
  <c r="AM189" i="571" s="1"/>
  <c r="AM206" i="571" s="1"/>
  <c r="AM223" i="571" s="1"/>
  <c r="AM240" i="571" s="1"/>
  <c r="AM257" i="571" s="1"/>
  <c r="AM274" i="571" s="1"/>
  <c r="AM291" i="571" s="1"/>
  <c r="AM308" i="571" s="1"/>
  <c r="AM325" i="571" s="1"/>
  <c r="AM342" i="571" s="1"/>
  <c r="AM359" i="571" s="1"/>
  <c r="AM376" i="571" s="1"/>
  <c r="AM393" i="571" s="1"/>
  <c r="AM410" i="571" s="1"/>
  <c r="AM427" i="571" s="1"/>
  <c r="AK19" i="571"/>
  <c r="AK36" i="571" s="1"/>
  <c r="AK53" i="571" s="1"/>
  <c r="AK70" i="571" s="1"/>
  <c r="AK87" i="571" s="1"/>
  <c r="AK104" i="571" s="1"/>
  <c r="AK121" i="571" s="1"/>
  <c r="AK138" i="571" s="1"/>
  <c r="AK155" i="571" s="1"/>
  <c r="AK172" i="571" s="1"/>
  <c r="AK189" i="571" s="1"/>
  <c r="AK206" i="571" s="1"/>
  <c r="AK223" i="571" s="1"/>
  <c r="AK240" i="571" s="1"/>
  <c r="AK257" i="571" s="1"/>
  <c r="AK274" i="571" s="1"/>
  <c r="AK291" i="571" s="1"/>
  <c r="AK308" i="571" s="1"/>
  <c r="AK325" i="571" s="1"/>
  <c r="AK342" i="571" s="1"/>
  <c r="AK359" i="571" s="1"/>
  <c r="AK376" i="571" s="1"/>
  <c r="AK393" i="571" s="1"/>
  <c r="AK410" i="571" s="1"/>
  <c r="AK427" i="571" s="1"/>
  <c r="AJ19" i="571"/>
  <c r="AJ36" i="571" s="1"/>
  <c r="AJ53" i="571" s="1"/>
  <c r="AJ70" i="571" s="1"/>
  <c r="AJ87" i="571" s="1"/>
  <c r="AJ104" i="571" s="1"/>
  <c r="AJ121" i="571" s="1"/>
  <c r="AJ138" i="571" s="1"/>
  <c r="AJ155" i="571" s="1"/>
  <c r="AJ172" i="571" s="1"/>
  <c r="AJ189" i="571" s="1"/>
  <c r="AJ206" i="571" s="1"/>
  <c r="AJ223" i="571" s="1"/>
  <c r="AJ240" i="571" s="1"/>
  <c r="AJ257" i="571" s="1"/>
  <c r="AJ274" i="571" s="1"/>
  <c r="AJ291" i="571" s="1"/>
  <c r="AJ308" i="571" s="1"/>
  <c r="AJ325" i="571" s="1"/>
  <c r="AJ342" i="571" s="1"/>
  <c r="AJ359" i="571" s="1"/>
  <c r="AJ376" i="571" s="1"/>
  <c r="AJ393" i="571" s="1"/>
  <c r="AJ410" i="571" s="1"/>
  <c r="AJ427" i="571" s="1"/>
  <c r="AI19" i="571"/>
  <c r="AI36" i="571" s="1"/>
  <c r="AI53" i="571" s="1"/>
  <c r="AI70" i="571" s="1"/>
  <c r="AI87" i="571" s="1"/>
  <c r="AI104" i="571" s="1"/>
  <c r="AI121" i="571" s="1"/>
  <c r="AI138" i="571" s="1"/>
  <c r="AI155" i="571" s="1"/>
  <c r="AI172" i="571" s="1"/>
  <c r="AI189" i="571" s="1"/>
  <c r="AI206" i="571" s="1"/>
  <c r="AI223" i="571" s="1"/>
  <c r="AI240" i="571" s="1"/>
  <c r="AI257" i="571" s="1"/>
  <c r="AI274" i="571" s="1"/>
  <c r="AI291" i="571" s="1"/>
  <c r="AI308" i="571" s="1"/>
  <c r="AI325" i="571" s="1"/>
  <c r="AI342" i="571" s="1"/>
  <c r="AI359" i="571" s="1"/>
  <c r="AI376" i="571" s="1"/>
  <c r="AI393" i="571" s="1"/>
  <c r="AI410" i="571" s="1"/>
  <c r="AI427" i="571" s="1"/>
  <c r="AH19" i="571"/>
  <c r="AH36" i="571" s="1"/>
  <c r="AH53" i="571" s="1"/>
  <c r="AH70" i="571" s="1"/>
  <c r="AH87" i="571" s="1"/>
  <c r="AH104" i="571" s="1"/>
  <c r="AH121" i="571" s="1"/>
  <c r="AH138" i="571" s="1"/>
  <c r="AH155" i="571" s="1"/>
  <c r="AH172" i="571" s="1"/>
  <c r="AH189" i="571" s="1"/>
  <c r="AH206" i="571" s="1"/>
  <c r="AH223" i="571" s="1"/>
  <c r="AH240" i="571" s="1"/>
  <c r="AH257" i="571" s="1"/>
  <c r="AH274" i="571" s="1"/>
  <c r="AH291" i="571" s="1"/>
  <c r="AH308" i="571" s="1"/>
  <c r="AH325" i="571" s="1"/>
  <c r="AH342" i="571" s="1"/>
  <c r="AH359" i="571" s="1"/>
  <c r="AH376" i="571" s="1"/>
  <c r="AH393" i="571" s="1"/>
  <c r="AH410" i="571" s="1"/>
  <c r="AH427" i="571" s="1"/>
  <c r="AG19" i="571"/>
  <c r="AG36" i="571" s="1"/>
  <c r="AG53" i="571" s="1"/>
  <c r="AG70" i="571" s="1"/>
  <c r="AG87" i="571" s="1"/>
  <c r="AG104" i="571" s="1"/>
  <c r="AG121" i="571" s="1"/>
  <c r="AG138" i="571" s="1"/>
  <c r="AG155" i="571" s="1"/>
  <c r="AG172" i="571" s="1"/>
  <c r="AG189" i="571" s="1"/>
  <c r="AG206" i="571" s="1"/>
  <c r="AG223" i="571" s="1"/>
  <c r="AG240" i="571" s="1"/>
  <c r="AG257" i="571" s="1"/>
  <c r="AG274" i="571" s="1"/>
  <c r="AG291" i="571" s="1"/>
  <c r="AG308" i="571" s="1"/>
  <c r="AG325" i="571" s="1"/>
  <c r="AG342" i="571" s="1"/>
  <c r="AG359" i="571" s="1"/>
  <c r="AG376" i="571" s="1"/>
  <c r="AG393" i="571" s="1"/>
  <c r="AG410" i="571" s="1"/>
  <c r="AG427" i="571" s="1"/>
  <c r="AF19" i="571"/>
  <c r="AF36" i="571" s="1"/>
  <c r="AF53" i="571" s="1"/>
  <c r="AF70" i="571" s="1"/>
  <c r="AF87" i="571" s="1"/>
  <c r="AF104" i="571" s="1"/>
  <c r="AF121" i="571" s="1"/>
  <c r="AF138" i="571" s="1"/>
  <c r="AF155" i="571" s="1"/>
  <c r="AF172" i="571" s="1"/>
  <c r="AF189" i="571" s="1"/>
  <c r="AF206" i="571" s="1"/>
  <c r="AF223" i="571" s="1"/>
  <c r="AF240" i="571" s="1"/>
  <c r="AF257" i="571" s="1"/>
  <c r="AF274" i="571" s="1"/>
  <c r="AF291" i="571" s="1"/>
  <c r="AF308" i="571" s="1"/>
  <c r="AF325" i="571" s="1"/>
  <c r="AF342" i="571" s="1"/>
  <c r="AF359" i="571" s="1"/>
  <c r="AF376" i="571" s="1"/>
  <c r="AF393" i="571" s="1"/>
  <c r="AF410" i="571" s="1"/>
  <c r="AF427" i="571" s="1"/>
  <c r="AE19" i="571"/>
  <c r="AE36" i="571" s="1"/>
  <c r="AE53" i="571" s="1"/>
  <c r="AE70" i="571" s="1"/>
  <c r="AE87" i="571" s="1"/>
  <c r="AE104" i="571" s="1"/>
  <c r="AE121" i="571" s="1"/>
  <c r="AE138" i="571" s="1"/>
  <c r="AE155" i="571" s="1"/>
  <c r="AE172" i="571" s="1"/>
  <c r="AE189" i="571" s="1"/>
  <c r="AE206" i="571" s="1"/>
  <c r="AE223" i="571" s="1"/>
  <c r="AE240" i="571" s="1"/>
  <c r="AE257" i="571" s="1"/>
  <c r="AE274" i="571" s="1"/>
  <c r="AE291" i="571" s="1"/>
  <c r="AE308" i="571" s="1"/>
  <c r="AE325" i="571" s="1"/>
  <c r="AE342" i="571" s="1"/>
  <c r="AE359" i="571" s="1"/>
  <c r="AE376" i="571" s="1"/>
  <c r="AE393" i="571" s="1"/>
  <c r="AE410" i="571" s="1"/>
  <c r="AE427" i="571" s="1"/>
  <c r="AD19" i="571"/>
  <c r="AD36" i="571" s="1"/>
  <c r="AD53" i="571" s="1"/>
  <c r="AD70" i="571" s="1"/>
  <c r="AD87" i="571" s="1"/>
  <c r="AD104" i="571" s="1"/>
  <c r="AD121" i="571" s="1"/>
  <c r="AD138" i="571" s="1"/>
  <c r="AD155" i="571" s="1"/>
  <c r="AD172" i="571" s="1"/>
  <c r="AD189" i="571" s="1"/>
  <c r="AD206" i="571" s="1"/>
  <c r="AD223" i="571" s="1"/>
  <c r="AD240" i="571" s="1"/>
  <c r="AD257" i="571" s="1"/>
  <c r="AD274" i="571" s="1"/>
  <c r="AD291" i="571" s="1"/>
  <c r="AD308" i="571" s="1"/>
  <c r="AD325" i="571" s="1"/>
  <c r="AD342" i="571" s="1"/>
  <c r="AD359" i="571" s="1"/>
  <c r="AD376" i="571" s="1"/>
  <c r="AD393" i="571" s="1"/>
  <c r="AD410" i="571" s="1"/>
  <c r="AD427" i="571" s="1"/>
  <c r="AC19" i="571"/>
  <c r="AC36" i="571" s="1"/>
  <c r="AC53" i="571" s="1"/>
  <c r="AC70" i="571" s="1"/>
  <c r="AC87" i="571" s="1"/>
  <c r="AC104" i="571" s="1"/>
  <c r="AC121" i="571" s="1"/>
  <c r="AC138" i="571" s="1"/>
  <c r="AC155" i="571" s="1"/>
  <c r="AC172" i="571" s="1"/>
  <c r="AC189" i="571" s="1"/>
  <c r="AC206" i="571" s="1"/>
  <c r="AC223" i="571" s="1"/>
  <c r="AC240" i="571" s="1"/>
  <c r="AC257" i="571" s="1"/>
  <c r="AC274" i="571" s="1"/>
  <c r="AC291" i="571" s="1"/>
  <c r="AC308" i="571" s="1"/>
  <c r="AC325" i="571" s="1"/>
  <c r="AC342" i="571" s="1"/>
  <c r="AC359" i="571" s="1"/>
  <c r="AC376" i="571" s="1"/>
  <c r="AC393" i="571" s="1"/>
  <c r="AC410" i="571" s="1"/>
  <c r="AC427" i="571" s="1"/>
  <c r="AB19" i="571"/>
  <c r="AB36" i="571" s="1"/>
  <c r="AB53" i="571" s="1"/>
  <c r="AB70" i="571" s="1"/>
  <c r="AB87" i="571" s="1"/>
  <c r="AB104" i="571" s="1"/>
  <c r="AB121" i="571" s="1"/>
  <c r="AB138" i="571" s="1"/>
  <c r="AB155" i="571" s="1"/>
  <c r="AB172" i="571" s="1"/>
  <c r="AB189" i="571" s="1"/>
  <c r="AB206" i="571" s="1"/>
  <c r="AB223" i="571" s="1"/>
  <c r="AB240" i="571" s="1"/>
  <c r="AB257" i="571" s="1"/>
  <c r="AB274" i="571" s="1"/>
  <c r="AB291" i="571" s="1"/>
  <c r="AB308" i="571" s="1"/>
  <c r="AB325" i="571" s="1"/>
  <c r="AB342" i="571" s="1"/>
  <c r="AB359" i="571" s="1"/>
  <c r="AB376" i="571" s="1"/>
  <c r="AB393" i="571" s="1"/>
  <c r="AB410" i="571" s="1"/>
  <c r="AB427" i="571" s="1"/>
  <c r="AA19" i="571"/>
  <c r="AA36" i="571" s="1"/>
  <c r="AA53" i="571" s="1"/>
  <c r="AA70" i="571" s="1"/>
  <c r="AA87" i="571" s="1"/>
  <c r="AA104" i="571" s="1"/>
  <c r="AA121" i="571" s="1"/>
  <c r="AA138" i="571" s="1"/>
  <c r="AA155" i="571" s="1"/>
  <c r="AA172" i="571" s="1"/>
  <c r="AA189" i="571" s="1"/>
  <c r="AA206" i="571" s="1"/>
  <c r="AA223" i="571" s="1"/>
  <c r="AA240" i="571" s="1"/>
  <c r="AA257" i="571" s="1"/>
  <c r="AA274" i="571" s="1"/>
  <c r="AA291" i="571" s="1"/>
  <c r="AA308" i="571" s="1"/>
  <c r="AA325" i="571" s="1"/>
  <c r="AA342" i="571" s="1"/>
  <c r="AA359" i="571" s="1"/>
  <c r="AA376" i="571" s="1"/>
  <c r="AA393" i="571" s="1"/>
  <c r="AA410" i="571" s="1"/>
  <c r="AA427" i="571" s="1"/>
  <c r="Z19" i="571"/>
  <c r="Z36" i="571" s="1"/>
  <c r="Z53" i="571" s="1"/>
  <c r="Z70" i="571" s="1"/>
  <c r="Z87" i="571" s="1"/>
  <c r="Z104" i="571" s="1"/>
  <c r="Z121" i="571" s="1"/>
  <c r="Z138" i="571" s="1"/>
  <c r="Z155" i="571" s="1"/>
  <c r="Z172" i="571" s="1"/>
  <c r="Z189" i="571" s="1"/>
  <c r="Z206" i="571" s="1"/>
  <c r="Z223" i="571" s="1"/>
  <c r="Z240" i="571" s="1"/>
  <c r="Z257" i="571" s="1"/>
  <c r="Z274" i="571" s="1"/>
  <c r="Z291" i="571" s="1"/>
  <c r="Z308" i="571" s="1"/>
  <c r="Z325" i="571" s="1"/>
  <c r="Z342" i="571" s="1"/>
  <c r="Z359" i="571" s="1"/>
  <c r="Z376" i="571" s="1"/>
  <c r="Z393" i="571" s="1"/>
  <c r="Z410" i="571" s="1"/>
  <c r="Z427" i="571" s="1"/>
  <c r="Y19" i="571"/>
  <c r="Y36" i="571" s="1"/>
  <c r="Y53" i="571" s="1"/>
  <c r="Y70" i="571" s="1"/>
  <c r="Y87" i="571" s="1"/>
  <c r="Y104" i="571" s="1"/>
  <c r="Y121" i="571" s="1"/>
  <c r="Y138" i="571" s="1"/>
  <c r="Y155" i="571" s="1"/>
  <c r="Y172" i="571" s="1"/>
  <c r="Y189" i="571" s="1"/>
  <c r="Y206" i="571" s="1"/>
  <c r="Y223" i="571" s="1"/>
  <c r="Y240" i="571" s="1"/>
  <c r="Y257" i="571" s="1"/>
  <c r="Y274" i="571" s="1"/>
  <c r="Y291" i="571" s="1"/>
  <c r="Y308" i="571" s="1"/>
  <c r="Y325" i="571" s="1"/>
  <c r="Y342" i="571" s="1"/>
  <c r="Y359" i="571" s="1"/>
  <c r="Y376" i="571" s="1"/>
  <c r="Y393" i="571" s="1"/>
  <c r="Y410" i="571" s="1"/>
  <c r="Y427" i="571" s="1"/>
  <c r="Y444" i="571" s="1"/>
  <c r="Y461" i="571" s="1"/>
  <c r="Y478" i="571" s="1"/>
  <c r="Y495" i="571" s="1"/>
  <c r="Y512" i="571" s="1"/>
  <c r="Y529" i="571" s="1"/>
  <c r="X19" i="571"/>
  <c r="X36" i="571" s="1"/>
  <c r="X53" i="571" s="1"/>
  <c r="X70" i="571" s="1"/>
  <c r="X87" i="571" s="1"/>
  <c r="X104" i="571" s="1"/>
  <c r="X121" i="571" s="1"/>
  <c r="X138" i="571" s="1"/>
  <c r="X155" i="571" s="1"/>
  <c r="X172" i="571" s="1"/>
  <c r="X189" i="571" s="1"/>
  <c r="X206" i="571" s="1"/>
  <c r="X223" i="571" s="1"/>
  <c r="X240" i="571" s="1"/>
  <c r="X257" i="571" s="1"/>
  <c r="X274" i="571" s="1"/>
  <c r="X291" i="571" s="1"/>
  <c r="X308" i="571" s="1"/>
  <c r="X325" i="571" s="1"/>
  <c r="X342" i="571" s="1"/>
  <c r="X359" i="571" s="1"/>
  <c r="X376" i="571" s="1"/>
  <c r="X393" i="571" s="1"/>
  <c r="X410" i="571" s="1"/>
  <c r="X427" i="571" s="1"/>
  <c r="X444" i="571" s="1"/>
  <c r="X461" i="571" s="1"/>
  <c r="X478" i="571" s="1"/>
  <c r="X495" i="571" s="1"/>
  <c r="X512" i="571" s="1"/>
  <c r="X529" i="571" s="1"/>
  <c r="W19" i="571"/>
  <c r="W36" i="571" s="1"/>
  <c r="W53" i="571" s="1"/>
  <c r="W70" i="571" s="1"/>
  <c r="W87" i="571" s="1"/>
  <c r="W104" i="571" s="1"/>
  <c r="W121" i="571" s="1"/>
  <c r="W138" i="571" s="1"/>
  <c r="W155" i="571" s="1"/>
  <c r="W172" i="571" s="1"/>
  <c r="W189" i="571" s="1"/>
  <c r="W206" i="571" s="1"/>
  <c r="W223" i="571" s="1"/>
  <c r="W240" i="571" s="1"/>
  <c r="W257" i="571" s="1"/>
  <c r="W274" i="571" s="1"/>
  <c r="W291" i="571" s="1"/>
  <c r="W308" i="571" s="1"/>
  <c r="W325" i="571" s="1"/>
  <c r="W342" i="571" s="1"/>
  <c r="W359" i="571" s="1"/>
  <c r="W376" i="571" s="1"/>
  <c r="W393" i="571" s="1"/>
  <c r="W410" i="571" s="1"/>
  <c r="W427" i="571" s="1"/>
  <c r="W444" i="571" s="1"/>
  <c r="W461" i="571" s="1"/>
  <c r="W478" i="571" s="1"/>
  <c r="W495" i="571" s="1"/>
  <c r="W512" i="571" s="1"/>
  <c r="W529" i="571" s="1"/>
  <c r="V19" i="571"/>
  <c r="V36" i="571" s="1"/>
  <c r="V53" i="571" s="1"/>
  <c r="V70" i="571" s="1"/>
  <c r="V87" i="571" s="1"/>
  <c r="V104" i="571" s="1"/>
  <c r="V121" i="571" s="1"/>
  <c r="V138" i="571" s="1"/>
  <c r="V155" i="571" s="1"/>
  <c r="V172" i="571" s="1"/>
  <c r="V189" i="571" s="1"/>
  <c r="V206" i="571" s="1"/>
  <c r="V223" i="571" s="1"/>
  <c r="V240" i="571" s="1"/>
  <c r="V257" i="571" s="1"/>
  <c r="V274" i="571" s="1"/>
  <c r="V291" i="571" s="1"/>
  <c r="V308" i="571" s="1"/>
  <c r="V325" i="571" s="1"/>
  <c r="V342" i="571" s="1"/>
  <c r="V359" i="571" s="1"/>
  <c r="V376" i="571" s="1"/>
  <c r="V393" i="571" s="1"/>
  <c r="V410" i="571" s="1"/>
  <c r="V427" i="571" s="1"/>
  <c r="V444" i="571" s="1"/>
  <c r="V461" i="571" s="1"/>
  <c r="V478" i="571" s="1"/>
  <c r="V495" i="571" s="1"/>
  <c r="V512" i="571" s="1"/>
  <c r="V529" i="571" s="1"/>
  <c r="U19" i="571"/>
  <c r="U36" i="571" s="1"/>
  <c r="U53" i="571" s="1"/>
  <c r="U70" i="571" s="1"/>
  <c r="U87" i="571" s="1"/>
  <c r="U104" i="571" s="1"/>
  <c r="U121" i="571" s="1"/>
  <c r="U138" i="571" s="1"/>
  <c r="U155" i="571" s="1"/>
  <c r="U172" i="571" s="1"/>
  <c r="U189" i="571" s="1"/>
  <c r="U206" i="571" s="1"/>
  <c r="U223" i="571" s="1"/>
  <c r="U240" i="571" s="1"/>
  <c r="U257" i="571" s="1"/>
  <c r="U274" i="571" s="1"/>
  <c r="U291" i="571" s="1"/>
  <c r="U308" i="571" s="1"/>
  <c r="U325" i="571" s="1"/>
  <c r="U342" i="571" s="1"/>
  <c r="U359" i="571" s="1"/>
  <c r="U376" i="571" s="1"/>
  <c r="U393" i="571" s="1"/>
  <c r="U410" i="571" s="1"/>
  <c r="U427" i="571" s="1"/>
  <c r="U444" i="571" s="1"/>
  <c r="U461" i="571" s="1"/>
  <c r="U478" i="571" s="1"/>
  <c r="U495" i="571" s="1"/>
  <c r="U512" i="571" s="1"/>
  <c r="U529" i="571" s="1"/>
  <c r="AR18" i="571"/>
  <c r="S19" i="571"/>
  <c r="Q19" i="571"/>
  <c r="Q36" i="571" s="1"/>
  <c r="Q53" i="571" s="1"/>
  <c r="Q70" i="571" s="1"/>
  <c r="Q87" i="571" s="1"/>
  <c r="Q104" i="571" s="1"/>
  <c r="Q121" i="571" s="1"/>
  <c r="Q138" i="571" s="1"/>
  <c r="Q155" i="571" s="1"/>
  <c r="Q172" i="571" s="1"/>
  <c r="Q189" i="571" s="1"/>
  <c r="Q206" i="571" s="1"/>
  <c r="Q223" i="571" s="1"/>
  <c r="Q240" i="571" s="1"/>
  <c r="Q257" i="571" s="1"/>
  <c r="Q274" i="571" s="1"/>
  <c r="Q291" i="571" s="1"/>
  <c r="Q308" i="571" s="1"/>
  <c r="Q325" i="571" s="1"/>
  <c r="Q342" i="571" s="1"/>
  <c r="Q359" i="571" s="1"/>
  <c r="Q376" i="571" s="1"/>
  <c r="Q393" i="571" s="1"/>
  <c r="Q410" i="571" s="1"/>
  <c r="Q427" i="571" s="1"/>
  <c r="Q444" i="571" s="1"/>
  <c r="Q461" i="571" s="1"/>
  <c r="Q478" i="571" s="1"/>
  <c r="Q495" i="571" s="1"/>
  <c r="Q512" i="571" s="1"/>
  <c r="Q529" i="571" s="1"/>
  <c r="P19" i="571"/>
  <c r="N19" i="571"/>
  <c r="N36" i="571" s="1"/>
  <c r="N53" i="571" s="1"/>
  <c r="N70" i="571" s="1"/>
  <c r="N87" i="571" s="1"/>
  <c r="N104" i="571" s="1"/>
  <c r="N121" i="571" s="1"/>
  <c r="N138" i="571" s="1"/>
  <c r="N155" i="571" s="1"/>
  <c r="N172" i="571" s="1"/>
  <c r="N189" i="571" s="1"/>
  <c r="N206" i="571" s="1"/>
  <c r="N223" i="571" s="1"/>
  <c r="N240" i="571" s="1"/>
  <c r="N257" i="571" s="1"/>
  <c r="N274" i="571" s="1"/>
  <c r="N291" i="571" s="1"/>
  <c r="N308" i="571" s="1"/>
  <c r="N325" i="571" s="1"/>
  <c r="N342" i="571" s="1"/>
  <c r="N359" i="571" s="1"/>
  <c r="N376" i="571" s="1"/>
  <c r="N393" i="571" s="1"/>
  <c r="N410" i="571" s="1"/>
  <c r="N427" i="571" s="1"/>
  <c r="N444" i="571" s="1"/>
  <c r="N461" i="571" s="1"/>
  <c r="N478" i="571" s="1"/>
  <c r="N495" i="571" s="1"/>
  <c r="N512" i="571" s="1"/>
  <c r="N529" i="571" s="1"/>
  <c r="M19" i="571"/>
  <c r="K19" i="571"/>
  <c r="K36" i="571" s="1"/>
  <c r="K53" i="571" s="1"/>
  <c r="K70" i="571" s="1"/>
  <c r="K87" i="571" s="1"/>
  <c r="K104" i="571" s="1"/>
  <c r="K121" i="571" s="1"/>
  <c r="K138" i="571" s="1"/>
  <c r="K155" i="571" s="1"/>
  <c r="K172" i="571" s="1"/>
  <c r="K189" i="571" s="1"/>
  <c r="K206" i="571" s="1"/>
  <c r="K223" i="571" s="1"/>
  <c r="K240" i="571" s="1"/>
  <c r="K257" i="571" s="1"/>
  <c r="K274" i="571" s="1"/>
  <c r="K291" i="571" s="1"/>
  <c r="K308" i="571" s="1"/>
  <c r="K325" i="571" s="1"/>
  <c r="K342" i="571" s="1"/>
  <c r="K359" i="571" s="1"/>
  <c r="K376" i="571" s="1"/>
  <c r="K393" i="571" s="1"/>
  <c r="K410" i="571" s="1"/>
  <c r="K427" i="571" s="1"/>
  <c r="K444" i="571" s="1"/>
  <c r="K461" i="571" s="1"/>
  <c r="K478" i="571" s="1"/>
  <c r="K495" i="571" s="1"/>
  <c r="K512" i="571" s="1"/>
  <c r="K529" i="571" s="1"/>
  <c r="J19" i="571"/>
  <c r="J36" i="571" s="1"/>
  <c r="J53" i="571" s="1"/>
  <c r="J70" i="571" s="1"/>
  <c r="J87" i="571" s="1"/>
  <c r="J104" i="571" s="1"/>
  <c r="J121" i="571" s="1"/>
  <c r="J138" i="571" s="1"/>
  <c r="J155" i="571" s="1"/>
  <c r="J172" i="571" s="1"/>
  <c r="J189" i="571" s="1"/>
  <c r="J206" i="571" s="1"/>
  <c r="J223" i="571" s="1"/>
  <c r="J240" i="571" s="1"/>
  <c r="J257" i="571" s="1"/>
  <c r="J274" i="571" s="1"/>
  <c r="J291" i="571" s="1"/>
  <c r="J308" i="571" s="1"/>
  <c r="J325" i="571" s="1"/>
  <c r="J342" i="571" s="1"/>
  <c r="J359" i="571" s="1"/>
  <c r="J376" i="571" s="1"/>
  <c r="J393" i="571" s="1"/>
  <c r="J410" i="571" s="1"/>
  <c r="J427" i="571" s="1"/>
  <c r="J444" i="571" s="1"/>
  <c r="J461" i="571" s="1"/>
  <c r="J478" i="571" s="1"/>
  <c r="J495" i="571" s="1"/>
  <c r="J512" i="571" s="1"/>
  <c r="J529" i="571" s="1"/>
  <c r="I19" i="571"/>
  <c r="I36" i="571" s="1"/>
  <c r="I53" i="571" s="1"/>
  <c r="I70" i="571" s="1"/>
  <c r="I87" i="571" s="1"/>
  <c r="I104" i="571" s="1"/>
  <c r="I121" i="571" s="1"/>
  <c r="I138" i="571" s="1"/>
  <c r="I155" i="571" s="1"/>
  <c r="I172" i="571" s="1"/>
  <c r="I189" i="571" s="1"/>
  <c r="I206" i="571" s="1"/>
  <c r="I223" i="571" s="1"/>
  <c r="I240" i="571" s="1"/>
  <c r="I257" i="571" s="1"/>
  <c r="I274" i="571" s="1"/>
  <c r="I291" i="571" s="1"/>
  <c r="I308" i="571" s="1"/>
  <c r="I325" i="571" s="1"/>
  <c r="I342" i="571" s="1"/>
  <c r="I359" i="571" s="1"/>
  <c r="I376" i="571" s="1"/>
  <c r="I393" i="571" s="1"/>
  <c r="I410" i="571" s="1"/>
  <c r="I427" i="571" s="1"/>
  <c r="I444" i="571" s="1"/>
  <c r="I461" i="571" s="1"/>
  <c r="I478" i="571" s="1"/>
  <c r="I495" i="571" s="1"/>
  <c r="I512" i="571" s="1"/>
  <c r="I529" i="571" s="1"/>
  <c r="H19" i="571"/>
  <c r="H36" i="571" s="1"/>
  <c r="H53" i="571" s="1"/>
  <c r="H70" i="571" s="1"/>
  <c r="H87" i="571" s="1"/>
  <c r="H104" i="571" s="1"/>
  <c r="H121" i="571" s="1"/>
  <c r="H138" i="571" s="1"/>
  <c r="H155" i="571" s="1"/>
  <c r="H172" i="571" s="1"/>
  <c r="H189" i="571" s="1"/>
  <c r="H206" i="571" s="1"/>
  <c r="H223" i="571" s="1"/>
  <c r="H240" i="571" s="1"/>
  <c r="H257" i="571" s="1"/>
  <c r="H274" i="571" s="1"/>
  <c r="H291" i="571" s="1"/>
  <c r="H308" i="571" s="1"/>
  <c r="H325" i="571" s="1"/>
  <c r="H342" i="571" s="1"/>
  <c r="H359" i="571" s="1"/>
  <c r="H376" i="571" s="1"/>
  <c r="H393" i="571" s="1"/>
  <c r="H410" i="571" s="1"/>
  <c r="H427" i="571" s="1"/>
  <c r="H444" i="571" s="1"/>
  <c r="H461" i="571" s="1"/>
  <c r="H478" i="571" s="1"/>
  <c r="H495" i="571" s="1"/>
  <c r="H512" i="571" s="1"/>
  <c r="H529" i="571" s="1"/>
  <c r="G19" i="571"/>
  <c r="G36" i="571" s="1"/>
  <c r="G53" i="571" s="1"/>
  <c r="G70" i="571" s="1"/>
  <c r="G87" i="571" s="1"/>
  <c r="G104" i="571" s="1"/>
  <c r="G121" i="571" s="1"/>
  <c r="G138" i="571" s="1"/>
  <c r="G155" i="571" s="1"/>
  <c r="G172" i="571" s="1"/>
  <c r="G189" i="571" s="1"/>
  <c r="G206" i="571" s="1"/>
  <c r="G223" i="571" s="1"/>
  <c r="G240" i="571" s="1"/>
  <c r="G257" i="571" s="1"/>
  <c r="G274" i="571" s="1"/>
  <c r="G291" i="571" s="1"/>
  <c r="G308" i="571" s="1"/>
  <c r="G325" i="571" s="1"/>
  <c r="G342" i="571" s="1"/>
  <c r="G359" i="571" s="1"/>
  <c r="G376" i="571" s="1"/>
  <c r="G393" i="571" s="1"/>
  <c r="G410" i="571" s="1"/>
  <c r="G427" i="571" s="1"/>
  <c r="G444" i="571" s="1"/>
  <c r="G461" i="571" s="1"/>
  <c r="G478" i="571" s="1"/>
  <c r="G495" i="571" s="1"/>
  <c r="G512" i="571" s="1"/>
  <c r="G529" i="571" s="1"/>
  <c r="F19" i="571"/>
  <c r="F36" i="571" s="1"/>
  <c r="F53" i="571" s="1"/>
  <c r="F70" i="571" s="1"/>
  <c r="F87" i="571" s="1"/>
  <c r="F104" i="571" s="1"/>
  <c r="F121" i="571" s="1"/>
  <c r="F138" i="571" s="1"/>
  <c r="F155" i="571" s="1"/>
  <c r="F172" i="571" s="1"/>
  <c r="F189" i="571" s="1"/>
  <c r="F206" i="571" s="1"/>
  <c r="F223" i="571" s="1"/>
  <c r="F240" i="571" s="1"/>
  <c r="F257" i="571" s="1"/>
  <c r="F274" i="571" s="1"/>
  <c r="F291" i="571" s="1"/>
  <c r="F308" i="571" s="1"/>
  <c r="F325" i="571" s="1"/>
  <c r="F342" i="571" s="1"/>
  <c r="F359" i="571" s="1"/>
  <c r="F376" i="571" s="1"/>
  <c r="F393" i="571" s="1"/>
  <c r="F410" i="571" s="1"/>
  <c r="F427" i="571" s="1"/>
  <c r="F444" i="571" s="1"/>
  <c r="F461" i="571" s="1"/>
  <c r="F478" i="571" s="1"/>
  <c r="F495" i="571" s="1"/>
  <c r="F512" i="571" s="1"/>
  <c r="F529" i="571" s="1"/>
  <c r="E19" i="571"/>
  <c r="E36" i="571" s="1"/>
  <c r="E53" i="571" s="1"/>
  <c r="E70" i="571" s="1"/>
  <c r="E87" i="571" s="1"/>
  <c r="E104" i="571" s="1"/>
  <c r="E121" i="571" s="1"/>
  <c r="E138" i="571" s="1"/>
  <c r="E155" i="571" s="1"/>
  <c r="E172" i="571" s="1"/>
  <c r="E189" i="571" s="1"/>
  <c r="E206" i="571" s="1"/>
  <c r="E223" i="571" s="1"/>
  <c r="E240" i="571" s="1"/>
  <c r="E257" i="571" s="1"/>
  <c r="E274" i="571" s="1"/>
  <c r="E291" i="571" s="1"/>
  <c r="E308" i="571" s="1"/>
  <c r="E325" i="571" s="1"/>
  <c r="E342" i="571" s="1"/>
  <c r="E359" i="571" s="1"/>
  <c r="E376" i="571" s="1"/>
  <c r="E393" i="571" s="1"/>
  <c r="E410" i="571" s="1"/>
  <c r="E427" i="571" s="1"/>
  <c r="E444" i="571" s="1"/>
  <c r="E461" i="571" s="1"/>
  <c r="E478" i="571" s="1"/>
  <c r="E495" i="571" s="1"/>
  <c r="E512" i="571" s="1"/>
  <c r="E529" i="571" s="1"/>
  <c r="D19" i="571"/>
  <c r="C2" i="571"/>
  <c r="AR2" i="570"/>
  <c r="AQ2" i="570"/>
  <c r="AP2" i="570"/>
  <c r="AO2" i="570"/>
  <c r="AN2" i="570"/>
  <c r="AM2" i="570"/>
  <c r="AL2" i="570"/>
  <c r="AK2" i="570"/>
  <c r="AJ2" i="570"/>
  <c r="AI2" i="570"/>
  <c r="AH2" i="570"/>
  <c r="AG2" i="570"/>
  <c r="AF2" i="570"/>
  <c r="AE2" i="570"/>
  <c r="AD2" i="570"/>
  <c r="AC2" i="570"/>
  <c r="AB2" i="570"/>
  <c r="AA2" i="570"/>
  <c r="Z2" i="570"/>
  <c r="Y2" i="570"/>
  <c r="X2" i="570"/>
  <c r="W2" i="570"/>
  <c r="V2" i="570"/>
  <c r="U2" i="570"/>
  <c r="T2" i="570"/>
  <c r="S2" i="570"/>
  <c r="R2" i="570"/>
  <c r="Q2" i="570"/>
  <c r="P2" i="570"/>
  <c r="O2" i="570"/>
  <c r="N2" i="570"/>
  <c r="M2" i="570"/>
  <c r="L2" i="570"/>
  <c r="K2" i="570"/>
  <c r="J2" i="570"/>
  <c r="I2" i="570"/>
  <c r="H2" i="570"/>
  <c r="G2" i="570"/>
  <c r="F2" i="570"/>
  <c r="E2" i="570"/>
  <c r="D2" i="570"/>
  <c r="C540" i="570"/>
  <c r="N538" i="570"/>
  <c r="C535" i="570"/>
  <c r="S534" i="570"/>
  <c r="P534" i="570"/>
  <c r="M534" i="570"/>
  <c r="H534" i="570"/>
  <c r="C534" i="570"/>
  <c r="S533" i="570"/>
  <c r="P533" i="570"/>
  <c r="M533" i="570"/>
  <c r="N537" i="570" s="1"/>
  <c r="C531" i="570" s="1"/>
  <c r="C536" i="570" s="1"/>
  <c r="C538" i="570" s="1"/>
  <c r="H533" i="570"/>
  <c r="C533" i="570"/>
  <c r="U532" i="570"/>
  <c r="U534" i="570" s="1"/>
  <c r="S532" i="570"/>
  <c r="Q536" i="570" s="1"/>
  <c r="P532" i="570"/>
  <c r="M532" i="570"/>
  <c r="N536" i="570" s="1"/>
  <c r="H532" i="570"/>
  <c r="C532" i="570"/>
  <c r="H531" i="570"/>
  <c r="H536" i="570" s="1"/>
  <c r="AS526" i="570"/>
  <c r="AS525" i="570"/>
  <c r="AS524" i="570"/>
  <c r="AS523" i="570"/>
  <c r="AS522" i="570"/>
  <c r="AS520" i="570"/>
  <c r="AS509" i="570"/>
  <c r="AS508" i="570"/>
  <c r="AS507" i="570"/>
  <c r="AS506" i="570"/>
  <c r="AS505" i="570"/>
  <c r="AS503" i="570"/>
  <c r="AS492" i="570"/>
  <c r="AS491" i="570"/>
  <c r="AS490" i="570"/>
  <c r="AS489" i="570"/>
  <c r="AS488" i="570"/>
  <c r="AS486" i="570"/>
  <c r="AS475" i="570"/>
  <c r="AS474" i="570"/>
  <c r="AS473" i="570"/>
  <c r="AS472" i="570"/>
  <c r="AS471" i="570"/>
  <c r="AS469" i="570"/>
  <c r="AS458" i="570"/>
  <c r="AS457" i="570"/>
  <c r="AS456" i="570"/>
  <c r="AS455" i="570"/>
  <c r="AS454" i="570"/>
  <c r="AS452" i="570"/>
  <c r="AS441" i="570"/>
  <c r="AS440" i="570"/>
  <c r="AS439" i="570"/>
  <c r="AS438" i="570"/>
  <c r="AS437" i="570"/>
  <c r="AS435" i="570"/>
  <c r="AS424" i="570"/>
  <c r="AS423" i="570"/>
  <c r="AS422" i="570"/>
  <c r="AS421" i="570"/>
  <c r="AS420" i="570"/>
  <c r="AS418" i="570"/>
  <c r="AS407" i="570"/>
  <c r="AS406" i="570"/>
  <c r="AS405" i="570"/>
  <c r="AS404" i="570"/>
  <c r="AS403" i="570"/>
  <c r="AS401" i="570"/>
  <c r="AS390" i="570"/>
  <c r="AS389" i="570"/>
  <c r="AS388" i="570"/>
  <c r="AS387" i="570"/>
  <c r="AS386" i="570"/>
  <c r="AS384" i="570"/>
  <c r="AS373" i="570"/>
  <c r="AS372" i="570"/>
  <c r="AS371" i="570"/>
  <c r="AS370" i="570"/>
  <c r="AS369" i="570"/>
  <c r="AS367" i="570"/>
  <c r="AS356" i="570"/>
  <c r="AS355" i="570"/>
  <c r="AS354" i="570"/>
  <c r="AS353" i="570"/>
  <c r="AS352" i="570"/>
  <c r="AS350" i="570"/>
  <c r="AS339" i="570"/>
  <c r="AS338" i="570"/>
  <c r="AS337" i="570"/>
  <c r="AS336" i="570"/>
  <c r="AS335" i="570"/>
  <c r="AS333" i="570"/>
  <c r="AS322" i="570"/>
  <c r="AS321" i="570"/>
  <c r="AS320" i="570"/>
  <c r="AS319" i="570"/>
  <c r="AS318" i="570"/>
  <c r="AS316" i="570"/>
  <c r="AS305" i="570"/>
  <c r="AS304" i="570"/>
  <c r="AS303" i="570"/>
  <c r="AS302" i="570"/>
  <c r="AS301" i="570"/>
  <c r="AS299" i="570"/>
  <c r="AS288" i="570"/>
  <c r="AS287" i="570"/>
  <c r="AS286" i="570"/>
  <c r="AS285" i="570"/>
  <c r="AS284" i="570"/>
  <c r="AS282" i="570"/>
  <c r="AS271" i="570"/>
  <c r="AS270" i="570"/>
  <c r="AS269" i="570"/>
  <c r="AS268" i="570"/>
  <c r="AS267" i="570"/>
  <c r="AS265" i="570"/>
  <c r="AS254" i="570"/>
  <c r="AS253" i="570"/>
  <c r="AS252" i="570"/>
  <c r="AS251" i="570"/>
  <c r="AS250" i="570"/>
  <c r="AS248" i="570"/>
  <c r="AS237" i="570"/>
  <c r="AS236" i="570"/>
  <c r="AS235" i="570"/>
  <c r="AS234" i="570"/>
  <c r="AS233" i="570"/>
  <c r="AS231" i="570"/>
  <c r="AS220" i="570"/>
  <c r="AS219" i="570"/>
  <c r="AS218" i="570"/>
  <c r="AS217" i="570"/>
  <c r="AS216" i="570"/>
  <c r="AS214" i="570"/>
  <c r="AS203" i="570"/>
  <c r="AS202" i="570"/>
  <c r="AS201" i="570"/>
  <c r="AS200" i="570"/>
  <c r="AS199" i="570"/>
  <c r="AS197" i="570"/>
  <c r="AS186" i="570"/>
  <c r="AS185" i="570"/>
  <c r="AS184" i="570"/>
  <c r="AS183" i="570"/>
  <c r="AS182" i="570"/>
  <c r="AS180" i="570"/>
  <c r="AS169" i="570"/>
  <c r="AS168" i="570"/>
  <c r="AS167" i="570"/>
  <c r="AS166" i="570"/>
  <c r="AS165" i="570"/>
  <c r="AS163" i="570"/>
  <c r="AS152" i="570"/>
  <c r="AS151" i="570"/>
  <c r="AS150" i="570"/>
  <c r="AS149" i="570"/>
  <c r="AS148" i="570"/>
  <c r="AS146" i="570"/>
  <c r="AS136" i="570"/>
  <c r="AS135" i="570"/>
  <c r="AS134" i="570"/>
  <c r="AS133" i="570"/>
  <c r="AS132" i="570"/>
  <c r="AS131" i="570"/>
  <c r="AS129" i="570"/>
  <c r="AS119" i="570"/>
  <c r="AS118" i="570"/>
  <c r="AS117" i="570"/>
  <c r="AS116" i="570"/>
  <c r="AS115" i="570"/>
  <c r="AS114" i="570"/>
  <c r="AS112" i="570"/>
  <c r="AS102" i="570"/>
  <c r="AS101" i="570"/>
  <c r="AS100" i="570"/>
  <c r="AS99" i="570"/>
  <c r="AS98" i="570"/>
  <c r="AS97" i="570"/>
  <c r="AS95" i="570"/>
  <c r="AS85" i="570"/>
  <c r="AS84" i="570"/>
  <c r="AS83" i="570"/>
  <c r="AS82" i="570"/>
  <c r="AS81" i="570"/>
  <c r="AS80" i="570"/>
  <c r="AS78" i="570"/>
  <c r="AS68" i="570"/>
  <c r="AS67" i="570"/>
  <c r="AS66" i="570"/>
  <c r="AS65" i="570"/>
  <c r="AS64" i="570"/>
  <c r="AS63" i="570"/>
  <c r="AS61" i="570"/>
  <c r="AS51" i="570"/>
  <c r="AS50" i="570"/>
  <c r="AS49" i="570"/>
  <c r="AS48" i="570"/>
  <c r="AS47" i="570"/>
  <c r="AS46" i="570"/>
  <c r="AS44" i="570"/>
  <c r="AL36" i="570"/>
  <c r="AL53" i="570" s="1"/>
  <c r="AL70" i="570" s="1"/>
  <c r="AL87" i="570" s="1"/>
  <c r="AL104" i="570" s="1"/>
  <c r="AL121" i="570" s="1"/>
  <c r="AL138" i="570" s="1"/>
  <c r="AL155" i="570" s="1"/>
  <c r="AL172" i="570" s="1"/>
  <c r="AL189" i="570" s="1"/>
  <c r="AL206" i="570" s="1"/>
  <c r="AL223" i="570" s="1"/>
  <c r="AL240" i="570" s="1"/>
  <c r="AL257" i="570" s="1"/>
  <c r="AL274" i="570" s="1"/>
  <c r="AL291" i="570" s="1"/>
  <c r="AL308" i="570" s="1"/>
  <c r="AL325" i="570" s="1"/>
  <c r="AL342" i="570" s="1"/>
  <c r="AL359" i="570" s="1"/>
  <c r="AL376" i="570" s="1"/>
  <c r="AL393" i="570" s="1"/>
  <c r="AL410" i="570" s="1"/>
  <c r="AL427" i="570" s="1"/>
  <c r="AS34" i="570"/>
  <c r="AS33" i="570"/>
  <c r="AS32" i="570"/>
  <c r="AS31" i="570"/>
  <c r="AS30" i="570"/>
  <c r="AS29" i="570"/>
  <c r="AS27" i="570"/>
  <c r="A20" i="570"/>
  <c r="A37" i="570" s="1"/>
  <c r="A54" i="570" s="1"/>
  <c r="A71" i="570" s="1"/>
  <c r="A88" i="570" s="1"/>
  <c r="A105" i="570" s="1"/>
  <c r="A122" i="570" s="1"/>
  <c r="A139" i="570" s="1"/>
  <c r="A156" i="570" s="1"/>
  <c r="A173" i="570" s="1"/>
  <c r="A190" i="570" s="1"/>
  <c r="A207" i="570" s="1"/>
  <c r="A224" i="570" s="1"/>
  <c r="A241" i="570" s="1"/>
  <c r="A258" i="570" s="1"/>
  <c r="A275" i="570" s="1"/>
  <c r="A292" i="570" s="1"/>
  <c r="A309" i="570" s="1"/>
  <c r="A326" i="570" s="1"/>
  <c r="A343" i="570" s="1"/>
  <c r="A360" i="570" s="1"/>
  <c r="A377" i="570" s="1"/>
  <c r="A394" i="570" s="1"/>
  <c r="A411" i="570" s="1"/>
  <c r="A428" i="570" s="1"/>
  <c r="A445" i="570" s="1"/>
  <c r="A462" i="570" s="1"/>
  <c r="A479" i="570" s="1"/>
  <c r="A496" i="570" s="1"/>
  <c r="A513" i="570" s="1"/>
  <c r="AN19" i="570"/>
  <c r="AN36" i="570" s="1"/>
  <c r="AN53" i="570" s="1"/>
  <c r="AN70" i="570" s="1"/>
  <c r="AN87" i="570" s="1"/>
  <c r="AN104" i="570" s="1"/>
  <c r="AN121" i="570" s="1"/>
  <c r="AN138" i="570" s="1"/>
  <c r="AN155" i="570" s="1"/>
  <c r="AN172" i="570" s="1"/>
  <c r="AN189" i="570" s="1"/>
  <c r="AN206" i="570" s="1"/>
  <c r="AN223" i="570" s="1"/>
  <c r="AN240" i="570" s="1"/>
  <c r="AN257" i="570" s="1"/>
  <c r="AN274" i="570" s="1"/>
  <c r="AN291" i="570" s="1"/>
  <c r="AN308" i="570" s="1"/>
  <c r="AN325" i="570" s="1"/>
  <c r="AN342" i="570" s="1"/>
  <c r="AN359" i="570" s="1"/>
  <c r="AN376" i="570" s="1"/>
  <c r="AN393" i="570" s="1"/>
  <c r="AN410" i="570" s="1"/>
  <c r="AN427" i="570" s="1"/>
  <c r="AJ19" i="570"/>
  <c r="AJ36" i="570" s="1"/>
  <c r="AJ53" i="570" s="1"/>
  <c r="AJ70" i="570" s="1"/>
  <c r="AJ87" i="570" s="1"/>
  <c r="AJ104" i="570" s="1"/>
  <c r="AJ121" i="570" s="1"/>
  <c r="AJ138" i="570" s="1"/>
  <c r="AJ155" i="570" s="1"/>
  <c r="AJ172" i="570" s="1"/>
  <c r="AJ189" i="570" s="1"/>
  <c r="AJ206" i="570" s="1"/>
  <c r="AJ223" i="570" s="1"/>
  <c r="AJ240" i="570" s="1"/>
  <c r="AJ257" i="570" s="1"/>
  <c r="AJ274" i="570" s="1"/>
  <c r="AJ291" i="570" s="1"/>
  <c r="AJ308" i="570" s="1"/>
  <c r="AJ325" i="570" s="1"/>
  <c r="AJ342" i="570" s="1"/>
  <c r="AJ359" i="570" s="1"/>
  <c r="AJ376" i="570" s="1"/>
  <c r="AJ393" i="570" s="1"/>
  <c r="AJ410" i="570" s="1"/>
  <c r="AJ427" i="570" s="1"/>
  <c r="AI19" i="570"/>
  <c r="AI36" i="570" s="1"/>
  <c r="AI53" i="570" s="1"/>
  <c r="AI70" i="570" s="1"/>
  <c r="AI87" i="570" s="1"/>
  <c r="AI104" i="570" s="1"/>
  <c r="AI121" i="570" s="1"/>
  <c r="AI138" i="570" s="1"/>
  <c r="AI155" i="570" s="1"/>
  <c r="AI172" i="570" s="1"/>
  <c r="AI189" i="570" s="1"/>
  <c r="AI206" i="570" s="1"/>
  <c r="AI223" i="570" s="1"/>
  <c r="AI240" i="570" s="1"/>
  <c r="AI257" i="570" s="1"/>
  <c r="AI274" i="570" s="1"/>
  <c r="AI291" i="570" s="1"/>
  <c r="AI308" i="570" s="1"/>
  <c r="AI325" i="570" s="1"/>
  <c r="AI342" i="570" s="1"/>
  <c r="AI359" i="570" s="1"/>
  <c r="AI376" i="570" s="1"/>
  <c r="AI393" i="570" s="1"/>
  <c r="AI410" i="570" s="1"/>
  <c r="AI427" i="570" s="1"/>
  <c r="AF19" i="570"/>
  <c r="AF36" i="570" s="1"/>
  <c r="AF53" i="570" s="1"/>
  <c r="AF70" i="570" s="1"/>
  <c r="AF87" i="570" s="1"/>
  <c r="AF104" i="570" s="1"/>
  <c r="AF121" i="570" s="1"/>
  <c r="AF138" i="570" s="1"/>
  <c r="AF155" i="570" s="1"/>
  <c r="AF172" i="570" s="1"/>
  <c r="AF189" i="570" s="1"/>
  <c r="AF206" i="570" s="1"/>
  <c r="AF223" i="570" s="1"/>
  <c r="AF240" i="570" s="1"/>
  <c r="AF257" i="570" s="1"/>
  <c r="AF274" i="570" s="1"/>
  <c r="AF291" i="570" s="1"/>
  <c r="AF308" i="570" s="1"/>
  <c r="AF325" i="570" s="1"/>
  <c r="AF342" i="570" s="1"/>
  <c r="AF359" i="570" s="1"/>
  <c r="AF376" i="570" s="1"/>
  <c r="AF393" i="570" s="1"/>
  <c r="AF410" i="570" s="1"/>
  <c r="AF427" i="570" s="1"/>
  <c r="AE19" i="570"/>
  <c r="AE36" i="570" s="1"/>
  <c r="AE53" i="570" s="1"/>
  <c r="AE70" i="570" s="1"/>
  <c r="AE87" i="570" s="1"/>
  <c r="AE104" i="570" s="1"/>
  <c r="AE121" i="570" s="1"/>
  <c r="AE138" i="570" s="1"/>
  <c r="AE155" i="570" s="1"/>
  <c r="AE172" i="570" s="1"/>
  <c r="AE189" i="570" s="1"/>
  <c r="AE206" i="570" s="1"/>
  <c r="AE223" i="570" s="1"/>
  <c r="AE240" i="570" s="1"/>
  <c r="AE257" i="570" s="1"/>
  <c r="AE274" i="570" s="1"/>
  <c r="AE291" i="570" s="1"/>
  <c r="AE308" i="570" s="1"/>
  <c r="AE325" i="570" s="1"/>
  <c r="AE342" i="570" s="1"/>
  <c r="AE359" i="570" s="1"/>
  <c r="AE376" i="570" s="1"/>
  <c r="AE393" i="570" s="1"/>
  <c r="AE410" i="570" s="1"/>
  <c r="AE427" i="570" s="1"/>
  <c r="AB19" i="570"/>
  <c r="AB36" i="570" s="1"/>
  <c r="AB53" i="570" s="1"/>
  <c r="AB70" i="570" s="1"/>
  <c r="AB87" i="570" s="1"/>
  <c r="AB104" i="570" s="1"/>
  <c r="AB121" i="570" s="1"/>
  <c r="AB138" i="570" s="1"/>
  <c r="AB155" i="570" s="1"/>
  <c r="AB172" i="570" s="1"/>
  <c r="AB189" i="570" s="1"/>
  <c r="AB206" i="570" s="1"/>
  <c r="AB223" i="570" s="1"/>
  <c r="AB240" i="570" s="1"/>
  <c r="AB257" i="570" s="1"/>
  <c r="AB274" i="570" s="1"/>
  <c r="AB291" i="570" s="1"/>
  <c r="AB308" i="570" s="1"/>
  <c r="AB325" i="570" s="1"/>
  <c r="AB342" i="570" s="1"/>
  <c r="AB359" i="570" s="1"/>
  <c r="AB376" i="570" s="1"/>
  <c r="AB393" i="570" s="1"/>
  <c r="AB410" i="570" s="1"/>
  <c r="AB427" i="570" s="1"/>
  <c r="AA19" i="570"/>
  <c r="AA36" i="570" s="1"/>
  <c r="AA53" i="570" s="1"/>
  <c r="AA70" i="570" s="1"/>
  <c r="AA87" i="570" s="1"/>
  <c r="AA104" i="570" s="1"/>
  <c r="AA121" i="570" s="1"/>
  <c r="AA138" i="570" s="1"/>
  <c r="AA155" i="570" s="1"/>
  <c r="AA172" i="570" s="1"/>
  <c r="AA189" i="570" s="1"/>
  <c r="AA206" i="570" s="1"/>
  <c r="AA223" i="570" s="1"/>
  <c r="AA240" i="570" s="1"/>
  <c r="AA257" i="570" s="1"/>
  <c r="AA274" i="570" s="1"/>
  <c r="AA291" i="570" s="1"/>
  <c r="AA308" i="570" s="1"/>
  <c r="AA325" i="570" s="1"/>
  <c r="AA342" i="570" s="1"/>
  <c r="AA359" i="570" s="1"/>
  <c r="AA376" i="570" s="1"/>
  <c r="AA393" i="570" s="1"/>
  <c r="AA410" i="570" s="1"/>
  <c r="AA427" i="570" s="1"/>
  <c r="X19" i="570"/>
  <c r="X36" i="570" s="1"/>
  <c r="X53" i="570" s="1"/>
  <c r="X70" i="570" s="1"/>
  <c r="X87" i="570" s="1"/>
  <c r="X104" i="570" s="1"/>
  <c r="X121" i="570" s="1"/>
  <c r="X138" i="570" s="1"/>
  <c r="X155" i="570" s="1"/>
  <c r="X172" i="570" s="1"/>
  <c r="X189" i="570" s="1"/>
  <c r="X206" i="570" s="1"/>
  <c r="X223" i="570" s="1"/>
  <c r="X240" i="570" s="1"/>
  <c r="X257" i="570" s="1"/>
  <c r="X274" i="570" s="1"/>
  <c r="X291" i="570" s="1"/>
  <c r="X308" i="570" s="1"/>
  <c r="X325" i="570" s="1"/>
  <c r="X342" i="570" s="1"/>
  <c r="X359" i="570" s="1"/>
  <c r="X376" i="570" s="1"/>
  <c r="X393" i="570" s="1"/>
  <c r="X410" i="570" s="1"/>
  <c r="X427" i="570" s="1"/>
  <c r="X444" i="570" s="1"/>
  <c r="X461" i="570" s="1"/>
  <c r="X478" i="570" s="1"/>
  <c r="X495" i="570" s="1"/>
  <c r="X512" i="570" s="1"/>
  <c r="X529" i="570" s="1"/>
  <c r="W19" i="570"/>
  <c r="W36" i="570" s="1"/>
  <c r="W53" i="570" s="1"/>
  <c r="W70" i="570" s="1"/>
  <c r="W87" i="570" s="1"/>
  <c r="W104" i="570" s="1"/>
  <c r="W121" i="570" s="1"/>
  <c r="W138" i="570" s="1"/>
  <c r="W155" i="570" s="1"/>
  <c r="W172" i="570" s="1"/>
  <c r="W189" i="570" s="1"/>
  <c r="W206" i="570" s="1"/>
  <c r="W223" i="570" s="1"/>
  <c r="W240" i="570" s="1"/>
  <c r="W257" i="570" s="1"/>
  <c r="W274" i="570" s="1"/>
  <c r="W291" i="570" s="1"/>
  <c r="W308" i="570" s="1"/>
  <c r="W325" i="570" s="1"/>
  <c r="W342" i="570" s="1"/>
  <c r="W359" i="570" s="1"/>
  <c r="W376" i="570" s="1"/>
  <c r="W393" i="570" s="1"/>
  <c r="W410" i="570" s="1"/>
  <c r="W427" i="570" s="1"/>
  <c r="W444" i="570" s="1"/>
  <c r="W461" i="570" s="1"/>
  <c r="W478" i="570" s="1"/>
  <c r="W495" i="570" s="1"/>
  <c r="W512" i="570" s="1"/>
  <c r="W529" i="570" s="1"/>
  <c r="T19" i="570"/>
  <c r="T36" i="570" s="1"/>
  <c r="S19" i="570"/>
  <c r="S36" i="570" s="1"/>
  <c r="P19" i="570"/>
  <c r="P36" i="570" s="1"/>
  <c r="K19" i="570"/>
  <c r="K36" i="570" s="1"/>
  <c r="K53" i="570" s="1"/>
  <c r="K70" i="570" s="1"/>
  <c r="K87" i="570" s="1"/>
  <c r="K104" i="570" s="1"/>
  <c r="K121" i="570" s="1"/>
  <c r="K138" i="570" s="1"/>
  <c r="K155" i="570" s="1"/>
  <c r="K172" i="570" s="1"/>
  <c r="K189" i="570" s="1"/>
  <c r="K206" i="570" s="1"/>
  <c r="K223" i="570" s="1"/>
  <c r="K240" i="570" s="1"/>
  <c r="K257" i="570" s="1"/>
  <c r="K274" i="570" s="1"/>
  <c r="K291" i="570" s="1"/>
  <c r="K308" i="570" s="1"/>
  <c r="K325" i="570" s="1"/>
  <c r="K342" i="570" s="1"/>
  <c r="K359" i="570" s="1"/>
  <c r="K376" i="570" s="1"/>
  <c r="K393" i="570" s="1"/>
  <c r="K410" i="570" s="1"/>
  <c r="K427" i="570" s="1"/>
  <c r="K444" i="570" s="1"/>
  <c r="K461" i="570" s="1"/>
  <c r="K478" i="570" s="1"/>
  <c r="K495" i="570" s="1"/>
  <c r="K512" i="570" s="1"/>
  <c r="K529" i="570" s="1"/>
  <c r="H19" i="570"/>
  <c r="H36" i="570" s="1"/>
  <c r="H53" i="570" s="1"/>
  <c r="H70" i="570" s="1"/>
  <c r="H87" i="570" s="1"/>
  <c r="H104" i="570" s="1"/>
  <c r="H121" i="570" s="1"/>
  <c r="H138" i="570" s="1"/>
  <c r="H155" i="570" s="1"/>
  <c r="H172" i="570" s="1"/>
  <c r="H189" i="570" s="1"/>
  <c r="H206" i="570" s="1"/>
  <c r="H223" i="570" s="1"/>
  <c r="H240" i="570" s="1"/>
  <c r="H257" i="570" s="1"/>
  <c r="H274" i="570" s="1"/>
  <c r="H291" i="570" s="1"/>
  <c r="H308" i="570" s="1"/>
  <c r="H325" i="570" s="1"/>
  <c r="H342" i="570" s="1"/>
  <c r="H359" i="570" s="1"/>
  <c r="H376" i="570" s="1"/>
  <c r="H393" i="570" s="1"/>
  <c r="H410" i="570" s="1"/>
  <c r="H427" i="570" s="1"/>
  <c r="H444" i="570" s="1"/>
  <c r="H461" i="570" s="1"/>
  <c r="H478" i="570" s="1"/>
  <c r="H495" i="570" s="1"/>
  <c r="H512" i="570" s="1"/>
  <c r="H529" i="570" s="1"/>
  <c r="G19" i="570"/>
  <c r="G36" i="570" s="1"/>
  <c r="G53" i="570" s="1"/>
  <c r="G70" i="570" s="1"/>
  <c r="G87" i="570" s="1"/>
  <c r="G104" i="570" s="1"/>
  <c r="G121" i="570" s="1"/>
  <c r="G138" i="570" s="1"/>
  <c r="G155" i="570" s="1"/>
  <c r="G172" i="570" s="1"/>
  <c r="G189" i="570" s="1"/>
  <c r="G206" i="570" s="1"/>
  <c r="G223" i="570" s="1"/>
  <c r="G240" i="570" s="1"/>
  <c r="G257" i="570" s="1"/>
  <c r="G274" i="570" s="1"/>
  <c r="G291" i="570" s="1"/>
  <c r="G308" i="570" s="1"/>
  <c r="G325" i="570" s="1"/>
  <c r="G342" i="570" s="1"/>
  <c r="G359" i="570" s="1"/>
  <c r="G376" i="570" s="1"/>
  <c r="G393" i="570" s="1"/>
  <c r="G410" i="570" s="1"/>
  <c r="G427" i="570" s="1"/>
  <c r="G444" i="570" s="1"/>
  <c r="G461" i="570" s="1"/>
  <c r="G478" i="570" s="1"/>
  <c r="G495" i="570" s="1"/>
  <c r="G512" i="570" s="1"/>
  <c r="G529" i="570" s="1"/>
  <c r="D19" i="570"/>
  <c r="D36" i="570" s="1"/>
  <c r="AS17" i="570"/>
  <c r="AS16" i="570"/>
  <c r="AS15" i="570"/>
  <c r="AS14" i="570"/>
  <c r="AS13" i="570"/>
  <c r="AS12" i="570"/>
  <c r="AS10" i="570"/>
  <c r="AT2" i="570"/>
  <c r="AS2" i="570"/>
  <c r="AU2" i="570" s="1"/>
  <c r="AQ19" i="570"/>
  <c r="AQ36" i="570" s="1"/>
  <c r="AQ53" i="570" s="1"/>
  <c r="AQ70" i="570" s="1"/>
  <c r="AQ87" i="570" s="1"/>
  <c r="AQ104" i="570" s="1"/>
  <c r="AQ121" i="570" s="1"/>
  <c r="AQ138" i="570" s="1"/>
  <c r="AQ155" i="570" s="1"/>
  <c r="AQ172" i="570" s="1"/>
  <c r="AQ189" i="570" s="1"/>
  <c r="AQ206" i="570" s="1"/>
  <c r="AQ223" i="570" s="1"/>
  <c r="AQ240" i="570" s="1"/>
  <c r="AQ257" i="570" s="1"/>
  <c r="AQ274" i="570" s="1"/>
  <c r="AQ291" i="570" s="1"/>
  <c r="AQ308" i="570" s="1"/>
  <c r="AQ325" i="570" s="1"/>
  <c r="AQ342" i="570" s="1"/>
  <c r="AQ359" i="570" s="1"/>
  <c r="AQ376" i="570" s="1"/>
  <c r="AQ393" i="570" s="1"/>
  <c r="AQ410" i="570" s="1"/>
  <c r="AQ427" i="570" s="1"/>
  <c r="AP19" i="570"/>
  <c r="AP36" i="570" s="1"/>
  <c r="AP53" i="570" s="1"/>
  <c r="AP70" i="570" s="1"/>
  <c r="AP87" i="570" s="1"/>
  <c r="AP104" i="570" s="1"/>
  <c r="AP121" i="570" s="1"/>
  <c r="AP138" i="570" s="1"/>
  <c r="AP155" i="570" s="1"/>
  <c r="AP172" i="570" s="1"/>
  <c r="AP189" i="570" s="1"/>
  <c r="AP206" i="570" s="1"/>
  <c r="AP223" i="570" s="1"/>
  <c r="AP240" i="570" s="1"/>
  <c r="AP257" i="570" s="1"/>
  <c r="AP274" i="570" s="1"/>
  <c r="AP291" i="570" s="1"/>
  <c r="AP308" i="570" s="1"/>
  <c r="AP325" i="570" s="1"/>
  <c r="AP342" i="570" s="1"/>
  <c r="AP359" i="570" s="1"/>
  <c r="AP376" i="570" s="1"/>
  <c r="AP393" i="570" s="1"/>
  <c r="AP410" i="570" s="1"/>
  <c r="AP427" i="570" s="1"/>
  <c r="AO19" i="570"/>
  <c r="AO36" i="570" s="1"/>
  <c r="AO53" i="570" s="1"/>
  <c r="AO70" i="570" s="1"/>
  <c r="AO87" i="570" s="1"/>
  <c r="AO104" i="570" s="1"/>
  <c r="AO121" i="570" s="1"/>
  <c r="AO138" i="570" s="1"/>
  <c r="AO155" i="570" s="1"/>
  <c r="AO172" i="570" s="1"/>
  <c r="AO189" i="570" s="1"/>
  <c r="AO206" i="570" s="1"/>
  <c r="AO223" i="570" s="1"/>
  <c r="AO240" i="570" s="1"/>
  <c r="AO257" i="570" s="1"/>
  <c r="AO274" i="570" s="1"/>
  <c r="AO291" i="570" s="1"/>
  <c r="AO308" i="570" s="1"/>
  <c r="AO325" i="570" s="1"/>
  <c r="AO342" i="570" s="1"/>
  <c r="AO359" i="570" s="1"/>
  <c r="AO376" i="570" s="1"/>
  <c r="AO393" i="570" s="1"/>
  <c r="AO410" i="570" s="1"/>
  <c r="AO427" i="570" s="1"/>
  <c r="AM19" i="570"/>
  <c r="AM36" i="570" s="1"/>
  <c r="AM53" i="570" s="1"/>
  <c r="AM70" i="570" s="1"/>
  <c r="AM87" i="570" s="1"/>
  <c r="AM104" i="570" s="1"/>
  <c r="AM121" i="570" s="1"/>
  <c r="AM138" i="570" s="1"/>
  <c r="AM155" i="570" s="1"/>
  <c r="AM172" i="570" s="1"/>
  <c r="AM189" i="570" s="1"/>
  <c r="AM206" i="570" s="1"/>
  <c r="AM223" i="570" s="1"/>
  <c r="AM240" i="570" s="1"/>
  <c r="AM257" i="570" s="1"/>
  <c r="AM274" i="570" s="1"/>
  <c r="AM291" i="570" s="1"/>
  <c r="AM308" i="570" s="1"/>
  <c r="AM325" i="570" s="1"/>
  <c r="AM342" i="570" s="1"/>
  <c r="AM359" i="570" s="1"/>
  <c r="AM376" i="570" s="1"/>
  <c r="AM393" i="570" s="1"/>
  <c r="AM410" i="570" s="1"/>
  <c r="AM427" i="570" s="1"/>
  <c r="AK19" i="570"/>
  <c r="AK36" i="570" s="1"/>
  <c r="AK53" i="570" s="1"/>
  <c r="AK70" i="570" s="1"/>
  <c r="AK87" i="570" s="1"/>
  <c r="AK104" i="570" s="1"/>
  <c r="AK121" i="570" s="1"/>
  <c r="AK138" i="570" s="1"/>
  <c r="AK155" i="570" s="1"/>
  <c r="AK172" i="570" s="1"/>
  <c r="AK189" i="570" s="1"/>
  <c r="AK206" i="570" s="1"/>
  <c r="AK223" i="570" s="1"/>
  <c r="AK240" i="570" s="1"/>
  <c r="AK257" i="570" s="1"/>
  <c r="AK274" i="570" s="1"/>
  <c r="AK291" i="570" s="1"/>
  <c r="AK308" i="570" s="1"/>
  <c r="AK325" i="570" s="1"/>
  <c r="AK342" i="570" s="1"/>
  <c r="AK359" i="570" s="1"/>
  <c r="AK376" i="570" s="1"/>
  <c r="AK393" i="570" s="1"/>
  <c r="AK410" i="570" s="1"/>
  <c r="AK427" i="570" s="1"/>
  <c r="AH19" i="570"/>
  <c r="AH36" i="570" s="1"/>
  <c r="AH53" i="570" s="1"/>
  <c r="AH70" i="570" s="1"/>
  <c r="AH87" i="570" s="1"/>
  <c r="AH104" i="570" s="1"/>
  <c r="AH121" i="570" s="1"/>
  <c r="AH138" i="570" s="1"/>
  <c r="AH155" i="570" s="1"/>
  <c r="AH172" i="570" s="1"/>
  <c r="AH189" i="570" s="1"/>
  <c r="AH206" i="570" s="1"/>
  <c r="AH223" i="570" s="1"/>
  <c r="AH240" i="570" s="1"/>
  <c r="AH257" i="570" s="1"/>
  <c r="AH274" i="570" s="1"/>
  <c r="AH291" i="570" s="1"/>
  <c r="AH308" i="570" s="1"/>
  <c r="AH325" i="570" s="1"/>
  <c r="AH342" i="570" s="1"/>
  <c r="AH359" i="570" s="1"/>
  <c r="AH376" i="570" s="1"/>
  <c r="AH393" i="570" s="1"/>
  <c r="AH410" i="570" s="1"/>
  <c r="AH427" i="570" s="1"/>
  <c r="AG19" i="570"/>
  <c r="AG36" i="570" s="1"/>
  <c r="AG53" i="570" s="1"/>
  <c r="AG70" i="570" s="1"/>
  <c r="AG87" i="570" s="1"/>
  <c r="AG104" i="570" s="1"/>
  <c r="AG121" i="570" s="1"/>
  <c r="AG138" i="570" s="1"/>
  <c r="AG155" i="570" s="1"/>
  <c r="AG172" i="570" s="1"/>
  <c r="AG189" i="570" s="1"/>
  <c r="AG206" i="570" s="1"/>
  <c r="AG223" i="570" s="1"/>
  <c r="AG240" i="570" s="1"/>
  <c r="AG257" i="570" s="1"/>
  <c r="AG274" i="570" s="1"/>
  <c r="AG291" i="570" s="1"/>
  <c r="AG308" i="570" s="1"/>
  <c r="AG325" i="570" s="1"/>
  <c r="AG342" i="570" s="1"/>
  <c r="AG359" i="570" s="1"/>
  <c r="AG376" i="570" s="1"/>
  <c r="AG393" i="570" s="1"/>
  <c r="AG410" i="570" s="1"/>
  <c r="AG427" i="570" s="1"/>
  <c r="AD19" i="570"/>
  <c r="AD36" i="570" s="1"/>
  <c r="AD53" i="570" s="1"/>
  <c r="AD70" i="570" s="1"/>
  <c r="AD87" i="570" s="1"/>
  <c r="AD104" i="570" s="1"/>
  <c r="AD121" i="570" s="1"/>
  <c r="AD138" i="570" s="1"/>
  <c r="AD155" i="570" s="1"/>
  <c r="AD172" i="570" s="1"/>
  <c r="AD189" i="570" s="1"/>
  <c r="AD206" i="570" s="1"/>
  <c r="AD223" i="570" s="1"/>
  <c r="AD240" i="570" s="1"/>
  <c r="AD257" i="570" s="1"/>
  <c r="AD274" i="570" s="1"/>
  <c r="AD291" i="570" s="1"/>
  <c r="AD308" i="570" s="1"/>
  <c r="AD325" i="570" s="1"/>
  <c r="AD342" i="570" s="1"/>
  <c r="AD359" i="570" s="1"/>
  <c r="AD376" i="570" s="1"/>
  <c r="AD393" i="570" s="1"/>
  <c r="AD410" i="570" s="1"/>
  <c r="AD427" i="570" s="1"/>
  <c r="AC19" i="570"/>
  <c r="AC36" i="570" s="1"/>
  <c r="AC53" i="570" s="1"/>
  <c r="AC70" i="570" s="1"/>
  <c r="AC87" i="570" s="1"/>
  <c r="AC104" i="570" s="1"/>
  <c r="AC121" i="570" s="1"/>
  <c r="AC138" i="570" s="1"/>
  <c r="AC155" i="570" s="1"/>
  <c r="AC172" i="570" s="1"/>
  <c r="AC189" i="570" s="1"/>
  <c r="AC206" i="570" s="1"/>
  <c r="AC223" i="570" s="1"/>
  <c r="AC240" i="570" s="1"/>
  <c r="AC257" i="570" s="1"/>
  <c r="AC274" i="570" s="1"/>
  <c r="AC291" i="570" s="1"/>
  <c r="AC308" i="570" s="1"/>
  <c r="AC325" i="570" s="1"/>
  <c r="AC342" i="570" s="1"/>
  <c r="AC359" i="570" s="1"/>
  <c r="AC376" i="570" s="1"/>
  <c r="AC393" i="570" s="1"/>
  <c r="AC410" i="570" s="1"/>
  <c r="AC427" i="570" s="1"/>
  <c r="Z19" i="570"/>
  <c r="Z36" i="570" s="1"/>
  <c r="Z53" i="570" s="1"/>
  <c r="Z70" i="570" s="1"/>
  <c r="Z87" i="570" s="1"/>
  <c r="Z104" i="570" s="1"/>
  <c r="Z121" i="570" s="1"/>
  <c r="Z138" i="570" s="1"/>
  <c r="Z155" i="570" s="1"/>
  <c r="Z172" i="570" s="1"/>
  <c r="Z189" i="570" s="1"/>
  <c r="Z206" i="570" s="1"/>
  <c r="Z223" i="570" s="1"/>
  <c r="Z240" i="570" s="1"/>
  <c r="Z257" i="570" s="1"/>
  <c r="Z274" i="570" s="1"/>
  <c r="Z291" i="570" s="1"/>
  <c r="Z308" i="570" s="1"/>
  <c r="Z325" i="570" s="1"/>
  <c r="Z342" i="570" s="1"/>
  <c r="Z359" i="570" s="1"/>
  <c r="Z376" i="570" s="1"/>
  <c r="Z393" i="570" s="1"/>
  <c r="Z410" i="570" s="1"/>
  <c r="Z427" i="570" s="1"/>
  <c r="Y19" i="570"/>
  <c r="Y36" i="570" s="1"/>
  <c r="Y53" i="570" s="1"/>
  <c r="Y70" i="570" s="1"/>
  <c r="Y87" i="570" s="1"/>
  <c r="Y104" i="570" s="1"/>
  <c r="Y121" i="570" s="1"/>
  <c r="Y138" i="570" s="1"/>
  <c r="Y155" i="570" s="1"/>
  <c r="Y172" i="570" s="1"/>
  <c r="Y189" i="570" s="1"/>
  <c r="Y206" i="570" s="1"/>
  <c r="Y223" i="570" s="1"/>
  <c r="Y240" i="570" s="1"/>
  <c r="Y257" i="570" s="1"/>
  <c r="Y274" i="570" s="1"/>
  <c r="Y291" i="570" s="1"/>
  <c r="Y308" i="570" s="1"/>
  <c r="Y325" i="570" s="1"/>
  <c r="Y342" i="570" s="1"/>
  <c r="Y359" i="570" s="1"/>
  <c r="Y376" i="570" s="1"/>
  <c r="Y393" i="570" s="1"/>
  <c r="Y410" i="570" s="1"/>
  <c r="Y427" i="570" s="1"/>
  <c r="Y444" i="570" s="1"/>
  <c r="Y461" i="570" s="1"/>
  <c r="Y478" i="570" s="1"/>
  <c r="Y495" i="570" s="1"/>
  <c r="Y512" i="570" s="1"/>
  <c r="Y529" i="570" s="1"/>
  <c r="V19" i="570"/>
  <c r="V36" i="570" s="1"/>
  <c r="V53" i="570" s="1"/>
  <c r="V70" i="570" s="1"/>
  <c r="V87" i="570" s="1"/>
  <c r="V104" i="570" s="1"/>
  <c r="V121" i="570" s="1"/>
  <c r="V138" i="570" s="1"/>
  <c r="V155" i="570" s="1"/>
  <c r="V172" i="570" s="1"/>
  <c r="V189" i="570" s="1"/>
  <c r="V206" i="570" s="1"/>
  <c r="V223" i="570" s="1"/>
  <c r="V240" i="570" s="1"/>
  <c r="V257" i="570" s="1"/>
  <c r="V274" i="570" s="1"/>
  <c r="V291" i="570" s="1"/>
  <c r="V308" i="570" s="1"/>
  <c r="V325" i="570" s="1"/>
  <c r="V342" i="570" s="1"/>
  <c r="V359" i="570" s="1"/>
  <c r="V376" i="570" s="1"/>
  <c r="V393" i="570" s="1"/>
  <c r="V410" i="570" s="1"/>
  <c r="V427" i="570" s="1"/>
  <c r="V444" i="570" s="1"/>
  <c r="V461" i="570" s="1"/>
  <c r="V478" i="570" s="1"/>
  <c r="V495" i="570" s="1"/>
  <c r="V512" i="570" s="1"/>
  <c r="V529" i="570" s="1"/>
  <c r="U19" i="570"/>
  <c r="U36" i="570" s="1"/>
  <c r="U53" i="570" s="1"/>
  <c r="U70" i="570" s="1"/>
  <c r="U87" i="570" s="1"/>
  <c r="U104" i="570" s="1"/>
  <c r="U121" i="570" s="1"/>
  <c r="U138" i="570" s="1"/>
  <c r="U155" i="570" s="1"/>
  <c r="U172" i="570" s="1"/>
  <c r="U189" i="570" s="1"/>
  <c r="U206" i="570" s="1"/>
  <c r="U223" i="570" s="1"/>
  <c r="U240" i="570" s="1"/>
  <c r="U257" i="570" s="1"/>
  <c r="U274" i="570" s="1"/>
  <c r="U291" i="570" s="1"/>
  <c r="U308" i="570" s="1"/>
  <c r="U325" i="570" s="1"/>
  <c r="U342" i="570" s="1"/>
  <c r="U359" i="570" s="1"/>
  <c r="U376" i="570" s="1"/>
  <c r="U393" i="570" s="1"/>
  <c r="U410" i="570" s="1"/>
  <c r="U427" i="570" s="1"/>
  <c r="U444" i="570" s="1"/>
  <c r="U461" i="570" s="1"/>
  <c r="U478" i="570" s="1"/>
  <c r="U495" i="570" s="1"/>
  <c r="U512" i="570" s="1"/>
  <c r="U529" i="570" s="1"/>
  <c r="AR18" i="570"/>
  <c r="Q19" i="570"/>
  <c r="Q36" i="570" s="1"/>
  <c r="Q53" i="570" s="1"/>
  <c r="Q70" i="570" s="1"/>
  <c r="Q87" i="570" s="1"/>
  <c r="Q104" i="570" s="1"/>
  <c r="Q121" i="570" s="1"/>
  <c r="Q138" i="570" s="1"/>
  <c r="Q155" i="570" s="1"/>
  <c r="Q172" i="570" s="1"/>
  <c r="Q189" i="570" s="1"/>
  <c r="Q206" i="570" s="1"/>
  <c r="Q223" i="570" s="1"/>
  <c r="Q240" i="570" s="1"/>
  <c r="Q257" i="570" s="1"/>
  <c r="Q274" i="570" s="1"/>
  <c r="Q291" i="570" s="1"/>
  <c r="Q308" i="570" s="1"/>
  <c r="Q325" i="570" s="1"/>
  <c r="Q342" i="570" s="1"/>
  <c r="Q359" i="570" s="1"/>
  <c r="Q376" i="570" s="1"/>
  <c r="Q393" i="570" s="1"/>
  <c r="Q410" i="570" s="1"/>
  <c r="Q427" i="570" s="1"/>
  <c r="Q444" i="570" s="1"/>
  <c r="Q461" i="570" s="1"/>
  <c r="Q478" i="570" s="1"/>
  <c r="Q495" i="570" s="1"/>
  <c r="Q512" i="570" s="1"/>
  <c r="Q529" i="570" s="1"/>
  <c r="N19" i="570"/>
  <c r="M19" i="570"/>
  <c r="J19" i="570"/>
  <c r="J36" i="570" s="1"/>
  <c r="J53" i="570" s="1"/>
  <c r="J70" i="570" s="1"/>
  <c r="J87" i="570" s="1"/>
  <c r="J104" i="570" s="1"/>
  <c r="J121" i="570" s="1"/>
  <c r="J138" i="570" s="1"/>
  <c r="J155" i="570" s="1"/>
  <c r="J172" i="570" s="1"/>
  <c r="J189" i="570" s="1"/>
  <c r="J206" i="570" s="1"/>
  <c r="J223" i="570" s="1"/>
  <c r="J240" i="570" s="1"/>
  <c r="J257" i="570" s="1"/>
  <c r="J274" i="570" s="1"/>
  <c r="J291" i="570" s="1"/>
  <c r="J308" i="570" s="1"/>
  <c r="J325" i="570" s="1"/>
  <c r="J342" i="570" s="1"/>
  <c r="J359" i="570" s="1"/>
  <c r="J376" i="570" s="1"/>
  <c r="J393" i="570" s="1"/>
  <c r="J410" i="570" s="1"/>
  <c r="J427" i="570" s="1"/>
  <c r="J444" i="570" s="1"/>
  <c r="J461" i="570" s="1"/>
  <c r="J478" i="570" s="1"/>
  <c r="J495" i="570" s="1"/>
  <c r="J512" i="570" s="1"/>
  <c r="J529" i="570" s="1"/>
  <c r="I19" i="570"/>
  <c r="I36" i="570" s="1"/>
  <c r="I53" i="570" s="1"/>
  <c r="I70" i="570" s="1"/>
  <c r="I87" i="570" s="1"/>
  <c r="I104" i="570" s="1"/>
  <c r="I121" i="570" s="1"/>
  <c r="I138" i="570" s="1"/>
  <c r="I155" i="570" s="1"/>
  <c r="I172" i="570" s="1"/>
  <c r="I189" i="570" s="1"/>
  <c r="I206" i="570" s="1"/>
  <c r="I223" i="570" s="1"/>
  <c r="I240" i="570" s="1"/>
  <c r="I257" i="570" s="1"/>
  <c r="I274" i="570" s="1"/>
  <c r="I291" i="570" s="1"/>
  <c r="I308" i="570" s="1"/>
  <c r="I325" i="570" s="1"/>
  <c r="I342" i="570" s="1"/>
  <c r="I359" i="570" s="1"/>
  <c r="I376" i="570" s="1"/>
  <c r="I393" i="570" s="1"/>
  <c r="I410" i="570" s="1"/>
  <c r="I427" i="570" s="1"/>
  <c r="I444" i="570" s="1"/>
  <c r="I461" i="570" s="1"/>
  <c r="I478" i="570" s="1"/>
  <c r="I495" i="570" s="1"/>
  <c r="I512" i="570" s="1"/>
  <c r="I529" i="570" s="1"/>
  <c r="F19" i="570"/>
  <c r="F36" i="570" s="1"/>
  <c r="F53" i="570" s="1"/>
  <c r="F70" i="570" s="1"/>
  <c r="F87" i="570" s="1"/>
  <c r="F104" i="570" s="1"/>
  <c r="F121" i="570" s="1"/>
  <c r="F138" i="570" s="1"/>
  <c r="F155" i="570" s="1"/>
  <c r="F172" i="570" s="1"/>
  <c r="F189" i="570" s="1"/>
  <c r="F206" i="570" s="1"/>
  <c r="F223" i="570" s="1"/>
  <c r="F240" i="570" s="1"/>
  <c r="F257" i="570" s="1"/>
  <c r="F274" i="570" s="1"/>
  <c r="F291" i="570" s="1"/>
  <c r="F308" i="570" s="1"/>
  <c r="F325" i="570" s="1"/>
  <c r="F342" i="570" s="1"/>
  <c r="F359" i="570" s="1"/>
  <c r="F376" i="570" s="1"/>
  <c r="F393" i="570" s="1"/>
  <c r="F410" i="570" s="1"/>
  <c r="F427" i="570" s="1"/>
  <c r="F444" i="570" s="1"/>
  <c r="F461" i="570" s="1"/>
  <c r="F478" i="570" s="1"/>
  <c r="F495" i="570" s="1"/>
  <c r="F512" i="570" s="1"/>
  <c r="F529" i="570" s="1"/>
  <c r="C1" i="570"/>
  <c r="C2" i="570"/>
  <c r="AR2" i="569"/>
  <c r="AQ2" i="569"/>
  <c r="AP2" i="569"/>
  <c r="AO2" i="569"/>
  <c r="AN2" i="569"/>
  <c r="AM2" i="569"/>
  <c r="AL2" i="569"/>
  <c r="AK2" i="569"/>
  <c r="AJ2" i="569"/>
  <c r="AI2" i="569"/>
  <c r="AH2" i="569"/>
  <c r="AG2" i="569"/>
  <c r="AF2" i="569"/>
  <c r="AE2" i="569"/>
  <c r="AD2" i="569"/>
  <c r="AC2" i="569"/>
  <c r="AB2" i="569"/>
  <c r="AA2" i="569"/>
  <c r="Z2" i="569"/>
  <c r="Y2" i="569"/>
  <c r="X2" i="569"/>
  <c r="W2" i="569"/>
  <c r="V2" i="569"/>
  <c r="U2" i="569"/>
  <c r="T2" i="569"/>
  <c r="S2" i="569"/>
  <c r="R2" i="569"/>
  <c r="Q2" i="569"/>
  <c r="P2" i="569"/>
  <c r="O2" i="569"/>
  <c r="N2" i="569"/>
  <c r="M2" i="569"/>
  <c r="L2" i="569"/>
  <c r="K2" i="569"/>
  <c r="J2" i="569"/>
  <c r="I2" i="569"/>
  <c r="H2" i="569"/>
  <c r="G2" i="569"/>
  <c r="F2" i="569"/>
  <c r="E2" i="569"/>
  <c r="D2" i="569"/>
  <c r="AR2" i="568"/>
  <c r="AQ2" i="568"/>
  <c r="AP2" i="568"/>
  <c r="AO2" i="568"/>
  <c r="AO19" i="568" s="1"/>
  <c r="AO36" i="568" s="1"/>
  <c r="AO53" i="568" s="1"/>
  <c r="AO70" i="568" s="1"/>
  <c r="AO87" i="568" s="1"/>
  <c r="AO104" i="568" s="1"/>
  <c r="AO121" i="568" s="1"/>
  <c r="AO138" i="568" s="1"/>
  <c r="AO155" i="568" s="1"/>
  <c r="AO172" i="568" s="1"/>
  <c r="AO189" i="568" s="1"/>
  <c r="AO206" i="568" s="1"/>
  <c r="AO223" i="568" s="1"/>
  <c r="AO240" i="568" s="1"/>
  <c r="AO257" i="568" s="1"/>
  <c r="AO274" i="568" s="1"/>
  <c r="AO291" i="568" s="1"/>
  <c r="AO308" i="568" s="1"/>
  <c r="AO325" i="568" s="1"/>
  <c r="AO342" i="568" s="1"/>
  <c r="AO359" i="568" s="1"/>
  <c r="AO376" i="568" s="1"/>
  <c r="AO393" i="568" s="1"/>
  <c r="AO410" i="568" s="1"/>
  <c r="AO427" i="568" s="1"/>
  <c r="AN2" i="568"/>
  <c r="AM2" i="568"/>
  <c r="AL2" i="568"/>
  <c r="AK2" i="568"/>
  <c r="AJ2" i="568"/>
  <c r="AI2" i="568"/>
  <c r="AH2" i="568"/>
  <c r="AG2" i="568"/>
  <c r="AF2" i="568"/>
  <c r="AE2" i="568"/>
  <c r="AD2" i="568"/>
  <c r="AC2" i="568"/>
  <c r="AB2" i="568"/>
  <c r="AA2" i="568"/>
  <c r="Z2" i="568"/>
  <c r="Y2" i="568"/>
  <c r="X2" i="568"/>
  <c r="W2" i="568"/>
  <c r="V2" i="568"/>
  <c r="U2" i="568"/>
  <c r="AR18" i="568" s="1"/>
  <c r="T2" i="568"/>
  <c r="S2" i="568"/>
  <c r="R2" i="568"/>
  <c r="Q2" i="568"/>
  <c r="Q19" i="568" s="1"/>
  <c r="Q36" i="568" s="1"/>
  <c r="Q53" i="568" s="1"/>
  <c r="Q70" i="568" s="1"/>
  <c r="Q87" i="568" s="1"/>
  <c r="Q104" i="568" s="1"/>
  <c r="Q121" i="568" s="1"/>
  <c r="Q138" i="568" s="1"/>
  <c r="Q155" i="568" s="1"/>
  <c r="Q172" i="568" s="1"/>
  <c r="Q189" i="568" s="1"/>
  <c r="Q206" i="568" s="1"/>
  <c r="Q223" i="568" s="1"/>
  <c r="Q240" i="568" s="1"/>
  <c r="Q257" i="568" s="1"/>
  <c r="Q274" i="568" s="1"/>
  <c r="Q291" i="568" s="1"/>
  <c r="Q308" i="568" s="1"/>
  <c r="Q325" i="568" s="1"/>
  <c r="Q342" i="568" s="1"/>
  <c r="Q359" i="568" s="1"/>
  <c r="Q376" i="568" s="1"/>
  <c r="Q393" i="568" s="1"/>
  <c r="Q410" i="568" s="1"/>
  <c r="Q427" i="568" s="1"/>
  <c r="Q444" i="568" s="1"/>
  <c r="Q461" i="568" s="1"/>
  <c r="Q478" i="568" s="1"/>
  <c r="Q495" i="568" s="1"/>
  <c r="Q512" i="568" s="1"/>
  <c r="Q529" i="568" s="1"/>
  <c r="P2" i="568"/>
  <c r="O2" i="568"/>
  <c r="N2" i="568"/>
  <c r="M2" i="568"/>
  <c r="M19" i="568" s="1"/>
  <c r="L2" i="568"/>
  <c r="K2" i="568"/>
  <c r="J2" i="568"/>
  <c r="I2" i="568"/>
  <c r="I19" i="568" s="1"/>
  <c r="I36" i="568" s="1"/>
  <c r="I53" i="568" s="1"/>
  <c r="I70" i="568" s="1"/>
  <c r="I87" i="568" s="1"/>
  <c r="I104" i="568" s="1"/>
  <c r="I121" i="568" s="1"/>
  <c r="I138" i="568" s="1"/>
  <c r="I155" i="568" s="1"/>
  <c r="I172" i="568" s="1"/>
  <c r="I189" i="568" s="1"/>
  <c r="I206" i="568" s="1"/>
  <c r="I223" i="568" s="1"/>
  <c r="I240" i="568" s="1"/>
  <c r="I257" i="568" s="1"/>
  <c r="I274" i="568" s="1"/>
  <c r="I291" i="568" s="1"/>
  <c r="I308" i="568" s="1"/>
  <c r="I325" i="568" s="1"/>
  <c r="I342" i="568" s="1"/>
  <c r="I359" i="568" s="1"/>
  <c r="I376" i="568" s="1"/>
  <c r="I393" i="568" s="1"/>
  <c r="I410" i="568" s="1"/>
  <c r="I427" i="568" s="1"/>
  <c r="I444" i="568" s="1"/>
  <c r="I461" i="568" s="1"/>
  <c r="I478" i="568" s="1"/>
  <c r="I495" i="568" s="1"/>
  <c r="I512" i="568" s="1"/>
  <c r="I529" i="568" s="1"/>
  <c r="H2" i="568"/>
  <c r="G2" i="568"/>
  <c r="F2" i="568"/>
  <c r="E2" i="568"/>
  <c r="E19" i="568" s="1"/>
  <c r="E36" i="568" s="1"/>
  <c r="E53" i="568" s="1"/>
  <c r="E70" i="568" s="1"/>
  <c r="E87" i="568" s="1"/>
  <c r="E104" i="568" s="1"/>
  <c r="E121" i="568" s="1"/>
  <c r="E138" i="568" s="1"/>
  <c r="E155" i="568" s="1"/>
  <c r="E172" i="568" s="1"/>
  <c r="E189" i="568" s="1"/>
  <c r="E206" i="568" s="1"/>
  <c r="E223" i="568" s="1"/>
  <c r="E240" i="568" s="1"/>
  <c r="E257" i="568" s="1"/>
  <c r="E274" i="568" s="1"/>
  <c r="E291" i="568" s="1"/>
  <c r="E308" i="568" s="1"/>
  <c r="E325" i="568" s="1"/>
  <c r="E342" i="568" s="1"/>
  <c r="E359" i="568" s="1"/>
  <c r="E376" i="568" s="1"/>
  <c r="E393" i="568" s="1"/>
  <c r="E410" i="568" s="1"/>
  <c r="E427" i="568" s="1"/>
  <c r="E444" i="568" s="1"/>
  <c r="E461" i="568" s="1"/>
  <c r="E478" i="568" s="1"/>
  <c r="E495" i="568" s="1"/>
  <c r="E512" i="568" s="1"/>
  <c r="E529" i="568" s="1"/>
  <c r="D2" i="568"/>
  <c r="C540" i="569"/>
  <c r="Q536" i="569"/>
  <c r="C535" i="569"/>
  <c r="S534" i="569"/>
  <c r="P534" i="569"/>
  <c r="M534" i="569"/>
  <c r="N538" i="569" s="1"/>
  <c r="H534" i="569"/>
  <c r="C534" i="569"/>
  <c r="S533" i="569"/>
  <c r="P533" i="569"/>
  <c r="M533" i="569"/>
  <c r="H533" i="569"/>
  <c r="C533" i="569"/>
  <c r="U532" i="569"/>
  <c r="U534" i="569" s="1"/>
  <c r="S532" i="569"/>
  <c r="P532" i="569"/>
  <c r="M532" i="569"/>
  <c r="N536" i="569" s="1"/>
  <c r="H532" i="569"/>
  <c r="C532" i="569"/>
  <c r="H531" i="569"/>
  <c r="H536" i="569" s="1"/>
  <c r="AS526" i="569"/>
  <c r="AS525" i="569"/>
  <c r="AS524" i="569"/>
  <c r="AS523" i="569"/>
  <c r="AS522" i="569"/>
  <c r="AS520" i="569"/>
  <c r="AS509" i="569"/>
  <c r="AS508" i="569"/>
  <c r="AS507" i="569"/>
  <c r="AS506" i="569"/>
  <c r="AS505" i="569"/>
  <c r="AS503" i="569"/>
  <c r="AS492" i="569"/>
  <c r="AS491" i="569"/>
  <c r="AS490" i="569"/>
  <c r="AS489" i="569"/>
  <c r="AS488" i="569"/>
  <c r="AS486" i="569"/>
  <c r="AS475" i="569"/>
  <c r="AS474" i="569"/>
  <c r="AS473" i="569"/>
  <c r="AS472" i="569"/>
  <c r="AS471" i="569"/>
  <c r="AS469" i="569"/>
  <c r="AS458" i="569"/>
  <c r="AS457" i="569"/>
  <c r="AS456" i="569"/>
  <c r="AS455" i="569"/>
  <c r="AS454" i="569"/>
  <c r="AS452" i="569"/>
  <c r="AS441" i="569"/>
  <c r="AS440" i="569"/>
  <c r="AS439" i="569"/>
  <c r="AS438" i="569"/>
  <c r="AS437" i="569"/>
  <c r="AS435" i="569"/>
  <c r="AS424" i="569"/>
  <c r="AS423" i="569"/>
  <c r="AS422" i="569"/>
  <c r="AS421" i="569"/>
  <c r="AS420" i="569"/>
  <c r="AS418" i="569"/>
  <c r="AS407" i="569"/>
  <c r="AS406" i="569"/>
  <c r="AS405" i="569"/>
  <c r="AS404" i="569"/>
  <c r="AS403" i="569"/>
  <c r="AS401" i="569"/>
  <c r="AS390" i="569"/>
  <c r="AS389" i="569"/>
  <c r="AS388" i="569"/>
  <c r="AS387" i="569"/>
  <c r="AS386" i="569"/>
  <c r="AS384" i="569"/>
  <c r="AS373" i="569"/>
  <c r="AS372" i="569"/>
  <c r="AS371" i="569"/>
  <c r="AS370" i="569"/>
  <c r="AS369" i="569"/>
  <c r="AS367" i="569"/>
  <c r="AS356" i="569"/>
  <c r="AS355" i="569"/>
  <c r="AS354" i="569"/>
  <c r="AS353" i="569"/>
  <c r="AS352" i="569"/>
  <c r="AS350" i="569"/>
  <c r="AS339" i="569"/>
  <c r="AS338" i="569"/>
  <c r="AS337" i="569"/>
  <c r="AS336" i="569"/>
  <c r="AS335" i="569"/>
  <c r="AS333" i="569"/>
  <c r="AS322" i="569"/>
  <c r="AS321" i="569"/>
  <c r="AS320" i="569"/>
  <c r="AS319" i="569"/>
  <c r="AS318" i="569"/>
  <c r="AS316" i="569"/>
  <c r="AS305" i="569"/>
  <c r="AS304" i="569"/>
  <c r="AS303" i="569"/>
  <c r="AS302" i="569"/>
  <c r="AS301" i="569"/>
  <c r="AS299" i="569"/>
  <c r="AS288" i="569"/>
  <c r="AS287" i="569"/>
  <c r="AS286" i="569"/>
  <c r="AS285" i="569"/>
  <c r="AS284" i="569"/>
  <c r="AS282" i="569"/>
  <c r="AS271" i="569"/>
  <c r="AS270" i="569"/>
  <c r="AS269" i="569"/>
  <c r="AS268" i="569"/>
  <c r="AS267" i="569"/>
  <c r="AS265" i="569"/>
  <c r="AS254" i="569"/>
  <c r="AS253" i="569"/>
  <c r="AS252" i="569"/>
  <c r="AS251" i="569"/>
  <c r="AS250" i="569"/>
  <c r="AS248" i="569"/>
  <c r="AS237" i="569"/>
  <c r="AS236" i="569"/>
  <c r="AS235" i="569"/>
  <c r="AS234" i="569"/>
  <c r="AS233" i="569"/>
  <c r="AS231" i="569"/>
  <c r="AS220" i="569"/>
  <c r="AS219" i="569"/>
  <c r="AS218" i="569"/>
  <c r="AS217" i="569"/>
  <c r="AS216" i="569"/>
  <c r="AS214" i="569"/>
  <c r="AS203" i="569"/>
  <c r="AS202" i="569"/>
  <c r="AS201" i="569"/>
  <c r="AS200" i="569"/>
  <c r="AS199" i="569"/>
  <c r="AS197" i="569"/>
  <c r="AS186" i="569"/>
  <c r="AS185" i="569"/>
  <c r="AS184" i="569"/>
  <c r="AS183" i="569"/>
  <c r="AS182" i="569"/>
  <c r="AS180" i="569"/>
  <c r="AS169" i="569"/>
  <c r="AS168" i="569"/>
  <c r="AS167" i="569"/>
  <c r="AS166" i="569"/>
  <c r="AS165" i="569"/>
  <c r="AS163" i="569"/>
  <c r="AS152" i="569"/>
  <c r="AS151" i="569"/>
  <c r="AS150" i="569"/>
  <c r="AS149" i="569"/>
  <c r="AS148" i="569"/>
  <c r="AS146" i="569"/>
  <c r="AS136" i="569"/>
  <c r="AS135" i="569"/>
  <c r="AS134" i="569"/>
  <c r="AS133" i="569"/>
  <c r="AS132" i="569"/>
  <c r="AS131" i="569"/>
  <c r="AS129" i="569"/>
  <c r="AS119" i="569"/>
  <c r="AS118" i="569"/>
  <c r="AS117" i="569"/>
  <c r="AS116" i="569"/>
  <c r="AS115" i="569"/>
  <c r="AS114" i="569"/>
  <c r="AS112" i="569"/>
  <c r="AS102" i="569"/>
  <c r="AS101" i="569"/>
  <c r="AS100" i="569"/>
  <c r="AS99" i="569"/>
  <c r="AS98" i="569"/>
  <c r="AS97" i="569"/>
  <c r="AS95" i="569"/>
  <c r="AS85" i="569"/>
  <c r="AS84" i="569"/>
  <c r="AS83" i="569"/>
  <c r="AS82" i="569"/>
  <c r="AS81" i="569"/>
  <c r="AS80" i="569"/>
  <c r="AS78" i="569"/>
  <c r="AS68" i="569"/>
  <c r="AS67" i="569"/>
  <c r="AS66" i="569"/>
  <c r="AS65" i="569"/>
  <c r="AS64" i="569"/>
  <c r="AS63" i="569"/>
  <c r="AS61" i="569"/>
  <c r="AS51" i="569"/>
  <c r="AS50" i="569"/>
  <c r="AS49" i="569"/>
  <c r="AS48" i="569"/>
  <c r="AS47" i="569"/>
  <c r="AS46" i="569"/>
  <c r="AS44" i="569"/>
  <c r="AL36" i="569"/>
  <c r="AL53" i="569" s="1"/>
  <c r="AL70" i="569" s="1"/>
  <c r="AL87" i="569" s="1"/>
  <c r="AL104" i="569" s="1"/>
  <c r="AL121" i="569" s="1"/>
  <c r="AL138" i="569" s="1"/>
  <c r="AL155" i="569" s="1"/>
  <c r="AL172" i="569" s="1"/>
  <c r="AL189" i="569" s="1"/>
  <c r="AL206" i="569" s="1"/>
  <c r="AL223" i="569" s="1"/>
  <c r="AL240" i="569" s="1"/>
  <c r="AL257" i="569" s="1"/>
  <c r="AL274" i="569" s="1"/>
  <c r="AL291" i="569" s="1"/>
  <c r="AL308" i="569" s="1"/>
  <c r="AL325" i="569" s="1"/>
  <c r="AL342" i="569" s="1"/>
  <c r="AL359" i="569" s="1"/>
  <c r="AL376" i="569" s="1"/>
  <c r="AL393" i="569" s="1"/>
  <c r="AL410" i="569" s="1"/>
  <c r="AL427" i="569" s="1"/>
  <c r="AS34" i="569"/>
  <c r="AS33" i="569"/>
  <c r="AS32" i="569"/>
  <c r="AS31" i="569"/>
  <c r="AS30" i="569"/>
  <c r="AS29" i="569"/>
  <c r="AS27" i="569"/>
  <c r="A20" i="569"/>
  <c r="A37" i="569" s="1"/>
  <c r="A54" i="569" s="1"/>
  <c r="A71" i="569" s="1"/>
  <c r="A88" i="569" s="1"/>
  <c r="A105" i="569" s="1"/>
  <c r="A122" i="569" s="1"/>
  <c r="A139" i="569" s="1"/>
  <c r="A156" i="569" s="1"/>
  <c r="A173" i="569" s="1"/>
  <c r="A190" i="569" s="1"/>
  <c r="A207" i="569" s="1"/>
  <c r="A224" i="569" s="1"/>
  <c r="A241" i="569" s="1"/>
  <c r="A258" i="569" s="1"/>
  <c r="A275" i="569" s="1"/>
  <c r="A292" i="569" s="1"/>
  <c r="A309" i="569" s="1"/>
  <c r="A326" i="569" s="1"/>
  <c r="A343" i="569" s="1"/>
  <c r="A360" i="569" s="1"/>
  <c r="A377" i="569" s="1"/>
  <c r="A394" i="569" s="1"/>
  <c r="A411" i="569" s="1"/>
  <c r="A428" i="569" s="1"/>
  <c r="A445" i="569" s="1"/>
  <c r="A462" i="569" s="1"/>
  <c r="A479" i="569" s="1"/>
  <c r="A496" i="569" s="1"/>
  <c r="A513" i="569" s="1"/>
  <c r="AQ19" i="569"/>
  <c r="AQ36" i="569" s="1"/>
  <c r="AQ53" i="569" s="1"/>
  <c r="AQ70" i="569" s="1"/>
  <c r="AQ87" i="569" s="1"/>
  <c r="AQ104" i="569" s="1"/>
  <c r="AQ121" i="569" s="1"/>
  <c r="AQ138" i="569" s="1"/>
  <c r="AQ155" i="569" s="1"/>
  <c r="AQ172" i="569" s="1"/>
  <c r="AQ189" i="569" s="1"/>
  <c r="AQ206" i="569" s="1"/>
  <c r="AQ223" i="569" s="1"/>
  <c r="AQ240" i="569" s="1"/>
  <c r="AQ257" i="569" s="1"/>
  <c r="AQ274" i="569" s="1"/>
  <c r="AQ291" i="569" s="1"/>
  <c r="AQ308" i="569" s="1"/>
  <c r="AQ325" i="569" s="1"/>
  <c r="AQ342" i="569" s="1"/>
  <c r="AQ359" i="569" s="1"/>
  <c r="AQ376" i="569" s="1"/>
  <c r="AQ393" i="569" s="1"/>
  <c r="AQ410" i="569" s="1"/>
  <c r="AQ427" i="569" s="1"/>
  <c r="AO19" i="569"/>
  <c r="AO36" i="569" s="1"/>
  <c r="AO53" i="569" s="1"/>
  <c r="AO70" i="569" s="1"/>
  <c r="AO87" i="569" s="1"/>
  <c r="AO104" i="569" s="1"/>
  <c r="AO121" i="569" s="1"/>
  <c r="AO138" i="569" s="1"/>
  <c r="AO155" i="569" s="1"/>
  <c r="AO172" i="569" s="1"/>
  <c r="AO189" i="569" s="1"/>
  <c r="AO206" i="569" s="1"/>
  <c r="AO223" i="569" s="1"/>
  <c r="AO240" i="569" s="1"/>
  <c r="AO257" i="569" s="1"/>
  <c r="AO274" i="569" s="1"/>
  <c r="AO291" i="569" s="1"/>
  <c r="AO308" i="569" s="1"/>
  <c r="AO325" i="569" s="1"/>
  <c r="AO342" i="569" s="1"/>
  <c r="AO359" i="569" s="1"/>
  <c r="AO376" i="569" s="1"/>
  <c r="AO393" i="569" s="1"/>
  <c r="AO410" i="569" s="1"/>
  <c r="AO427" i="569" s="1"/>
  <c r="AM19" i="569"/>
  <c r="AM36" i="569" s="1"/>
  <c r="AM53" i="569" s="1"/>
  <c r="AM70" i="569" s="1"/>
  <c r="AM87" i="569" s="1"/>
  <c r="AM104" i="569" s="1"/>
  <c r="AM121" i="569" s="1"/>
  <c r="AM138" i="569" s="1"/>
  <c r="AM155" i="569" s="1"/>
  <c r="AM172" i="569" s="1"/>
  <c r="AM189" i="569" s="1"/>
  <c r="AM206" i="569" s="1"/>
  <c r="AM223" i="569" s="1"/>
  <c r="AM240" i="569" s="1"/>
  <c r="AM257" i="569" s="1"/>
  <c r="AM274" i="569" s="1"/>
  <c r="AM291" i="569" s="1"/>
  <c r="AM308" i="569" s="1"/>
  <c r="AM325" i="569" s="1"/>
  <c r="AM342" i="569" s="1"/>
  <c r="AM359" i="569" s="1"/>
  <c r="AM376" i="569" s="1"/>
  <c r="AM393" i="569" s="1"/>
  <c r="AM410" i="569" s="1"/>
  <c r="AM427" i="569" s="1"/>
  <c r="AS17" i="569"/>
  <c r="AS16" i="569"/>
  <c r="AS15" i="569"/>
  <c r="AS14" i="569"/>
  <c r="AS13" i="569"/>
  <c r="AS12" i="569"/>
  <c r="AS10" i="569"/>
  <c r="AT2" i="569"/>
  <c r="AU2" i="569" s="1"/>
  <c r="AS2" i="569"/>
  <c r="AP19" i="569"/>
  <c r="AP36" i="569" s="1"/>
  <c r="AP53" i="569" s="1"/>
  <c r="AP70" i="569" s="1"/>
  <c r="AP87" i="569" s="1"/>
  <c r="AP104" i="569" s="1"/>
  <c r="AP121" i="569" s="1"/>
  <c r="AP138" i="569" s="1"/>
  <c r="AP155" i="569" s="1"/>
  <c r="AP172" i="569" s="1"/>
  <c r="AP189" i="569" s="1"/>
  <c r="AP206" i="569" s="1"/>
  <c r="AP223" i="569" s="1"/>
  <c r="AP240" i="569" s="1"/>
  <c r="AP257" i="569" s="1"/>
  <c r="AP274" i="569" s="1"/>
  <c r="AP291" i="569" s="1"/>
  <c r="AP308" i="569" s="1"/>
  <c r="AP325" i="569" s="1"/>
  <c r="AP342" i="569" s="1"/>
  <c r="AP359" i="569" s="1"/>
  <c r="AP376" i="569" s="1"/>
  <c r="AP393" i="569" s="1"/>
  <c r="AP410" i="569" s="1"/>
  <c r="AP427" i="569" s="1"/>
  <c r="AN19" i="569"/>
  <c r="AN36" i="569" s="1"/>
  <c r="AN53" i="569" s="1"/>
  <c r="AN70" i="569" s="1"/>
  <c r="AN87" i="569" s="1"/>
  <c r="AN104" i="569" s="1"/>
  <c r="AN121" i="569" s="1"/>
  <c r="AN138" i="569" s="1"/>
  <c r="AN155" i="569" s="1"/>
  <c r="AN172" i="569" s="1"/>
  <c r="AN189" i="569" s="1"/>
  <c r="AN206" i="569" s="1"/>
  <c r="AN223" i="569" s="1"/>
  <c r="AN240" i="569" s="1"/>
  <c r="AN257" i="569" s="1"/>
  <c r="AN274" i="569" s="1"/>
  <c r="AN291" i="569" s="1"/>
  <c r="AN308" i="569" s="1"/>
  <c r="AN325" i="569" s="1"/>
  <c r="AN342" i="569" s="1"/>
  <c r="AN359" i="569" s="1"/>
  <c r="AN376" i="569" s="1"/>
  <c r="AN393" i="569" s="1"/>
  <c r="AN410" i="569" s="1"/>
  <c r="AN427" i="569" s="1"/>
  <c r="AK19" i="569"/>
  <c r="AK36" i="569" s="1"/>
  <c r="AK53" i="569" s="1"/>
  <c r="AK70" i="569" s="1"/>
  <c r="AK87" i="569" s="1"/>
  <c r="AK104" i="569" s="1"/>
  <c r="AK121" i="569" s="1"/>
  <c r="AK138" i="569" s="1"/>
  <c r="AK155" i="569" s="1"/>
  <c r="AK172" i="569" s="1"/>
  <c r="AK189" i="569" s="1"/>
  <c r="AK206" i="569" s="1"/>
  <c r="AK223" i="569" s="1"/>
  <c r="AK240" i="569" s="1"/>
  <c r="AK257" i="569" s="1"/>
  <c r="AK274" i="569" s="1"/>
  <c r="AK291" i="569" s="1"/>
  <c r="AK308" i="569" s="1"/>
  <c r="AK325" i="569" s="1"/>
  <c r="AK342" i="569" s="1"/>
  <c r="AK359" i="569" s="1"/>
  <c r="AK376" i="569" s="1"/>
  <c r="AK393" i="569" s="1"/>
  <c r="AK410" i="569" s="1"/>
  <c r="AK427" i="569" s="1"/>
  <c r="AJ19" i="569"/>
  <c r="AJ36" i="569" s="1"/>
  <c r="AJ53" i="569" s="1"/>
  <c r="AJ70" i="569" s="1"/>
  <c r="AJ87" i="569" s="1"/>
  <c r="AJ104" i="569" s="1"/>
  <c r="AJ121" i="569" s="1"/>
  <c r="AJ138" i="569" s="1"/>
  <c r="AJ155" i="569" s="1"/>
  <c r="AJ172" i="569" s="1"/>
  <c r="AJ189" i="569" s="1"/>
  <c r="AJ206" i="569" s="1"/>
  <c r="AJ223" i="569" s="1"/>
  <c r="AJ240" i="569" s="1"/>
  <c r="AJ257" i="569" s="1"/>
  <c r="AJ274" i="569" s="1"/>
  <c r="AJ291" i="569" s="1"/>
  <c r="AJ308" i="569" s="1"/>
  <c r="AJ325" i="569" s="1"/>
  <c r="AJ342" i="569" s="1"/>
  <c r="AJ359" i="569" s="1"/>
  <c r="AJ376" i="569" s="1"/>
  <c r="AJ393" i="569" s="1"/>
  <c r="AJ410" i="569" s="1"/>
  <c r="AJ427" i="569" s="1"/>
  <c r="AI19" i="569"/>
  <c r="AI36" i="569" s="1"/>
  <c r="AI53" i="569" s="1"/>
  <c r="AI70" i="569" s="1"/>
  <c r="AI87" i="569" s="1"/>
  <c r="AI104" i="569" s="1"/>
  <c r="AI121" i="569" s="1"/>
  <c r="AI138" i="569" s="1"/>
  <c r="AI155" i="569" s="1"/>
  <c r="AI172" i="569" s="1"/>
  <c r="AI189" i="569" s="1"/>
  <c r="AI206" i="569" s="1"/>
  <c r="AI223" i="569" s="1"/>
  <c r="AI240" i="569" s="1"/>
  <c r="AI257" i="569" s="1"/>
  <c r="AI274" i="569" s="1"/>
  <c r="AI291" i="569" s="1"/>
  <c r="AI308" i="569" s="1"/>
  <c r="AI325" i="569" s="1"/>
  <c r="AI342" i="569" s="1"/>
  <c r="AI359" i="569" s="1"/>
  <c r="AI376" i="569" s="1"/>
  <c r="AI393" i="569" s="1"/>
  <c r="AI410" i="569" s="1"/>
  <c r="AI427" i="569" s="1"/>
  <c r="AH19" i="569"/>
  <c r="AH36" i="569" s="1"/>
  <c r="AH53" i="569" s="1"/>
  <c r="AH70" i="569" s="1"/>
  <c r="AH87" i="569" s="1"/>
  <c r="AH104" i="569" s="1"/>
  <c r="AH121" i="569" s="1"/>
  <c r="AH138" i="569" s="1"/>
  <c r="AH155" i="569" s="1"/>
  <c r="AH172" i="569" s="1"/>
  <c r="AH189" i="569" s="1"/>
  <c r="AH206" i="569" s="1"/>
  <c r="AH223" i="569" s="1"/>
  <c r="AH240" i="569" s="1"/>
  <c r="AH257" i="569" s="1"/>
  <c r="AH274" i="569" s="1"/>
  <c r="AH291" i="569" s="1"/>
  <c r="AH308" i="569" s="1"/>
  <c r="AH325" i="569" s="1"/>
  <c r="AH342" i="569" s="1"/>
  <c r="AH359" i="569" s="1"/>
  <c r="AH376" i="569" s="1"/>
  <c r="AH393" i="569" s="1"/>
  <c r="AH410" i="569" s="1"/>
  <c r="AH427" i="569" s="1"/>
  <c r="AG19" i="569"/>
  <c r="AG36" i="569" s="1"/>
  <c r="AG53" i="569" s="1"/>
  <c r="AG70" i="569" s="1"/>
  <c r="AG87" i="569" s="1"/>
  <c r="AG104" i="569" s="1"/>
  <c r="AG121" i="569" s="1"/>
  <c r="AG138" i="569" s="1"/>
  <c r="AG155" i="569" s="1"/>
  <c r="AG172" i="569" s="1"/>
  <c r="AG189" i="569" s="1"/>
  <c r="AG206" i="569" s="1"/>
  <c r="AG223" i="569" s="1"/>
  <c r="AG240" i="569" s="1"/>
  <c r="AG257" i="569" s="1"/>
  <c r="AG274" i="569" s="1"/>
  <c r="AG291" i="569" s="1"/>
  <c r="AG308" i="569" s="1"/>
  <c r="AG325" i="569" s="1"/>
  <c r="AG342" i="569" s="1"/>
  <c r="AG359" i="569" s="1"/>
  <c r="AG376" i="569" s="1"/>
  <c r="AG393" i="569" s="1"/>
  <c r="AG410" i="569" s="1"/>
  <c r="AG427" i="569" s="1"/>
  <c r="AF19" i="569"/>
  <c r="AF36" i="569" s="1"/>
  <c r="AF53" i="569" s="1"/>
  <c r="AF70" i="569" s="1"/>
  <c r="AF87" i="569" s="1"/>
  <c r="AF104" i="569" s="1"/>
  <c r="AF121" i="569" s="1"/>
  <c r="AF138" i="569" s="1"/>
  <c r="AF155" i="569" s="1"/>
  <c r="AF172" i="569" s="1"/>
  <c r="AF189" i="569" s="1"/>
  <c r="AF206" i="569" s="1"/>
  <c r="AF223" i="569" s="1"/>
  <c r="AF240" i="569" s="1"/>
  <c r="AF257" i="569" s="1"/>
  <c r="AF274" i="569" s="1"/>
  <c r="AF291" i="569" s="1"/>
  <c r="AF308" i="569" s="1"/>
  <c r="AF325" i="569" s="1"/>
  <c r="AF342" i="569" s="1"/>
  <c r="AF359" i="569" s="1"/>
  <c r="AF376" i="569" s="1"/>
  <c r="AF393" i="569" s="1"/>
  <c r="AF410" i="569" s="1"/>
  <c r="AF427" i="569" s="1"/>
  <c r="AE19" i="569"/>
  <c r="AE36" i="569" s="1"/>
  <c r="AE53" i="569" s="1"/>
  <c r="AE70" i="569" s="1"/>
  <c r="AE87" i="569" s="1"/>
  <c r="AE104" i="569" s="1"/>
  <c r="AE121" i="569" s="1"/>
  <c r="AE138" i="569" s="1"/>
  <c r="AE155" i="569" s="1"/>
  <c r="AE172" i="569" s="1"/>
  <c r="AE189" i="569" s="1"/>
  <c r="AE206" i="569" s="1"/>
  <c r="AE223" i="569" s="1"/>
  <c r="AE240" i="569" s="1"/>
  <c r="AE257" i="569" s="1"/>
  <c r="AE274" i="569" s="1"/>
  <c r="AE291" i="569" s="1"/>
  <c r="AE308" i="569" s="1"/>
  <c r="AE325" i="569" s="1"/>
  <c r="AE342" i="569" s="1"/>
  <c r="AE359" i="569" s="1"/>
  <c r="AE376" i="569" s="1"/>
  <c r="AE393" i="569" s="1"/>
  <c r="AE410" i="569" s="1"/>
  <c r="AE427" i="569" s="1"/>
  <c r="AD19" i="569"/>
  <c r="AD36" i="569" s="1"/>
  <c r="AD53" i="569" s="1"/>
  <c r="AD70" i="569" s="1"/>
  <c r="AD87" i="569" s="1"/>
  <c r="AD104" i="569" s="1"/>
  <c r="AD121" i="569" s="1"/>
  <c r="AD138" i="569" s="1"/>
  <c r="AD155" i="569" s="1"/>
  <c r="AD172" i="569" s="1"/>
  <c r="AD189" i="569" s="1"/>
  <c r="AD206" i="569" s="1"/>
  <c r="AD223" i="569" s="1"/>
  <c r="AD240" i="569" s="1"/>
  <c r="AD257" i="569" s="1"/>
  <c r="AD274" i="569" s="1"/>
  <c r="AD291" i="569" s="1"/>
  <c r="AD308" i="569" s="1"/>
  <c r="AD325" i="569" s="1"/>
  <c r="AD342" i="569" s="1"/>
  <c r="AD359" i="569" s="1"/>
  <c r="AD376" i="569" s="1"/>
  <c r="AD393" i="569" s="1"/>
  <c r="AD410" i="569" s="1"/>
  <c r="AD427" i="569" s="1"/>
  <c r="AC19" i="569"/>
  <c r="AC36" i="569" s="1"/>
  <c r="AC53" i="569" s="1"/>
  <c r="AC70" i="569" s="1"/>
  <c r="AC87" i="569" s="1"/>
  <c r="AC104" i="569" s="1"/>
  <c r="AC121" i="569" s="1"/>
  <c r="AC138" i="569" s="1"/>
  <c r="AC155" i="569" s="1"/>
  <c r="AC172" i="569" s="1"/>
  <c r="AC189" i="569" s="1"/>
  <c r="AC206" i="569" s="1"/>
  <c r="AC223" i="569" s="1"/>
  <c r="AC240" i="569" s="1"/>
  <c r="AC257" i="569" s="1"/>
  <c r="AC274" i="569" s="1"/>
  <c r="AC291" i="569" s="1"/>
  <c r="AC308" i="569" s="1"/>
  <c r="AC325" i="569" s="1"/>
  <c r="AC342" i="569" s="1"/>
  <c r="AC359" i="569" s="1"/>
  <c r="AC376" i="569" s="1"/>
  <c r="AC393" i="569" s="1"/>
  <c r="AC410" i="569" s="1"/>
  <c r="AC427" i="569" s="1"/>
  <c r="AB19" i="569"/>
  <c r="AB36" i="569" s="1"/>
  <c r="AB53" i="569" s="1"/>
  <c r="AB70" i="569" s="1"/>
  <c r="AB87" i="569" s="1"/>
  <c r="AB104" i="569" s="1"/>
  <c r="AB121" i="569" s="1"/>
  <c r="AB138" i="569" s="1"/>
  <c r="AB155" i="569" s="1"/>
  <c r="AB172" i="569" s="1"/>
  <c r="AB189" i="569" s="1"/>
  <c r="AB206" i="569" s="1"/>
  <c r="AB223" i="569" s="1"/>
  <c r="AB240" i="569" s="1"/>
  <c r="AB257" i="569" s="1"/>
  <c r="AB274" i="569" s="1"/>
  <c r="AB291" i="569" s="1"/>
  <c r="AB308" i="569" s="1"/>
  <c r="AB325" i="569" s="1"/>
  <c r="AB342" i="569" s="1"/>
  <c r="AB359" i="569" s="1"/>
  <c r="AB376" i="569" s="1"/>
  <c r="AB393" i="569" s="1"/>
  <c r="AB410" i="569" s="1"/>
  <c r="AB427" i="569" s="1"/>
  <c r="AA19" i="569"/>
  <c r="AA36" i="569" s="1"/>
  <c r="AA53" i="569" s="1"/>
  <c r="AA70" i="569" s="1"/>
  <c r="AA87" i="569" s="1"/>
  <c r="AA104" i="569" s="1"/>
  <c r="AA121" i="569" s="1"/>
  <c r="AA138" i="569" s="1"/>
  <c r="AA155" i="569" s="1"/>
  <c r="AA172" i="569" s="1"/>
  <c r="AA189" i="569" s="1"/>
  <c r="AA206" i="569" s="1"/>
  <c r="AA223" i="569" s="1"/>
  <c r="AA240" i="569" s="1"/>
  <c r="AA257" i="569" s="1"/>
  <c r="AA274" i="569" s="1"/>
  <c r="AA291" i="569" s="1"/>
  <c r="AA308" i="569" s="1"/>
  <c r="AA325" i="569" s="1"/>
  <c r="AA342" i="569" s="1"/>
  <c r="AA359" i="569" s="1"/>
  <c r="AA376" i="569" s="1"/>
  <c r="AA393" i="569" s="1"/>
  <c r="AA410" i="569" s="1"/>
  <c r="AA427" i="569" s="1"/>
  <c r="Z19" i="569"/>
  <c r="Z36" i="569" s="1"/>
  <c r="Z53" i="569" s="1"/>
  <c r="Z70" i="569" s="1"/>
  <c r="Z87" i="569" s="1"/>
  <c r="Z104" i="569" s="1"/>
  <c r="Z121" i="569" s="1"/>
  <c r="Z138" i="569" s="1"/>
  <c r="Z155" i="569" s="1"/>
  <c r="Z172" i="569" s="1"/>
  <c r="Z189" i="569" s="1"/>
  <c r="Z206" i="569" s="1"/>
  <c r="Z223" i="569" s="1"/>
  <c r="Z240" i="569" s="1"/>
  <c r="Z257" i="569" s="1"/>
  <c r="Z274" i="569" s="1"/>
  <c r="Z291" i="569" s="1"/>
  <c r="Z308" i="569" s="1"/>
  <c r="Z325" i="569" s="1"/>
  <c r="Z342" i="569" s="1"/>
  <c r="Z359" i="569" s="1"/>
  <c r="Z376" i="569" s="1"/>
  <c r="Z393" i="569" s="1"/>
  <c r="Z410" i="569" s="1"/>
  <c r="Z427" i="569" s="1"/>
  <c r="Y19" i="569"/>
  <c r="Y36" i="569" s="1"/>
  <c r="Y53" i="569" s="1"/>
  <c r="Y70" i="569" s="1"/>
  <c r="Y87" i="569" s="1"/>
  <c r="Y104" i="569" s="1"/>
  <c r="Y121" i="569" s="1"/>
  <c r="Y138" i="569" s="1"/>
  <c r="Y155" i="569" s="1"/>
  <c r="Y172" i="569" s="1"/>
  <c r="Y189" i="569" s="1"/>
  <c r="Y206" i="569" s="1"/>
  <c r="Y223" i="569" s="1"/>
  <c r="Y240" i="569" s="1"/>
  <c r="Y257" i="569" s="1"/>
  <c r="Y274" i="569" s="1"/>
  <c r="Y291" i="569" s="1"/>
  <c r="Y308" i="569" s="1"/>
  <c r="Y325" i="569" s="1"/>
  <c r="Y342" i="569" s="1"/>
  <c r="Y359" i="569" s="1"/>
  <c r="Y376" i="569" s="1"/>
  <c r="Y393" i="569" s="1"/>
  <c r="Y410" i="569" s="1"/>
  <c r="Y427" i="569" s="1"/>
  <c r="Y444" i="569" s="1"/>
  <c r="Y461" i="569" s="1"/>
  <c r="Y478" i="569" s="1"/>
  <c r="Y495" i="569" s="1"/>
  <c r="Y512" i="569" s="1"/>
  <c r="Y529" i="569" s="1"/>
  <c r="X19" i="569"/>
  <c r="X36" i="569" s="1"/>
  <c r="X53" i="569" s="1"/>
  <c r="X70" i="569" s="1"/>
  <c r="X87" i="569" s="1"/>
  <c r="X104" i="569" s="1"/>
  <c r="X121" i="569" s="1"/>
  <c r="X138" i="569" s="1"/>
  <c r="X155" i="569" s="1"/>
  <c r="X172" i="569" s="1"/>
  <c r="X189" i="569" s="1"/>
  <c r="X206" i="569" s="1"/>
  <c r="X223" i="569" s="1"/>
  <c r="X240" i="569" s="1"/>
  <c r="X257" i="569" s="1"/>
  <c r="X274" i="569" s="1"/>
  <c r="X291" i="569" s="1"/>
  <c r="X308" i="569" s="1"/>
  <c r="X325" i="569" s="1"/>
  <c r="X342" i="569" s="1"/>
  <c r="X359" i="569" s="1"/>
  <c r="X376" i="569" s="1"/>
  <c r="X393" i="569" s="1"/>
  <c r="X410" i="569" s="1"/>
  <c r="X427" i="569" s="1"/>
  <c r="X444" i="569" s="1"/>
  <c r="X461" i="569" s="1"/>
  <c r="X478" i="569" s="1"/>
  <c r="X495" i="569" s="1"/>
  <c r="X512" i="569" s="1"/>
  <c r="X529" i="569" s="1"/>
  <c r="W19" i="569"/>
  <c r="W36" i="569" s="1"/>
  <c r="W53" i="569" s="1"/>
  <c r="W70" i="569" s="1"/>
  <c r="W87" i="569" s="1"/>
  <c r="W104" i="569" s="1"/>
  <c r="W121" i="569" s="1"/>
  <c r="W138" i="569" s="1"/>
  <c r="W155" i="569" s="1"/>
  <c r="W172" i="569" s="1"/>
  <c r="W189" i="569" s="1"/>
  <c r="W206" i="569" s="1"/>
  <c r="W223" i="569" s="1"/>
  <c r="W240" i="569" s="1"/>
  <c r="W257" i="569" s="1"/>
  <c r="W274" i="569" s="1"/>
  <c r="W291" i="569" s="1"/>
  <c r="W308" i="569" s="1"/>
  <c r="W325" i="569" s="1"/>
  <c r="W342" i="569" s="1"/>
  <c r="W359" i="569" s="1"/>
  <c r="W376" i="569" s="1"/>
  <c r="W393" i="569" s="1"/>
  <c r="W410" i="569" s="1"/>
  <c r="W427" i="569" s="1"/>
  <c r="W444" i="569" s="1"/>
  <c r="W461" i="569" s="1"/>
  <c r="W478" i="569" s="1"/>
  <c r="W495" i="569" s="1"/>
  <c r="W512" i="569" s="1"/>
  <c r="W529" i="569" s="1"/>
  <c r="V19" i="569"/>
  <c r="V36" i="569" s="1"/>
  <c r="V53" i="569" s="1"/>
  <c r="V70" i="569" s="1"/>
  <c r="V87" i="569" s="1"/>
  <c r="V104" i="569" s="1"/>
  <c r="V121" i="569" s="1"/>
  <c r="V138" i="569" s="1"/>
  <c r="V155" i="569" s="1"/>
  <c r="V172" i="569" s="1"/>
  <c r="V189" i="569" s="1"/>
  <c r="V206" i="569" s="1"/>
  <c r="V223" i="569" s="1"/>
  <c r="V240" i="569" s="1"/>
  <c r="V257" i="569" s="1"/>
  <c r="V274" i="569" s="1"/>
  <c r="V291" i="569" s="1"/>
  <c r="V308" i="569" s="1"/>
  <c r="V325" i="569" s="1"/>
  <c r="V342" i="569" s="1"/>
  <c r="V359" i="569" s="1"/>
  <c r="V376" i="569" s="1"/>
  <c r="V393" i="569" s="1"/>
  <c r="V410" i="569" s="1"/>
  <c r="V427" i="569" s="1"/>
  <c r="V444" i="569" s="1"/>
  <c r="V461" i="569" s="1"/>
  <c r="V478" i="569" s="1"/>
  <c r="V495" i="569" s="1"/>
  <c r="V512" i="569" s="1"/>
  <c r="V529" i="569" s="1"/>
  <c r="U19" i="569"/>
  <c r="U36" i="569" s="1"/>
  <c r="U53" i="569" s="1"/>
  <c r="U70" i="569" s="1"/>
  <c r="U87" i="569" s="1"/>
  <c r="U104" i="569" s="1"/>
  <c r="U121" i="569" s="1"/>
  <c r="U138" i="569" s="1"/>
  <c r="U155" i="569" s="1"/>
  <c r="U172" i="569" s="1"/>
  <c r="U189" i="569" s="1"/>
  <c r="U206" i="569" s="1"/>
  <c r="U223" i="569" s="1"/>
  <c r="U240" i="569" s="1"/>
  <c r="U257" i="569" s="1"/>
  <c r="U274" i="569" s="1"/>
  <c r="U291" i="569" s="1"/>
  <c r="U308" i="569" s="1"/>
  <c r="U325" i="569" s="1"/>
  <c r="U342" i="569" s="1"/>
  <c r="U359" i="569" s="1"/>
  <c r="U376" i="569" s="1"/>
  <c r="U393" i="569" s="1"/>
  <c r="U410" i="569" s="1"/>
  <c r="U427" i="569" s="1"/>
  <c r="U444" i="569" s="1"/>
  <c r="U461" i="569" s="1"/>
  <c r="U478" i="569" s="1"/>
  <c r="U495" i="569" s="1"/>
  <c r="U512" i="569" s="1"/>
  <c r="U529" i="569" s="1"/>
  <c r="T19" i="569"/>
  <c r="S19" i="569"/>
  <c r="Q19" i="569"/>
  <c r="Q36" i="569" s="1"/>
  <c r="Q53" i="569" s="1"/>
  <c r="Q70" i="569" s="1"/>
  <c r="Q87" i="569" s="1"/>
  <c r="Q104" i="569" s="1"/>
  <c r="Q121" i="569" s="1"/>
  <c r="Q138" i="569" s="1"/>
  <c r="Q155" i="569" s="1"/>
  <c r="Q172" i="569" s="1"/>
  <c r="Q189" i="569" s="1"/>
  <c r="Q206" i="569" s="1"/>
  <c r="Q223" i="569" s="1"/>
  <c r="Q240" i="569" s="1"/>
  <c r="Q257" i="569" s="1"/>
  <c r="Q274" i="569" s="1"/>
  <c r="Q291" i="569" s="1"/>
  <c r="Q308" i="569" s="1"/>
  <c r="Q325" i="569" s="1"/>
  <c r="Q342" i="569" s="1"/>
  <c r="Q359" i="569" s="1"/>
  <c r="Q376" i="569" s="1"/>
  <c r="Q393" i="569" s="1"/>
  <c r="Q410" i="569" s="1"/>
  <c r="Q427" i="569" s="1"/>
  <c r="Q444" i="569" s="1"/>
  <c r="Q461" i="569" s="1"/>
  <c r="Q478" i="569" s="1"/>
  <c r="Q495" i="569" s="1"/>
  <c r="Q512" i="569" s="1"/>
  <c r="Q529" i="569" s="1"/>
  <c r="P19" i="569"/>
  <c r="N19" i="569"/>
  <c r="N36" i="569" s="1"/>
  <c r="N53" i="569" s="1"/>
  <c r="N70" i="569" s="1"/>
  <c r="N87" i="569" s="1"/>
  <c r="N104" i="569" s="1"/>
  <c r="N121" i="569" s="1"/>
  <c r="N138" i="569" s="1"/>
  <c r="N155" i="569" s="1"/>
  <c r="N172" i="569" s="1"/>
  <c r="N189" i="569" s="1"/>
  <c r="N206" i="569" s="1"/>
  <c r="N223" i="569" s="1"/>
  <c r="N240" i="569" s="1"/>
  <c r="N257" i="569" s="1"/>
  <c r="N274" i="569" s="1"/>
  <c r="N291" i="569" s="1"/>
  <c r="N308" i="569" s="1"/>
  <c r="N325" i="569" s="1"/>
  <c r="N342" i="569" s="1"/>
  <c r="N359" i="569" s="1"/>
  <c r="N376" i="569" s="1"/>
  <c r="N393" i="569" s="1"/>
  <c r="N410" i="569" s="1"/>
  <c r="N427" i="569" s="1"/>
  <c r="N444" i="569" s="1"/>
  <c r="N461" i="569" s="1"/>
  <c r="N478" i="569" s="1"/>
  <c r="N495" i="569" s="1"/>
  <c r="N512" i="569" s="1"/>
  <c r="N529" i="569" s="1"/>
  <c r="M19" i="569"/>
  <c r="K19" i="569"/>
  <c r="K36" i="569" s="1"/>
  <c r="K53" i="569" s="1"/>
  <c r="K70" i="569" s="1"/>
  <c r="K87" i="569" s="1"/>
  <c r="K104" i="569" s="1"/>
  <c r="K121" i="569" s="1"/>
  <c r="K138" i="569" s="1"/>
  <c r="K155" i="569" s="1"/>
  <c r="K172" i="569" s="1"/>
  <c r="K189" i="569" s="1"/>
  <c r="K206" i="569" s="1"/>
  <c r="K223" i="569" s="1"/>
  <c r="K240" i="569" s="1"/>
  <c r="K257" i="569" s="1"/>
  <c r="K274" i="569" s="1"/>
  <c r="K291" i="569" s="1"/>
  <c r="K308" i="569" s="1"/>
  <c r="K325" i="569" s="1"/>
  <c r="K342" i="569" s="1"/>
  <c r="K359" i="569" s="1"/>
  <c r="K376" i="569" s="1"/>
  <c r="K393" i="569" s="1"/>
  <c r="K410" i="569" s="1"/>
  <c r="K427" i="569" s="1"/>
  <c r="K444" i="569" s="1"/>
  <c r="K461" i="569" s="1"/>
  <c r="K478" i="569" s="1"/>
  <c r="K495" i="569" s="1"/>
  <c r="K512" i="569" s="1"/>
  <c r="K529" i="569" s="1"/>
  <c r="J19" i="569"/>
  <c r="J36" i="569" s="1"/>
  <c r="J53" i="569" s="1"/>
  <c r="J70" i="569" s="1"/>
  <c r="J87" i="569" s="1"/>
  <c r="J104" i="569" s="1"/>
  <c r="J121" i="569" s="1"/>
  <c r="J138" i="569" s="1"/>
  <c r="J155" i="569" s="1"/>
  <c r="J172" i="569" s="1"/>
  <c r="J189" i="569" s="1"/>
  <c r="J206" i="569" s="1"/>
  <c r="J223" i="569" s="1"/>
  <c r="J240" i="569" s="1"/>
  <c r="J257" i="569" s="1"/>
  <c r="J274" i="569" s="1"/>
  <c r="J291" i="569" s="1"/>
  <c r="J308" i="569" s="1"/>
  <c r="J325" i="569" s="1"/>
  <c r="J342" i="569" s="1"/>
  <c r="J359" i="569" s="1"/>
  <c r="J376" i="569" s="1"/>
  <c r="J393" i="569" s="1"/>
  <c r="J410" i="569" s="1"/>
  <c r="J427" i="569" s="1"/>
  <c r="J444" i="569" s="1"/>
  <c r="J461" i="569" s="1"/>
  <c r="J478" i="569" s="1"/>
  <c r="J495" i="569" s="1"/>
  <c r="J512" i="569" s="1"/>
  <c r="J529" i="569" s="1"/>
  <c r="I19" i="569"/>
  <c r="I36" i="569" s="1"/>
  <c r="I53" i="569" s="1"/>
  <c r="I70" i="569" s="1"/>
  <c r="I87" i="569" s="1"/>
  <c r="I104" i="569" s="1"/>
  <c r="I121" i="569" s="1"/>
  <c r="I138" i="569" s="1"/>
  <c r="I155" i="569" s="1"/>
  <c r="I172" i="569" s="1"/>
  <c r="I189" i="569" s="1"/>
  <c r="I206" i="569" s="1"/>
  <c r="I223" i="569" s="1"/>
  <c r="I240" i="569" s="1"/>
  <c r="I257" i="569" s="1"/>
  <c r="I274" i="569" s="1"/>
  <c r="I291" i="569" s="1"/>
  <c r="I308" i="569" s="1"/>
  <c r="I325" i="569" s="1"/>
  <c r="I342" i="569" s="1"/>
  <c r="I359" i="569" s="1"/>
  <c r="I376" i="569" s="1"/>
  <c r="I393" i="569" s="1"/>
  <c r="I410" i="569" s="1"/>
  <c r="I427" i="569" s="1"/>
  <c r="I444" i="569" s="1"/>
  <c r="I461" i="569" s="1"/>
  <c r="I478" i="569" s="1"/>
  <c r="I495" i="569" s="1"/>
  <c r="I512" i="569" s="1"/>
  <c r="I529" i="569" s="1"/>
  <c r="H19" i="569"/>
  <c r="H36" i="569" s="1"/>
  <c r="H53" i="569" s="1"/>
  <c r="H70" i="569" s="1"/>
  <c r="H87" i="569" s="1"/>
  <c r="H104" i="569" s="1"/>
  <c r="H121" i="569" s="1"/>
  <c r="H138" i="569" s="1"/>
  <c r="H155" i="569" s="1"/>
  <c r="H172" i="569" s="1"/>
  <c r="H189" i="569" s="1"/>
  <c r="H206" i="569" s="1"/>
  <c r="H223" i="569" s="1"/>
  <c r="H240" i="569" s="1"/>
  <c r="H257" i="569" s="1"/>
  <c r="H274" i="569" s="1"/>
  <c r="H291" i="569" s="1"/>
  <c r="H308" i="569" s="1"/>
  <c r="H325" i="569" s="1"/>
  <c r="H342" i="569" s="1"/>
  <c r="H359" i="569" s="1"/>
  <c r="H376" i="569" s="1"/>
  <c r="H393" i="569" s="1"/>
  <c r="H410" i="569" s="1"/>
  <c r="H427" i="569" s="1"/>
  <c r="H444" i="569" s="1"/>
  <c r="H461" i="569" s="1"/>
  <c r="H478" i="569" s="1"/>
  <c r="H495" i="569" s="1"/>
  <c r="H512" i="569" s="1"/>
  <c r="H529" i="569" s="1"/>
  <c r="G19" i="569"/>
  <c r="G36" i="569" s="1"/>
  <c r="G53" i="569" s="1"/>
  <c r="G70" i="569" s="1"/>
  <c r="G87" i="569" s="1"/>
  <c r="G104" i="569" s="1"/>
  <c r="G121" i="569" s="1"/>
  <c r="G138" i="569" s="1"/>
  <c r="G155" i="569" s="1"/>
  <c r="G172" i="569" s="1"/>
  <c r="G189" i="569" s="1"/>
  <c r="G206" i="569" s="1"/>
  <c r="G223" i="569" s="1"/>
  <c r="G240" i="569" s="1"/>
  <c r="G257" i="569" s="1"/>
  <c r="G274" i="569" s="1"/>
  <c r="G291" i="569" s="1"/>
  <c r="G308" i="569" s="1"/>
  <c r="G325" i="569" s="1"/>
  <c r="G342" i="569" s="1"/>
  <c r="G359" i="569" s="1"/>
  <c r="G376" i="569" s="1"/>
  <c r="G393" i="569" s="1"/>
  <c r="G410" i="569" s="1"/>
  <c r="G427" i="569" s="1"/>
  <c r="G444" i="569" s="1"/>
  <c r="G461" i="569" s="1"/>
  <c r="G478" i="569" s="1"/>
  <c r="G495" i="569" s="1"/>
  <c r="G512" i="569" s="1"/>
  <c r="G529" i="569" s="1"/>
  <c r="F19" i="569"/>
  <c r="F36" i="569" s="1"/>
  <c r="F53" i="569" s="1"/>
  <c r="F70" i="569" s="1"/>
  <c r="F87" i="569" s="1"/>
  <c r="F104" i="569" s="1"/>
  <c r="F121" i="569" s="1"/>
  <c r="F138" i="569" s="1"/>
  <c r="F155" i="569" s="1"/>
  <c r="F172" i="569" s="1"/>
  <c r="F189" i="569" s="1"/>
  <c r="F206" i="569" s="1"/>
  <c r="F223" i="569" s="1"/>
  <c r="F240" i="569" s="1"/>
  <c r="F257" i="569" s="1"/>
  <c r="F274" i="569" s="1"/>
  <c r="F291" i="569" s="1"/>
  <c r="F308" i="569" s="1"/>
  <c r="F325" i="569" s="1"/>
  <c r="F342" i="569" s="1"/>
  <c r="F359" i="569" s="1"/>
  <c r="F376" i="569" s="1"/>
  <c r="F393" i="569" s="1"/>
  <c r="F410" i="569" s="1"/>
  <c r="F427" i="569" s="1"/>
  <c r="F444" i="569" s="1"/>
  <c r="F461" i="569" s="1"/>
  <c r="F478" i="569" s="1"/>
  <c r="F495" i="569" s="1"/>
  <c r="F512" i="569" s="1"/>
  <c r="F529" i="569" s="1"/>
  <c r="E19" i="569"/>
  <c r="E36" i="569" s="1"/>
  <c r="E53" i="569" s="1"/>
  <c r="E70" i="569" s="1"/>
  <c r="E87" i="569" s="1"/>
  <c r="E104" i="569" s="1"/>
  <c r="E121" i="569" s="1"/>
  <c r="E138" i="569" s="1"/>
  <c r="E155" i="569" s="1"/>
  <c r="E172" i="569" s="1"/>
  <c r="E189" i="569" s="1"/>
  <c r="E206" i="569" s="1"/>
  <c r="E223" i="569" s="1"/>
  <c r="E240" i="569" s="1"/>
  <c r="E257" i="569" s="1"/>
  <c r="E274" i="569" s="1"/>
  <c r="E291" i="569" s="1"/>
  <c r="E308" i="569" s="1"/>
  <c r="E325" i="569" s="1"/>
  <c r="E342" i="569" s="1"/>
  <c r="E359" i="569" s="1"/>
  <c r="E376" i="569" s="1"/>
  <c r="E393" i="569" s="1"/>
  <c r="E410" i="569" s="1"/>
  <c r="E427" i="569" s="1"/>
  <c r="E444" i="569" s="1"/>
  <c r="E461" i="569" s="1"/>
  <c r="E478" i="569" s="1"/>
  <c r="E495" i="569" s="1"/>
  <c r="E512" i="569" s="1"/>
  <c r="E529" i="569" s="1"/>
  <c r="D19" i="569"/>
  <c r="C1" i="569"/>
  <c r="C540" i="568"/>
  <c r="C535" i="568"/>
  <c r="S534" i="568"/>
  <c r="P534" i="568"/>
  <c r="N538" i="568" s="1"/>
  <c r="M534" i="568"/>
  <c r="H534" i="568"/>
  <c r="C534" i="568"/>
  <c r="S533" i="568"/>
  <c r="P533" i="568"/>
  <c r="M533" i="568"/>
  <c r="N537" i="568" s="1"/>
  <c r="C531" i="568" s="1"/>
  <c r="C536" i="568" s="1"/>
  <c r="H533" i="568"/>
  <c r="C533" i="568"/>
  <c r="U532" i="568"/>
  <c r="U534" i="568" s="1"/>
  <c r="S532" i="568"/>
  <c r="Q536" i="568" s="1"/>
  <c r="P532" i="568"/>
  <c r="M532" i="568"/>
  <c r="N536" i="568" s="1"/>
  <c r="H532" i="568"/>
  <c r="C532" i="568"/>
  <c r="H531" i="568"/>
  <c r="H536" i="568" s="1"/>
  <c r="AS526" i="568"/>
  <c r="AS525" i="568"/>
  <c r="AS524" i="568"/>
  <c r="AS523" i="568"/>
  <c r="AS522" i="568"/>
  <c r="AS520" i="568"/>
  <c r="AS509" i="568"/>
  <c r="AS508" i="568"/>
  <c r="AS507" i="568"/>
  <c r="AS506" i="568"/>
  <c r="AS505" i="568"/>
  <c r="AS503" i="568"/>
  <c r="AS492" i="568"/>
  <c r="AS491" i="568"/>
  <c r="AS490" i="568"/>
  <c r="AS489" i="568"/>
  <c r="AS488" i="568"/>
  <c r="AS486" i="568"/>
  <c r="AS475" i="568"/>
  <c r="AS474" i="568"/>
  <c r="AS473" i="568"/>
  <c r="AS472" i="568"/>
  <c r="AS471" i="568"/>
  <c r="AS469" i="568"/>
  <c r="AS458" i="568"/>
  <c r="AS457" i="568"/>
  <c r="AS456" i="568"/>
  <c r="AS455" i="568"/>
  <c r="AS454" i="568"/>
  <c r="AS452" i="568"/>
  <c r="AS441" i="568"/>
  <c r="AS440" i="568"/>
  <c r="AS439" i="568"/>
  <c r="AS438" i="568"/>
  <c r="AS437" i="568"/>
  <c r="AS435" i="568"/>
  <c r="AS424" i="568"/>
  <c r="AS423" i="568"/>
  <c r="AS422" i="568"/>
  <c r="AS421" i="568"/>
  <c r="AS420" i="568"/>
  <c r="AS418" i="568"/>
  <c r="AS407" i="568"/>
  <c r="AS406" i="568"/>
  <c r="AS405" i="568"/>
  <c r="AS404" i="568"/>
  <c r="AS403" i="568"/>
  <c r="AS401" i="568"/>
  <c r="AS390" i="568"/>
  <c r="AS389" i="568"/>
  <c r="AS388" i="568"/>
  <c r="AS387" i="568"/>
  <c r="AS386" i="568"/>
  <c r="AS384" i="568"/>
  <c r="AS373" i="568"/>
  <c r="AS372" i="568"/>
  <c r="AS371" i="568"/>
  <c r="AS370" i="568"/>
  <c r="AS369" i="568"/>
  <c r="AS367" i="568"/>
  <c r="AS356" i="568"/>
  <c r="AS355" i="568"/>
  <c r="AS354" i="568"/>
  <c r="AS353" i="568"/>
  <c r="AS352" i="568"/>
  <c r="AS350" i="568"/>
  <c r="AS339" i="568"/>
  <c r="AS338" i="568"/>
  <c r="AS337" i="568"/>
  <c r="AS336" i="568"/>
  <c r="AS335" i="568"/>
  <c r="AS333" i="568"/>
  <c r="AS322" i="568"/>
  <c r="AS321" i="568"/>
  <c r="AS320" i="568"/>
  <c r="AS319" i="568"/>
  <c r="AS318" i="568"/>
  <c r="AS316" i="568"/>
  <c r="AS305" i="568"/>
  <c r="AS304" i="568"/>
  <c r="AS303" i="568"/>
  <c r="AS302" i="568"/>
  <c r="AS301" i="568"/>
  <c r="AS299" i="568"/>
  <c r="AS288" i="568"/>
  <c r="AS287" i="568"/>
  <c r="AS286" i="568"/>
  <c r="AS285" i="568"/>
  <c r="AS284" i="568"/>
  <c r="AS282" i="568"/>
  <c r="AS271" i="568"/>
  <c r="AS270" i="568"/>
  <c r="AS269" i="568"/>
  <c r="AS268" i="568"/>
  <c r="AS267" i="568"/>
  <c r="AS265" i="568"/>
  <c r="AS254" i="568"/>
  <c r="AS253" i="568"/>
  <c r="AS252" i="568"/>
  <c r="AS251" i="568"/>
  <c r="AS250" i="568"/>
  <c r="AS248" i="568"/>
  <c r="AS237" i="568"/>
  <c r="AS236" i="568"/>
  <c r="AS235" i="568"/>
  <c r="AS234" i="568"/>
  <c r="AS233" i="568"/>
  <c r="AS231" i="568"/>
  <c r="AS220" i="568"/>
  <c r="AS219" i="568"/>
  <c r="AS218" i="568"/>
  <c r="AS217" i="568"/>
  <c r="AS216" i="568"/>
  <c r="AS214" i="568"/>
  <c r="AS203" i="568"/>
  <c r="AS202" i="568"/>
  <c r="AS201" i="568"/>
  <c r="AS200" i="568"/>
  <c r="AS199" i="568"/>
  <c r="AS197" i="568"/>
  <c r="AS186" i="568"/>
  <c r="AS185" i="568"/>
  <c r="AS184" i="568"/>
  <c r="AS183" i="568"/>
  <c r="AS182" i="568"/>
  <c r="AS180" i="568"/>
  <c r="AS169" i="568"/>
  <c r="AS168" i="568"/>
  <c r="AS167" i="568"/>
  <c r="AS166" i="568"/>
  <c r="AS165" i="568"/>
  <c r="AS163" i="568"/>
  <c r="AS152" i="568"/>
  <c r="AS151" i="568"/>
  <c r="AS150" i="568"/>
  <c r="AS149" i="568"/>
  <c r="AS148" i="568"/>
  <c r="AS146" i="568"/>
  <c r="AS136" i="568"/>
  <c r="AS135" i="568"/>
  <c r="AS134" i="568"/>
  <c r="AS133" i="568"/>
  <c r="AS132" i="568"/>
  <c r="AS131" i="568"/>
  <c r="AS129" i="568"/>
  <c r="AS119" i="568"/>
  <c r="AS118" i="568"/>
  <c r="AS117" i="568"/>
  <c r="AS116" i="568"/>
  <c r="AS115" i="568"/>
  <c r="AS114" i="568"/>
  <c r="AS112" i="568"/>
  <c r="AS102" i="568"/>
  <c r="AS101" i="568"/>
  <c r="AS100" i="568"/>
  <c r="AS99" i="568"/>
  <c r="AS98" i="568"/>
  <c r="AS97" i="568"/>
  <c r="AS95" i="568"/>
  <c r="AS85" i="568"/>
  <c r="AS84" i="568"/>
  <c r="AS83" i="568"/>
  <c r="AS82" i="568"/>
  <c r="AS81" i="568"/>
  <c r="AS80" i="568"/>
  <c r="AS78" i="568"/>
  <c r="AS68" i="568"/>
  <c r="AS67" i="568"/>
  <c r="AS66" i="568"/>
  <c r="AS65" i="568"/>
  <c r="AS64" i="568"/>
  <c r="AS63" i="568"/>
  <c r="AS61" i="568"/>
  <c r="AS51" i="568"/>
  <c r="AS50" i="568"/>
  <c r="AS49" i="568"/>
  <c r="AS48" i="568"/>
  <c r="AS47" i="568"/>
  <c r="AS46" i="568"/>
  <c r="AS44" i="568"/>
  <c r="AL36" i="568"/>
  <c r="AL53" i="568" s="1"/>
  <c r="AL70" i="568" s="1"/>
  <c r="AL87" i="568" s="1"/>
  <c r="AL104" i="568" s="1"/>
  <c r="AL121" i="568" s="1"/>
  <c r="AL138" i="568" s="1"/>
  <c r="AL155" i="568" s="1"/>
  <c r="AL172" i="568" s="1"/>
  <c r="AL189" i="568" s="1"/>
  <c r="AL206" i="568" s="1"/>
  <c r="AL223" i="568" s="1"/>
  <c r="AL240" i="568" s="1"/>
  <c r="AL257" i="568" s="1"/>
  <c r="AL274" i="568" s="1"/>
  <c r="AL291" i="568" s="1"/>
  <c r="AL308" i="568" s="1"/>
  <c r="AL325" i="568" s="1"/>
  <c r="AL342" i="568" s="1"/>
  <c r="AL359" i="568" s="1"/>
  <c r="AL376" i="568" s="1"/>
  <c r="AL393" i="568" s="1"/>
  <c r="AL410" i="568" s="1"/>
  <c r="AL427" i="568" s="1"/>
  <c r="AS34" i="568"/>
  <c r="AS33" i="568"/>
  <c r="AS32" i="568"/>
  <c r="AS31" i="568"/>
  <c r="AS30" i="568"/>
  <c r="AS29" i="568"/>
  <c r="AS27" i="568"/>
  <c r="A20" i="568"/>
  <c r="A37" i="568" s="1"/>
  <c r="A54" i="568" s="1"/>
  <c r="A71" i="568" s="1"/>
  <c r="A88" i="568" s="1"/>
  <c r="A105" i="568" s="1"/>
  <c r="A122" i="568" s="1"/>
  <c r="A139" i="568" s="1"/>
  <c r="A156" i="568" s="1"/>
  <c r="A173" i="568" s="1"/>
  <c r="A190" i="568" s="1"/>
  <c r="A207" i="568" s="1"/>
  <c r="A224" i="568" s="1"/>
  <c r="A241" i="568" s="1"/>
  <c r="A258" i="568" s="1"/>
  <c r="A275" i="568" s="1"/>
  <c r="A292" i="568" s="1"/>
  <c r="A309" i="568" s="1"/>
  <c r="A326" i="568" s="1"/>
  <c r="A343" i="568" s="1"/>
  <c r="A360" i="568" s="1"/>
  <c r="A377" i="568" s="1"/>
  <c r="A394" i="568" s="1"/>
  <c r="A411" i="568" s="1"/>
  <c r="A428" i="568" s="1"/>
  <c r="A445" i="568" s="1"/>
  <c r="A462" i="568" s="1"/>
  <c r="A479" i="568" s="1"/>
  <c r="A496" i="568" s="1"/>
  <c r="A513" i="568" s="1"/>
  <c r="AP19" i="568"/>
  <c r="AP36" i="568" s="1"/>
  <c r="AP53" i="568" s="1"/>
  <c r="AP70" i="568" s="1"/>
  <c r="AP87" i="568" s="1"/>
  <c r="AP104" i="568" s="1"/>
  <c r="AP121" i="568" s="1"/>
  <c r="AP138" i="568" s="1"/>
  <c r="AP155" i="568" s="1"/>
  <c r="AP172" i="568" s="1"/>
  <c r="AP189" i="568" s="1"/>
  <c r="AP206" i="568" s="1"/>
  <c r="AP223" i="568" s="1"/>
  <c r="AP240" i="568" s="1"/>
  <c r="AP257" i="568" s="1"/>
  <c r="AP274" i="568" s="1"/>
  <c r="AP291" i="568" s="1"/>
  <c r="AP308" i="568" s="1"/>
  <c r="AP325" i="568" s="1"/>
  <c r="AP342" i="568" s="1"/>
  <c r="AP359" i="568" s="1"/>
  <c r="AP376" i="568" s="1"/>
  <c r="AP393" i="568" s="1"/>
  <c r="AP410" i="568" s="1"/>
  <c r="AP427" i="568" s="1"/>
  <c r="AN19" i="568"/>
  <c r="AN36" i="568" s="1"/>
  <c r="AN53" i="568" s="1"/>
  <c r="AN70" i="568" s="1"/>
  <c r="AN87" i="568" s="1"/>
  <c r="AN104" i="568" s="1"/>
  <c r="AN121" i="568" s="1"/>
  <c r="AN138" i="568" s="1"/>
  <c r="AN155" i="568" s="1"/>
  <c r="AN172" i="568" s="1"/>
  <c r="AN189" i="568" s="1"/>
  <c r="AN206" i="568" s="1"/>
  <c r="AN223" i="568" s="1"/>
  <c r="AN240" i="568" s="1"/>
  <c r="AN257" i="568" s="1"/>
  <c r="AN274" i="568" s="1"/>
  <c r="AN291" i="568" s="1"/>
  <c r="AN308" i="568" s="1"/>
  <c r="AN325" i="568" s="1"/>
  <c r="AN342" i="568" s="1"/>
  <c r="AN359" i="568" s="1"/>
  <c r="AN376" i="568" s="1"/>
  <c r="AN393" i="568" s="1"/>
  <c r="AN410" i="568" s="1"/>
  <c r="AN427" i="568" s="1"/>
  <c r="AS17" i="568"/>
  <c r="AS16" i="568"/>
  <c r="AS15" i="568"/>
  <c r="AS14" i="568"/>
  <c r="AS13" i="568"/>
  <c r="AS12" i="568"/>
  <c r="AS10" i="568"/>
  <c r="AU2" i="568"/>
  <c r="AT2" i="568"/>
  <c r="AS2" i="568"/>
  <c r="AQ19" i="568"/>
  <c r="AQ36" i="568" s="1"/>
  <c r="AQ53" i="568" s="1"/>
  <c r="AQ70" i="568" s="1"/>
  <c r="AQ87" i="568" s="1"/>
  <c r="AQ104" i="568" s="1"/>
  <c r="AQ121" i="568" s="1"/>
  <c r="AQ138" i="568" s="1"/>
  <c r="AQ155" i="568" s="1"/>
  <c r="AQ172" i="568" s="1"/>
  <c r="AQ189" i="568" s="1"/>
  <c r="AQ206" i="568" s="1"/>
  <c r="AQ223" i="568" s="1"/>
  <c r="AQ240" i="568" s="1"/>
  <c r="AQ257" i="568" s="1"/>
  <c r="AQ274" i="568" s="1"/>
  <c r="AQ291" i="568" s="1"/>
  <c r="AQ308" i="568" s="1"/>
  <c r="AQ325" i="568" s="1"/>
  <c r="AQ342" i="568" s="1"/>
  <c r="AQ359" i="568" s="1"/>
  <c r="AQ376" i="568" s="1"/>
  <c r="AQ393" i="568" s="1"/>
  <c r="AQ410" i="568" s="1"/>
  <c r="AQ427" i="568" s="1"/>
  <c r="AM19" i="568"/>
  <c r="AM36" i="568" s="1"/>
  <c r="AM53" i="568" s="1"/>
  <c r="AM70" i="568" s="1"/>
  <c r="AM87" i="568" s="1"/>
  <c r="AM104" i="568" s="1"/>
  <c r="AM121" i="568" s="1"/>
  <c r="AM138" i="568" s="1"/>
  <c r="AM155" i="568" s="1"/>
  <c r="AM172" i="568" s="1"/>
  <c r="AM189" i="568" s="1"/>
  <c r="AM206" i="568" s="1"/>
  <c r="AM223" i="568" s="1"/>
  <c r="AM240" i="568" s="1"/>
  <c r="AM257" i="568" s="1"/>
  <c r="AM274" i="568" s="1"/>
  <c r="AM291" i="568" s="1"/>
  <c r="AM308" i="568" s="1"/>
  <c r="AM325" i="568" s="1"/>
  <c r="AM342" i="568" s="1"/>
  <c r="AM359" i="568" s="1"/>
  <c r="AM376" i="568" s="1"/>
  <c r="AM393" i="568" s="1"/>
  <c r="AM410" i="568" s="1"/>
  <c r="AM427" i="568" s="1"/>
  <c r="AK19" i="568"/>
  <c r="AK36" i="568" s="1"/>
  <c r="AK53" i="568" s="1"/>
  <c r="AK70" i="568" s="1"/>
  <c r="AK87" i="568" s="1"/>
  <c r="AK104" i="568" s="1"/>
  <c r="AK121" i="568" s="1"/>
  <c r="AK138" i="568" s="1"/>
  <c r="AK155" i="568" s="1"/>
  <c r="AK172" i="568" s="1"/>
  <c r="AK189" i="568" s="1"/>
  <c r="AK206" i="568" s="1"/>
  <c r="AK223" i="568" s="1"/>
  <c r="AK240" i="568" s="1"/>
  <c r="AK257" i="568" s="1"/>
  <c r="AK274" i="568" s="1"/>
  <c r="AK291" i="568" s="1"/>
  <c r="AK308" i="568" s="1"/>
  <c r="AK325" i="568" s="1"/>
  <c r="AK342" i="568" s="1"/>
  <c r="AK359" i="568" s="1"/>
  <c r="AK376" i="568" s="1"/>
  <c r="AK393" i="568" s="1"/>
  <c r="AK410" i="568" s="1"/>
  <c r="AK427" i="568" s="1"/>
  <c r="AJ19" i="568"/>
  <c r="AJ36" i="568" s="1"/>
  <c r="AJ53" i="568" s="1"/>
  <c r="AJ70" i="568" s="1"/>
  <c r="AJ87" i="568" s="1"/>
  <c r="AJ104" i="568" s="1"/>
  <c r="AJ121" i="568" s="1"/>
  <c r="AJ138" i="568" s="1"/>
  <c r="AJ155" i="568" s="1"/>
  <c r="AJ172" i="568" s="1"/>
  <c r="AJ189" i="568" s="1"/>
  <c r="AJ206" i="568" s="1"/>
  <c r="AJ223" i="568" s="1"/>
  <c r="AJ240" i="568" s="1"/>
  <c r="AJ257" i="568" s="1"/>
  <c r="AJ274" i="568" s="1"/>
  <c r="AJ291" i="568" s="1"/>
  <c r="AJ308" i="568" s="1"/>
  <c r="AJ325" i="568" s="1"/>
  <c r="AJ342" i="568" s="1"/>
  <c r="AJ359" i="568" s="1"/>
  <c r="AJ376" i="568" s="1"/>
  <c r="AJ393" i="568" s="1"/>
  <c r="AJ410" i="568" s="1"/>
  <c r="AJ427" i="568" s="1"/>
  <c r="AI19" i="568"/>
  <c r="AI36" i="568" s="1"/>
  <c r="AI53" i="568" s="1"/>
  <c r="AI70" i="568" s="1"/>
  <c r="AI87" i="568" s="1"/>
  <c r="AI104" i="568" s="1"/>
  <c r="AI121" i="568" s="1"/>
  <c r="AI138" i="568" s="1"/>
  <c r="AI155" i="568" s="1"/>
  <c r="AI172" i="568" s="1"/>
  <c r="AI189" i="568" s="1"/>
  <c r="AI206" i="568" s="1"/>
  <c r="AI223" i="568" s="1"/>
  <c r="AI240" i="568" s="1"/>
  <c r="AI257" i="568" s="1"/>
  <c r="AI274" i="568" s="1"/>
  <c r="AI291" i="568" s="1"/>
  <c r="AI308" i="568" s="1"/>
  <c r="AI325" i="568" s="1"/>
  <c r="AI342" i="568" s="1"/>
  <c r="AI359" i="568" s="1"/>
  <c r="AI376" i="568" s="1"/>
  <c r="AI393" i="568" s="1"/>
  <c r="AI410" i="568" s="1"/>
  <c r="AI427" i="568" s="1"/>
  <c r="AH19" i="568"/>
  <c r="AH36" i="568" s="1"/>
  <c r="AH53" i="568" s="1"/>
  <c r="AH70" i="568" s="1"/>
  <c r="AH87" i="568" s="1"/>
  <c r="AH104" i="568" s="1"/>
  <c r="AH121" i="568" s="1"/>
  <c r="AH138" i="568" s="1"/>
  <c r="AH155" i="568" s="1"/>
  <c r="AH172" i="568" s="1"/>
  <c r="AH189" i="568" s="1"/>
  <c r="AH206" i="568" s="1"/>
  <c r="AH223" i="568" s="1"/>
  <c r="AH240" i="568" s="1"/>
  <c r="AH257" i="568" s="1"/>
  <c r="AH274" i="568" s="1"/>
  <c r="AH291" i="568" s="1"/>
  <c r="AH308" i="568" s="1"/>
  <c r="AH325" i="568" s="1"/>
  <c r="AH342" i="568" s="1"/>
  <c r="AH359" i="568" s="1"/>
  <c r="AH376" i="568" s="1"/>
  <c r="AH393" i="568" s="1"/>
  <c r="AH410" i="568" s="1"/>
  <c r="AH427" i="568" s="1"/>
  <c r="AG19" i="568"/>
  <c r="AG36" i="568" s="1"/>
  <c r="AG53" i="568" s="1"/>
  <c r="AG70" i="568" s="1"/>
  <c r="AG87" i="568" s="1"/>
  <c r="AG104" i="568" s="1"/>
  <c r="AG121" i="568" s="1"/>
  <c r="AG138" i="568" s="1"/>
  <c r="AG155" i="568" s="1"/>
  <c r="AG172" i="568" s="1"/>
  <c r="AG189" i="568" s="1"/>
  <c r="AG206" i="568" s="1"/>
  <c r="AG223" i="568" s="1"/>
  <c r="AG240" i="568" s="1"/>
  <c r="AG257" i="568" s="1"/>
  <c r="AG274" i="568" s="1"/>
  <c r="AG291" i="568" s="1"/>
  <c r="AG308" i="568" s="1"/>
  <c r="AG325" i="568" s="1"/>
  <c r="AG342" i="568" s="1"/>
  <c r="AG359" i="568" s="1"/>
  <c r="AG376" i="568" s="1"/>
  <c r="AG393" i="568" s="1"/>
  <c r="AG410" i="568" s="1"/>
  <c r="AG427" i="568" s="1"/>
  <c r="AF19" i="568"/>
  <c r="AF36" i="568" s="1"/>
  <c r="AF53" i="568" s="1"/>
  <c r="AF70" i="568" s="1"/>
  <c r="AF87" i="568" s="1"/>
  <c r="AF104" i="568" s="1"/>
  <c r="AF121" i="568" s="1"/>
  <c r="AF138" i="568" s="1"/>
  <c r="AF155" i="568" s="1"/>
  <c r="AF172" i="568" s="1"/>
  <c r="AF189" i="568" s="1"/>
  <c r="AF206" i="568" s="1"/>
  <c r="AF223" i="568" s="1"/>
  <c r="AF240" i="568" s="1"/>
  <c r="AF257" i="568" s="1"/>
  <c r="AF274" i="568" s="1"/>
  <c r="AF291" i="568" s="1"/>
  <c r="AF308" i="568" s="1"/>
  <c r="AF325" i="568" s="1"/>
  <c r="AF342" i="568" s="1"/>
  <c r="AF359" i="568" s="1"/>
  <c r="AF376" i="568" s="1"/>
  <c r="AF393" i="568" s="1"/>
  <c r="AF410" i="568" s="1"/>
  <c r="AF427" i="568" s="1"/>
  <c r="AE19" i="568"/>
  <c r="AE36" i="568" s="1"/>
  <c r="AE53" i="568" s="1"/>
  <c r="AE70" i="568" s="1"/>
  <c r="AE87" i="568" s="1"/>
  <c r="AE104" i="568" s="1"/>
  <c r="AE121" i="568" s="1"/>
  <c r="AE138" i="568" s="1"/>
  <c r="AE155" i="568" s="1"/>
  <c r="AE172" i="568" s="1"/>
  <c r="AE189" i="568" s="1"/>
  <c r="AE206" i="568" s="1"/>
  <c r="AE223" i="568" s="1"/>
  <c r="AE240" i="568" s="1"/>
  <c r="AE257" i="568" s="1"/>
  <c r="AE274" i="568" s="1"/>
  <c r="AE291" i="568" s="1"/>
  <c r="AE308" i="568" s="1"/>
  <c r="AE325" i="568" s="1"/>
  <c r="AE342" i="568" s="1"/>
  <c r="AE359" i="568" s="1"/>
  <c r="AE376" i="568" s="1"/>
  <c r="AE393" i="568" s="1"/>
  <c r="AE410" i="568" s="1"/>
  <c r="AE427" i="568" s="1"/>
  <c r="AD19" i="568"/>
  <c r="AD36" i="568" s="1"/>
  <c r="AD53" i="568" s="1"/>
  <c r="AD70" i="568" s="1"/>
  <c r="AD87" i="568" s="1"/>
  <c r="AD104" i="568" s="1"/>
  <c r="AD121" i="568" s="1"/>
  <c r="AD138" i="568" s="1"/>
  <c r="AD155" i="568" s="1"/>
  <c r="AD172" i="568" s="1"/>
  <c r="AD189" i="568" s="1"/>
  <c r="AD206" i="568" s="1"/>
  <c r="AD223" i="568" s="1"/>
  <c r="AD240" i="568" s="1"/>
  <c r="AD257" i="568" s="1"/>
  <c r="AD274" i="568" s="1"/>
  <c r="AD291" i="568" s="1"/>
  <c r="AD308" i="568" s="1"/>
  <c r="AD325" i="568" s="1"/>
  <c r="AD342" i="568" s="1"/>
  <c r="AD359" i="568" s="1"/>
  <c r="AD376" i="568" s="1"/>
  <c r="AD393" i="568" s="1"/>
  <c r="AD410" i="568" s="1"/>
  <c r="AD427" i="568" s="1"/>
  <c r="AC19" i="568"/>
  <c r="AC36" i="568" s="1"/>
  <c r="AC53" i="568" s="1"/>
  <c r="AC70" i="568" s="1"/>
  <c r="AC87" i="568" s="1"/>
  <c r="AC104" i="568" s="1"/>
  <c r="AC121" i="568" s="1"/>
  <c r="AC138" i="568" s="1"/>
  <c r="AC155" i="568" s="1"/>
  <c r="AC172" i="568" s="1"/>
  <c r="AC189" i="568" s="1"/>
  <c r="AC206" i="568" s="1"/>
  <c r="AC223" i="568" s="1"/>
  <c r="AC240" i="568" s="1"/>
  <c r="AC257" i="568" s="1"/>
  <c r="AC274" i="568" s="1"/>
  <c r="AC291" i="568" s="1"/>
  <c r="AC308" i="568" s="1"/>
  <c r="AC325" i="568" s="1"/>
  <c r="AC342" i="568" s="1"/>
  <c r="AC359" i="568" s="1"/>
  <c r="AC376" i="568" s="1"/>
  <c r="AC393" i="568" s="1"/>
  <c r="AC410" i="568" s="1"/>
  <c r="AC427" i="568" s="1"/>
  <c r="AB19" i="568"/>
  <c r="AB36" i="568" s="1"/>
  <c r="AB53" i="568" s="1"/>
  <c r="AB70" i="568" s="1"/>
  <c r="AB87" i="568" s="1"/>
  <c r="AB104" i="568" s="1"/>
  <c r="AB121" i="568" s="1"/>
  <c r="AB138" i="568" s="1"/>
  <c r="AB155" i="568" s="1"/>
  <c r="AB172" i="568" s="1"/>
  <c r="AB189" i="568" s="1"/>
  <c r="AB206" i="568" s="1"/>
  <c r="AB223" i="568" s="1"/>
  <c r="AB240" i="568" s="1"/>
  <c r="AB257" i="568" s="1"/>
  <c r="AB274" i="568" s="1"/>
  <c r="AB291" i="568" s="1"/>
  <c r="AB308" i="568" s="1"/>
  <c r="AB325" i="568" s="1"/>
  <c r="AB342" i="568" s="1"/>
  <c r="AB359" i="568" s="1"/>
  <c r="AB376" i="568" s="1"/>
  <c r="AB393" i="568" s="1"/>
  <c r="AB410" i="568" s="1"/>
  <c r="AB427" i="568" s="1"/>
  <c r="AA19" i="568"/>
  <c r="AA36" i="568" s="1"/>
  <c r="AA53" i="568" s="1"/>
  <c r="AA70" i="568" s="1"/>
  <c r="AA87" i="568" s="1"/>
  <c r="AA104" i="568" s="1"/>
  <c r="AA121" i="568" s="1"/>
  <c r="AA138" i="568" s="1"/>
  <c r="AA155" i="568" s="1"/>
  <c r="AA172" i="568" s="1"/>
  <c r="AA189" i="568" s="1"/>
  <c r="AA206" i="568" s="1"/>
  <c r="AA223" i="568" s="1"/>
  <c r="AA240" i="568" s="1"/>
  <c r="AA257" i="568" s="1"/>
  <c r="AA274" i="568" s="1"/>
  <c r="AA291" i="568" s="1"/>
  <c r="AA308" i="568" s="1"/>
  <c r="AA325" i="568" s="1"/>
  <c r="AA342" i="568" s="1"/>
  <c r="AA359" i="568" s="1"/>
  <c r="AA376" i="568" s="1"/>
  <c r="AA393" i="568" s="1"/>
  <c r="AA410" i="568" s="1"/>
  <c r="AA427" i="568" s="1"/>
  <c r="Z19" i="568"/>
  <c r="Z36" i="568" s="1"/>
  <c r="Z53" i="568" s="1"/>
  <c r="Z70" i="568" s="1"/>
  <c r="Z87" i="568" s="1"/>
  <c r="Z104" i="568" s="1"/>
  <c r="Z121" i="568" s="1"/>
  <c r="Z138" i="568" s="1"/>
  <c r="Z155" i="568" s="1"/>
  <c r="Z172" i="568" s="1"/>
  <c r="Z189" i="568" s="1"/>
  <c r="Z206" i="568" s="1"/>
  <c r="Z223" i="568" s="1"/>
  <c r="Z240" i="568" s="1"/>
  <c r="Z257" i="568" s="1"/>
  <c r="Z274" i="568" s="1"/>
  <c r="Z291" i="568" s="1"/>
  <c r="Z308" i="568" s="1"/>
  <c r="Z325" i="568" s="1"/>
  <c r="Z342" i="568" s="1"/>
  <c r="Z359" i="568" s="1"/>
  <c r="Z376" i="568" s="1"/>
  <c r="Z393" i="568" s="1"/>
  <c r="Z410" i="568" s="1"/>
  <c r="Z427" i="568" s="1"/>
  <c r="Y19" i="568"/>
  <c r="Y36" i="568" s="1"/>
  <c r="Y53" i="568" s="1"/>
  <c r="Y70" i="568" s="1"/>
  <c r="Y87" i="568" s="1"/>
  <c r="Y104" i="568" s="1"/>
  <c r="Y121" i="568" s="1"/>
  <c r="Y138" i="568" s="1"/>
  <c r="Y155" i="568" s="1"/>
  <c r="Y172" i="568" s="1"/>
  <c r="Y189" i="568" s="1"/>
  <c r="Y206" i="568" s="1"/>
  <c r="Y223" i="568" s="1"/>
  <c r="Y240" i="568" s="1"/>
  <c r="Y257" i="568" s="1"/>
  <c r="Y274" i="568" s="1"/>
  <c r="Y291" i="568" s="1"/>
  <c r="Y308" i="568" s="1"/>
  <c r="Y325" i="568" s="1"/>
  <c r="Y342" i="568" s="1"/>
  <c r="Y359" i="568" s="1"/>
  <c r="Y376" i="568" s="1"/>
  <c r="Y393" i="568" s="1"/>
  <c r="Y410" i="568" s="1"/>
  <c r="Y427" i="568" s="1"/>
  <c r="Y444" i="568" s="1"/>
  <c r="Y461" i="568" s="1"/>
  <c r="Y478" i="568" s="1"/>
  <c r="Y495" i="568" s="1"/>
  <c r="Y512" i="568" s="1"/>
  <c r="Y529" i="568" s="1"/>
  <c r="X19" i="568"/>
  <c r="X36" i="568" s="1"/>
  <c r="X53" i="568" s="1"/>
  <c r="X70" i="568" s="1"/>
  <c r="X87" i="568" s="1"/>
  <c r="X104" i="568" s="1"/>
  <c r="X121" i="568" s="1"/>
  <c r="X138" i="568" s="1"/>
  <c r="X155" i="568" s="1"/>
  <c r="X172" i="568" s="1"/>
  <c r="X189" i="568" s="1"/>
  <c r="X206" i="568" s="1"/>
  <c r="X223" i="568" s="1"/>
  <c r="X240" i="568" s="1"/>
  <c r="X257" i="568" s="1"/>
  <c r="X274" i="568" s="1"/>
  <c r="X291" i="568" s="1"/>
  <c r="X308" i="568" s="1"/>
  <c r="X325" i="568" s="1"/>
  <c r="X342" i="568" s="1"/>
  <c r="X359" i="568" s="1"/>
  <c r="X376" i="568" s="1"/>
  <c r="X393" i="568" s="1"/>
  <c r="X410" i="568" s="1"/>
  <c r="X427" i="568" s="1"/>
  <c r="X444" i="568" s="1"/>
  <c r="X461" i="568" s="1"/>
  <c r="X478" i="568" s="1"/>
  <c r="X495" i="568" s="1"/>
  <c r="X512" i="568" s="1"/>
  <c r="X529" i="568" s="1"/>
  <c r="W19" i="568"/>
  <c r="W36" i="568" s="1"/>
  <c r="W53" i="568" s="1"/>
  <c r="W70" i="568" s="1"/>
  <c r="W87" i="568" s="1"/>
  <c r="W104" i="568" s="1"/>
  <c r="W121" i="568" s="1"/>
  <c r="W138" i="568" s="1"/>
  <c r="W155" i="568" s="1"/>
  <c r="W172" i="568" s="1"/>
  <c r="W189" i="568" s="1"/>
  <c r="W206" i="568" s="1"/>
  <c r="W223" i="568" s="1"/>
  <c r="W240" i="568" s="1"/>
  <c r="W257" i="568" s="1"/>
  <c r="W274" i="568" s="1"/>
  <c r="W291" i="568" s="1"/>
  <c r="W308" i="568" s="1"/>
  <c r="W325" i="568" s="1"/>
  <c r="W342" i="568" s="1"/>
  <c r="W359" i="568" s="1"/>
  <c r="W376" i="568" s="1"/>
  <c r="W393" i="568" s="1"/>
  <c r="W410" i="568" s="1"/>
  <c r="W427" i="568" s="1"/>
  <c r="W444" i="568" s="1"/>
  <c r="W461" i="568" s="1"/>
  <c r="W478" i="568" s="1"/>
  <c r="W495" i="568" s="1"/>
  <c r="W512" i="568" s="1"/>
  <c r="W529" i="568" s="1"/>
  <c r="V19" i="568"/>
  <c r="V36" i="568" s="1"/>
  <c r="V53" i="568" s="1"/>
  <c r="V70" i="568" s="1"/>
  <c r="V87" i="568" s="1"/>
  <c r="V104" i="568" s="1"/>
  <c r="V121" i="568" s="1"/>
  <c r="V138" i="568" s="1"/>
  <c r="V155" i="568" s="1"/>
  <c r="V172" i="568" s="1"/>
  <c r="V189" i="568" s="1"/>
  <c r="V206" i="568" s="1"/>
  <c r="V223" i="568" s="1"/>
  <c r="V240" i="568" s="1"/>
  <c r="V257" i="568" s="1"/>
  <c r="V274" i="568" s="1"/>
  <c r="V291" i="568" s="1"/>
  <c r="V308" i="568" s="1"/>
  <c r="V325" i="568" s="1"/>
  <c r="V342" i="568" s="1"/>
  <c r="V359" i="568" s="1"/>
  <c r="V376" i="568" s="1"/>
  <c r="V393" i="568" s="1"/>
  <c r="V410" i="568" s="1"/>
  <c r="V427" i="568" s="1"/>
  <c r="V444" i="568" s="1"/>
  <c r="V461" i="568" s="1"/>
  <c r="V478" i="568" s="1"/>
  <c r="V495" i="568" s="1"/>
  <c r="V512" i="568" s="1"/>
  <c r="V529" i="568" s="1"/>
  <c r="U19" i="568"/>
  <c r="U36" i="568" s="1"/>
  <c r="U53" i="568" s="1"/>
  <c r="U70" i="568" s="1"/>
  <c r="U87" i="568" s="1"/>
  <c r="U104" i="568" s="1"/>
  <c r="U121" i="568" s="1"/>
  <c r="U138" i="568" s="1"/>
  <c r="U155" i="568" s="1"/>
  <c r="U172" i="568" s="1"/>
  <c r="U189" i="568" s="1"/>
  <c r="U206" i="568" s="1"/>
  <c r="U223" i="568" s="1"/>
  <c r="U240" i="568" s="1"/>
  <c r="U257" i="568" s="1"/>
  <c r="U274" i="568" s="1"/>
  <c r="U291" i="568" s="1"/>
  <c r="U308" i="568" s="1"/>
  <c r="U325" i="568" s="1"/>
  <c r="U342" i="568" s="1"/>
  <c r="U359" i="568" s="1"/>
  <c r="U376" i="568" s="1"/>
  <c r="U393" i="568" s="1"/>
  <c r="U410" i="568" s="1"/>
  <c r="U427" i="568" s="1"/>
  <c r="U444" i="568" s="1"/>
  <c r="U461" i="568" s="1"/>
  <c r="U478" i="568" s="1"/>
  <c r="U495" i="568" s="1"/>
  <c r="U512" i="568" s="1"/>
  <c r="U529" i="568" s="1"/>
  <c r="S19" i="568"/>
  <c r="P19" i="568"/>
  <c r="N19" i="568"/>
  <c r="N36" i="568" s="1"/>
  <c r="N53" i="568" s="1"/>
  <c r="N70" i="568" s="1"/>
  <c r="N87" i="568" s="1"/>
  <c r="N104" i="568" s="1"/>
  <c r="N121" i="568" s="1"/>
  <c r="N138" i="568" s="1"/>
  <c r="N155" i="568" s="1"/>
  <c r="N172" i="568" s="1"/>
  <c r="N189" i="568" s="1"/>
  <c r="N206" i="568" s="1"/>
  <c r="N223" i="568" s="1"/>
  <c r="N240" i="568" s="1"/>
  <c r="N257" i="568" s="1"/>
  <c r="N274" i="568" s="1"/>
  <c r="N291" i="568" s="1"/>
  <c r="N308" i="568" s="1"/>
  <c r="N325" i="568" s="1"/>
  <c r="N342" i="568" s="1"/>
  <c r="N359" i="568" s="1"/>
  <c r="N376" i="568" s="1"/>
  <c r="N393" i="568" s="1"/>
  <c r="N410" i="568" s="1"/>
  <c r="N427" i="568" s="1"/>
  <c r="N444" i="568" s="1"/>
  <c r="N461" i="568" s="1"/>
  <c r="N478" i="568" s="1"/>
  <c r="N495" i="568" s="1"/>
  <c r="N512" i="568" s="1"/>
  <c r="N529" i="568" s="1"/>
  <c r="K19" i="568"/>
  <c r="K36" i="568" s="1"/>
  <c r="K53" i="568" s="1"/>
  <c r="K70" i="568" s="1"/>
  <c r="K87" i="568" s="1"/>
  <c r="K104" i="568" s="1"/>
  <c r="K121" i="568" s="1"/>
  <c r="K138" i="568" s="1"/>
  <c r="K155" i="568" s="1"/>
  <c r="K172" i="568" s="1"/>
  <c r="K189" i="568" s="1"/>
  <c r="K206" i="568" s="1"/>
  <c r="K223" i="568" s="1"/>
  <c r="K240" i="568" s="1"/>
  <c r="K257" i="568" s="1"/>
  <c r="K274" i="568" s="1"/>
  <c r="K291" i="568" s="1"/>
  <c r="K308" i="568" s="1"/>
  <c r="K325" i="568" s="1"/>
  <c r="K342" i="568" s="1"/>
  <c r="K359" i="568" s="1"/>
  <c r="K376" i="568" s="1"/>
  <c r="K393" i="568" s="1"/>
  <c r="K410" i="568" s="1"/>
  <c r="K427" i="568" s="1"/>
  <c r="K444" i="568" s="1"/>
  <c r="K461" i="568" s="1"/>
  <c r="K478" i="568" s="1"/>
  <c r="K495" i="568" s="1"/>
  <c r="K512" i="568" s="1"/>
  <c r="K529" i="568" s="1"/>
  <c r="J19" i="568"/>
  <c r="J36" i="568" s="1"/>
  <c r="J53" i="568" s="1"/>
  <c r="J70" i="568" s="1"/>
  <c r="J87" i="568" s="1"/>
  <c r="J104" i="568" s="1"/>
  <c r="J121" i="568" s="1"/>
  <c r="J138" i="568" s="1"/>
  <c r="J155" i="568" s="1"/>
  <c r="J172" i="568" s="1"/>
  <c r="J189" i="568" s="1"/>
  <c r="J206" i="568" s="1"/>
  <c r="J223" i="568" s="1"/>
  <c r="J240" i="568" s="1"/>
  <c r="J257" i="568" s="1"/>
  <c r="J274" i="568" s="1"/>
  <c r="J291" i="568" s="1"/>
  <c r="J308" i="568" s="1"/>
  <c r="J325" i="568" s="1"/>
  <c r="J342" i="568" s="1"/>
  <c r="J359" i="568" s="1"/>
  <c r="J376" i="568" s="1"/>
  <c r="J393" i="568" s="1"/>
  <c r="J410" i="568" s="1"/>
  <c r="J427" i="568" s="1"/>
  <c r="J444" i="568" s="1"/>
  <c r="J461" i="568" s="1"/>
  <c r="J478" i="568" s="1"/>
  <c r="J495" i="568" s="1"/>
  <c r="J512" i="568" s="1"/>
  <c r="J529" i="568" s="1"/>
  <c r="H19" i="568"/>
  <c r="H36" i="568" s="1"/>
  <c r="H53" i="568" s="1"/>
  <c r="H70" i="568" s="1"/>
  <c r="H87" i="568" s="1"/>
  <c r="H104" i="568" s="1"/>
  <c r="H121" i="568" s="1"/>
  <c r="H138" i="568" s="1"/>
  <c r="H155" i="568" s="1"/>
  <c r="H172" i="568" s="1"/>
  <c r="H189" i="568" s="1"/>
  <c r="H206" i="568" s="1"/>
  <c r="H223" i="568" s="1"/>
  <c r="H240" i="568" s="1"/>
  <c r="H257" i="568" s="1"/>
  <c r="H274" i="568" s="1"/>
  <c r="H291" i="568" s="1"/>
  <c r="H308" i="568" s="1"/>
  <c r="H325" i="568" s="1"/>
  <c r="H342" i="568" s="1"/>
  <c r="H359" i="568" s="1"/>
  <c r="H376" i="568" s="1"/>
  <c r="H393" i="568" s="1"/>
  <c r="H410" i="568" s="1"/>
  <c r="H427" i="568" s="1"/>
  <c r="H444" i="568" s="1"/>
  <c r="H461" i="568" s="1"/>
  <c r="H478" i="568" s="1"/>
  <c r="H495" i="568" s="1"/>
  <c r="H512" i="568" s="1"/>
  <c r="H529" i="568" s="1"/>
  <c r="G19" i="568"/>
  <c r="G36" i="568" s="1"/>
  <c r="G53" i="568" s="1"/>
  <c r="G70" i="568" s="1"/>
  <c r="G87" i="568" s="1"/>
  <c r="G104" i="568" s="1"/>
  <c r="G121" i="568" s="1"/>
  <c r="G138" i="568" s="1"/>
  <c r="G155" i="568" s="1"/>
  <c r="G172" i="568" s="1"/>
  <c r="G189" i="568" s="1"/>
  <c r="G206" i="568" s="1"/>
  <c r="G223" i="568" s="1"/>
  <c r="G240" i="568" s="1"/>
  <c r="G257" i="568" s="1"/>
  <c r="G274" i="568" s="1"/>
  <c r="G291" i="568" s="1"/>
  <c r="G308" i="568" s="1"/>
  <c r="G325" i="568" s="1"/>
  <c r="G342" i="568" s="1"/>
  <c r="G359" i="568" s="1"/>
  <c r="G376" i="568" s="1"/>
  <c r="G393" i="568" s="1"/>
  <c r="G410" i="568" s="1"/>
  <c r="G427" i="568" s="1"/>
  <c r="G444" i="568" s="1"/>
  <c r="G461" i="568" s="1"/>
  <c r="G478" i="568" s="1"/>
  <c r="G495" i="568" s="1"/>
  <c r="G512" i="568" s="1"/>
  <c r="G529" i="568" s="1"/>
  <c r="F19" i="568"/>
  <c r="F36" i="568" s="1"/>
  <c r="F53" i="568" s="1"/>
  <c r="F70" i="568" s="1"/>
  <c r="F87" i="568" s="1"/>
  <c r="F104" i="568" s="1"/>
  <c r="F121" i="568" s="1"/>
  <c r="F138" i="568" s="1"/>
  <c r="F155" i="568" s="1"/>
  <c r="F172" i="568" s="1"/>
  <c r="F189" i="568" s="1"/>
  <c r="F206" i="568" s="1"/>
  <c r="F223" i="568" s="1"/>
  <c r="F240" i="568" s="1"/>
  <c r="F257" i="568" s="1"/>
  <c r="F274" i="568" s="1"/>
  <c r="F291" i="568" s="1"/>
  <c r="F308" i="568" s="1"/>
  <c r="F325" i="568" s="1"/>
  <c r="F342" i="568" s="1"/>
  <c r="F359" i="568" s="1"/>
  <c r="F376" i="568" s="1"/>
  <c r="F393" i="568" s="1"/>
  <c r="F410" i="568" s="1"/>
  <c r="F427" i="568" s="1"/>
  <c r="F444" i="568" s="1"/>
  <c r="F461" i="568" s="1"/>
  <c r="F478" i="568" s="1"/>
  <c r="F495" i="568" s="1"/>
  <c r="F512" i="568" s="1"/>
  <c r="F529" i="568" s="1"/>
  <c r="D19" i="568"/>
  <c r="AB444" i="574" l="1"/>
  <c r="AB461" i="574" s="1"/>
  <c r="AB478" i="574" s="1"/>
  <c r="AB495" i="574" s="1"/>
  <c r="AB512" i="574" s="1"/>
  <c r="AO444" i="574"/>
  <c r="AO461" i="574" s="1"/>
  <c r="AO478" i="574" s="1"/>
  <c r="AO495" i="574" s="1"/>
  <c r="AO512" i="574" s="1"/>
  <c r="Z444" i="574"/>
  <c r="Z461" i="574" s="1"/>
  <c r="Z478" i="574" s="1"/>
  <c r="Z495" i="574" s="1"/>
  <c r="Z512" i="574" s="1"/>
  <c r="AH444" i="574"/>
  <c r="AH461" i="574" s="1"/>
  <c r="AH478" i="574" s="1"/>
  <c r="AH495" i="574" s="1"/>
  <c r="AH512" i="574" s="1"/>
  <c r="AC444" i="574"/>
  <c r="AC461" i="574" s="1"/>
  <c r="AC478" i="574" s="1"/>
  <c r="AC495" i="574" s="1"/>
  <c r="AC512" i="574" s="1"/>
  <c r="AK444" i="574"/>
  <c r="AK461" i="574" s="1"/>
  <c r="AK478" i="574" s="1"/>
  <c r="AK495" i="574" s="1"/>
  <c r="AK512" i="574" s="1"/>
  <c r="S36" i="574"/>
  <c r="R19" i="574"/>
  <c r="AA529" i="574"/>
  <c r="AA444" i="574"/>
  <c r="AA461" i="574" s="1"/>
  <c r="AA478" i="574" s="1"/>
  <c r="AA495" i="574" s="1"/>
  <c r="AA512" i="574" s="1"/>
  <c r="AE529" i="574"/>
  <c r="AE444" i="574"/>
  <c r="AE461" i="574" s="1"/>
  <c r="AE478" i="574" s="1"/>
  <c r="AE495" i="574" s="1"/>
  <c r="AE512" i="574" s="1"/>
  <c r="AI529" i="574"/>
  <c r="AI444" i="574"/>
  <c r="AI461" i="574" s="1"/>
  <c r="AI478" i="574" s="1"/>
  <c r="AI495" i="574" s="1"/>
  <c r="AI512" i="574" s="1"/>
  <c r="AM529" i="574"/>
  <c r="AM444" i="574"/>
  <c r="AM461" i="574" s="1"/>
  <c r="AM478" i="574" s="1"/>
  <c r="AM495" i="574" s="1"/>
  <c r="AM512" i="574" s="1"/>
  <c r="AQ529" i="574"/>
  <c r="AQ444" i="574"/>
  <c r="AQ461" i="574" s="1"/>
  <c r="AQ478" i="574" s="1"/>
  <c r="AQ495" i="574" s="1"/>
  <c r="AQ512" i="574" s="1"/>
  <c r="M53" i="574"/>
  <c r="L36" i="574"/>
  <c r="AD444" i="574"/>
  <c r="AD461" i="574" s="1"/>
  <c r="AD478" i="574" s="1"/>
  <c r="AD495" i="574" s="1"/>
  <c r="AD512" i="574" s="1"/>
  <c r="AP444" i="574"/>
  <c r="AP461" i="574" s="1"/>
  <c r="AP478" i="574" s="1"/>
  <c r="AP495" i="574" s="1"/>
  <c r="AP512" i="574" s="1"/>
  <c r="C18" i="574"/>
  <c r="D36" i="574"/>
  <c r="AR19" i="574"/>
  <c r="C19" i="574" s="1"/>
  <c r="P36" i="574"/>
  <c r="O19" i="574"/>
  <c r="AF444" i="574"/>
  <c r="AF461" i="574" s="1"/>
  <c r="AF478" i="574" s="1"/>
  <c r="AF495" i="574" s="1"/>
  <c r="AF512" i="574" s="1"/>
  <c r="AF529" i="574"/>
  <c r="AJ444" i="574"/>
  <c r="AJ461" i="574" s="1"/>
  <c r="AJ478" i="574" s="1"/>
  <c r="AJ495" i="574" s="1"/>
  <c r="AJ512" i="574" s="1"/>
  <c r="AJ529" i="574"/>
  <c r="AN444" i="574"/>
  <c r="AN461" i="574" s="1"/>
  <c r="AN478" i="574" s="1"/>
  <c r="AN495" i="574" s="1"/>
  <c r="AN512" i="574" s="1"/>
  <c r="AN529" i="574"/>
  <c r="AG444" i="574"/>
  <c r="AG461" i="574" s="1"/>
  <c r="AG478" i="574" s="1"/>
  <c r="AG495" i="574" s="1"/>
  <c r="AG512" i="574" s="1"/>
  <c r="AG529" i="574"/>
  <c r="AL444" i="574"/>
  <c r="AL461" i="574" s="1"/>
  <c r="AL478" i="574" s="1"/>
  <c r="AL495" i="574" s="1"/>
  <c r="AL512" i="574" s="1"/>
  <c r="AL529" i="574"/>
  <c r="C1" i="574"/>
  <c r="L19" i="574"/>
  <c r="T19" i="574"/>
  <c r="AB444" i="573"/>
  <c r="AB461" i="573" s="1"/>
  <c r="AB478" i="573" s="1"/>
  <c r="AB495" i="573" s="1"/>
  <c r="AB512" i="573" s="1"/>
  <c r="AF444" i="573"/>
  <c r="AF461" i="573" s="1"/>
  <c r="AF478" i="573" s="1"/>
  <c r="AF495" i="573" s="1"/>
  <c r="AF512" i="573" s="1"/>
  <c r="AJ444" i="573"/>
  <c r="AJ461" i="573" s="1"/>
  <c r="AJ478" i="573" s="1"/>
  <c r="AJ495" i="573" s="1"/>
  <c r="AJ512" i="573" s="1"/>
  <c r="AN444" i="573"/>
  <c r="AN461" i="573" s="1"/>
  <c r="AN478" i="573" s="1"/>
  <c r="AN495" i="573" s="1"/>
  <c r="AN512" i="573" s="1"/>
  <c r="AG444" i="573"/>
  <c r="AG461" i="573" s="1"/>
  <c r="AG478" i="573" s="1"/>
  <c r="AG495" i="573" s="1"/>
  <c r="AG512" i="573" s="1"/>
  <c r="C18" i="573"/>
  <c r="D36" i="573"/>
  <c r="AR19" i="573"/>
  <c r="C19" i="573" s="1"/>
  <c r="AR35" i="573"/>
  <c r="T36" i="573"/>
  <c r="AO444" i="573"/>
  <c r="AO461" i="573" s="1"/>
  <c r="AO478" i="573" s="1"/>
  <c r="AO495" i="573" s="1"/>
  <c r="AO512" i="573" s="1"/>
  <c r="AO529" i="573"/>
  <c r="Z444" i="573"/>
  <c r="Z461" i="573" s="1"/>
  <c r="Z478" i="573" s="1"/>
  <c r="Z495" i="573" s="1"/>
  <c r="Z512" i="573" s="1"/>
  <c r="AH444" i="573"/>
  <c r="AH461" i="573" s="1"/>
  <c r="AH478" i="573" s="1"/>
  <c r="AH495" i="573" s="1"/>
  <c r="AH512" i="573" s="1"/>
  <c r="AH529" i="573"/>
  <c r="P36" i="573"/>
  <c r="O19" i="573"/>
  <c r="AC444" i="573"/>
  <c r="AC461" i="573" s="1"/>
  <c r="AC478" i="573" s="1"/>
  <c r="AC495" i="573" s="1"/>
  <c r="AC512" i="573" s="1"/>
  <c r="AC529" i="573"/>
  <c r="AK444" i="573"/>
  <c r="AK461" i="573" s="1"/>
  <c r="AK478" i="573" s="1"/>
  <c r="AK495" i="573" s="1"/>
  <c r="AK512" i="573" s="1"/>
  <c r="S36" i="573"/>
  <c r="R19" i="573"/>
  <c r="AA444" i="573"/>
  <c r="AA461" i="573" s="1"/>
  <c r="AA478" i="573" s="1"/>
  <c r="AA495" i="573" s="1"/>
  <c r="AA512" i="573" s="1"/>
  <c r="AE444" i="573"/>
  <c r="AE461" i="573" s="1"/>
  <c r="AE478" i="573" s="1"/>
  <c r="AE495" i="573" s="1"/>
  <c r="AE512" i="573" s="1"/>
  <c r="AI444" i="573"/>
  <c r="AI461" i="573" s="1"/>
  <c r="AI478" i="573" s="1"/>
  <c r="AI495" i="573" s="1"/>
  <c r="AI512" i="573" s="1"/>
  <c r="AM444" i="573"/>
  <c r="AM461" i="573" s="1"/>
  <c r="AM478" i="573" s="1"/>
  <c r="AM495" i="573" s="1"/>
  <c r="AM512" i="573" s="1"/>
  <c r="AQ444" i="573"/>
  <c r="AQ461" i="573" s="1"/>
  <c r="AQ478" i="573" s="1"/>
  <c r="AQ495" i="573" s="1"/>
  <c r="AQ512" i="573" s="1"/>
  <c r="M53" i="573"/>
  <c r="L36" i="573"/>
  <c r="AD444" i="573"/>
  <c r="AD461" i="573" s="1"/>
  <c r="AD478" i="573" s="1"/>
  <c r="AD495" i="573" s="1"/>
  <c r="AD512" i="573" s="1"/>
  <c r="AR18" i="573"/>
  <c r="AL444" i="573"/>
  <c r="AL461" i="573" s="1"/>
  <c r="AL478" i="573" s="1"/>
  <c r="AL495" i="573" s="1"/>
  <c r="AL512" i="573" s="1"/>
  <c r="C1" i="573"/>
  <c r="L19" i="573"/>
  <c r="AP444" i="573"/>
  <c r="AP461" i="573" s="1"/>
  <c r="AP478" i="573" s="1"/>
  <c r="AP495" i="573" s="1"/>
  <c r="AP512" i="573" s="1"/>
  <c r="M36" i="572"/>
  <c r="L19" i="572"/>
  <c r="O19" i="572"/>
  <c r="N36" i="572"/>
  <c r="N53" i="572" s="1"/>
  <c r="N70" i="572" s="1"/>
  <c r="N87" i="572" s="1"/>
  <c r="N104" i="572" s="1"/>
  <c r="N121" i="572" s="1"/>
  <c r="N138" i="572" s="1"/>
  <c r="N155" i="572" s="1"/>
  <c r="N172" i="572" s="1"/>
  <c r="N189" i="572" s="1"/>
  <c r="N206" i="572" s="1"/>
  <c r="N223" i="572" s="1"/>
  <c r="N240" i="572" s="1"/>
  <c r="N257" i="572" s="1"/>
  <c r="N274" i="572" s="1"/>
  <c r="N291" i="572" s="1"/>
  <c r="N308" i="572" s="1"/>
  <c r="N325" i="572" s="1"/>
  <c r="N342" i="572" s="1"/>
  <c r="N359" i="572" s="1"/>
  <c r="N376" i="572" s="1"/>
  <c r="N393" i="572" s="1"/>
  <c r="N410" i="572" s="1"/>
  <c r="N427" i="572" s="1"/>
  <c r="N444" i="572" s="1"/>
  <c r="N461" i="572" s="1"/>
  <c r="N478" i="572" s="1"/>
  <c r="N495" i="572" s="1"/>
  <c r="N512" i="572" s="1"/>
  <c r="N529" i="572" s="1"/>
  <c r="AM444" i="572"/>
  <c r="AM461" i="572" s="1"/>
  <c r="AM478" i="572" s="1"/>
  <c r="AM495" i="572" s="1"/>
  <c r="AM512" i="572" s="1"/>
  <c r="AQ444" i="572"/>
  <c r="AQ461" i="572" s="1"/>
  <c r="AQ478" i="572" s="1"/>
  <c r="AQ495" i="572" s="1"/>
  <c r="AQ512" i="572" s="1"/>
  <c r="S53" i="572"/>
  <c r="R36" i="572"/>
  <c r="AA444" i="572"/>
  <c r="AA461" i="572" s="1"/>
  <c r="AA478" i="572" s="1"/>
  <c r="AA495" i="572" s="1"/>
  <c r="AA512" i="572" s="1"/>
  <c r="AI444" i="572"/>
  <c r="AI461" i="572" s="1"/>
  <c r="AI478" i="572" s="1"/>
  <c r="AI495" i="572" s="1"/>
  <c r="AI512" i="572" s="1"/>
  <c r="Z444" i="572"/>
  <c r="Z461" i="572" s="1"/>
  <c r="Z478" i="572" s="1"/>
  <c r="Z495" i="572" s="1"/>
  <c r="Z512" i="572" s="1"/>
  <c r="Z529" i="572"/>
  <c r="T53" i="572"/>
  <c r="AR52" i="572"/>
  <c r="AB444" i="572"/>
  <c r="AB461" i="572" s="1"/>
  <c r="AB478" i="572" s="1"/>
  <c r="AB495" i="572" s="1"/>
  <c r="AB512" i="572" s="1"/>
  <c r="AB529" i="572"/>
  <c r="AJ444" i="572"/>
  <c r="AJ461" i="572" s="1"/>
  <c r="AJ478" i="572" s="1"/>
  <c r="AJ495" i="572" s="1"/>
  <c r="AJ512" i="572" s="1"/>
  <c r="AJ529" i="572"/>
  <c r="AC444" i="572"/>
  <c r="AC461" i="572" s="1"/>
  <c r="AC478" i="572" s="1"/>
  <c r="AC495" i="572" s="1"/>
  <c r="AC512" i="572" s="1"/>
  <c r="AC529" i="572"/>
  <c r="AG444" i="572"/>
  <c r="AG461" i="572" s="1"/>
  <c r="AG478" i="572" s="1"/>
  <c r="AG495" i="572" s="1"/>
  <c r="AG512" i="572" s="1"/>
  <c r="AG529" i="572"/>
  <c r="AK444" i="572"/>
  <c r="AK461" i="572" s="1"/>
  <c r="AK478" i="572" s="1"/>
  <c r="AK495" i="572" s="1"/>
  <c r="AK512" i="572" s="1"/>
  <c r="AK529" i="572"/>
  <c r="AO444" i="572"/>
  <c r="AO461" i="572" s="1"/>
  <c r="AO478" i="572" s="1"/>
  <c r="AO495" i="572" s="1"/>
  <c r="AO512" i="572" s="1"/>
  <c r="AO529" i="572"/>
  <c r="AE444" i="572"/>
  <c r="AE461" i="572" s="1"/>
  <c r="AE478" i="572" s="1"/>
  <c r="AE495" i="572" s="1"/>
  <c r="AE512" i="572" s="1"/>
  <c r="AN444" i="572"/>
  <c r="AN461" i="572" s="1"/>
  <c r="AN478" i="572" s="1"/>
  <c r="AN495" i="572" s="1"/>
  <c r="AN512" i="572" s="1"/>
  <c r="AD444" i="572"/>
  <c r="AD461" i="572" s="1"/>
  <c r="AD478" i="572" s="1"/>
  <c r="AD495" i="572" s="1"/>
  <c r="AD512" i="572" s="1"/>
  <c r="AH444" i="572"/>
  <c r="AH461" i="572" s="1"/>
  <c r="AH478" i="572" s="1"/>
  <c r="AH495" i="572" s="1"/>
  <c r="AH512" i="572" s="1"/>
  <c r="AP444" i="572"/>
  <c r="AP461" i="572" s="1"/>
  <c r="AP478" i="572" s="1"/>
  <c r="AP495" i="572" s="1"/>
  <c r="AP512" i="572" s="1"/>
  <c r="C35" i="572"/>
  <c r="D53" i="572"/>
  <c r="AR36" i="572"/>
  <c r="C36" i="572" s="1"/>
  <c r="P53" i="572"/>
  <c r="O36" i="572"/>
  <c r="AF444" i="572"/>
  <c r="AF461" i="572" s="1"/>
  <c r="AF478" i="572" s="1"/>
  <c r="AF495" i="572" s="1"/>
  <c r="AF512" i="572" s="1"/>
  <c r="AL444" i="572"/>
  <c r="AL461" i="572" s="1"/>
  <c r="AL478" i="572" s="1"/>
  <c r="AL495" i="572" s="1"/>
  <c r="AL512" i="572" s="1"/>
  <c r="C18" i="572"/>
  <c r="AR35" i="572"/>
  <c r="R19" i="572"/>
  <c r="AR19" i="572"/>
  <c r="C19" i="572" s="1"/>
  <c r="D36" i="571"/>
  <c r="C18" i="571"/>
  <c r="P36" i="571"/>
  <c r="O19" i="571"/>
  <c r="AB444" i="571"/>
  <c r="AB461" i="571" s="1"/>
  <c r="AB478" i="571" s="1"/>
  <c r="AB495" i="571" s="1"/>
  <c r="AB512" i="571" s="1"/>
  <c r="AB529" i="571"/>
  <c r="AF444" i="571"/>
  <c r="AF461" i="571" s="1"/>
  <c r="AF478" i="571" s="1"/>
  <c r="AF495" i="571" s="1"/>
  <c r="AF512" i="571" s="1"/>
  <c r="AJ444" i="571"/>
  <c r="AJ461" i="571" s="1"/>
  <c r="AJ478" i="571" s="1"/>
  <c r="AJ495" i="571" s="1"/>
  <c r="AJ512" i="571" s="1"/>
  <c r="AN444" i="571"/>
  <c r="AN461" i="571" s="1"/>
  <c r="AN478" i="571" s="1"/>
  <c r="AN495" i="571" s="1"/>
  <c r="AN512" i="571" s="1"/>
  <c r="M36" i="571"/>
  <c r="L19" i="571"/>
  <c r="AC444" i="571"/>
  <c r="AC461" i="571" s="1"/>
  <c r="AC478" i="571" s="1"/>
  <c r="AC495" i="571" s="1"/>
  <c r="AC512" i="571" s="1"/>
  <c r="AG444" i="571"/>
  <c r="AG461" i="571" s="1"/>
  <c r="AG478" i="571" s="1"/>
  <c r="AG495" i="571" s="1"/>
  <c r="AG512" i="571" s="1"/>
  <c r="AK444" i="571"/>
  <c r="AK461" i="571" s="1"/>
  <c r="AK478" i="571" s="1"/>
  <c r="AK495" i="571" s="1"/>
  <c r="AK512" i="571" s="1"/>
  <c r="AO444" i="571"/>
  <c r="AO461" i="571" s="1"/>
  <c r="AO478" i="571" s="1"/>
  <c r="AO495" i="571" s="1"/>
  <c r="AO512" i="571" s="1"/>
  <c r="Z444" i="571"/>
  <c r="Z461" i="571" s="1"/>
  <c r="Z478" i="571" s="1"/>
  <c r="Z495" i="571" s="1"/>
  <c r="Z512" i="571" s="1"/>
  <c r="AD444" i="571"/>
  <c r="AD461" i="571" s="1"/>
  <c r="AD478" i="571" s="1"/>
  <c r="AD495" i="571" s="1"/>
  <c r="AD512" i="571" s="1"/>
  <c r="AH444" i="571"/>
  <c r="AH461" i="571" s="1"/>
  <c r="AH478" i="571" s="1"/>
  <c r="AH495" i="571" s="1"/>
  <c r="AH512" i="571" s="1"/>
  <c r="AP444" i="571"/>
  <c r="AP461" i="571" s="1"/>
  <c r="AP478" i="571" s="1"/>
  <c r="AP495" i="571" s="1"/>
  <c r="AP512" i="571" s="1"/>
  <c r="S36" i="571"/>
  <c r="R19" i="571"/>
  <c r="AA529" i="571"/>
  <c r="AA444" i="571"/>
  <c r="AA461" i="571" s="1"/>
  <c r="AA478" i="571" s="1"/>
  <c r="AA495" i="571" s="1"/>
  <c r="AA512" i="571" s="1"/>
  <c r="AE529" i="571"/>
  <c r="AE444" i="571"/>
  <c r="AE461" i="571" s="1"/>
  <c r="AE478" i="571" s="1"/>
  <c r="AE495" i="571" s="1"/>
  <c r="AE512" i="571" s="1"/>
  <c r="AI529" i="571"/>
  <c r="AI444" i="571"/>
  <c r="AI461" i="571" s="1"/>
  <c r="AI478" i="571" s="1"/>
  <c r="AI495" i="571" s="1"/>
  <c r="AI512" i="571" s="1"/>
  <c r="AM529" i="571"/>
  <c r="AM444" i="571"/>
  <c r="AM461" i="571" s="1"/>
  <c r="AM478" i="571" s="1"/>
  <c r="AM495" i="571" s="1"/>
  <c r="AM512" i="571" s="1"/>
  <c r="AQ529" i="571"/>
  <c r="AQ444" i="571"/>
  <c r="AQ461" i="571" s="1"/>
  <c r="AQ478" i="571" s="1"/>
  <c r="AQ495" i="571" s="1"/>
  <c r="AQ512" i="571" s="1"/>
  <c r="AL444" i="571"/>
  <c r="AL461" i="571" s="1"/>
  <c r="AL478" i="571" s="1"/>
  <c r="AL495" i="571" s="1"/>
  <c r="AL512" i="571" s="1"/>
  <c r="C1" i="571"/>
  <c r="T19" i="571"/>
  <c r="O19" i="570"/>
  <c r="N36" i="570"/>
  <c r="N53" i="570" s="1"/>
  <c r="N70" i="570" s="1"/>
  <c r="N87" i="570" s="1"/>
  <c r="N104" i="570" s="1"/>
  <c r="N121" i="570" s="1"/>
  <c r="N138" i="570" s="1"/>
  <c r="N155" i="570" s="1"/>
  <c r="N172" i="570" s="1"/>
  <c r="N189" i="570" s="1"/>
  <c r="N206" i="570" s="1"/>
  <c r="N223" i="570" s="1"/>
  <c r="N240" i="570" s="1"/>
  <c r="N257" i="570" s="1"/>
  <c r="N274" i="570" s="1"/>
  <c r="N291" i="570" s="1"/>
  <c r="N308" i="570" s="1"/>
  <c r="N325" i="570" s="1"/>
  <c r="N342" i="570" s="1"/>
  <c r="N359" i="570" s="1"/>
  <c r="N376" i="570" s="1"/>
  <c r="N393" i="570" s="1"/>
  <c r="N410" i="570" s="1"/>
  <c r="N427" i="570" s="1"/>
  <c r="N444" i="570" s="1"/>
  <c r="N461" i="570" s="1"/>
  <c r="N478" i="570" s="1"/>
  <c r="N495" i="570" s="1"/>
  <c r="N512" i="570" s="1"/>
  <c r="N529" i="570" s="1"/>
  <c r="Z444" i="570"/>
  <c r="Z461" i="570" s="1"/>
  <c r="Z478" i="570" s="1"/>
  <c r="Z495" i="570" s="1"/>
  <c r="Z512" i="570" s="1"/>
  <c r="AM444" i="570"/>
  <c r="AM461" i="570" s="1"/>
  <c r="AM478" i="570" s="1"/>
  <c r="AM495" i="570" s="1"/>
  <c r="AM512" i="570" s="1"/>
  <c r="AQ444" i="570"/>
  <c r="AQ461" i="570" s="1"/>
  <c r="AQ478" i="570" s="1"/>
  <c r="AQ495" i="570" s="1"/>
  <c r="AQ512" i="570" s="1"/>
  <c r="AQ529" i="570" s="1"/>
  <c r="S53" i="570"/>
  <c r="R36" i="570"/>
  <c r="AA444" i="570"/>
  <c r="AA461" i="570" s="1"/>
  <c r="AA478" i="570" s="1"/>
  <c r="AA495" i="570" s="1"/>
  <c r="AA512" i="570" s="1"/>
  <c r="AI444" i="570"/>
  <c r="AI461" i="570" s="1"/>
  <c r="AI478" i="570" s="1"/>
  <c r="AI495" i="570" s="1"/>
  <c r="AI512" i="570" s="1"/>
  <c r="AD444" i="570"/>
  <c r="AD461" i="570" s="1"/>
  <c r="AD478" i="570" s="1"/>
  <c r="AD495" i="570" s="1"/>
  <c r="AD512" i="570" s="1"/>
  <c r="AD529" i="570" s="1"/>
  <c r="T53" i="570"/>
  <c r="AR52" i="570"/>
  <c r="AB444" i="570"/>
  <c r="AB461" i="570" s="1"/>
  <c r="AB478" i="570" s="1"/>
  <c r="AB495" i="570" s="1"/>
  <c r="AB512" i="570" s="1"/>
  <c r="AJ444" i="570"/>
  <c r="AJ461" i="570" s="1"/>
  <c r="AJ478" i="570" s="1"/>
  <c r="AJ495" i="570" s="1"/>
  <c r="AJ512" i="570" s="1"/>
  <c r="M36" i="570"/>
  <c r="L19" i="570"/>
  <c r="AC444" i="570"/>
  <c r="AC461" i="570" s="1"/>
  <c r="AC478" i="570" s="1"/>
  <c r="AC495" i="570" s="1"/>
  <c r="AC512" i="570" s="1"/>
  <c r="AG444" i="570"/>
  <c r="AG461" i="570" s="1"/>
  <c r="AG478" i="570" s="1"/>
  <c r="AG495" i="570" s="1"/>
  <c r="AG512" i="570" s="1"/>
  <c r="AK444" i="570"/>
  <c r="AK461" i="570" s="1"/>
  <c r="AK478" i="570" s="1"/>
  <c r="AK495" i="570" s="1"/>
  <c r="AK512" i="570" s="1"/>
  <c r="AK529" i="570"/>
  <c r="AO444" i="570"/>
  <c r="AO461" i="570" s="1"/>
  <c r="AO478" i="570" s="1"/>
  <c r="AO495" i="570" s="1"/>
  <c r="AO512" i="570" s="1"/>
  <c r="AE444" i="570"/>
  <c r="AE461" i="570" s="1"/>
  <c r="AE478" i="570" s="1"/>
  <c r="AE495" i="570" s="1"/>
  <c r="AE512" i="570" s="1"/>
  <c r="AN444" i="570"/>
  <c r="AN461" i="570" s="1"/>
  <c r="AN478" i="570" s="1"/>
  <c r="AN495" i="570" s="1"/>
  <c r="AN512" i="570" s="1"/>
  <c r="AH444" i="570"/>
  <c r="AH461" i="570" s="1"/>
  <c r="AH478" i="570" s="1"/>
  <c r="AH495" i="570" s="1"/>
  <c r="AH512" i="570" s="1"/>
  <c r="AP444" i="570"/>
  <c r="AP461" i="570" s="1"/>
  <c r="AP478" i="570" s="1"/>
  <c r="AP495" i="570" s="1"/>
  <c r="AP512" i="570" s="1"/>
  <c r="D53" i="570"/>
  <c r="P53" i="570"/>
  <c r="O36" i="570"/>
  <c r="AF444" i="570"/>
  <c r="AF461" i="570" s="1"/>
  <c r="AF478" i="570" s="1"/>
  <c r="AF495" i="570" s="1"/>
  <c r="AF512" i="570" s="1"/>
  <c r="AL444" i="570"/>
  <c r="AL461" i="570" s="1"/>
  <c r="AL478" i="570" s="1"/>
  <c r="AL495" i="570" s="1"/>
  <c r="AL512" i="570" s="1"/>
  <c r="AL529" i="570"/>
  <c r="C18" i="570"/>
  <c r="E19" i="570"/>
  <c r="E36" i="570" s="1"/>
  <c r="E53" i="570" s="1"/>
  <c r="E70" i="570" s="1"/>
  <c r="E87" i="570" s="1"/>
  <c r="E104" i="570" s="1"/>
  <c r="E121" i="570" s="1"/>
  <c r="E138" i="570" s="1"/>
  <c r="E155" i="570" s="1"/>
  <c r="E172" i="570" s="1"/>
  <c r="E189" i="570" s="1"/>
  <c r="E206" i="570" s="1"/>
  <c r="E223" i="570" s="1"/>
  <c r="E240" i="570" s="1"/>
  <c r="E257" i="570" s="1"/>
  <c r="E274" i="570" s="1"/>
  <c r="E291" i="570" s="1"/>
  <c r="E308" i="570" s="1"/>
  <c r="E325" i="570" s="1"/>
  <c r="E342" i="570" s="1"/>
  <c r="E359" i="570" s="1"/>
  <c r="E376" i="570" s="1"/>
  <c r="E393" i="570" s="1"/>
  <c r="E410" i="570" s="1"/>
  <c r="E427" i="570" s="1"/>
  <c r="E444" i="570" s="1"/>
  <c r="E461" i="570" s="1"/>
  <c r="E478" i="570" s="1"/>
  <c r="E495" i="570" s="1"/>
  <c r="E512" i="570" s="1"/>
  <c r="E529" i="570" s="1"/>
  <c r="AR35" i="570"/>
  <c r="R19" i="570"/>
  <c r="AR19" i="570"/>
  <c r="C19" i="570" s="1"/>
  <c r="C2" i="568"/>
  <c r="Z444" i="569"/>
  <c r="Z461" i="569" s="1"/>
  <c r="Z478" i="569" s="1"/>
  <c r="Z495" i="569" s="1"/>
  <c r="Z512" i="569" s="1"/>
  <c r="AD444" i="569"/>
  <c r="AD461" i="569" s="1"/>
  <c r="AD478" i="569" s="1"/>
  <c r="AD495" i="569" s="1"/>
  <c r="AD512" i="569" s="1"/>
  <c r="AH444" i="569"/>
  <c r="AH461" i="569" s="1"/>
  <c r="AH478" i="569" s="1"/>
  <c r="AH495" i="569" s="1"/>
  <c r="AH512" i="569" s="1"/>
  <c r="AP444" i="569"/>
  <c r="AP461" i="569" s="1"/>
  <c r="AP478" i="569" s="1"/>
  <c r="AP495" i="569" s="1"/>
  <c r="AP512" i="569" s="1"/>
  <c r="AM444" i="569"/>
  <c r="AM461" i="569" s="1"/>
  <c r="AM478" i="569" s="1"/>
  <c r="AM495" i="569" s="1"/>
  <c r="AM512" i="569" s="1"/>
  <c r="S36" i="569"/>
  <c r="R19" i="569"/>
  <c r="AA444" i="569"/>
  <c r="AA461" i="569" s="1"/>
  <c r="AA478" i="569" s="1"/>
  <c r="AA495" i="569" s="1"/>
  <c r="AA512" i="569" s="1"/>
  <c r="AE529" i="569"/>
  <c r="AE444" i="569"/>
  <c r="AE461" i="569" s="1"/>
  <c r="AE478" i="569" s="1"/>
  <c r="AE495" i="569" s="1"/>
  <c r="AE512" i="569" s="1"/>
  <c r="AI444" i="569"/>
  <c r="AI461" i="569" s="1"/>
  <c r="AI478" i="569" s="1"/>
  <c r="AI495" i="569" s="1"/>
  <c r="AI512" i="569" s="1"/>
  <c r="AO444" i="569"/>
  <c r="AO461" i="569" s="1"/>
  <c r="AO478" i="569" s="1"/>
  <c r="AO495" i="569" s="1"/>
  <c r="AO512" i="569" s="1"/>
  <c r="D36" i="569"/>
  <c r="AR19" i="569"/>
  <c r="C19" i="569" s="1"/>
  <c r="C18" i="569"/>
  <c r="P36" i="569"/>
  <c r="O19" i="569"/>
  <c r="T36" i="569"/>
  <c r="AR35" i="569"/>
  <c r="AB444" i="569"/>
  <c r="AB461" i="569" s="1"/>
  <c r="AB478" i="569" s="1"/>
  <c r="AB495" i="569" s="1"/>
  <c r="AB512" i="569" s="1"/>
  <c r="AF444" i="569"/>
  <c r="AF461" i="569" s="1"/>
  <c r="AF478" i="569" s="1"/>
  <c r="AF495" i="569" s="1"/>
  <c r="AF512" i="569" s="1"/>
  <c r="AF529" i="569"/>
  <c r="AJ444" i="569"/>
  <c r="AJ461" i="569" s="1"/>
  <c r="AJ478" i="569" s="1"/>
  <c r="AJ495" i="569" s="1"/>
  <c r="AJ512" i="569" s="1"/>
  <c r="AN444" i="569"/>
  <c r="AN461" i="569" s="1"/>
  <c r="AN478" i="569" s="1"/>
  <c r="AN495" i="569" s="1"/>
  <c r="AN512" i="569" s="1"/>
  <c r="AN529" i="569"/>
  <c r="AQ444" i="569"/>
  <c r="AQ461" i="569" s="1"/>
  <c r="AQ478" i="569" s="1"/>
  <c r="AQ495" i="569" s="1"/>
  <c r="AQ512" i="569" s="1"/>
  <c r="M36" i="569"/>
  <c r="L19" i="569"/>
  <c r="AC444" i="569"/>
  <c r="AC461" i="569" s="1"/>
  <c r="AC478" i="569" s="1"/>
  <c r="AC495" i="569" s="1"/>
  <c r="AC512" i="569" s="1"/>
  <c r="AC529" i="569"/>
  <c r="AG444" i="569"/>
  <c r="AG461" i="569" s="1"/>
  <c r="AG478" i="569" s="1"/>
  <c r="AG495" i="569" s="1"/>
  <c r="AG512" i="569" s="1"/>
  <c r="AG529" i="569"/>
  <c r="AK444" i="569"/>
  <c r="AK461" i="569" s="1"/>
  <c r="AK478" i="569" s="1"/>
  <c r="AK495" i="569" s="1"/>
  <c r="AK512" i="569" s="1"/>
  <c r="AK529" i="569"/>
  <c r="AL444" i="569"/>
  <c r="AL461" i="569" s="1"/>
  <c r="AL478" i="569" s="1"/>
  <c r="AL495" i="569" s="1"/>
  <c r="AL512" i="569" s="1"/>
  <c r="AL529" i="569"/>
  <c r="C2" i="569"/>
  <c r="AR18" i="569"/>
  <c r="N537" i="569"/>
  <c r="C531" i="569" s="1"/>
  <c r="C536" i="569" s="1"/>
  <c r="C538" i="569" s="1"/>
  <c r="M36" i="568"/>
  <c r="L19" i="568"/>
  <c r="AC444" i="568"/>
  <c r="AC461" i="568" s="1"/>
  <c r="AC478" i="568" s="1"/>
  <c r="AC495" i="568" s="1"/>
  <c r="AC512" i="568" s="1"/>
  <c r="AG444" i="568"/>
  <c r="AG461" i="568" s="1"/>
  <c r="AG478" i="568" s="1"/>
  <c r="AG495" i="568" s="1"/>
  <c r="AG512" i="568" s="1"/>
  <c r="AK444" i="568"/>
  <c r="AK461" i="568" s="1"/>
  <c r="AK478" i="568" s="1"/>
  <c r="AK495" i="568" s="1"/>
  <c r="AK512" i="568" s="1"/>
  <c r="AO444" i="568"/>
  <c r="AO461" i="568" s="1"/>
  <c r="AO478" i="568" s="1"/>
  <c r="AO495" i="568" s="1"/>
  <c r="AO512" i="568" s="1"/>
  <c r="AL529" i="568"/>
  <c r="AL444" i="568"/>
  <c r="AL461" i="568" s="1"/>
  <c r="AL478" i="568" s="1"/>
  <c r="AL495" i="568" s="1"/>
  <c r="AL512" i="568" s="1"/>
  <c r="Z529" i="568"/>
  <c r="Z444" i="568"/>
  <c r="Z461" i="568" s="1"/>
  <c r="Z478" i="568" s="1"/>
  <c r="Z495" i="568" s="1"/>
  <c r="Z512" i="568" s="1"/>
  <c r="AD529" i="568"/>
  <c r="AD444" i="568"/>
  <c r="AD461" i="568" s="1"/>
  <c r="AD478" i="568" s="1"/>
  <c r="AD495" i="568" s="1"/>
  <c r="AD512" i="568" s="1"/>
  <c r="AH529" i="568"/>
  <c r="AH444" i="568"/>
  <c r="AH461" i="568" s="1"/>
  <c r="AH478" i="568" s="1"/>
  <c r="AH495" i="568" s="1"/>
  <c r="AH512" i="568" s="1"/>
  <c r="S36" i="568"/>
  <c r="R19" i="568"/>
  <c r="AA529" i="568"/>
  <c r="AA444" i="568"/>
  <c r="AA461" i="568" s="1"/>
  <c r="AA478" i="568" s="1"/>
  <c r="AA495" i="568" s="1"/>
  <c r="AA512" i="568" s="1"/>
  <c r="AE529" i="568"/>
  <c r="AE444" i="568"/>
  <c r="AE461" i="568" s="1"/>
  <c r="AE478" i="568" s="1"/>
  <c r="AE495" i="568" s="1"/>
  <c r="AE512" i="568" s="1"/>
  <c r="AI444" i="568"/>
  <c r="AI461" i="568" s="1"/>
  <c r="AI478" i="568" s="1"/>
  <c r="AI495" i="568" s="1"/>
  <c r="AI512" i="568" s="1"/>
  <c r="AM529" i="568"/>
  <c r="AM444" i="568"/>
  <c r="AM461" i="568" s="1"/>
  <c r="AM478" i="568" s="1"/>
  <c r="AM495" i="568" s="1"/>
  <c r="AM512" i="568" s="1"/>
  <c r="AQ444" i="568"/>
  <c r="AQ461" i="568" s="1"/>
  <c r="AQ478" i="568" s="1"/>
  <c r="AQ495" i="568" s="1"/>
  <c r="AQ512" i="568" s="1"/>
  <c r="AN529" i="568"/>
  <c r="AN444" i="568"/>
  <c r="AN461" i="568" s="1"/>
  <c r="AN478" i="568" s="1"/>
  <c r="AN495" i="568" s="1"/>
  <c r="AN512" i="568" s="1"/>
  <c r="D36" i="568"/>
  <c r="C18" i="568"/>
  <c r="P36" i="568"/>
  <c r="O19" i="568"/>
  <c r="AB444" i="568"/>
  <c r="AB461" i="568" s="1"/>
  <c r="AB478" i="568" s="1"/>
  <c r="AB495" i="568" s="1"/>
  <c r="AB512" i="568" s="1"/>
  <c r="AF444" i="568"/>
  <c r="AF461" i="568" s="1"/>
  <c r="AF478" i="568" s="1"/>
  <c r="AF495" i="568" s="1"/>
  <c r="AF512" i="568" s="1"/>
  <c r="AJ444" i="568"/>
  <c r="AJ461" i="568" s="1"/>
  <c r="AJ478" i="568" s="1"/>
  <c r="AJ495" i="568" s="1"/>
  <c r="AJ512" i="568" s="1"/>
  <c r="AP444" i="568"/>
  <c r="AP461" i="568" s="1"/>
  <c r="AP478" i="568" s="1"/>
  <c r="AP495" i="568" s="1"/>
  <c r="AP512" i="568" s="1"/>
  <c r="C1" i="568"/>
  <c r="T19" i="568"/>
  <c r="C538" i="568"/>
  <c r="AQ2" i="566"/>
  <c r="AP2" i="566"/>
  <c r="AO2" i="566"/>
  <c r="AN2" i="566"/>
  <c r="AM2" i="566"/>
  <c r="AL2" i="566"/>
  <c r="AK2" i="566"/>
  <c r="AJ2" i="566"/>
  <c r="AI2" i="566"/>
  <c r="AH2" i="566"/>
  <c r="AG2" i="566"/>
  <c r="AF2" i="566"/>
  <c r="AE2" i="566"/>
  <c r="AD2" i="566"/>
  <c r="AC2" i="566"/>
  <c r="AB2" i="566"/>
  <c r="AA2" i="566"/>
  <c r="Z2" i="566"/>
  <c r="Y2" i="566"/>
  <c r="X2" i="566"/>
  <c r="W2" i="566"/>
  <c r="V2" i="566"/>
  <c r="U2" i="566"/>
  <c r="T2" i="566"/>
  <c r="K2" i="566"/>
  <c r="J2" i="566"/>
  <c r="I2" i="566"/>
  <c r="H2" i="566"/>
  <c r="G2" i="566"/>
  <c r="F2" i="566"/>
  <c r="E2" i="566"/>
  <c r="D2" i="566"/>
  <c r="C540" i="566"/>
  <c r="C535" i="566"/>
  <c r="S534" i="566"/>
  <c r="P534" i="566"/>
  <c r="N538" i="566" s="1"/>
  <c r="M534" i="566"/>
  <c r="H534" i="566"/>
  <c r="C534" i="566"/>
  <c r="S533" i="566"/>
  <c r="P533" i="566"/>
  <c r="M533" i="566"/>
  <c r="N537" i="566" s="1"/>
  <c r="C531" i="566" s="1"/>
  <c r="C536" i="566" s="1"/>
  <c r="H533" i="566"/>
  <c r="C533" i="566"/>
  <c r="U532" i="566"/>
  <c r="U534" i="566" s="1"/>
  <c r="S532" i="566"/>
  <c r="Q536" i="566" s="1"/>
  <c r="P532" i="566"/>
  <c r="M532" i="566"/>
  <c r="N536" i="566" s="1"/>
  <c r="H532" i="566"/>
  <c r="C532" i="566"/>
  <c r="H531" i="566"/>
  <c r="H536" i="566" s="1"/>
  <c r="AS526" i="566"/>
  <c r="AS525" i="566"/>
  <c r="AS524" i="566"/>
  <c r="AS523" i="566"/>
  <c r="AS522" i="566"/>
  <c r="AS520" i="566"/>
  <c r="AS509" i="566"/>
  <c r="AS508" i="566"/>
  <c r="AS507" i="566"/>
  <c r="AS506" i="566"/>
  <c r="AS505" i="566"/>
  <c r="AS503" i="566"/>
  <c r="AS492" i="566"/>
  <c r="AS491" i="566"/>
  <c r="AS490" i="566"/>
  <c r="AS489" i="566"/>
  <c r="AS488" i="566"/>
  <c r="AS486" i="566"/>
  <c r="AS475" i="566"/>
  <c r="AS474" i="566"/>
  <c r="AS473" i="566"/>
  <c r="AS472" i="566"/>
  <c r="AS471" i="566"/>
  <c r="AS469" i="566"/>
  <c r="AS458" i="566"/>
  <c r="AS457" i="566"/>
  <c r="AS456" i="566"/>
  <c r="AS455" i="566"/>
  <c r="AS454" i="566"/>
  <c r="AS452" i="566"/>
  <c r="AS441" i="566"/>
  <c r="AS440" i="566"/>
  <c r="AS439" i="566"/>
  <c r="AS438" i="566"/>
  <c r="AS437" i="566"/>
  <c r="AS435" i="566"/>
  <c r="AS424" i="566"/>
  <c r="AS423" i="566"/>
  <c r="AS422" i="566"/>
  <c r="AS421" i="566"/>
  <c r="AS420" i="566"/>
  <c r="AS418" i="566"/>
  <c r="AS407" i="566"/>
  <c r="AS406" i="566"/>
  <c r="AS405" i="566"/>
  <c r="AS404" i="566"/>
  <c r="AS403" i="566"/>
  <c r="AS401" i="566"/>
  <c r="AS390" i="566"/>
  <c r="AS389" i="566"/>
  <c r="AS388" i="566"/>
  <c r="AS387" i="566"/>
  <c r="AS386" i="566"/>
  <c r="AS384" i="566"/>
  <c r="AS373" i="566"/>
  <c r="AS372" i="566"/>
  <c r="AS371" i="566"/>
  <c r="AS370" i="566"/>
  <c r="AS369" i="566"/>
  <c r="AS367" i="566"/>
  <c r="AS356" i="566"/>
  <c r="AS355" i="566"/>
  <c r="AS354" i="566"/>
  <c r="AS353" i="566"/>
  <c r="AS352" i="566"/>
  <c r="AS350" i="566"/>
  <c r="AS339" i="566"/>
  <c r="AS338" i="566"/>
  <c r="AS337" i="566"/>
  <c r="AS336" i="566"/>
  <c r="AS335" i="566"/>
  <c r="AS333" i="566"/>
  <c r="AS322" i="566"/>
  <c r="AS321" i="566"/>
  <c r="AS320" i="566"/>
  <c r="AS319" i="566"/>
  <c r="AS318" i="566"/>
  <c r="AS316" i="566"/>
  <c r="AS305" i="566"/>
  <c r="AS304" i="566"/>
  <c r="AS303" i="566"/>
  <c r="AS302" i="566"/>
  <c r="AS301" i="566"/>
  <c r="AS299" i="566"/>
  <c r="AS288" i="566"/>
  <c r="AS287" i="566"/>
  <c r="AS286" i="566"/>
  <c r="AS285" i="566"/>
  <c r="AS284" i="566"/>
  <c r="AS282" i="566"/>
  <c r="AS271" i="566"/>
  <c r="AS270" i="566"/>
  <c r="AS269" i="566"/>
  <c r="AS268" i="566"/>
  <c r="AS267" i="566"/>
  <c r="AS265" i="566"/>
  <c r="AS254" i="566"/>
  <c r="AS253" i="566"/>
  <c r="AS252" i="566"/>
  <c r="AS251" i="566"/>
  <c r="AS250" i="566"/>
  <c r="AS248" i="566"/>
  <c r="AS237" i="566"/>
  <c r="AS236" i="566"/>
  <c r="AS235" i="566"/>
  <c r="AS234" i="566"/>
  <c r="AS233" i="566"/>
  <c r="AS231" i="566"/>
  <c r="AS220" i="566"/>
  <c r="AS219" i="566"/>
  <c r="AS218" i="566"/>
  <c r="AS217" i="566"/>
  <c r="AS216" i="566"/>
  <c r="AS214" i="566"/>
  <c r="AS203" i="566"/>
  <c r="AS202" i="566"/>
  <c r="AS201" i="566"/>
  <c r="AS200" i="566"/>
  <c r="AS199" i="566"/>
  <c r="AS197" i="566"/>
  <c r="AS186" i="566"/>
  <c r="AS185" i="566"/>
  <c r="AS184" i="566"/>
  <c r="AS183" i="566"/>
  <c r="AS182" i="566"/>
  <c r="AS180" i="566"/>
  <c r="AS169" i="566"/>
  <c r="AS168" i="566"/>
  <c r="AS167" i="566"/>
  <c r="AS166" i="566"/>
  <c r="AS165" i="566"/>
  <c r="AS163" i="566"/>
  <c r="AS152" i="566"/>
  <c r="AS151" i="566"/>
  <c r="AS150" i="566"/>
  <c r="AS149" i="566"/>
  <c r="AS148" i="566"/>
  <c r="AS146" i="566"/>
  <c r="AS136" i="566"/>
  <c r="AS135" i="566"/>
  <c r="AS134" i="566"/>
  <c r="AS133" i="566"/>
  <c r="AS132" i="566"/>
  <c r="AS131" i="566"/>
  <c r="AS129" i="566"/>
  <c r="AS119" i="566"/>
  <c r="AS118" i="566"/>
  <c r="AS117" i="566"/>
  <c r="AS116" i="566"/>
  <c r="AS115" i="566"/>
  <c r="AS114" i="566"/>
  <c r="AS112" i="566"/>
  <c r="AS102" i="566"/>
  <c r="AS101" i="566"/>
  <c r="AS100" i="566"/>
  <c r="AS99" i="566"/>
  <c r="AS98" i="566"/>
  <c r="AS97" i="566"/>
  <c r="AS95" i="566"/>
  <c r="AS85" i="566"/>
  <c r="AS84" i="566"/>
  <c r="AS83" i="566"/>
  <c r="AS82" i="566"/>
  <c r="AS81" i="566"/>
  <c r="AS80" i="566"/>
  <c r="AS78" i="566"/>
  <c r="AS68" i="566"/>
  <c r="AS67" i="566"/>
  <c r="AS66" i="566"/>
  <c r="AS65" i="566"/>
  <c r="AS64" i="566"/>
  <c r="AS63" i="566"/>
  <c r="AS61" i="566"/>
  <c r="AL53" i="566"/>
  <c r="AL70" i="566" s="1"/>
  <c r="AL87" i="566" s="1"/>
  <c r="AL104" i="566" s="1"/>
  <c r="AL121" i="566" s="1"/>
  <c r="AL138" i="566" s="1"/>
  <c r="AL155" i="566" s="1"/>
  <c r="AL172" i="566" s="1"/>
  <c r="AL189" i="566" s="1"/>
  <c r="AL206" i="566" s="1"/>
  <c r="AL223" i="566" s="1"/>
  <c r="AL240" i="566" s="1"/>
  <c r="AL257" i="566" s="1"/>
  <c r="AL274" i="566" s="1"/>
  <c r="AL291" i="566" s="1"/>
  <c r="AL308" i="566" s="1"/>
  <c r="AL325" i="566" s="1"/>
  <c r="AL342" i="566" s="1"/>
  <c r="AL359" i="566" s="1"/>
  <c r="AL376" i="566" s="1"/>
  <c r="AL393" i="566" s="1"/>
  <c r="AL410" i="566" s="1"/>
  <c r="AL427" i="566" s="1"/>
  <c r="AS51" i="566"/>
  <c r="AS50" i="566"/>
  <c r="AS49" i="566"/>
  <c r="AS48" i="566"/>
  <c r="AS47" i="566"/>
  <c r="AS46" i="566"/>
  <c r="AS44" i="566"/>
  <c r="AL36" i="566"/>
  <c r="AS34" i="566"/>
  <c r="AS33" i="566"/>
  <c r="AS32" i="566"/>
  <c r="AS31" i="566"/>
  <c r="AS30" i="566"/>
  <c r="AS29" i="566"/>
  <c r="AS27" i="566"/>
  <c r="A20" i="566"/>
  <c r="A37" i="566" s="1"/>
  <c r="A54" i="566" s="1"/>
  <c r="A71" i="566" s="1"/>
  <c r="A88" i="566" s="1"/>
  <c r="A105" i="566" s="1"/>
  <c r="A122" i="566" s="1"/>
  <c r="A139" i="566" s="1"/>
  <c r="A156" i="566" s="1"/>
  <c r="A173" i="566" s="1"/>
  <c r="A190" i="566" s="1"/>
  <c r="A207" i="566" s="1"/>
  <c r="A224" i="566" s="1"/>
  <c r="A241" i="566" s="1"/>
  <c r="A258" i="566" s="1"/>
  <c r="A275" i="566" s="1"/>
  <c r="A292" i="566" s="1"/>
  <c r="A309" i="566" s="1"/>
  <c r="A326" i="566" s="1"/>
  <c r="A343" i="566" s="1"/>
  <c r="A360" i="566" s="1"/>
  <c r="A377" i="566" s="1"/>
  <c r="A394" i="566" s="1"/>
  <c r="A411" i="566" s="1"/>
  <c r="A428" i="566" s="1"/>
  <c r="A445" i="566" s="1"/>
  <c r="A462" i="566" s="1"/>
  <c r="A479" i="566" s="1"/>
  <c r="A496" i="566" s="1"/>
  <c r="A513" i="566" s="1"/>
  <c r="AN19" i="566"/>
  <c r="AN36" i="566" s="1"/>
  <c r="AN53" i="566" s="1"/>
  <c r="AN70" i="566" s="1"/>
  <c r="AN87" i="566" s="1"/>
  <c r="AN104" i="566" s="1"/>
  <c r="AN121" i="566" s="1"/>
  <c r="AN138" i="566" s="1"/>
  <c r="AN155" i="566" s="1"/>
  <c r="AN172" i="566" s="1"/>
  <c r="AN189" i="566" s="1"/>
  <c r="AN206" i="566" s="1"/>
  <c r="AN223" i="566" s="1"/>
  <c r="AN240" i="566" s="1"/>
  <c r="AN257" i="566" s="1"/>
  <c r="AN274" i="566" s="1"/>
  <c r="AN291" i="566" s="1"/>
  <c r="AN308" i="566" s="1"/>
  <c r="AN325" i="566" s="1"/>
  <c r="AN342" i="566" s="1"/>
  <c r="AN359" i="566" s="1"/>
  <c r="AN376" i="566" s="1"/>
  <c r="AN393" i="566" s="1"/>
  <c r="AN410" i="566" s="1"/>
  <c r="AN427" i="566" s="1"/>
  <c r="AJ19" i="566"/>
  <c r="AJ36" i="566" s="1"/>
  <c r="AJ53" i="566" s="1"/>
  <c r="AJ70" i="566" s="1"/>
  <c r="AJ87" i="566" s="1"/>
  <c r="AJ104" i="566" s="1"/>
  <c r="AJ121" i="566" s="1"/>
  <c r="AJ138" i="566" s="1"/>
  <c r="AJ155" i="566" s="1"/>
  <c r="AJ172" i="566" s="1"/>
  <c r="AJ189" i="566" s="1"/>
  <c r="AJ206" i="566" s="1"/>
  <c r="AJ223" i="566" s="1"/>
  <c r="AJ240" i="566" s="1"/>
  <c r="AJ257" i="566" s="1"/>
  <c r="AJ274" i="566" s="1"/>
  <c r="AJ291" i="566" s="1"/>
  <c r="AJ308" i="566" s="1"/>
  <c r="AJ325" i="566" s="1"/>
  <c r="AJ342" i="566" s="1"/>
  <c r="AJ359" i="566" s="1"/>
  <c r="AJ376" i="566" s="1"/>
  <c r="AJ393" i="566" s="1"/>
  <c r="AJ410" i="566" s="1"/>
  <c r="AJ427" i="566" s="1"/>
  <c r="AI19" i="566"/>
  <c r="AI36" i="566" s="1"/>
  <c r="AI53" i="566" s="1"/>
  <c r="AI70" i="566" s="1"/>
  <c r="AI87" i="566" s="1"/>
  <c r="AI104" i="566" s="1"/>
  <c r="AI121" i="566" s="1"/>
  <c r="AI138" i="566" s="1"/>
  <c r="AI155" i="566" s="1"/>
  <c r="AI172" i="566" s="1"/>
  <c r="AI189" i="566" s="1"/>
  <c r="AI206" i="566" s="1"/>
  <c r="AI223" i="566" s="1"/>
  <c r="AI240" i="566" s="1"/>
  <c r="AI257" i="566" s="1"/>
  <c r="AI274" i="566" s="1"/>
  <c r="AI291" i="566" s="1"/>
  <c r="AI308" i="566" s="1"/>
  <c r="AI325" i="566" s="1"/>
  <c r="AI342" i="566" s="1"/>
  <c r="AI359" i="566" s="1"/>
  <c r="AI376" i="566" s="1"/>
  <c r="AI393" i="566" s="1"/>
  <c r="AI410" i="566" s="1"/>
  <c r="AI427" i="566" s="1"/>
  <c r="AF19" i="566"/>
  <c r="AF36" i="566" s="1"/>
  <c r="AF53" i="566" s="1"/>
  <c r="AF70" i="566" s="1"/>
  <c r="AF87" i="566" s="1"/>
  <c r="AF104" i="566" s="1"/>
  <c r="AF121" i="566" s="1"/>
  <c r="AF138" i="566" s="1"/>
  <c r="AF155" i="566" s="1"/>
  <c r="AF172" i="566" s="1"/>
  <c r="AF189" i="566" s="1"/>
  <c r="AF206" i="566" s="1"/>
  <c r="AF223" i="566" s="1"/>
  <c r="AF240" i="566" s="1"/>
  <c r="AF257" i="566" s="1"/>
  <c r="AF274" i="566" s="1"/>
  <c r="AF291" i="566" s="1"/>
  <c r="AF308" i="566" s="1"/>
  <c r="AF325" i="566" s="1"/>
  <c r="AF342" i="566" s="1"/>
  <c r="AF359" i="566" s="1"/>
  <c r="AF376" i="566" s="1"/>
  <c r="AF393" i="566" s="1"/>
  <c r="AF410" i="566" s="1"/>
  <c r="AF427" i="566" s="1"/>
  <c r="AE19" i="566"/>
  <c r="AE36" i="566" s="1"/>
  <c r="AE53" i="566" s="1"/>
  <c r="AE70" i="566" s="1"/>
  <c r="AE87" i="566" s="1"/>
  <c r="AE104" i="566" s="1"/>
  <c r="AE121" i="566" s="1"/>
  <c r="AE138" i="566" s="1"/>
  <c r="AE155" i="566" s="1"/>
  <c r="AE172" i="566" s="1"/>
  <c r="AE189" i="566" s="1"/>
  <c r="AE206" i="566" s="1"/>
  <c r="AE223" i="566" s="1"/>
  <c r="AE240" i="566" s="1"/>
  <c r="AE257" i="566" s="1"/>
  <c r="AE274" i="566" s="1"/>
  <c r="AE291" i="566" s="1"/>
  <c r="AE308" i="566" s="1"/>
  <c r="AE325" i="566" s="1"/>
  <c r="AE342" i="566" s="1"/>
  <c r="AE359" i="566" s="1"/>
  <c r="AE376" i="566" s="1"/>
  <c r="AE393" i="566" s="1"/>
  <c r="AE410" i="566" s="1"/>
  <c r="AE427" i="566" s="1"/>
  <c r="AB19" i="566"/>
  <c r="AB36" i="566" s="1"/>
  <c r="AB53" i="566" s="1"/>
  <c r="AB70" i="566" s="1"/>
  <c r="AB87" i="566" s="1"/>
  <c r="AB104" i="566" s="1"/>
  <c r="AB121" i="566" s="1"/>
  <c r="AB138" i="566" s="1"/>
  <c r="AB155" i="566" s="1"/>
  <c r="AB172" i="566" s="1"/>
  <c r="AB189" i="566" s="1"/>
  <c r="AB206" i="566" s="1"/>
  <c r="AB223" i="566" s="1"/>
  <c r="AB240" i="566" s="1"/>
  <c r="AB257" i="566" s="1"/>
  <c r="AB274" i="566" s="1"/>
  <c r="AB291" i="566" s="1"/>
  <c r="AB308" i="566" s="1"/>
  <c r="AB325" i="566" s="1"/>
  <c r="AB342" i="566" s="1"/>
  <c r="AB359" i="566" s="1"/>
  <c r="AB376" i="566" s="1"/>
  <c r="AB393" i="566" s="1"/>
  <c r="AB410" i="566" s="1"/>
  <c r="AB427" i="566" s="1"/>
  <c r="AA19" i="566"/>
  <c r="AA36" i="566" s="1"/>
  <c r="AA53" i="566" s="1"/>
  <c r="AA70" i="566" s="1"/>
  <c r="AA87" i="566" s="1"/>
  <c r="AA104" i="566" s="1"/>
  <c r="AA121" i="566" s="1"/>
  <c r="AA138" i="566" s="1"/>
  <c r="AA155" i="566" s="1"/>
  <c r="AA172" i="566" s="1"/>
  <c r="AA189" i="566" s="1"/>
  <c r="AA206" i="566" s="1"/>
  <c r="AA223" i="566" s="1"/>
  <c r="AA240" i="566" s="1"/>
  <c r="AA257" i="566" s="1"/>
  <c r="AA274" i="566" s="1"/>
  <c r="AA291" i="566" s="1"/>
  <c r="AA308" i="566" s="1"/>
  <c r="AA325" i="566" s="1"/>
  <c r="AA342" i="566" s="1"/>
  <c r="AA359" i="566" s="1"/>
  <c r="AA376" i="566" s="1"/>
  <c r="AA393" i="566" s="1"/>
  <c r="AA410" i="566" s="1"/>
  <c r="AA427" i="566" s="1"/>
  <c r="X19" i="566"/>
  <c r="X36" i="566" s="1"/>
  <c r="X53" i="566" s="1"/>
  <c r="X70" i="566" s="1"/>
  <c r="X87" i="566" s="1"/>
  <c r="X104" i="566" s="1"/>
  <c r="X121" i="566" s="1"/>
  <c r="X138" i="566" s="1"/>
  <c r="X155" i="566" s="1"/>
  <c r="X172" i="566" s="1"/>
  <c r="X189" i="566" s="1"/>
  <c r="X206" i="566" s="1"/>
  <c r="X223" i="566" s="1"/>
  <c r="X240" i="566" s="1"/>
  <c r="X257" i="566" s="1"/>
  <c r="X274" i="566" s="1"/>
  <c r="X291" i="566" s="1"/>
  <c r="X308" i="566" s="1"/>
  <c r="X325" i="566" s="1"/>
  <c r="X342" i="566" s="1"/>
  <c r="X359" i="566" s="1"/>
  <c r="X376" i="566" s="1"/>
  <c r="X393" i="566" s="1"/>
  <c r="X410" i="566" s="1"/>
  <c r="X427" i="566" s="1"/>
  <c r="X444" i="566" s="1"/>
  <c r="X461" i="566" s="1"/>
  <c r="X478" i="566" s="1"/>
  <c r="X495" i="566" s="1"/>
  <c r="X512" i="566" s="1"/>
  <c r="X529" i="566" s="1"/>
  <c r="W19" i="566"/>
  <c r="W36" i="566" s="1"/>
  <c r="W53" i="566" s="1"/>
  <c r="W70" i="566" s="1"/>
  <c r="W87" i="566" s="1"/>
  <c r="W104" i="566" s="1"/>
  <c r="W121" i="566" s="1"/>
  <c r="W138" i="566" s="1"/>
  <c r="W155" i="566" s="1"/>
  <c r="W172" i="566" s="1"/>
  <c r="W189" i="566" s="1"/>
  <c r="W206" i="566" s="1"/>
  <c r="W223" i="566" s="1"/>
  <c r="W240" i="566" s="1"/>
  <c r="W257" i="566" s="1"/>
  <c r="W274" i="566" s="1"/>
  <c r="W291" i="566" s="1"/>
  <c r="W308" i="566" s="1"/>
  <c r="W325" i="566" s="1"/>
  <c r="W342" i="566" s="1"/>
  <c r="W359" i="566" s="1"/>
  <c r="W376" i="566" s="1"/>
  <c r="W393" i="566" s="1"/>
  <c r="W410" i="566" s="1"/>
  <c r="W427" i="566" s="1"/>
  <c r="W444" i="566" s="1"/>
  <c r="W461" i="566" s="1"/>
  <c r="W478" i="566" s="1"/>
  <c r="W495" i="566" s="1"/>
  <c r="W512" i="566" s="1"/>
  <c r="W529" i="566" s="1"/>
  <c r="T19" i="566"/>
  <c r="T36" i="566" s="1"/>
  <c r="K19" i="566"/>
  <c r="K36" i="566" s="1"/>
  <c r="K53" i="566" s="1"/>
  <c r="K70" i="566" s="1"/>
  <c r="K87" i="566" s="1"/>
  <c r="K104" i="566" s="1"/>
  <c r="K121" i="566" s="1"/>
  <c r="K138" i="566" s="1"/>
  <c r="K155" i="566" s="1"/>
  <c r="K172" i="566" s="1"/>
  <c r="K189" i="566" s="1"/>
  <c r="K206" i="566" s="1"/>
  <c r="K223" i="566" s="1"/>
  <c r="K240" i="566" s="1"/>
  <c r="K257" i="566" s="1"/>
  <c r="K274" i="566" s="1"/>
  <c r="K291" i="566" s="1"/>
  <c r="K308" i="566" s="1"/>
  <c r="K325" i="566" s="1"/>
  <c r="K342" i="566" s="1"/>
  <c r="K359" i="566" s="1"/>
  <c r="K376" i="566" s="1"/>
  <c r="K393" i="566" s="1"/>
  <c r="K410" i="566" s="1"/>
  <c r="K427" i="566" s="1"/>
  <c r="K444" i="566" s="1"/>
  <c r="K461" i="566" s="1"/>
  <c r="K478" i="566" s="1"/>
  <c r="K495" i="566" s="1"/>
  <c r="K512" i="566" s="1"/>
  <c r="K529" i="566" s="1"/>
  <c r="H19" i="566"/>
  <c r="H36" i="566" s="1"/>
  <c r="H53" i="566" s="1"/>
  <c r="H70" i="566" s="1"/>
  <c r="H87" i="566" s="1"/>
  <c r="H104" i="566" s="1"/>
  <c r="H121" i="566" s="1"/>
  <c r="H138" i="566" s="1"/>
  <c r="H155" i="566" s="1"/>
  <c r="H172" i="566" s="1"/>
  <c r="H189" i="566" s="1"/>
  <c r="H206" i="566" s="1"/>
  <c r="H223" i="566" s="1"/>
  <c r="H240" i="566" s="1"/>
  <c r="H257" i="566" s="1"/>
  <c r="H274" i="566" s="1"/>
  <c r="H291" i="566" s="1"/>
  <c r="H308" i="566" s="1"/>
  <c r="H325" i="566" s="1"/>
  <c r="H342" i="566" s="1"/>
  <c r="H359" i="566" s="1"/>
  <c r="H376" i="566" s="1"/>
  <c r="H393" i="566" s="1"/>
  <c r="H410" i="566" s="1"/>
  <c r="H427" i="566" s="1"/>
  <c r="H444" i="566" s="1"/>
  <c r="H461" i="566" s="1"/>
  <c r="H478" i="566" s="1"/>
  <c r="H495" i="566" s="1"/>
  <c r="H512" i="566" s="1"/>
  <c r="H529" i="566" s="1"/>
  <c r="G19" i="566"/>
  <c r="G36" i="566" s="1"/>
  <c r="G53" i="566" s="1"/>
  <c r="G70" i="566" s="1"/>
  <c r="G87" i="566" s="1"/>
  <c r="G104" i="566" s="1"/>
  <c r="G121" i="566" s="1"/>
  <c r="G138" i="566" s="1"/>
  <c r="G155" i="566" s="1"/>
  <c r="G172" i="566" s="1"/>
  <c r="G189" i="566" s="1"/>
  <c r="G206" i="566" s="1"/>
  <c r="G223" i="566" s="1"/>
  <c r="G240" i="566" s="1"/>
  <c r="G257" i="566" s="1"/>
  <c r="G274" i="566" s="1"/>
  <c r="G291" i="566" s="1"/>
  <c r="G308" i="566" s="1"/>
  <c r="G325" i="566" s="1"/>
  <c r="G342" i="566" s="1"/>
  <c r="G359" i="566" s="1"/>
  <c r="G376" i="566" s="1"/>
  <c r="G393" i="566" s="1"/>
  <c r="G410" i="566" s="1"/>
  <c r="G427" i="566" s="1"/>
  <c r="G444" i="566" s="1"/>
  <c r="G461" i="566" s="1"/>
  <c r="G478" i="566" s="1"/>
  <c r="G495" i="566" s="1"/>
  <c r="G512" i="566" s="1"/>
  <c r="G529" i="566" s="1"/>
  <c r="D19" i="566"/>
  <c r="AS17" i="566"/>
  <c r="AS16" i="566"/>
  <c r="AS15" i="566"/>
  <c r="AS14" i="566"/>
  <c r="AS13" i="566"/>
  <c r="AS12" i="566"/>
  <c r="AS10" i="566"/>
  <c r="AT2" i="566"/>
  <c r="AS2" i="566"/>
  <c r="AU2" i="566" s="1"/>
  <c r="AQ19" i="566"/>
  <c r="AQ36" i="566" s="1"/>
  <c r="AQ53" i="566" s="1"/>
  <c r="AQ70" i="566" s="1"/>
  <c r="AQ87" i="566" s="1"/>
  <c r="AQ104" i="566" s="1"/>
  <c r="AQ121" i="566" s="1"/>
  <c r="AQ138" i="566" s="1"/>
  <c r="AQ155" i="566" s="1"/>
  <c r="AQ172" i="566" s="1"/>
  <c r="AQ189" i="566" s="1"/>
  <c r="AQ206" i="566" s="1"/>
  <c r="AQ223" i="566" s="1"/>
  <c r="AQ240" i="566" s="1"/>
  <c r="AQ257" i="566" s="1"/>
  <c r="AQ274" i="566" s="1"/>
  <c r="AQ291" i="566" s="1"/>
  <c r="AQ308" i="566" s="1"/>
  <c r="AQ325" i="566" s="1"/>
  <c r="AQ342" i="566" s="1"/>
  <c r="AQ359" i="566" s="1"/>
  <c r="AQ376" i="566" s="1"/>
  <c r="AQ393" i="566" s="1"/>
  <c r="AQ410" i="566" s="1"/>
  <c r="AQ427" i="566" s="1"/>
  <c r="AP19" i="566"/>
  <c r="AP36" i="566" s="1"/>
  <c r="AP53" i="566" s="1"/>
  <c r="AP70" i="566" s="1"/>
  <c r="AP87" i="566" s="1"/>
  <c r="AP104" i="566" s="1"/>
  <c r="AP121" i="566" s="1"/>
  <c r="AP138" i="566" s="1"/>
  <c r="AP155" i="566" s="1"/>
  <c r="AP172" i="566" s="1"/>
  <c r="AP189" i="566" s="1"/>
  <c r="AP206" i="566" s="1"/>
  <c r="AP223" i="566" s="1"/>
  <c r="AP240" i="566" s="1"/>
  <c r="AP257" i="566" s="1"/>
  <c r="AP274" i="566" s="1"/>
  <c r="AP291" i="566" s="1"/>
  <c r="AP308" i="566" s="1"/>
  <c r="AP325" i="566" s="1"/>
  <c r="AP342" i="566" s="1"/>
  <c r="AP359" i="566" s="1"/>
  <c r="AP376" i="566" s="1"/>
  <c r="AP393" i="566" s="1"/>
  <c r="AP410" i="566" s="1"/>
  <c r="AP427" i="566" s="1"/>
  <c r="AO19" i="566"/>
  <c r="AO36" i="566" s="1"/>
  <c r="AO53" i="566" s="1"/>
  <c r="AO70" i="566" s="1"/>
  <c r="AO87" i="566" s="1"/>
  <c r="AO104" i="566" s="1"/>
  <c r="AO121" i="566" s="1"/>
  <c r="AO138" i="566" s="1"/>
  <c r="AO155" i="566" s="1"/>
  <c r="AO172" i="566" s="1"/>
  <c r="AO189" i="566" s="1"/>
  <c r="AO206" i="566" s="1"/>
  <c r="AO223" i="566" s="1"/>
  <c r="AO240" i="566" s="1"/>
  <c r="AO257" i="566" s="1"/>
  <c r="AO274" i="566" s="1"/>
  <c r="AO291" i="566" s="1"/>
  <c r="AO308" i="566" s="1"/>
  <c r="AO325" i="566" s="1"/>
  <c r="AO342" i="566" s="1"/>
  <c r="AO359" i="566" s="1"/>
  <c r="AO376" i="566" s="1"/>
  <c r="AO393" i="566" s="1"/>
  <c r="AO410" i="566" s="1"/>
  <c r="AO427" i="566" s="1"/>
  <c r="AM19" i="566"/>
  <c r="AM36" i="566" s="1"/>
  <c r="AM53" i="566" s="1"/>
  <c r="AM70" i="566" s="1"/>
  <c r="AM87" i="566" s="1"/>
  <c r="AM104" i="566" s="1"/>
  <c r="AM121" i="566" s="1"/>
  <c r="AM138" i="566" s="1"/>
  <c r="AM155" i="566" s="1"/>
  <c r="AM172" i="566" s="1"/>
  <c r="AM189" i="566" s="1"/>
  <c r="AM206" i="566" s="1"/>
  <c r="AM223" i="566" s="1"/>
  <c r="AM240" i="566" s="1"/>
  <c r="AM257" i="566" s="1"/>
  <c r="AM274" i="566" s="1"/>
  <c r="AM291" i="566" s="1"/>
  <c r="AM308" i="566" s="1"/>
  <c r="AM325" i="566" s="1"/>
  <c r="AM342" i="566" s="1"/>
  <c r="AM359" i="566" s="1"/>
  <c r="AM376" i="566" s="1"/>
  <c r="AM393" i="566" s="1"/>
  <c r="AM410" i="566" s="1"/>
  <c r="AM427" i="566" s="1"/>
  <c r="AK19" i="566"/>
  <c r="AK36" i="566" s="1"/>
  <c r="AK53" i="566" s="1"/>
  <c r="AK70" i="566" s="1"/>
  <c r="AK87" i="566" s="1"/>
  <c r="AK104" i="566" s="1"/>
  <c r="AK121" i="566" s="1"/>
  <c r="AK138" i="566" s="1"/>
  <c r="AK155" i="566" s="1"/>
  <c r="AK172" i="566" s="1"/>
  <c r="AK189" i="566" s="1"/>
  <c r="AK206" i="566" s="1"/>
  <c r="AK223" i="566" s="1"/>
  <c r="AK240" i="566" s="1"/>
  <c r="AK257" i="566" s="1"/>
  <c r="AK274" i="566" s="1"/>
  <c r="AK291" i="566" s="1"/>
  <c r="AK308" i="566" s="1"/>
  <c r="AK325" i="566" s="1"/>
  <c r="AK342" i="566" s="1"/>
  <c r="AK359" i="566" s="1"/>
  <c r="AK376" i="566" s="1"/>
  <c r="AK393" i="566" s="1"/>
  <c r="AK410" i="566" s="1"/>
  <c r="AK427" i="566" s="1"/>
  <c r="AH19" i="566"/>
  <c r="AH36" i="566" s="1"/>
  <c r="AH53" i="566" s="1"/>
  <c r="AH70" i="566" s="1"/>
  <c r="AH87" i="566" s="1"/>
  <c r="AH104" i="566" s="1"/>
  <c r="AH121" i="566" s="1"/>
  <c r="AH138" i="566" s="1"/>
  <c r="AH155" i="566" s="1"/>
  <c r="AH172" i="566" s="1"/>
  <c r="AH189" i="566" s="1"/>
  <c r="AH206" i="566" s="1"/>
  <c r="AH223" i="566" s="1"/>
  <c r="AH240" i="566" s="1"/>
  <c r="AH257" i="566" s="1"/>
  <c r="AH274" i="566" s="1"/>
  <c r="AH291" i="566" s="1"/>
  <c r="AH308" i="566" s="1"/>
  <c r="AH325" i="566" s="1"/>
  <c r="AH342" i="566" s="1"/>
  <c r="AH359" i="566" s="1"/>
  <c r="AH376" i="566" s="1"/>
  <c r="AH393" i="566" s="1"/>
  <c r="AH410" i="566" s="1"/>
  <c r="AH427" i="566" s="1"/>
  <c r="AG19" i="566"/>
  <c r="AG36" i="566" s="1"/>
  <c r="AG53" i="566" s="1"/>
  <c r="AG70" i="566" s="1"/>
  <c r="AG87" i="566" s="1"/>
  <c r="AG104" i="566" s="1"/>
  <c r="AG121" i="566" s="1"/>
  <c r="AG138" i="566" s="1"/>
  <c r="AG155" i="566" s="1"/>
  <c r="AG172" i="566" s="1"/>
  <c r="AG189" i="566" s="1"/>
  <c r="AG206" i="566" s="1"/>
  <c r="AG223" i="566" s="1"/>
  <c r="AG240" i="566" s="1"/>
  <c r="AG257" i="566" s="1"/>
  <c r="AG274" i="566" s="1"/>
  <c r="AG291" i="566" s="1"/>
  <c r="AG308" i="566" s="1"/>
  <c r="AG325" i="566" s="1"/>
  <c r="AG342" i="566" s="1"/>
  <c r="AG359" i="566" s="1"/>
  <c r="AG376" i="566" s="1"/>
  <c r="AG393" i="566" s="1"/>
  <c r="AG410" i="566" s="1"/>
  <c r="AG427" i="566" s="1"/>
  <c r="AD19" i="566"/>
  <c r="AD36" i="566" s="1"/>
  <c r="AD53" i="566" s="1"/>
  <c r="AD70" i="566" s="1"/>
  <c r="AD87" i="566" s="1"/>
  <c r="AD104" i="566" s="1"/>
  <c r="AD121" i="566" s="1"/>
  <c r="AD138" i="566" s="1"/>
  <c r="AD155" i="566" s="1"/>
  <c r="AD172" i="566" s="1"/>
  <c r="AD189" i="566" s="1"/>
  <c r="AD206" i="566" s="1"/>
  <c r="AD223" i="566" s="1"/>
  <c r="AD240" i="566" s="1"/>
  <c r="AD257" i="566" s="1"/>
  <c r="AD274" i="566" s="1"/>
  <c r="AD291" i="566" s="1"/>
  <c r="AD308" i="566" s="1"/>
  <c r="AD325" i="566" s="1"/>
  <c r="AD342" i="566" s="1"/>
  <c r="AD359" i="566" s="1"/>
  <c r="AD376" i="566" s="1"/>
  <c r="AD393" i="566" s="1"/>
  <c r="AD410" i="566" s="1"/>
  <c r="AD427" i="566" s="1"/>
  <c r="AC19" i="566"/>
  <c r="AC36" i="566" s="1"/>
  <c r="AC53" i="566" s="1"/>
  <c r="AC70" i="566" s="1"/>
  <c r="AC87" i="566" s="1"/>
  <c r="AC104" i="566" s="1"/>
  <c r="AC121" i="566" s="1"/>
  <c r="AC138" i="566" s="1"/>
  <c r="AC155" i="566" s="1"/>
  <c r="AC172" i="566" s="1"/>
  <c r="AC189" i="566" s="1"/>
  <c r="AC206" i="566" s="1"/>
  <c r="AC223" i="566" s="1"/>
  <c r="AC240" i="566" s="1"/>
  <c r="AC257" i="566" s="1"/>
  <c r="AC274" i="566" s="1"/>
  <c r="AC291" i="566" s="1"/>
  <c r="AC308" i="566" s="1"/>
  <c r="AC325" i="566" s="1"/>
  <c r="AC342" i="566" s="1"/>
  <c r="AC359" i="566" s="1"/>
  <c r="AC376" i="566" s="1"/>
  <c r="AC393" i="566" s="1"/>
  <c r="AC410" i="566" s="1"/>
  <c r="AC427" i="566" s="1"/>
  <c r="Z19" i="566"/>
  <c r="Z36" i="566" s="1"/>
  <c r="Z53" i="566" s="1"/>
  <c r="Z70" i="566" s="1"/>
  <c r="Z87" i="566" s="1"/>
  <c r="Z104" i="566" s="1"/>
  <c r="Z121" i="566" s="1"/>
  <c r="Z138" i="566" s="1"/>
  <c r="Z155" i="566" s="1"/>
  <c r="Z172" i="566" s="1"/>
  <c r="Z189" i="566" s="1"/>
  <c r="Z206" i="566" s="1"/>
  <c r="Z223" i="566" s="1"/>
  <c r="Z240" i="566" s="1"/>
  <c r="Z257" i="566" s="1"/>
  <c r="Z274" i="566" s="1"/>
  <c r="Z291" i="566" s="1"/>
  <c r="Z308" i="566" s="1"/>
  <c r="Z325" i="566" s="1"/>
  <c r="Z342" i="566" s="1"/>
  <c r="Z359" i="566" s="1"/>
  <c r="Z376" i="566" s="1"/>
  <c r="Z393" i="566" s="1"/>
  <c r="Z410" i="566" s="1"/>
  <c r="Z427" i="566" s="1"/>
  <c r="Y19" i="566"/>
  <c r="Y36" i="566" s="1"/>
  <c r="Y53" i="566" s="1"/>
  <c r="Y70" i="566" s="1"/>
  <c r="Y87" i="566" s="1"/>
  <c r="Y104" i="566" s="1"/>
  <c r="Y121" i="566" s="1"/>
  <c r="Y138" i="566" s="1"/>
  <c r="Y155" i="566" s="1"/>
  <c r="Y172" i="566" s="1"/>
  <c r="Y189" i="566" s="1"/>
  <c r="Y206" i="566" s="1"/>
  <c r="Y223" i="566" s="1"/>
  <c r="Y240" i="566" s="1"/>
  <c r="Y257" i="566" s="1"/>
  <c r="Y274" i="566" s="1"/>
  <c r="Y291" i="566" s="1"/>
  <c r="Y308" i="566" s="1"/>
  <c r="Y325" i="566" s="1"/>
  <c r="Y342" i="566" s="1"/>
  <c r="Y359" i="566" s="1"/>
  <c r="Y376" i="566" s="1"/>
  <c r="Y393" i="566" s="1"/>
  <c r="Y410" i="566" s="1"/>
  <c r="Y427" i="566" s="1"/>
  <c r="Y444" i="566" s="1"/>
  <c r="Y461" i="566" s="1"/>
  <c r="Y478" i="566" s="1"/>
  <c r="Y495" i="566" s="1"/>
  <c r="Y512" i="566" s="1"/>
  <c r="Y529" i="566" s="1"/>
  <c r="V19" i="566"/>
  <c r="V36" i="566" s="1"/>
  <c r="V53" i="566" s="1"/>
  <c r="V70" i="566" s="1"/>
  <c r="V87" i="566" s="1"/>
  <c r="V104" i="566" s="1"/>
  <c r="V121" i="566" s="1"/>
  <c r="V138" i="566" s="1"/>
  <c r="V155" i="566" s="1"/>
  <c r="V172" i="566" s="1"/>
  <c r="V189" i="566" s="1"/>
  <c r="V206" i="566" s="1"/>
  <c r="V223" i="566" s="1"/>
  <c r="V240" i="566" s="1"/>
  <c r="V257" i="566" s="1"/>
  <c r="V274" i="566" s="1"/>
  <c r="V291" i="566" s="1"/>
  <c r="V308" i="566" s="1"/>
  <c r="V325" i="566" s="1"/>
  <c r="V342" i="566" s="1"/>
  <c r="V359" i="566" s="1"/>
  <c r="V376" i="566" s="1"/>
  <c r="V393" i="566" s="1"/>
  <c r="V410" i="566" s="1"/>
  <c r="V427" i="566" s="1"/>
  <c r="V444" i="566" s="1"/>
  <c r="V461" i="566" s="1"/>
  <c r="V478" i="566" s="1"/>
  <c r="V495" i="566" s="1"/>
  <c r="V512" i="566" s="1"/>
  <c r="V529" i="566" s="1"/>
  <c r="U19" i="566"/>
  <c r="U36" i="566" s="1"/>
  <c r="U53" i="566" s="1"/>
  <c r="U70" i="566" s="1"/>
  <c r="U87" i="566" s="1"/>
  <c r="U104" i="566" s="1"/>
  <c r="U121" i="566" s="1"/>
  <c r="U138" i="566" s="1"/>
  <c r="U155" i="566" s="1"/>
  <c r="U172" i="566" s="1"/>
  <c r="U189" i="566" s="1"/>
  <c r="U206" i="566" s="1"/>
  <c r="U223" i="566" s="1"/>
  <c r="U240" i="566" s="1"/>
  <c r="U257" i="566" s="1"/>
  <c r="U274" i="566" s="1"/>
  <c r="U291" i="566" s="1"/>
  <c r="U308" i="566" s="1"/>
  <c r="U325" i="566" s="1"/>
  <c r="U342" i="566" s="1"/>
  <c r="U359" i="566" s="1"/>
  <c r="U376" i="566" s="1"/>
  <c r="U393" i="566" s="1"/>
  <c r="U410" i="566" s="1"/>
  <c r="U427" i="566" s="1"/>
  <c r="U444" i="566" s="1"/>
  <c r="U461" i="566" s="1"/>
  <c r="U478" i="566" s="1"/>
  <c r="U495" i="566" s="1"/>
  <c r="U512" i="566" s="1"/>
  <c r="U529" i="566" s="1"/>
  <c r="J19" i="566"/>
  <c r="J36" i="566" s="1"/>
  <c r="J53" i="566" s="1"/>
  <c r="J70" i="566" s="1"/>
  <c r="J87" i="566" s="1"/>
  <c r="J104" i="566" s="1"/>
  <c r="J121" i="566" s="1"/>
  <c r="J138" i="566" s="1"/>
  <c r="J155" i="566" s="1"/>
  <c r="J172" i="566" s="1"/>
  <c r="J189" i="566" s="1"/>
  <c r="J206" i="566" s="1"/>
  <c r="J223" i="566" s="1"/>
  <c r="J240" i="566" s="1"/>
  <c r="J257" i="566" s="1"/>
  <c r="J274" i="566" s="1"/>
  <c r="J291" i="566" s="1"/>
  <c r="J308" i="566" s="1"/>
  <c r="J325" i="566" s="1"/>
  <c r="J342" i="566" s="1"/>
  <c r="J359" i="566" s="1"/>
  <c r="J376" i="566" s="1"/>
  <c r="J393" i="566" s="1"/>
  <c r="J410" i="566" s="1"/>
  <c r="J427" i="566" s="1"/>
  <c r="J444" i="566" s="1"/>
  <c r="J461" i="566" s="1"/>
  <c r="J478" i="566" s="1"/>
  <c r="J495" i="566" s="1"/>
  <c r="J512" i="566" s="1"/>
  <c r="J529" i="566" s="1"/>
  <c r="I19" i="566"/>
  <c r="I36" i="566" s="1"/>
  <c r="I53" i="566" s="1"/>
  <c r="I70" i="566" s="1"/>
  <c r="I87" i="566" s="1"/>
  <c r="I104" i="566" s="1"/>
  <c r="I121" i="566" s="1"/>
  <c r="I138" i="566" s="1"/>
  <c r="I155" i="566" s="1"/>
  <c r="I172" i="566" s="1"/>
  <c r="I189" i="566" s="1"/>
  <c r="I206" i="566" s="1"/>
  <c r="I223" i="566" s="1"/>
  <c r="I240" i="566" s="1"/>
  <c r="I257" i="566" s="1"/>
  <c r="I274" i="566" s="1"/>
  <c r="I291" i="566" s="1"/>
  <c r="I308" i="566" s="1"/>
  <c r="I325" i="566" s="1"/>
  <c r="I342" i="566" s="1"/>
  <c r="I359" i="566" s="1"/>
  <c r="I376" i="566" s="1"/>
  <c r="I393" i="566" s="1"/>
  <c r="I410" i="566" s="1"/>
  <c r="I427" i="566" s="1"/>
  <c r="I444" i="566" s="1"/>
  <c r="I461" i="566" s="1"/>
  <c r="I478" i="566" s="1"/>
  <c r="I495" i="566" s="1"/>
  <c r="I512" i="566" s="1"/>
  <c r="I529" i="566" s="1"/>
  <c r="F19" i="566"/>
  <c r="F36" i="566" s="1"/>
  <c r="F53" i="566" s="1"/>
  <c r="F70" i="566" s="1"/>
  <c r="F87" i="566" s="1"/>
  <c r="F104" i="566" s="1"/>
  <c r="F121" i="566" s="1"/>
  <c r="F138" i="566" s="1"/>
  <c r="F155" i="566" s="1"/>
  <c r="F172" i="566" s="1"/>
  <c r="F189" i="566" s="1"/>
  <c r="F206" i="566" s="1"/>
  <c r="F223" i="566" s="1"/>
  <c r="F240" i="566" s="1"/>
  <c r="F257" i="566" s="1"/>
  <c r="F274" i="566" s="1"/>
  <c r="F291" i="566" s="1"/>
  <c r="F308" i="566" s="1"/>
  <c r="F325" i="566" s="1"/>
  <c r="F342" i="566" s="1"/>
  <c r="F359" i="566" s="1"/>
  <c r="F376" i="566" s="1"/>
  <c r="F393" i="566" s="1"/>
  <c r="F410" i="566" s="1"/>
  <c r="F427" i="566" s="1"/>
  <c r="F444" i="566" s="1"/>
  <c r="F461" i="566" s="1"/>
  <c r="F478" i="566" s="1"/>
  <c r="F495" i="566" s="1"/>
  <c r="F512" i="566" s="1"/>
  <c r="F529" i="566" s="1"/>
  <c r="E19" i="566"/>
  <c r="E36" i="566" s="1"/>
  <c r="E53" i="566" s="1"/>
  <c r="E70" i="566" s="1"/>
  <c r="E87" i="566" s="1"/>
  <c r="E104" i="566" s="1"/>
  <c r="E121" i="566" s="1"/>
  <c r="E138" i="566" s="1"/>
  <c r="E155" i="566" s="1"/>
  <c r="E172" i="566" s="1"/>
  <c r="E189" i="566" s="1"/>
  <c r="E206" i="566" s="1"/>
  <c r="E223" i="566" s="1"/>
  <c r="E240" i="566" s="1"/>
  <c r="E257" i="566" s="1"/>
  <c r="E274" i="566" s="1"/>
  <c r="E291" i="566" s="1"/>
  <c r="E308" i="566" s="1"/>
  <c r="E325" i="566" s="1"/>
  <c r="E342" i="566" s="1"/>
  <c r="E359" i="566" s="1"/>
  <c r="E376" i="566" s="1"/>
  <c r="E393" i="566" s="1"/>
  <c r="E410" i="566" s="1"/>
  <c r="E427" i="566" s="1"/>
  <c r="E444" i="566" s="1"/>
  <c r="E461" i="566" s="1"/>
  <c r="E478" i="566" s="1"/>
  <c r="E495" i="566" s="1"/>
  <c r="E512" i="566" s="1"/>
  <c r="E529" i="566" s="1"/>
  <c r="AQ2" i="565"/>
  <c r="AP2" i="565"/>
  <c r="AO2" i="565"/>
  <c r="AN2" i="565"/>
  <c r="AM2" i="565"/>
  <c r="AL2" i="565"/>
  <c r="AK2" i="565"/>
  <c r="AJ2" i="565"/>
  <c r="AI2" i="565"/>
  <c r="AH2" i="565"/>
  <c r="AG2" i="565"/>
  <c r="AF2" i="565"/>
  <c r="AE2" i="565"/>
  <c r="AD2" i="565"/>
  <c r="AC2" i="565"/>
  <c r="AB2" i="565"/>
  <c r="AA2" i="565"/>
  <c r="Z2" i="565"/>
  <c r="Y2" i="565"/>
  <c r="X2" i="565"/>
  <c r="W2" i="565"/>
  <c r="V2" i="565"/>
  <c r="U2" i="565"/>
  <c r="T2" i="565"/>
  <c r="K2" i="565"/>
  <c r="J2" i="565"/>
  <c r="I2" i="565"/>
  <c r="H2" i="565"/>
  <c r="G2" i="565"/>
  <c r="F2" i="565"/>
  <c r="E2" i="565"/>
  <c r="D2" i="565"/>
  <c r="C540" i="565"/>
  <c r="C535" i="565"/>
  <c r="S534" i="565"/>
  <c r="P534" i="565"/>
  <c r="N538" i="565" s="1"/>
  <c r="M534" i="565"/>
  <c r="H534" i="565"/>
  <c r="C534" i="565"/>
  <c r="S533" i="565"/>
  <c r="P533" i="565"/>
  <c r="M533" i="565"/>
  <c r="N537" i="565" s="1"/>
  <c r="C531" i="565" s="1"/>
  <c r="C536" i="565" s="1"/>
  <c r="H533" i="565"/>
  <c r="C533" i="565"/>
  <c r="U532" i="565"/>
  <c r="U534" i="565" s="1"/>
  <c r="S532" i="565"/>
  <c r="Q536" i="565" s="1"/>
  <c r="P532" i="565"/>
  <c r="M532" i="565"/>
  <c r="N536" i="565" s="1"/>
  <c r="H532" i="565"/>
  <c r="C532" i="565"/>
  <c r="H531" i="565"/>
  <c r="H536" i="565" s="1"/>
  <c r="AS526" i="565"/>
  <c r="AS525" i="565"/>
  <c r="AS524" i="565"/>
  <c r="AS523" i="565"/>
  <c r="AS522" i="565"/>
  <c r="AS520" i="565"/>
  <c r="AS509" i="565"/>
  <c r="AS508" i="565"/>
  <c r="AS507" i="565"/>
  <c r="AS506" i="565"/>
  <c r="AS505" i="565"/>
  <c r="AS503" i="565"/>
  <c r="AS492" i="565"/>
  <c r="AS491" i="565"/>
  <c r="AS490" i="565"/>
  <c r="AS489" i="565"/>
  <c r="AS488" i="565"/>
  <c r="AS486" i="565"/>
  <c r="AS475" i="565"/>
  <c r="AS474" i="565"/>
  <c r="AS473" i="565"/>
  <c r="AS472" i="565"/>
  <c r="AS471" i="565"/>
  <c r="AS469" i="565"/>
  <c r="AS458" i="565"/>
  <c r="AS457" i="565"/>
  <c r="AS456" i="565"/>
  <c r="AS455" i="565"/>
  <c r="AS454" i="565"/>
  <c r="AS452" i="565"/>
  <c r="AS441" i="565"/>
  <c r="AS440" i="565"/>
  <c r="AS439" i="565"/>
  <c r="AS438" i="565"/>
  <c r="AS437" i="565"/>
  <c r="AS435" i="565"/>
  <c r="AS424" i="565"/>
  <c r="AS423" i="565"/>
  <c r="AS422" i="565"/>
  <c r="AS421" i="565"/>
  <c r="AS420" i="565"/>
  <c r="AS418" i="565"/>
  <c r="AS407" i="565"/>
  <c r="AS406" i="565"/>
  <c r="AS405" i="565"/>
  <c r="AS404" i="565"/>
  <c r="AS403" i="565"/>
  <c r="AS401" i="565"/>
  <c r="AS390" i="565"/>
  <c r="AS389" i="565"/>
  <c r="AS388" i="565"/>
  <c r="AS387" i="565"/>
  <c r="AS386" i="565"/>
  <c r="AS384" i="565"/>
  <c r="AS373" i="565"/>
  <c r="AS372" i="565"/>
  <c r="AS371" i="565"/>
  <c r="AS370" i="565"/>
  <c r="AS369" i="565"/>
  <c r="AS367" i="565"/>
  <c r="AS356" i="565"/>
  <c r="AS355" i="565"/>
  <c r="AS354" i="565"/>
  <c r="AS353" i="565"/>
  <c r="AS352" i="565"/>
  <c r="AS350" i="565"/>
  <c r="AS339" i="565"/>
  <c r="AS338" i="565"/>
  <c r="AS337" i="565"/>
  <c r="AS336" i="565"/>
  <c r="AS335" i="565"/>
  <c r="AS333" i="565"/>
  <c r="AS322" i="565"/>
  <c r="AS321" i="565"/>
  <c r="AS320" i="565"/>
  <c r="AS319" i="565"/>
  <c r="AS318" i="565"/>
  <c r="AS316" i="565"/>
  <c r="AS305" i="565"/>
  <c r="AS304" i="565"/>
  <c r="AS303" i="565"/>
  <c r="AS302" i="565"/>
  <c r="AS301" i="565"/>
  <c r="AS299" i="565"/>
  <c r="AS288" i="565"/>
  <c r="AS287" i="565"/>
  <c r="AS286" i="565"/>
  <c r="AS285" i="565"/>
  <c r="AS284" i="565"/>
  <c r="AS282" i="565"/>
  <c r="AS271" i="565"/>
  <c r="AS270" i="565"/>
  <c r="AS269" i="565"/>
  <c r="AS268" i="565"/>
  <c r="AS267" i="565"/>
  <c r="AS265" i="565"/>
  <c r="AS254" i="565"/>
  <c r="AS253" i="565"/>
  <c r="AS252" i="565"/>
  <c r="AS251" i="565"/>
  <c r="AS250" i="565"/>
  <c r="AS248" i="565"/>
  <c r="AS237" i="565"/>
  <c r="AS236" i="565"/>
  <c r="AS235" i="565"/>
  <c r="AS234" i="565"/>
  <c r="AS233" i="565"/>
  <c r="AS231" i="565"/>
  <c r="AS220" i="565"/>
  <c r="AS219" i="565"/>
  <c r="AS218" i="565"/>
  <c r="AS217" i="565"/>
  <c r="AS216" i="565"/>
  <c r="AS214" i="565"/>
  <c r="AS203" i="565"/>
  <c r="AS202" i="565"/>
  <c r="AS201" i="565"/>
  <c r="AS200" i="565"/>
  <c r="AS199" i="565"/>
  <c r="AS197" i="565"/>
  <c r="AS186" i="565"/>
  <c r="AS185" i="565"/>
  <c r="AS184" i="565"/>
  <c r="AS183" i="565"/>
  <c r="AS182" i="565"/>
  <c r="AS180" i="565"/>
  <c r="AS169" i="565"/>
  <c r="AS168" i="565"/>
  <c r="AS167" i="565"/>
  <c r="AS166" i="565"/>
  <c r="AS165" i="565"/>
  <c r="AS163" i="565"/>
  <c r="AS152" i="565"/>
  <c r="AS151" i="565"/>
  <c r="AS150" i="565"/>
  <c r="AS149" i="565"/>
  <c r="AS148" i="565"/>
  <c r="AS146" i="565"/>
  <c r="AS136" i="565"/>
  <c r="AS135" i="565"/>
  <c r="AS134" i="565"/>
  <c r="AS133" i="565"/>
  <c r="AS132" i="565"/>
  <c r="AS131" i="565"/>
  <c r="AS129" i="565"/>
  <c r="AS119" i="565"/>
  <c r="AS118" i="565"/>
  <c r="AS117" i="565"/>
  <c r="AS116" i="565"/>
  <c r="AS115" i="565"/>
  <c r="AS114" i="565"/>
  <c r="AS112" i="565"/>
  <c r="AS102" i="565"/>
  <c r="AS101" i="565"/>
  <c r="AS100" i="565"/>
  <c r="AS99" i="565"/>
  <c r="AS98" i="565"/>
  <c r="AS97" i="565"/>
  <c r="AS95" i="565"/>
  <c r="AS85" i="565"/>
  <c r="AS84" i="565"/>
  <c r="AS83" i="565"/>
  <c r="AS82" i="565"/>
  <c r="AS81" i="565"/>
  <c r="AS80" i="565"/>
  <c r="AS78" i="565"/>
  <c r="AS68" i="565"/>
  <c r="AS67" i="565"/>
  <c r="AS66" i="565"/>
  <c r="AS65" i="565"/>
  <c r="AS64" i="565"/>
  <c r="AS63" i="565"/>
  <c r="AS61" i="565"/>
  <c r="AS51" i="565"/>
  <c r="AS50" i="565"/>
  <c r="AS49" i="565"/>
  <c r="AS48" i="565"/>
  <c r="AS47" i="565"/>
  <c r="AS46" i="565"/>
  <c r="AS44" i="565"/>
  <c r="AL36" i="565"/>
  <c r="AL53" i="565" s="1"/>
  <c r="AL70" i="565" s="1"/>
  <c r="AL87" i="565" s="1"/>
  <c r="AL104" i="565" s="1"/>
  <c r="AL121" i="565" s="1"/>
  <c r="AL138" i="565" s="1"/>
  <c r="AL155" i="565" s="1"/>
  <c r="AL172" i="565" s="1"/>
  <c r="AL189" i="565" s="1"/>
  <c r="AL206" i="565" s="1"/>
  <c r="AL223" i="565" s="1"/>
  <c r="AL240" i="565" s="1"/>
  <c r="AL257" i="565" s="1"/>
  <c r="AL274" i="565" s="1"/>
  <c r="AL291" i="565" s="1"/>
  <c r="AL308" i="565" s="1"/>
  <c r="AL325" i="565" s="1"/>
  <c r="AL342" i="565" s="1"/>
  <c r="AL359" i="565" s="1"/>
  <c r="AL376" i="565" s="1"/>
  <c r="AL393" i="565" s="1"/>
  <c r="AL410" i="565" s="1"/>
  <c r="AL427" i="565" s="1"/>
  <c r="AS34" i="565"/>
  <c r="AS33" i="565"/>
  <c r="AS32" i="565"/>
  <c r="AS31" i="565"/>
  <c r="AS30" i="565"/>
  <c r="AS29" i="565"/>
  <c r="AS27" i="565"/>
  <c r="A20" i="565"/>
  <c r="A37" i="565" s="1"/>
  <c r="A54" i="565" s="1"/>
  <c r="A71" i="565" s="1"/>
  <c r="A88" i="565" s="1"/>
  <c r="A105" i="565" s="1"/>
  <c r="A122" i="565" s="1"/>
  <c r="A139" i="565" s="1"/>
  <c r="A156" i="565" s="1"/>
  <c r="A173" i="565" s="1"/>
  <c r="A190" i="565" s="1"/>
  <c r="A207" i="565" s="1"/>
  <c r="A224" i="565" s="1"/>
  <c r="A241" i="565" s="1"/>
  <c r="A258" i="565" s="1"/>
  <c r="A275" i="565" s="1"/>
  <c r="A292" i="565" s="1"/>
  <c r="A309" i="565" s="1"/>
  <c r="A326" i="565" s="1"/>
  <c r="A343" i="565" s="1"/>
  <c r="A360" i="565" s="1"/>
  <c r="A377" i="565" s="1"/>
  <c r="A394" i="565" s="1"/>
  <c r="A411" i="565" s="1"/>
  <c r="A428" i="565" s="1"/>
  <c r="A445" i="565" s="1"/>
  <c r="A462" i="565" s="1"/>
  <c r="A479" i="565" s="1"/>
  <c r="A496" i="565" s="1"/>
  <c r="A513" i="565" s="1"/>
  <c r="AQ19" i="565"/>
  <c r="AQ36" i="565" s="1"/>
  <c r="AQ53" i="565" s="1"/>
  <c r="AQ70" i="565" s="1"/>
  <c r="AQ87" i="565" s="1"/>
  <c r="AQ104" i="565" s="1"/>
  <c r="AQ121" i="565" s="1"/>
  <c r="AQ138" i="565" s="1"/>
  <c r="AQ155" i="565" s="1"/>
  <c r="AQ172" i="565" s="1"/>
  <c r="AQ189" i="565" s="1"/>
  <c r="AQ206" i="565" s="1"/>
  <c r="AQ223" i="565" s="1"/>
  <c r="AQ240" i="565" s="1"/>
  <c r="AQ257" i="565" s="1"/>
  <c r="AQ274" i="565" s="1"/>
  <c r="AQ291" i="565" s="1"/>
  <c r="AQ308" i="565" s="1"/>
  <c r="AQ325" i="565" s="1"/>
  <c r="AQ342" i="565" s="1"/>
  <c r="AQ359" i="565" s="1"/>
  <c r="AQ376" i="565" s="1"/>
  <c r="AQ393" i="565" s="1"/>
  <c r="AQ410" i="565" s="1"/>
  <c r="AQ427" i="565" s="1"/>
  <c r="AN19" i="565"/>
  <c r="AN36" i="565" s="1"/>
  <c r="AN53" i="565" s="1"/>
  <c r="AN70" i="565" s="1"/>
  <c r="AN87" i="565" s="1"/>
  <c r="AN104" i="565" s="1"/>
  <c r="AN121" i="565" s="1"/>
  <c r="AN138" i="565" s="1"/>
  <c r="AN155" i="565" s="1"/>
  <c r="AN172" i="565" s="1"/>
  <c r="AN189" i="565" s="1"/>
  <c r="AN206" i="565" s="1"/>
  <c r="AN223" i="565" s="1"/>
  <c r="AN240" i="565" s="1"/>
  <c r="AN257" i="565" s="1"/>
  <c r="AN274" i="565" s="1"/>
  <c r="AN291" i="565" s="1"/>
  <c r="AN308" i="565" s="1"/>
  <c r="AN325" i="565" s="1"/>
  <c r="AN342" i="565" s="1"/>
  <c r="AN359" i="565" s="1"/>
  <c r="AN376" i="565" s="1"/>
  <c r="AN393" i="565" s="1"/>
  <c r="AN410" i="565" s="1"/>
  <c r="AN427" i="565" s="1"/>
  <c r="AM19" i="565"/>
  <c r="AM36" i="565" s="1"/>
  <c r="AM53" i="565" s="1"/>
  <c r="AM70" i="565" s="1"/>
  <c r="AM87" i="565" s="1"/>
  <c r="AM104" i="565" s="1"/>
  <c r="AM121" i="565" s="1"/>
  <c r="AM138" i="565" s="1"/>
  <c r="AM155" i="565" s="1"/>
  <c r="AM172" i="565" s="1"/>
  <c r="AM189" i="565" s="1"/>
  <c r="AM206" i="565" s="1"/>
  <c r="AM223" i="565" s="1"/>
  <c r="AM240" i="565" s="1"/>
  <c r="AM257" i="565" s="1"/>
  <c r="AM274" i="565" s="1"/>
  <c r="AM291" i="565" s="1"/>
  <c r="AM308" i="565" s="1"/>
  <c r="AM325" i="565" s="1"/>
  <c r="AM342" i="565" s="1"/>
  <c r="AM359" i="565" s="1"/>
  <c r="AM376" i="565" s="1"/>
  <c r="AM393" i="565" s="1"/>
  <c r="AM410" i="565" s="1"/>
  <c r="AM427" i="565" s="1"/>
  <c r="AJ19" i="565"/>
  <c r="AJ36" i="565" s="1"/>
  <c r="AJ53" i="565" s="1"/>
  <c r="AJ70" i="565" s="1"/>
  <c r="AJ87" i="565" s="1"/>
  <c r="AJ104" i="565" s="1"/>
  <c r="AJ121" i="565" s="1"/>
  <c r="AJ138" i="565" s="1"/>
  <c r="AJ155" i="565" s="1"/>
  <c r="AJ172" i="565" s="1"/>
  <c r="AJ189" i="565" s="1"/>
  <c r="AJ206" i="565" s="1"/>
  <c r="AJ223" i="565" s="1"/>
  <c r="AJ240" i="565" s="1"/>
  <c r="AJ257" i="565" s="1"/>
  <c r="AJ274" i="565" s="1"/>
  <c r="AJ291" i="565" s="1"/>
  <c r="AJ308" i="565" s="1"/>
  <c r="AJ325" i="565" s="1"/>
  <c r="AJ342" i="565" s="1"/>
  <c r="AJ359" i="565" s="1"/>
  <c r="AJ376" i="565" s="1"/>
  <c r="AJ393" i="565" s="1"/>
  <c r="AJ410" i="565" s="1"/>
  <c r="AJ427" i="565" s="1"/>
  <c r="AI19" i="565"/>
  <c r="AI36" i="565" s="1"/>
  <c r="AI53" i="565" s="1"/>
  <c r="AI70" i="565" s="1"/>
  <c r="AI87" i="565" s="1"/>
  <c r="AI104" i="565" s="1"/>
  <c r="AI121" i="565" s="1"/>
  <c r="AI138" i="565" s="1"/>
  <c r="AI155" i="565" s="1"/>
  <c r="AI172" i="565" s="1"/>
  <c r="AI189" i="565" s="1"/>
  <c r="AI206" i="565" s="1"/>
  <c r="AI223" i="565" s="1"/>
  <c r="AI240" i="565" s="1"/>
  <c r="AI257" i="565" s="1"/>
  <c r="AI274" i="565" s="1"/>
  <c r="AI291" i="565" s="1"/>
  <c r="AI308" i="565" s="1"/>
  <c r="AI325" i="565" s="1"/>
  <c r="AI342" i="565" s="1"/>
  <c r="AI359" i="565" s="1"/>
  <c r="AI376" i="565" s="1"/>
  <c r="AI393" i="565" s="1"/>
  <c r="AI410" i="565" s="1"/>
  <c r="AI427" i="565" s="1"/>
  <c r="AF19" i="565"/>
  <c r="AF36" i="565" s="1"/>
  <c r="AF53" i="565" s="1"/>
  <c r="AF70" i="565" s="1"/>
  <c r="AF87" i="565" s="1"/>
  <c r="AF104" i="565" s="1"/>
  <c r="AF121" i="565" s="1"/>
  <c r="AF138" i="565" s="1"/>
  <c r="AF155" i="565" s="1"/>
  <c r="AF172" i="565" s="1"/>
  <c r="AF189" i="565" s="1"/>
  <c r="AF206" i="565" s="1"/>
  <c r="AF223" i="565" s="1"/>
  <c r="AF240" i="565" s="1"/>
  <c r="AF257" i="565" s="1"/>
  <c r="AF274" i="565" s="1"/>
  <c r="AF291" i="565" s="1"/>
  <c r="AF308" i="565" s="1"/>
  <c r="AF325" i="565" s="1"/>
  <c r="AF342" i="565" s="1"/>
  <c r="AF359" i="565" s="1"/>
  <c r="AF376" i="565" s="1"/>
  <c r="AF393" i="565" s="1"/>
  <c r="AF410" i="565" s="1"/>
  <c r="AF427" i="565" s="1"/>
  <c r="AE19" i="565"/>
  <c r="AE36" i="565" s="1"/>
  <c r="AE53" i="565" s="1"/>
  <c r="AE70" i="565" s="1"/>
  <c r="AE87" i="565" s="1"/>
  <c r="AE104" i="565" s="1"/>
  <c r="AE121" i="565" s="1"/>
  <c r="AE138" i="565" s="1"/>
  <c r="AE155" i="565" s="1"/>
  <c r="AE172" i="565" s="1"/>
  <c r="AE189" i="565" s="1"/>
  <c r="AE206" i="565" s="1"/>
  <c r="AE223" i="565" s="1"/>
  <c r="AE240" i="565" s="1"/>
  <c r="AE257" i="565" s="1"/>
  <c r="AE274" i="565" s="1"/>
  <c r="AE291" i="565" s="1"/>
  <c r="AE308" i="565" s="1"/>
  <c r="AE325" i="565" s="1"/>
  <c r="AE342" i="565" s="1"/>
  <c r="AE359" i="565" s="1"/>
  <c r="AE376" i="565" s="1"/>
  <c r="AE393" i="565" s="1"/>
  <c r="AE410" i="565" s="1"/>
  <c r="AE427" i="565" s="1"/>
  <c r="AB19" i="565"/>
  <c r="AB36" i="565" s="1"/>
  <c r="AB53" i="565" s="1"/>
  <c r="AB70" i="565" s="1"/>
  <c r="AB87" i="565" s="1"/>
  <c r="AB104" i="565" s="1"/>
  <c r="AB121" i="565" s="1"/>
  <c r="AB138" i="565" s="1"/>
  <c r="AB155" i="565" s="1"/>
  <c r="AB172" i="565" s="1"/>
  <c r="AB189" i="565" s="1"/>
  <c r="AB206" i="565" s="1"/>
  <c r="AB223" i="565" s="1"/>
  <c r="AB240" i="565" s="1"/>
  <c r="AB257" i="565" s="1"/>
  <c r="AB274" i="565" s="1"/>
  <c r="AB291" i="565" s="1"/>
  <c r="AB308" i="565" s="1"/>
  <c r="AB325" i="565" s="1"/>
  <c r="AB342" i="565" s="1"/>
  <c r="AB359" i="565" s="1"/>
  <c r="AB376" i="565" s="1"/>
  <c r="AB393" i="565" s="1"/>
  <c r="AB410" i="565" s="1"/>
  <c r="AB427" i="565" s="1"/>
  <c r="AA19" i="565"/>
  <c r="AA36" i="565" s="1"/>
  <c r="AA53" i="565" s="1"/>
  <c r="AA70" i="565" s="1"/>
  <c r="AA87" i="565" s="1"/>
  <c r="AA104" i="565" s="1"/>
  <c r="AA121" i="565" s="1"/>
  <c r="AA138" i="565" s="1"/>
  <c r="AA155" i="565" s="1"/>
  <c r="AA172" i="565" s="1"/>
  <c r="AA189" i="565" s="1"/>
  <c r="AA206" i="565" s="1"/>
  <c r="AA223" i="565" s="1"/>
  <c r="AA240" i="565" s="1"/>
  <c r="AA257" i="565" s="1"/>
  <c r="AA274" i="565" s="1"/>
  <c r="AA291" i="565" s="1"/>
  <c r="AA308" i="565" s="1"/>
  <c r="AA325" i="565" s="1"/>
  <c r="AA342" i="565" s="1"/>
  <c r="AA359" i="565" s="1"/>
  <c r="AA376" i="565" s="1"/>
  <c r="AA393" i="565" s="1"/>
  <c r="AA410" i="565" s="1"/>
  <c r="AA427" i="565" s="1"/>
  <c r="X19" i="565"/>
  <c r="X36" i="565" s="1"/>
  <c r="X53" i="565" s="1"/>
  <c r="X70" i="565" s="1"/>
  <c r="X87" i="565" s="1"/>
  <c r="X104" i="565" s="1"/>
  <c r="X121" i="565" s="1"/>
  <c r="X138" i="565" s="1"/>
  <c r="X155" i="565" s="1"/>
  <c r="X172" i="565" s="1"/>
  <c r="X189" i="565" s="1"/>
  <c r="X206" i="565" s="1"/>
  <c r="X223" i="565" s="1"/>
  <c r="X240" i="565" s="1"/>
  <c r="X257" i="565" s="1"/>
  <c r="X274" i="565" s="1"/>
  <c r="X291" i="565" s="1"/>
  <c r="X308" i="565" s="1"/>
  <c r="X325" i="565" s="1"/>
  <c r="X342" i="565" s="1"/>
  <c r="X359" i="565" s="1"/>
  <c r="X376" i="565" s="1"/>
  <c r="X393" i="565" s="1"/>
  <c r="X410" i="565" s="1"/>
  <c r="X427" i="565" s="1"/>
  <c r="X444" i="565" s="1"/>
  <c r="X461" i="565" s="1"/>
  <c r="X478" i="565" s="1"/>
  <c r="X495" i="565" s="1"/>
  <c r="X512" i="565" s="1"/>
  <c r="X529" i="565" s="1"/>
  <c r="W19" i="565"/>
  <c r="W36" i="565" s="1"/>
  <c r="W53" i="565" s="1"/>
  <c r="W70" i="565" s="1"/>
  <c r="W87" i="565" s="1"/>
  <c r="W104" i="565" s="1"/>
  <c r="W121" i="565" s="1"/>
  <c r="W138" i="565" s="1"/>
  <c r="W155" i="565" s="1"/>
  <c r="W172" i="565" s="1"/>
  <c r="W189" i="565" s="1"/>
  <c r="W206" i="565" s="1"/>
  <c r="W223" i="565" s="1"/>
  <c r="W240" i="565" s="1"/>
  <c r="W257" i="565" s="1"/>
  <c r="W274" i="565" s="1"/>
  <c r="W291" i="565" s="1"/>
  <c r="W308" i="565" s="1"/>
  <c r="W325" i="565" s="1"/>
  <c r="W342" i="565" s="1"/>
  <c r="W359" i="565" s="1"/>
  <c r="W376" i="565" s="1"/>
  <c r="W393" i="565" s="1"/>
  <c r="W410" i="565" s="1"/>
  <c r="W427" i="565" s="1"/>
  <c r="W444" i="565" s="1"/>
  <c r="W461" i="565" s="1"/>
  <c r="W478" i="565" s="1"/>
  <c r="W495" i="565" s="1"/>
  <c r="W512" i="565" s="1"/>
  <c r="W529" i="565" s="1"/>
  <c r="T19" i="565"/>
  <c r="K19" i="565"/>
  <c r="K36" i="565" s="1"/>
  <c r="K53" i="565" s="1"/>
  <c r="K70" i="565" s="1"/>
  <c r="K87" i="565" s="1"/>
  <c r="K104" i="565" s="1"/>
  <c r="K121" i="565" s="1"/>
  <c r="K138" i="565" s="1"/>
  <c r="K155" i="565" s="1"/>
  <c r="K172" i="565" s="1"/>
  <c r="K189" i="565" s="1"/>
  <c r="K206" i="565" s="1"/>
  <c r="K223" i="565" s="1"/>
  <c r="K240" i="565" s="1"/>
  <c r="K257" i="565" s="1"/>
  <c r="K274" i="565" s="1"/>
  <c r="K291" i="565" s="1"/>
  <c r="K308" i="565" s="1"/>
  <c r="K325" i="565" s="1"/>
  <c r="K342" i="565" s="1"/>
  <c r="K359" i="565" s="1"/>
  <c r="K376" i="565" s="1"/>
  <c r="K393" i="565" s="1"/>
  <c r="K410" i="565" s="1"/>
  <c r="K427" i="565" s="1"/>
  <c r="K444" i="565" s="1"/>
  <c r="K461" i="565" s="1"/>
  <c r="K478" i="565" s="1"/>
  <c r="K495" i="565" s="1"/>
  <c r="K512" i="565" s="1"/>
  <c r="K529" i="565" s="1"/>
  <c r="AS17" i="565"/>
  <c r="AS16" i="565"/>
  <c r="AS15" i="565"/>
  <c r="AS14" i="565"/>
  <c r="AS13" i="565"/>
  <c r="AS12" i="565"/>
  <c r="AS10" i="565"/>
  <c r="AT2" i="565"/>
  <c r="AS2" i="565"/>
  <c r="AU2" i="565" s="1"/>
  <c r="AP19" i="565"/>
  <c r="AP36" i="565" s="1"/>
  <c r="AP53" i="565" s="1"/>
  <c r="AP70" i="565" s="1"/>
  <c r="AP87" i="565" s="1"/>
  <c r="AP104" i="565" s="1"/>
  <c r="AP121" i="565" s="1"/>
  <c r="AP138" i="565" s="1"/>
  <c r="AP155" i="565" s="1"/>
  <c r="AP172" i="565" s="1"/>
  <c r="AP189" i="565" s="1"/>
  <c r="AP206" i="565" s="1"/>
  <c r="AP223" i="565" s="1"/>
  <c r="AP240" i="565" s="1"/>
  <c r="AP257" i="565" s="1"/>
  <c r="AP274" i="565" s="1"/>
  <c r="AP291" i="565" s="1"/>
  <c r="AP308" i="565" s="1"/>
  <c r="AP325" i="565" s="1"/>
  <c r="AP342" i="565" s="1"/>
  <c r="AP359" i="565" s="1"/>
  <c r="AP376" i="565" s="1"/>
  <c r="AP393" i="565" s="1"/>
  <c r="AP410" i="565" s="1"/>
  <c r="AP427" i="565" s="1"/>
  <c r="AO19" i="565"/>
  <c r="AO36" i="565" s="1"/>
  <c r="AO53" i="565" s="1"/>
  <c r="AO70" i="565" s="1"/>
  <c r="AO87" i="565" s="1"/>
  <c r="AO104" i="565" s="1"/>
  <c r="AO121" i="565" s="1"/>
  <c r="AO138" i="565" s="1"/>
  <c r="AO155" i="565" s="1"/>
  <c r="AO172" i="565" s="1"/>
  <c r="AO189" i="565" s="1"/>
  <c r="AO206" i="565" s="1"/>
  <c r="AO223" i="565" s="1"/>
  <c r="AO240" i="565" s="1"/>
  <c r="AO257" i="565" s="1"/>
  <c r="AO274" i="565" s="1"/>
  <c r="AO291" i="565" s="1"/>
  <c r="AO308" i="565" s="1"/>
  <c r="AO325" i="565" s="1"/>
  <c r="AO342" i="565" s="1"/>
  <c r="AO359" i="565" s="1"/>
  <c r="AO376" i="565" s="1"/>
  <c r="AO393" i="565" s="1"/>
  <c r="AO410" i="565" s="1"/>
  <c r="AO427" i="565" s="1"/>
  <c r="AK19" i="565"/>
  <c r="AK36" i="565" s="1"/>
  <c r="AK53" i="565" s="1"/>
  <c r="AK70" i="565" s="1"/>
  <c r="AK87" i="565" s="1"/>
  <c r="AK104" i="565" s="1"/>
  <c r="AK121" i="565" s="1"/>
  <c r="AK138" i="565" s="1"/>
  <c r="AK155" i="565" s="1"/>
  <c r="AK172" i="565" s="1"/>
  <c r="AK189" i="565" s="1"/>
  <c r="AK206" i="565" s="1"/>
  <c r="AK223" i="565" s="1"/>
  <c r="AK240" i="565" s="1"/>
  <c r="AK257" i="565" s="1"/>
  <c r="AK274" i="565" s="1"/>
  <c r="AK291" i="565" s="1"/>
  <c r="AK308" i="565" s="1"/>
  <c r="AK325" i="565" s="1"/>
  <c r="AK342" i="565" s="1"/>
  <c r="AK359" i="565" s="1"/>
  <c r="AK376" i="565" s="1"/>
  <c r="AK393" i="565" s="1"/>
  <c r="AK410" i="565" s="1"/>
  <c r="AK427" i="565" s="1"/>
  <c r="AH19" i="565"/>
  <c r="AH36" i="565" s="1"/>
  <c r="AH53" i="565" s="1"/>
  <c r="AH70" i="565" s="1"/>
  <c r="AH87" i="565" s="1"/>
  <c r="AH104" i="565" s="1"/>
  <c r="AH121" i="565" s="1"/>
  <c r="AH138" i="565" s="1"/>
  <c r="AH155" i="565" s="1"/>
  <c r="AH172" i="565" s="1"/>
  <c r="AH189" i="565" s="1"/>
  <c r="AH206" i="565" s="1"/>
  <c r="AH223" i="565" s="1"/>
  <c r="AH240" i="565" s="1"/>
  <c r="AH257" i="565" s="1"/>
  <c r="AH274" i="565" s="1"/>
  <c r="AH291" i="565" s="1"/>
  <c r="AH308" i="565" s="1"/>
  <c r="AH325" i="565" s="1"/>
  <c r="AH342" i="565" s="1"/>
  <c r="AH359" i="565" s="1"/>
  <c r="AH376" i="565" s="1"/>
  <c r="AH393" i="565" s="1"/>
  <c r="AH410" i="565" s="1"/>
  <c r="AH427" i="565" s="1"/>
  <c r="AG19" i="565"/>
  <c r="AG36" i="565" s="1"/>
  <c r="AG53" i="565" s="1"/>
  <c r="AG70" i="565" s="1"/>
  <c r="AG87" i="565" s="1"/>
  <c r="AG104" i="565" s="1"/>
  <c r="AG121" i="565" s="1"/>
  <c r="AG138" i="565" s="1"/>
  <c r="AG155" i="565" s="1"/>
  <c r="AG172" i="565" s="1"/>
  <c r="AG189" i="565" s="1"/>
  <c r="AG206" i="565" s="1"/>
  <c r="AG223" i="565" s="1"/>
  <c r="AG240" i="565" s="1"/>
  <c r="AG257" i="565" s="1"/>
  <c r="AG274" i="565" s="1"/>
  <c r="AG291" i="565" s="1"/>
  <c r="AG308" i="565" s="1"/>
  <c r="AG325" i="565" s="1"/>
  <c r="AG342" i="565" s="1"/>
  <c r="AG359" i="565" s="1"/>
  <c r="AG376" i="565" s="1"/>
  <c r="AG393" i="565" s="1"/>
  <c r="AG410" i="565" s="1"/>
  <c r="AG427" i="565" s="1"/>
  <c r="AD19" i="565"/>
  <c r="AD36" i="565" s="1"/>
  <c r="AD53" i="565" s="1"/>
  <c r="AD70" i="565" s="1"/>
  <c r="AD87" i="565" s="1"/>
  <c r="AD104" i="565" s="1"/>
  <c r="AD121" i="565" s="1"/>
  <c r="AD138" i="565" s="1"/>
  <c r="AD155" i="565" s="1"/>
  <c r="AD172" i="565" s="1"/>
  <c r="AD189" i="565" s="1"/>
  <c r="AD206" i="565" s="1"/>
  <c r="AD223" i="565" s="1"/>
  <c r="AD240" i="565" s="1"/>
  <c r="AD257" i="565" s="1"/>
  <c r="AD274" i="565" s="1"/>
  <c r="AD291" i="565" s="1"/>
  <c r="AD308" i="565" s="1"/>
  <c r="AD325" i="565" s="1"/>
  <c r="AD342" i="565" s="1"/>
  <c r="AD359" i="565" s="1"/>
  <c r="AD376" i="565" s="1"/>
  <c r="AD393" i="565" s="1"/>
  <c r="AD410" i="565" s="1"/>
  <c r="AD427" i="565" s="1"/>
  <c r="AC19" i="565"/>
  <c r="AC36" i="565" s="1"/>
  <c r="AC53" i="565" s="1"/>
  <c r="AC70" i="565" s="1"/>
  <c r="AC87" i="565" s="1"/>
  <c r="AC104" i="565" s="1"/>
  <c r="AC121" i="565" s="1"/>
  <c r="AC138" i="565" s="1"/>
  <c r="AC155" i="565" s="1"/>
  <c r="AC172" i="565" s="1"/>
  <c r="AC189" i="565" s="1"/>
  <c r="AC206" i="565" s="1"/>
  <c r="AC223" i="565" s="1"/>
  <c r="AC240" i="565" s="1"/>
  <c r="AC257" i="565" s="1"/>
  <c r="AC274" i="565" s="1"/>
  <c r="AC291" i="565" s="1"/>
  <c r="AC308" i="565" s="1"/>
  <c r="AC325" i="565" s="1"/>
  <c r="AC342" i="565" s="1"/>
  <c r="AC359" i="565" s="1"/>
  <c r="AC376" i="565" s="1"/>
  <c r="AC393" i="565" s="1"/>
  <c r="AC410" i="565" s="1"/>
  <c r="AC427" i="565" s="1"/>
  <c r="Z19" i="565"/>
  <c r="Z36" i="565" s="1"/>
  <c r="Z53" i="565" s="1"/>
  <c r="Z70" i="565" s="1"/>
  <c r="Z87" i="565" s="1"/>
  <c r="Z104" i="565" s="1"/>
  <c r="Z121" i="565" s="1"/>
  <c r="Z138" i="565" s="1"/>
  <c r="Z155" i="565" s="1"/>
  <c r="Z172" i="565" s="1"/>
  <c r="Z189" i="565" s="1"/>
  <c r="Z206" i="565" s="1"/>
  <c r="Z223" i="565" s="1"/>
  <c r="Z240" i="565" s="1"/>
  <c r="Z257" i="565" s="1"/>
  <c r="Z274" i="565" s="1"/>
  <c r="Z291" i="565" s="1"/>
  <c r="Z308" i="565" s="1"/>
  <c r="Z325" i="565" s="1"/>
  <c r="Z342" i="565" s="1"/>
  <c r="Z359" i="565" s="1"/>
  <c r="Z376" i="565" s="1"/>
  <c r="Z393" i="565" s="1"/>
  <c r="Z410" i="565" s="1"/>
  <c r="Z427" i="565" s="1"/>
  <c r="Y19" i="565"/>
  <c r="Y36" i="565" s="1"/>
  <c r="Y53" i="565" s="1"/>
  <c r="Y70" i="565" s="1"/>
  <c r="Y87" i="565" s="1"/>
  <c r="Y104" i="565" s="1"/>
  <c r="Y121" i="565" s="1"/>
  <c r="Y138" i="565" s="1"/>
  <c r="Y155" i="565" s="1"/>
  <c r="Y172" i="565" s="1"/>
  <c r="Y189" i="565" s="1"/>
  <c r="Y206" i="565" s="1"/>
  <c r="Y223" i="565" s="1"/>
  <c r="Y240" i="565" s="1"/>
  <c r="Y257" i="565" s="1"/>
  <c r="Y274" i="565" s="1"/>
  <c r="Y291" i="565" s="1"/>
  <c r="Y308" i="565" s="1"/>
  <c r="Y325" i="565" s="1"/>
  <c r="Y342" i="565" s="1"/>
  <c r="Y359" i="565" s="1"/>
  <c r="Y376" i="565" s="1"/>
  <c r="Y393" i="565" s="1"/>
  <c r="Y410" i="565" s="1"/>
  <c r="Y427" i="565" s="1"/>
  <c r="Y444" i="565" s="1"/>
  <c r="Y461" i="565" s="1"/>
  <c r="Y478" i="565" s="1"/>
  <c r="Y495" i="565" s="1"/>
  <c r="Y512" i="565" s="1"/>
  <c r="Y529" i="565" s="1"/>
  <c r="V19" i="565"/>
  <c r="V36" i="565" s="1"/>
  <c r="V53" i="565" s="1"/>
  <c r="V70" i="565" s="1"/>
  <c r="V87" i="565" s="1"/>
  <c r="V104" i="565" s="1"/>
  <c r="V121" i="565" s="1"/>
  <c r="V138" i="565" s="1"/>
  <c r="V155" i="565" s="1"/>
  <c r="V172" i="565" s="1"/>
  <c r="V189" i="565" s="1"/>
  <c r="V206" i="565" s="1"/>
  <c r="V223" i="565" s="1"/>
  <c r="V240" i="565" s="1"/>
  <c r="V257" i="565" s="1"/>
  <c r="V274" i="565" s="1"/>
  <c r="V291" i="565" s="1"/>
  <c r="V308" i="565" s="1"/>
  <c r="V325" i="565" s="1"/>
  <c r="V342" i="565" s="1"/>
  <c r="V359" i="565" s="1"/>
  <c r="V376" i="565" s="1"/>
  <c r="V393" i="565" s="1"/>
  <c r="V410" i="565" s="1"/>
  <c r="V427" i="565" s="1"/>
  <c r="V444" i="565" s="1"/>
  <c r="V461" i="565" s="1"/>
  <c r="V478" i="565" s="1"/>
  <c r="V495" i="565" s="1"/>
  <c r="V512" i="565" s="1"/>
  <c r="V529" i="565" s="1"/>
  <c r="U19" i="565"/>
  <c r="U36" i="565" s="1"/>
  <c r="U53" i="565" s="1"/>
  <c r="U70" i="565" s="1"/>
  <c r="U87" i="565" s="1"/>
  <c r="U104" i="565" s="1"/>
  <c r="U121" i="565" s="1"/>
  <c r="U138" i="565" s="1"/>
  <c r="U155" i="565" s="1"/>
  <c r="U172" i="565" s="1"/>
  <c r="U189" i="565" s="1"/>
  <c r="U206" i="565" s="1"/>
  <c r="U223" i="565" s="1"/>
  <c r="U240" i="565" s="1"/>
  <c r="U257" i="565" s="1"/>
  <c r="U274" i="565" s="1"/>
  <c r="U291" i="565" s="1"/>
  <c r="U308" i="565" s="1"/>
  <c r="U325" i="565" s="1"/>
  <c r="U342" i="565" s="1"/>
  <c r="U359" i="565" s="1"/>
  <c r="U376" i="565" s="1"/>
  <c r="U393" i="565" s="1"/>
  <c r="U410" i="565" s="1"/>
  <c r="U427" i="565" s="1"/>
  <c r="U444" i="565" s="1"/>
  <c r="U461" i="565" s="1"/>
  <c r="U478" i="565" s="1"/>
  <c r="U495" i="565" s="1"/>
  <c r="U512" i="565" s="1"/>
  <c r="U529" i="565" s="1"/>
  <c r="AR18" i="565"/>
  <c r="J19" i="565"/>
  <c r="J36" i="565" s="1"/>
  <c r="J53" i="565" s="1"/>
  <c r="J70" i="565" s="1"/>
  <c r="J87" i="565" s="1"/>
  <c r="J104" i="565" s="1"/>
  <c r="J121" i="565" s="1"/>
  <c r="J138" i="565" s="1"/>
  <c r="J155" i="565" s="1"/>
  <c r="J172" i="565" s="1"/>
  <c r="J189" i="565" s="1"/>
  <c r="J206" i="565" s="1"/>
  <c r="J223" i="565" s="1"/>
  <c r="J240" i="565" s="1"/>
  <c r="J257" i="565" s="1"/>
  <c r="J274" i="565" s="1"/>
  <c r="J291" i="565" s="1"/>
  <c r="J308" i="565" s="1"/>
  <c r="J325" i="565" s="1"/>
  <c r="J342" i="565" s="1"/>
  <c r="J359" i="565" s="1"/>
  <c r="J376" i="565" s="1"/>
  <c r="J393" i="565" s="1"/>
  <c r="J410" i="565" s="1"/>
  <c r="J427" i="565" s="1"/>
  <c r="J444" i="565" s="1"/>
  <c r="J461" i="565" s="1"/>
  <c r="J478" i="565" s="1"/>
  <c r="J495" i="565" s="1"/>
  <c r="J512" i="565" s="1"/>
  <c r="J529" i="565" s="1"/>
  <c r="I19" i="565"/>
  <c r="I36" i="565" s="1"/>
  <c r="I53" i="565" s="1"/>
  <c r="I70" i="565" s="1"/>
  <c r="I87" i="565" s="1"/>
  <c r="I104" i="565" s="1"/>
  <c r="I121" i="565" s="1"/>
  <c r="I138" i="565" s="1"/>
  <c r="I155" i="565" s="1"/>
  <c r="I172" i="565" s="1"/>
  <c r="I189" i="565" s="1"/>
  <c r="I206" i="565" s="1"/>
  <c r="I223" i="565" s="1"/>
  <c r="I240" i="565" s="1"/>
  <c r="I257" i="565" s="1"/>
  <c r="I274" i="565" s="1"/>
  <c r="I291" i="565" s="1"/>
  <c r="I308" i="565" s="1"/>
  <c r="I325" i="565" s="1"/>
  <c r="I342" i="565" s="1"/>
  <c r="I359" i="565" s="1"/>
  <c r="I376" i="565" s="1"/>
  <c r="I393" i="565" s="1"/>
  <c r="I410" i="565" s="1"/>
  <c r="I427" i="565" s="1"/>
  <c r="I444" i="565" s="1"/>
  <c r="I461" i="565" s="1"/>
  <c r="I478" i="565" s="1"/>
  <c r="I495" i="565" s="1"/>
  <c r="I512" i="565" s="1"/>
  <c r="I529" i="565" s="1"/>
  <c r="H19" i="565"/>
  <c r="H36" i="565" s="1"/>
  <c r="H53" i="565" s="1"/>
  <c r="H70" i="565" s="1"/>
  <c r="H87" i="565" s="1"/>
  <c r="H104" i="565" s="1"/>
  <c r="H121" i="565" s="1"/>
  <c r="H138" i="565" s="1"/>
  <c r="H155" i="565" s="1"/>
  <c r="H172" i="565" s="1"/>
  <c r="H189" i="565" s="1"/>
  <c r="H206" i="565" s="1"/>
  <c r="H223" i="565" s="1"/>
  <c r="H240" i="565" s="1"/>
  <c r="H257" i="565" s="1"/>
  <c r="H274" i="565" s="1"/>
  <c r="H291" i="565" s="1"/>
  <c r="H308" i="565" s="1"/>
  <c r="H325" i="565" s="1"/>
  <c r="H342" i="565" s="1"/>
  <c r="H359" i="565" s="1"/>
  <c r="H376" i="565" s="1"/>
  <c r="H393" i="565" s="1"/>
  <c r="H410" i="565" s="1"/>
  <c r="H427" i="565" s="1"/>
  <c r="H444" i="565" s="1"/>
  <c r="H461" i="565" s="1"/>
  <c r="H478" i="565" s="1"/>
  <c r="H495" i="565" s="1"/>
  <c r="H512" i="565" s="1"/>
  <c r="H529" i="565" s="1"/>
  <c r="G19" i="565"/>
  <c r="G36" i="565" s="1"/>
  <c r="G53" i="565" s="1"/>
  <c r="G70" i="565" s="1"/>
  <c r="G87" i="565" s="1"/>
  <c r="G104" i="565" s="1"/>
  <c r="G121" i="565" s="1"/>
  <c r="G138" i="565" s="1"/>
  <c r="G155" i="565" s="1"/>
  <c r="G172" i="565" s="1"/>
  <c r="G189" i="565" s="1"/>
  <c r="G206" i="565" s="1"/>
  <c r="G223" i="565" s="1"/>
  <c r="G240" i="565" s="1"/>
  <c r="G257" i="565" s="1"/>
  <c r="G274" i="565" s="1"/>
  <c r="G291" i="565" s="1"/>
  <c r="G308" i="565" s="1"/>
  <c r="G325" i="565" s="1"/>
  <c r="G342" i="565" s="1"/>
  <c r="G359" i="565" s="1"/>
  <c r="G376" i="565" s="1"/>
  <c r="G393" i="565" s="1"/>
  <c r="G410" i="565" s="1"/>
  <c r="G427" i="565" s="1"/>
  <c r="G444" i="565" s="1"/>
  <c r="G461" i="565" s="1"/>
  <c r="G478" i="565" s="1"/>
  <c r="G495" i="565" s="1"/>
  <c r="G512" i="565" s="1"/>
  <c r="G529" i="565" s="1"/>
  <c r="F19" i="565"/>
  <c r="F36" i="565" s="1"/>
  <c r="F53" i="565" s="1"/>
  <c r="F70" i="565" s="1"/>
  <c r="F87" i="565" s="1"/>
  <c r="F104" i="565" s="1"/>
  <c r="F121" i="565" s="1"/>
  <c r="F138" i="565" s="1"/>
  <c r="F155" i="565" s="1"/>
  <c r="F172" i="565" s="1"/>
  <c r="F189" i="565" s="1"/>
  <c r="F206" i="565" s="1"/>
  <c r="F223" i="565" s="1"/>
  <c r="F240" i="565" s="1"/>
  <c r="F257" i="565" s="1"/>
  <c r="F274" i="565" s="1"/>
  <c r="F291" i="565" s="1"/>
  <c r="F308" i="565" s="1"/>
  <c r="F325" i="565" s="1"/>
  <c r="F342" i="565" s="1"/>
  <c r="F359" i="565" s="1"/>
  <c r="F376" i="565" s="1"/>
  <c r="F393" i="565" s="1"/>
  <c r="F410" i="565" s="1"/>
  <c r="F427" i="565" s="1"/>
  <c r="F444" i="565" s="1"/>
  <c r="F461" i="565" s="1"/>
  <c r="F478" i="565" s="1"/>
  <c r="F495" i="565" s="1"/>
  <c r="F512" i="565" s="1"/>
  <c r="F529" i="565" s="1"/>
  <c r="E19" i="565"/>
  <c r="E36" i="565" s="1"/>
  <c r="E53" i="565" s="1"/>
  <c r="E70" i="565" s="1"/>
  <c r="E87" i="565" s="1"/>
  <c r="E104" i="565" s="1"/>
  <c r="E121" i="565" s="1"/>
  <c r="E138" i="565" s="1"/>
  <c r="E155" i="565" s="1"/>
  <c r="E172" i="565" s="1"/>
  <c r="E189" i="565" s="1"/>
  <c r="E206" i="565" s="1"/>
  <c r="E223" i="565" s="1"/>
  <c r="E240" i="565" s="1"/>
  <c r="E257" i="565" s="1"/>
  <c r="E274" i="565" s="1"/>
  <c r="E291" i="565" s="1"/>
  <c r="E308" i="565" s="1"/>
  <c r="E325" i="565" s="1"/>
  <c r="E342" i="565" s="1"/>
  <c r="E359" i="565" s="1"/>
  <c r="E376" i="565" s="1"/>
  <c r="E393" i="565" s="1"/>
  <c r="E410" i="565" s="1"/>
  <c r="E427" i="565" s="1"/>
  <c r="E444" i="565" s="1"/>
  <c r="E461" i="565" s="1"/>
  <c r="E478" i="565" s="1"/>
  <c r="E495" i="565" s="1"/>
  <c r="E512" i="565" s="1"/>
  <c r="E529" i="565" s="1"/>
  <c r="AR35" i="574" l="1"/>
  <c r="T36" i="574"/>
  <c r="C35" i="574"/>
  <c r="D53" i="574"/>
  <c r="AR36" i="574"/>
  <c r="C36" i="574" s="1"/>
  <c r="AD529" i="574"/>
  <c r="AK529" i="574"/>
  <c r="AH529" i="574"/>
  <c r="AO529" i="574"/>
  <c r="O36" i="574"/>
  <c r="P53" i="574"/>
  <c r="AP529" i="574"/>
  <c r="AC529" i="574"/>
  <c r="Z529" i="574"/>
  <c r="AB529" i="574"/>
  <c r="M70" i="574"/>
  <c r="L53" i="574"/>
  <c r="S53" i="574"/>
  <c r="R36" i="574"/>
  <c r="AK529" i="573"/>
  <c r="Z529" i="573"/>
  <c r="AD529" i="573"/>
  <c r="L53" i="573"/>
  <c r="M70" i="573"/>
  <c r="AM529" i="573"/>
  <c r="AE529" i="573"/>
  <c r="S53" i="573"/>
  <c r="R36" i="573"/>
  <c r="AR36" i="573"/>
  <c r="C36" i="573" s="1"/>
  <c r="C35" i="573"/>
  <c r="D53" i="573"/>
  <c r="AN529" i="573"/>
  <c r="AF529" i="573"/>
  <c r="AR52" i="573"/>
  <c r="T53" i="573"/>
  <c r="AP529" i="573"/>
  <c r="AL529" i="573"/>
  <c r="AQ529" i="573"/>
  <c r="AI529" i="573"/>
  <c r="AA529" i="573"/>
  <c r="P53" i="573"/>
  <c r="O36" i="573"/>
  <c r="AG529" i="573"/>
  <c r="AJ529" i="573"/>
  <c r="AB529" i="573"/>
  <c r="AP529" i="572"/>
  <c r="AD529" i="572"/>
  <c r="AH529" i="572"/>
  <c r="AN529" i="572"/>
  <c r="P70" i="572"/>
  <c r="O53" i="572"/>
  <c r="AF529" i="572"/>
  <c r="AE529" i="572"/>
  <c r="AA529" i="572"/>
  <c r="AQ529" i="572"/>
  <c r="D70" i="572"/>
  <c r="AL529" i="572"/>
  <c r="T70" i="572"/>
  <c r="AR69" i="572"/>
  <c r="AI529" i="572"/>
  <c r="S70" i="572"/>
  <c r="R53" i="572"/>
  <c r="AM529" i="572"/>
  <c r="M53" i="572"/>
  <c r="C52" i="572" s="1"/>
  <c r="L36" i="572"/>
  <c r="S53" i="571"/>
  <c r="R36" i="571"/>
  <c r="P53" i="571"/>
  <c r="O36" i="571"/>
  <c r="T36" i="571"/>
  <c r="AR35" i="571"/>
  <c r="AP529" i="571"/>
  <c r="AD529" i="571"/>
  <c r="AO529" i="571"/>
  <c r="AG529" i="571"/>
  <c r="AJ529" i="571"/>
  <c r="L36" i="571"/>
  <c r="M53" i="571"/>
  <c r="AR19" i="571"/>
  <c r="C19" i="571" s="1"/>
  <c r="AL529" i="571"/>
  <c r="AH529" i="571"/>
  <c r="Z529" i="571"/>
  <c r="AK529" i="571"/>
  <c r="AC529" i="571"/>
  <c r="AN529" i="571"/>
  <c r="AF529" i="571"/>
  <c r="D53" i="571"/>
  <c r="AR36" i="571"/>
  <c r="C36" i="571" s="1"/>
  <c r="C35" i="571"/>
  <c r="AH529" i="570"/>
  <c r="AC529" i="570"/>
  <c r="AJ529" i="570"/>
  <c r="C35" i="570"/>
  <c r="P70" i="570"/>
  <c r="O53" i="570"/>
  <c r="AP529" i="570"/>
  <c r="AN529" i="570"/>
  <c r="AO529" i="570"/>
  <c r="AG529" i="570"/>
  <c r="AB529" i="570"/>
  <c r="Z529" i="570"/>
  <c r="AF529" i="570"/>
  <c r="AR36" i="570"/>
  <c r="C36" i="570" s="1"/>
  <c r="M53" i="570"/>
  <c r="AR53" i="570" s="1"/>
  <c r="C53" i="570" s="1"/>
  <c r="L36" i="570"/>
  <c r="AA529" i="570"/>
  <c r="D70" i="570"/>
  <c r="AE529" i="570"/>
  <c r="T70" i="570"/>
  <c r="AR69" i="570"/>
  <c r="AI529" i="570"/>
  <c r="S70" i="570"/>
  <c r="R53" i="570"/>
  <c r="AM529" i="570"/>
  <c r="AI529" i="569"/>
  <c r="AA529" i="569"/>
  <c r="AM529" i="569"/>
  <c r="AJ529" i="569"/>
  <c r="AB529" i="569"/>
  <c r="AQ529" i="568"/>
  <c r="AI529" i="568"/>
  <c r="AQ529" i="569"/>
  <c r="P53" i="569"/>
  <c r="O36" i="569"/>
  <c r="AO529" i="569"/>
  <c r="AP529" i="569"/>
  <c r="AD529" i="569"/>
  <c r="S53" i="569"/>
  <c r="R36" i="569"/>
  <c r="M53" i="569"/>
  <c r="L36" i="569"/>
  <c r="T53" i="569"/>
  <c r="AR52" i="569"/>
  <c r="AH529" i="569"/>
  <c r="Z529" i="569"/>
  <c r="C35" i="569"/>
  <c r="D53" i="569"/>
  <c r="AR36" i="569"/>
  <c r="C36" i="569" s="1"/>
  <c r="AP529" i="568"/>
  <c r="AF529" i="568"/>
  <c r="P53" i="568"/>
  <c r="O36" i="568"/>
  <c r="AK529" i="568"/>
  <c r="AC529" i="568"/>
  <c r="T36" i="568"/>
  <c r="AR35" i="568"/>
  <c r="AR19" i="568"/>
  <c r="C19" i="568" s="1"/>
  <c r="S53" i="568"/>
  <c r="R36" i="568"/>
  <c r="AJ529" i="568"/>
  <c r="AB529" i="568"/>
  <c r="AO529" i="568"/>
  <c r="AG529" i="568"/>
  <c r="AR36" i="568"/>
  <c r="C36" i="568" s="1"/>
  <c r="C35" i="568"/>
  <c r="D53" i="568"/>
  <c r="L36" i="568"/>
  <c r="M53" i="568"/>
  <c r="AD529" i="566"/>
  <c r="AD444" i="566"/>
  <c r="AD461" i="566" s="1"/>
  <c r="AD478" i="566" s="1"/>
  <c r="AD495" i="566" s="1"/>
  <c r="AD512" i="566" s="1"/>
  <c r="AH529" i="566"/>
  <c r="AH444" i="566"/>
  <c r="AH461" i="566" s="1"/>
  <c r="AH478" i="566" s="1"/>
  <c r="AH495" i="566" s="1"/>
  <c r="AH512" i="566" s="1"/>
  <c r="AP529" i="566"/>
  <c r="AP444" i="566"/>
  <c r="AP461" i="566" s="1"/>
  <c r="AP478" i="566" s="1"/>
  <c r="AP495" i="566" s="1"/>
  <c r="AP512" i="566" s="1"/>
  <c r="AE529" i="566"/>
  <c r="AE444" i="566"/>
  <c r="AE461" i="566" s="1"/>
  <c r="AE478" i="566" s="1"/>
  <c r="AE495" i="566" s="1"/>
  <c r="AE512" i="566" s="1"/>
  <c r="AN529" i="566"/>
  <c r="AN444" i="566"/>
  <c r="AN461" i="566" s="1"/>
  <c r="AN478" i="566" s="1"/>
  <c r="AN495" i="566" s="1"/>
  <c r="AN512" i="566" s="1"/>
  <c r="Z529" i="566"/>
  <c r="Z444" i="566"/>
  <c r="Z461" i="566" s="1"/>
  <c r="Z478" i="566" s="1"/>
  <c r="Z495" i="566" s="1"/>
  <c r="Z512" i="566" s="1"/>
  <c r="AM444" i="566"/>
  <c r="AM461" i="566" s="1"/>
  <c r="AM478" i="566" s="1"/>
  <c r="AM495" i="566" s="1"/>
  <c r="AM512" i="566" s="1"/>
  <c r="AQ444" i="566"/>
  <c r="AQ461" i="566" s="1"/>
  <c r="AQ478" i="566" s="1"/>
  <c r="AQ495" i="566" s="1"/>
  <c r="AQ512" i="566" s="1"/>
  <c r="D36" i="566"/>
  <c r="AF444" i="566"/>
  <c r="AF461" i="566" s="1"/>
  <c r="AF478" i="566" s="1"/>
  <c r="AF495" i="566" s="1"/>
  <c r="AF512" i="566" s="1"/>
  <c r="AR18" i="566"/>
  <c r="AA444" i="566"/>
  <c r="AA461" i="566" s="1"/>
  <c r="AA478" i="566" s="1"/>
  <c r="AA495" i="566" s="1"/>
  <c r="AA512" i="566" s="1"/>
  <c r="AI444" i="566"/>
  <c r="AI461" i="566" s="1"/>
  <c r="AI478" i="566" s="1"/>
  <c r="AI495" i="566" s="1"/>
  <c r="AI512" i="566" s="1"/>
  <c r="AC444" i="566"/>
  <c r="AC461" i="566" s="1"/>
  <c r="AC478" i="566" s="1"/>
  <c r="AC495" i="566" s="1"/>
  <c r="AC512" i="566" s="1"/>
  <c r="AG444" i="566"/>
  <c r="AG461" i="566" s="1"/>
  <c r="AG478" i="566" s="1"/>
  <c r="AG495" i="566" s="1"/>
  <c r="AG512" i="566" s="1"/>
  <c r="AK444" i="566"/>
  <c r="AK461" i="566" s="1"/>
  <c r="AK478" i="566" s="1"/>
  <c r="AK495" i="566" s="1"/>
  <c r="AK512" i="566" s="1"/>
  <c r="AO444" i="566"/>
  <c r="AO461" i="566" s="1"/>
  <c r="AO478" i="566" s="1"/>
  <c r="AO495" i="566" s="1"/>
  <c r="AO512" i="566" s="1"/>
  <c r="AR52" i="566"/>
  <c r="T53" i="566"/>
  <c r="AB444" i="566"/>
  <c r="AB461" i="566" s="1"/>
  <c r="AB478" i="566" s="1"/>
  <c r="AB495" i="566" s="1"/>
  <c r="AB512" i="566" s="1"/>
  <c r="AJ444" i="566"/>
  <c r="AJ461" i="566" s="1"/>
  <c r="AJ478" i="566" s="1"/>
  <c r="AJ495" i="566" s="1"/>
  <c r="AJ512" i="566" s="1"/>
  <c r="AL444" i="566"/>
  <c r="AL461" i="566" s="1"/>
  <c r="AL478" i="566" s="1"/>
  <c r="AL495" i="566" s="1"/>
  <c r="AL512" i="566" s="1"/>
  <c r="AR35" i="566"/>
  <c r="C538" i="566"/>
  <c r="AR35" i="565"/>
  <c r="AI444" i="565"/>
  <c r="AI461" i="565" s="1"/>
  <c r="AI478" i="565" s="1"/>
  <c r="AI495" i="565" s="1"/>
  <c r="AI512" i="565" s="1"/>
  <c r="AA444" i="565"/>
  <c r="AA461" i="565" s="1"/>
  <c r="AA478" i="565" s="1"/>
  <c r="AA495" i="565" s="1"/>
  <c r="AA512" i="565" s="1"/>
  <c r="AE444" i="565"/>
  <c r="AE461" i="565" s="1"/>
  <c r="AE478" i="565" s="1"/>
  <c r="AE495" i="565" s="1"/>
  <c r="AE512" i="565" s="1"/>
  <c r="AN444" i="565"/>
  <c r="AN461" i="565" s="1"/>
  <c r="AN478" i="565" s="1"/>
  <c r="AN495" i="565" s="1"/>
  <c r="AN512" i="565" s="1"/>
  <c r="AM444" i="565"/>
  <c r="AM461" i="565" s="1"/>
  <c r="AM478" i="565" s="1"/>
  <c r="AM495" i="565" s="1"/>
  <c r="AM512" i="565" s="1"/>
  <c r="AC444" i="565"/>
  <c r="AC461" i="565" s="1"/>
  <c r="AC478" i="565" s="1"/>
  <c r="AC495" i="565" s="1"/>
  <c r="AC512" i="565" s="1"/>
  <c r="AK444" i="565"/>
  <c r="AK461" i="565" s="1"/>
  <c r="AK478" i="565" s="1"/>
  <c r="AK495" i="565" s="1"/>
  <c r="AK512" i="565" s="1"/>
  <c r="AO444" i="565"/>
  <c r="AO461" i="565" s="1"/>
  <c r="AO478" i="565" s="1"/>
  <c r="AO495" i="565" s="1"/>
  <c r="AO512" i="565" s="1"/>
  <c r="AQ444" i="565"/>
  <c r="AQ461" i="565" s="1"/>
  <c r="AQ478" i="565" s="1"/>
  <c r="AQ495" i="565" s="1"/>
  <c r="AQ512" i="565" s="1"/>
  <c r="AF444" i="565"/>
  <c r="AF461" i="565" s="1"/>
  <c r="AF478" i="565" s="1"/>
  <c r="AF495" i="565" s="1"/>
  <c r="AF512" i="565" s="1"/>
  <c r="AJ444" i="565"/>
  <c r="AJ461" i="565" s="1"/>
  <c r="AJ478" i="565" s="1"/>
  <c r="AJ495" i="565" s="1"/>
  <c r="AJ512" i="565" s="1"/>
  <c r="AD444" i="565"/>
  <c r="AD461" i="565" s="1"/>
  <c r="AD478" i="565" s="1"/>
  <c r="AD495" i="565" s="1"/>
  <c r="AD512" i="565" s="1"/>
  <c r="AH444" i="565"/>
  <c r="AH461" i="565" s="1"/>
  <c r="AH478" i="565" s="1"/>
  <c r="AH495" i="565" s="1"/>
  <c r="AH512" i="565" s="1"/>
  <c r="AP444" i="565"/>
  <c r="AP461" i="565" s="1"/>
  <c r="AP478" i="565" s="1"/>
  <c r="AP495" i="565" s="1"/>
  <c r="AP512" i="565" s="1"/>
  <c r="AB444" i="565"/>
  <c r="AB461" i="565" s="1"/>
  <c r="AB478" i="565" s="1"/>
  <c r="AB495" i="565" s="1"/>
  <c r="AB512" i="565" s="1"/>
  <c r="Z444" i="565"/>
  <c r="Z461" i="565" s="1"/>
  <c r="Z478" i="565" s="1"/>
  <c r="Z495" i="565" s="1"/>
  <c r="Z512" i="565" s="1"/>
  <c r="AG444" i="565"/>
  <c r="AG461" i="565" s="1"/>
  <c r="AG478" i="565" s="1"/>
  <c r="AG495" i="565" s="1"/>
  <c r="AG512" i="565" s="1"/>
  <c r="AL444" i="565"/>
  <c r="AL461" i="565" s="1"/>
  <c r="AL478" i="565" s="1"/>
  <c r="AL495" i="565" s="1"/>
  <c r="AL512" i="565" s="1"/>
  <c r="D19" i="565"/>
  <c r="T36" i="565"/>
  <c r="C538" i="565"/>
  <c r="AS526" i="557"/>
  <c r="AS525" i="557"/>
  <c r="AS524" i="557"/>
  <c r="AS523" i="557"/>
  <c r="AS522" i="557"/>
  <c r="AS520" i="557"/>
  <c r="AS509" i="557"/>
  <c r="AS508" i="557"/>
  <c r="AS507" i="557"/>
  <c r="AS506" i="557"/>
  <c r="AS505" i="557"/>
  <c r="AS503" i="557"/>
  <c r="AS492" i="557"/>
  <c r="AS491" i="557"/>
  <c r="AS490" i="557"/>
  <c r="AS489" i="557"/>
  <c r="AS488" i="557"/>
  <c r="AS486" i="557"/>
  <c r="AS475" i="557"/>
  <c r="AS474" i="557"/>
  <c r="AS473" i="557"/>
  <c r="AS472" i="557"/>
  <c r="AS471" i="557"/>
  <c r="AS469" i="557"/>
  <c r="AS458" i="557"/>
  <c r="AS457" i="557"/>
  <c r="AS456" i="557"/>
  <c r="AS455" i="557"/>
  <c r="AS454" i="557"/>
  <c r="AS452" i="557"/>
  <c r="AS441" i="557"/>
  <c r="AS440" i="557"/>
  <c r="AS439" i="557"/>
  <c r="AS438" i="557"/>
  <c r="AS437" i="557"/>
  <c r="AS435" i="557"/>
  <c r="AS424" i="557"/>
  <c r="AS423" i="557"/>
  <c r="AS422" i="557"/>
  <c r="AS421" i="557"/>
  <c r="AS420" i="557"/>
  <c r="AS418" i="557"/>
  <c r="AS407" i="557"/>
  <c r="AS406" i="557"/>
  <c r="AS405" i="557"/>
  <c r="AS404" i="557"/>
  <c r="AS403" i="557"/>
  <c r="AS401" i="557"/>
  <c r="AS390" i="557"/>
  <c r="AS389" i="557"/>
  <c r="AS388" i="557"/>
  <c r="AS387" i="557"/>
  <c r="AS386" i="557"/>
  <c r="AS384" i="557"/>
  <c r="AS373" i="557"/>
  <c r="AS372" i="557"/>
  <c r="AS371" i="557"/>
  <c r="AS370" i="557"/>
  <c r="AS369" i="557"/>
  <c r="AS367" i="557"/>
  <c r="AS356" i="557"/>
  <c r="AS355" i="557"/>
  <c r="AS354" i="557"/>
  <c r="AS353" i="557"/>
  <c r="AS352" i="557"/>
  <c r="AS350" i="557"/>
  <c r="AS339" i="557"/>
  <c r="AS338" i="557"/>
  <c r="AS337" i="557"/>
  <c r="AS336" i="557"/>
  <c r="AS335" i="557"/>
  <c r="AS333" i="557"/>
  <c r="AS322" i="557"/>
  <c r="AS321" i="557"/>
  <c r="AS320" i="557"/>
  <c r="AS319" i="557"/>
  <c r="AS318" i="557"/>
  <c r="AS316" i="557"/>
  <c r="AS305" i="557"/>
  <c r="AS304" i="557"/>
  <c r="AS303" i="557"/>
  <c r="AS302" i="557"/>
  <c r="AS301" i="557"/>
  <c r="AS299" i="557"/>
  <c r="AS288" i="557"/>
  <c r="AS287" i="557"/>
  <c r="AS286" i="557"/>
  <c r="AS285" i="557"/>
  <c r="AS284" i="557"/>
  <c r="AS282" i="557"/>
  <c r="AS271" i="557"/>
  <c r="AS270" i="557"/>
  <c r="AS269" i="557"/>
  <c r="AS268" i="557"/>
  <c r="AS267" i="557"/>
  <c r="AS265" i="557"/>
  <c r="AS254" i="557"/>
  <c r="AS253" i="557"/>
  <c r="AS252" i="557"/>
  <c r="AS251" i="557"/>
  <c r="AS250" i="557"/>
  <c r="AS248" i="557"/>
  <c r="AS237" i="557"/>
  <c r="AS236" i="557"/>
  <c r="AR236" i="557"/>
  <c r="AS235" i="557"/>
  <c r="AS234" i="557"/>
  <c r="AS233" i="557"/>
  <c r="AS231" i="557"/>
  <c r="AS220" i="557"/>
  <c r="AS219" i="557"/>
  <c r="AS218" i="557"/>
  <c r="AS217" i="557"/>
  <c r="AS216" i="557"/>
  <c r="AS214" i="557"/>
  <c r="AS203" i="557"/>
  <c r="AS202" i="557"/>
  <c r="AS201" i="557"/>
  <c r="AS200" i="557"/>
  <c r="AS199" i="557"/>
  <c r="AS197" i="557"/>
  <c r="AS186" i="557"/>
  <c r="AS185" i="557"/>
  <c r="AS184" i="557"/>
  <c r="AS183" i="557"/>
  <c r="AS182" i="557"/>
  <c r="AS180" i="557"/>
  <c r="AS169" i="557"/>
  <c r="AS168" i="557"/>
  <c r="AS167" i="557"/>
  <c r="AS166" i="557"/>
  <c r="AS165" i="557"/>
  <c r="AS163" i="557"/>
  <c r="AS152" i="557"/>
  <c r="AS151" i="557"/>
  <c r="AS150" i="557"/>
  <c r="AS149" i="557"/>
  <c r="AS148" i="557"/>
  <c r="AS146" i="557"/>
  <c r="AS136" i="557"/>
  <c r="AS135" i="557"/>
  <c r="AS134" i="557"/>
  <c r="AS133" i="557"/>
  <c r="AS132" i="557"/>
  <c r="AS131" i="557"/>
  <c r="AS129" i="557"/>
  <c r="AS118" i="557"/>
  <c r="AS117" i="557"/>
  <c r="AS116" i="557"/>
  <c r="AS115" i="557"/>
  <c r="AS114" i="557"/>
  <c r="AS112" i="557"/>
  <c r="AS101" i="557"/>
  <c r="AS100" i="557"/>
  <c r="AS99" i="557"/>
  <c r="AS98" i="557"/>
  <c r="AS97" i="557"/>
  <c r="AS95" i="557"/>
  <c r="AS84" i="557"/>
  <c r="AS83" i="557"/>
  <c r="AS82" i="557"/>
  <c r="AS81" i="557"/>
  <c r="AS80" i="557"/>
  <c r="AS78" i="557"/>
  <c r="AS67" i="557"/>
  <c r="AS66" i="557"/>
  <c r="AS65" i="557"/>
  <c r="AS64" i="557"/>
  <c r="AS63" i="557"/>
  <c r="AS61" i="557"/>
  <c r="AS49" i="557"/>
  <c r="AS48" i="557"/>
  <c r="AS47" i="557"/>
  <c r="AS46" i="557"/>
  <c r="AS44" i="557"/>
  <c r="AS50" i="557"/>
  <c r="AS51" i="557"/>
  <c r="A20" i="557"/>
  <c r="A37" i="557" s="1"/>
  <c r="A54" i="557" s="1"/>
  <c r="A71" i="557" s="1"/>
  <c r="A88" i="557" s="1"/>
  <c r="A105" i="557" s="1"/>
  <c r="A122" i="557" s="1"/>
  <c r="A139" i="557" s="1"/>
  <c r="A156" i="557" s="1"/>
  <c r="A173" i="557" s="1"/>
  <c r="A190" i="557" s="1"/>
  <c r="A207" i="557" s="1"/>
  <c r="A224" i="557" s="1"/>
  <c r="A241" i="557" s="1"/>
  <c r="A258" i="557" s="1"/>
  <c r="A275" i="557" s="1"/>
  <c r="A292" i="557" s="1"/>
  <c r="A309" i="557" s="1"/>
  <c r="A326" i="557" s="1"/>
  <c r="A343" i="557" s="1"/>
  <c r="A360" i="557" s="1"/>
  <c r="A377" i="557" s="1"/>
  <c r="A394" i="557" s="1"/>
  <c r="A411" i="557" s="1"/>
  <c r="A428" i="557" s="1"/>
  <c r="A445" i="557" s="1"/>
  <c r="A462" i="557" s="1"/>
  <c r="A479" i="557" s="1"/>
  <c r="A496" i="557" s="1"/>
  <c r="A513" i="557" s="1"/>
  <c r="AS27" i="557"/>
  <c r="AS29" i="557"/>
  <c r="AS30" i="557"/>
  <c r="AS31" i="557"/>
  <c r="AS32" i="557"/>
  <c r="M87" i="574" l="1"/>
  <c r="L70" i="574"/>
  <c r="C52" i="574"/>
  <c r="D70" i="574"/>
  <c r="O53" i="574"/>
  <c r="P70" i="574"/>
  <c r="S70" i="574"/>
  <c r="R53" i="574"/>
  <c r="AR52" i="574"/>
  <c r="T53" i="574"/>
  <c r="AR53" i="574" s="1"/>
  <c r="C53" i="574" s="1"/>
  <c r="O53" i="573"/>
  <c r="P70" i="573"/>
  <c r="M87" i="573"/>
  <c r="L70" i="573"/>
  <c r="AR69" i="573"/>
  <c r="T70" i="573"/>
  <c r="D70" i="573"/>
  <c r="AR53" i="573"/>
  <c r="C53" i="573" s="1"/>
  <c r="C52" i="573"/>
  <c r="S70" i="573"/>
  <c r="R53" i="573"/>
  <c r="D87" i="572"/>
  <c r="T87" i="572"/>
  <c r="AR86" i="572"/>
  <c r="S87" i="572"/>
  <c r="R70" i="572"/>
  <c r="M70" i="572"/>
  <c r="C69" i="572" s="1"/>
  <c r="L53" i="572"/>
  <c r="AR53" i="572"/>
  <c r="C53" i="572" s="1"/>
  <c r="P87" i="572"/>
  <c r="O70" i="572"/>
  <c r="P70" i="571"/>
  <c r="O53" i="571"/>
  <c r="D70" i="571"/>
  <c r="C52" i="571"/>
  <c r="L53" i="571"/>
  <c r="M70" i="571"/>
  <c r="T53" i="571"/>
  <c r="AR53" i="571" s="1"/>
  <c r="C53" i="571" s="1"/>
  <c r="AR52" i="571"/>
  <c r="S70" i="571"/>
  <c r="R53" i="571"/>
  <c r="D87" i="570"/>
  <c r="M70" i="570"/>
  <c r="C69" i="570" s="1"/>
  <c r="L53" i="570"/>
  <c r="T87" i="570"/>
  <c r="AR86" i="570"/>
  <c r="C52" i="570"/>
  <c r="S87" i="570"/>
  <c r="R70" i="570"/>
  <c r="P87" i="570"/>
  <c r="O70" i="570"/>
  <c r="C52" i="569"/>
  <c r="D70" i="569"/>
  <c r="AR53" i="569"/>
  <c r="C53" i="569" s="1"/>
  <c r="T70" i="569"/>
  <c r="AR69" i="569"/>
  <c r="S70" i="569"/>
  <c r="R53" i="569"/>
  <c r="M70" i="569"/>
  <c r="L53" i="569"/>
  <c r="O53" i="569"/>
  <c r="P70" i="569"/>
  <c r="T53" i="568"/>
  <c r="AR53" i="568" s="1"/>
  <c r="C53" i="568" s="1"/>
  <c r="AR52" i="568"/>
  <c r="P70" i="568"/>
  <c r="O53" i="568"/>
  <c r="D70" i="568"/>
  <c r="C52" i="568"/>
  <c r="S70" i="568"/>
  <c r="R53" i="568"/>
  <c r="L53" i="568"/>
  <c r="M70" i="568"/>
  <c r="AJ529" i="566"/>
  <c r="AK529" i="566"/>
  <c r="AC529" i="566"/>
  <c r="AA529" i="566"/>
  <c r="AF529" i="566"/>
  <c r="D53" i="566"/>
  <c r="AM529" i="566"/>
  <c r="AL529" i="566"/>
  <c r="AB529" i="566"/>
  <c r="AO529" i="566"/>
  <c r="AG529" i="566"/>
  <c r="AI529" i="566"/>
  <c r="AQ529" i="566"/>
  <c r="AR69" i="566"/>
  <c r="T70" i="566"/>
  <c r="Z529" i="565"/>
  <c r="AG529" i="565"/>
  <c r="AB529" i="565"/>
  <c r="AL529" i="565"/>
  <c r="AP529" i="565"/>
  <c r="AD529" i="565"/>
  <c r="AJ529" i="565"/>
  <c r="AQ529" i="565"/>
  <c r="AO529" i="565"/>
  <c r="AC529" i="565"/>
  <c r="AN529" i="565"/>
  <c r="AA529" i="565"/>
  <c r="T53" i="565"/>
  <c r="AR52" i="565"/>
  <c r="D36" i="565"/>
  <c r="AH529" i="565"/>
  <c r="AF529" i="565"/>
  <c r="AK529" i="565"/>
  <c r="AM529" i="565"/>
  <c r="AE529" i="565"/>
  <c r="AI529" i="565"/>
  <c r="M417" i="554"/>
  <c r="M104" i="574" l="1"/>
  <c r="L87" i="574"/>
  <c r="S87" i="574"/>
  <c r="R70" i="574"/>
  <c r="C69" i="574"/>
  <c r="D87" i="574"/>
  <c r="AR69" i="574"/>
  <c r="T70" i="574"/>
  <c r="O70" i="574"/>
  <c r="P87" i="574"/>
  <c r="D87" i="573"/>
  <c r="AR70" i="573"/>
  <c r="C70" i="573" s="1"/>
  <c r="C69" i="573"/>
  <c r="M104" i="573"/>
  <c r="L87" i="573"/>
  <c r="S87" i="573"/>
  <c r="R70" i="573"/>
  <c r="T87" i="573"/>
  <c r="AR86" i="573"/>
  <c r="P87" i="573"/>
  <c r="O70" i="573"/>
  <c r="AR70" i="572"/>
  <c r="C70" i="572" s="1"/>
  <c r="M87" i="572"/>
  <c r="L70" i="572"/>
  <c r="T104" i="572"/>
  <c r="AR103" i="572"/>
  <c r="P104" i="572"/>
  <c r="O87" i="572"/>
  <c r="S104" i="572"/>
  <c r="R87" i="572"/>
  <c r="C86" i="572"/>
  <c r="D104" i="572"/>
  <c r="AR87" i="572"/>
  <c r="C87" i="572" s="1"/>
  <c r="L70" i="571"/>
  <c r="M87" i="571"/>
  <c r="D87" i="571"/>
  <c r="AR70" i="571"/>
  <c r="C70" i="571" s="1"/>
  <c r="C69" i="571"/>
  <c r="T70" i="571"/>
  <c r="AR69" i="571"/>
  <c r="S87" i="571"/>
  <c r="R70" i="571"/>
  <c r="P87" i="571"/>
  <c r="O70" i="571"/>
  <c r="AR70" i="570"/>
  <c r="C70" i="570" s="1"/>
  <c r="S104" i="570"/>
  <c r="R87" i="570"/>
  <c r="M87" i="570"/>
  <c r="C86" i="570" s="1"/>
  <c r="L70" i="570"/>
  <c r="P104" i="570"/>
  <c r="O87" i="570"/>
  <c r="T104" i="570"/>
  <c r="AR103" i="570"/>
  <c r="D104" i="570"/>
  <c r="M87" i="569"/>
  <c r="L70" i="569"/>
  <c r="T87" i="569"/>
  <c r="AR86" i="569"/>
  <c r="O70" i="569"/>
  <c r="P87" i="569"/>
  <c r="S87" i="569"/>
  <c r="R70" i="569"/>
  <c r="C69" i="569"/>
  <c r="D87" i="569"/>
  <c r="AR70" i="569"/>
  <c r="C70" i="569" s="1"/>
  <c r="S87" i="568"/>
  <c r="R70" i="568"/>
  <c r="P87" i="568"/>
  <c r="O70" i="568"/>
  <c r="L70" i="568"/>
  <c r="M87" i="568"/>
  <c r="D87" i="568"/>
  <c r="C69" i="568"/>
  <c r="T70" i="568"/>
  <c r="AR70" i="568" s="1"/>
  <c r="C70" i="568" s="1"/>
  <c r="AR69" i="568"/>
  <c r="D70" i="566"/>
  <c r="T87" i="566"/>
  <c r="AR86" i="566"/>
  <c r="T70" i="565"/>
  <c r="AR69" i="565"/>
  <c r="D53" i="565"/>
  <c r="S534" i="557"/>
  <c r="S532" i="557"/>
  <c r="Q536" i="557" s="1"/>
  <c r="Q19" i="557"/>
  <c r="Q36" i="557" s="1"/>
  <c r="S2" i="557"/>
  <c r="AR86" i="574" l="1"/>
  <c r="T87" i="574"/>
  <c r="O87" i="574"/>
  <c r="P104" i="574"/>
  <c r="S104" i="574"/>
  <c r="R87" i="574"/>
  <c r="AR70" i="574"/>
  <c r="C70" i="574" s="1"/>
  <c r="C86" i="574"/>
  <c r="D104" i="574"/>
  <c r="AR87" i="574"/>
  <c r="C87" i="574" s="1"/>
  <c r="M121" i="574"/>
  <c r="L104" i="574"/>
  <c r="D104" i="573"/>
  <c r="AR87" i="573"/>
  <c r="C87" i="573" s="1"/>
  <c r="C86" i="573"/>
  <c r="T104" i="573"/>
  <c r="AR103" i="573"/>
  <c r="M121" i="573"/>
  <c r="L104" i="573"/>
  <c r="P104" i="573"/>
  <c r="O87" i="573"/>
  <c r="S104" i="573"/>
  <c r="R87" i="573"/>
  <c r="P121" i="572"/>
  <c r="O104" i="572"/>
  <c r="M104" i="572"/>
  <c r="L87" i="572"/>
  <c r="S121" i="572"/>
  <c r="R104" i="572"/>
  <c r="T121" i="572"/>
  <c r="AR120" i="572"/>
  <c r="C103" i="572"/>
  <c r="D121" i="572"/>
  <c r="AR104" i="572"/>
  <c r="C104" i="572" s="1"/>
  <c r="R87" i="571"/>
  <c r="S104" i="571"/>
  <c r="D104" i="571"/>
  <c r="AR87" i="571"/>
  <c r="C87" i="571" s="1"/>
  <c r="C86" i="571"/>
  <c r="P104" i="571"/>
  <c r="O87" i="571"/>
  <c r="M104" i="571"/>
  <c r="L87" i="571"/>
  <c r="AR86" i="571"/>
  <c r="T87" i="571"/>
  <c r="AR87" i="570"/>
  <c r="C87" i="570" s="1"/>
  <c r="S121" i="570"/>
  <c r="R104" i="570"/>
  <c r="T121" i="570"/>
  <c r="AR120" i="570"/>
  <c r="M104" i="570"/>
  <c r="L87" i="570"/>
  <c r="C103" i="570"/>
  <c r="D121" i="570"/>
  <c r="AR104" i="570"/>
  <c r="C104" i="570" s="1"/>
  <c r="P121" i="570"/>
  <c r="O104" i="570"/>
  <c r="M104" i="569"/>
  <c r="L87" i="569"/>
  <c r="S104" i="569"/>
  <c r="R87" i="569"/>
  <c r="AR103" i="569"/>
  <c r="T104" i="569"/>
  <c r="C86" i="569"/>
  <c r="AR87" i="569"/>
  <c r="C87" i="569" s="1"/>
  <c r="D104" i="569"/>
  <c r="O87" i="569"/>
  <c r="P104" i="569"/>
  <c r="S104" i="568"/>
  <c r="R87" i="568"/>
  <c r="D104" i="568"/>
  <c r="C86" i="568"/>
  <c r="P104" i="568"/>
  <c r="O87" i="568"/>
  <c r="T87" i="568"/>
  <c r="AR86" i="568"/>
  <c r="L87" i="568"/>
  <c r="M104" i="568"/>
  <c r="D87" i="566"/>
  <c r="T104" i="566"/>
  <c r="AR103" i="566"/>
  <c r="D70" i="565"/>
  <c r="T87" i="565"/>
  <c r="AR86" i="565"/>
  <c r="Q53" i="557"/>
  <c r="Q70" i="557" s="1"/>
  <c r="Q87" i="557" s="1"/>
  <c r="Q104" i="557" s="1"/>
  <c r="Q121" i="557" s="1"/>
  <c r="Q138" i="557" s="1"/>
  <c r="Q155" i="557" s="1"/>
  <c r="Q172" i="557" s="1"/>
  <c r="Q189" i="557" s="1"/>
  <c r="Q206" i="557" s="1"/>
  <c r="Q223" i="557" s="1"/>
  <c r="Q240" i="557" s="1"/>
  <c r="Q257" i="557" s="1"/>
  <c r="Q274" i="557" s="1"/>
  <c r="Q291" i="557" s="1"/>
  <c r="Q308" i="557" s="1"/>
  <c r="Q325" i="557" s="1"/>
  <c r="Q342" i="557" s="1"/>
  <c r="Q359" i="557" s="1"/>
  <c r="Q376" i="557" s="1"/>
  <c r="Q393" i="557" s="1"/>
  <c r="Q410" i="557" s="1"/>
  <c r="Q427" i="557" s="1"/>
  <c r="Q444" i="557" s="1"/>
  <c r="Q461" i="557" s="1"/>
  <c r="Q478" i="557" s="1"/>
  <c r="Q495" i="557" s="1"/>
  <c r="Q512" i="557" s="1"/>
  <c r="Q529" i="557" s="1"/>
  <c r="Q2" i="565" s="1"/>
  <c r="Q19" i="565" s="1"/>
  <c r="Q36" i="565" s="1"/>
  <c r="Q53" i="565" s="1"/>
  <c r="Q70" i="565" s="1"/>
  <c r="Q87" i="565" s="1"/>
  <c r="Q104" i="565" s="1"/>
  <c r="Q121" i="565" s="1"/>
  <c r="Q138" i="565" s="1"/>
  <c r="Q155" i="565" s="1"/>
  <c r="Q172" i="565" s="1"/>
  <c r="Q189" i="565" s="1"/>
  <c r="Q206" i="565" s="1"/>
  <c r="Q223" i="565" s="1"/>
  <c r="Q240" i="565" s="1"/>
  <c r="Q257" i="565" s="1"/>
  <c r="Q274" i="565" s="1"/>
  <c r="Q291" i="565" s="1"/>
  <c r="Q308" i="565" s="1"/>
  <c r="Q325" i="565" s="1"/>
  <c r="Q342" i="565" s="1"/>
  <c r="Q359" i="565" s="1"/>
  <c r="Q376" i="565" s="1"/>
  <c r="Q393" i="565" s="1"/>
  <c r="Q410" i="565" s="1"/>
  <c r="Q427" i="565" s="1"/>
  <c r="Q444" i="565" s="1"/>
  <c r="Q461" i="565" s="1"/>
  <c r="Q478" i="565" s="1"/>
  <c r="Q495" i="565" s="1"/>
  <c r="Q512" i="565" s="1"/>
  <c r="Q529" i="565" s="1"/>
  <c r="Q2" i="566" s="1"/>
  <c r="Q19" i="566" s="1"/>
  <c r="Q36" i="566" s="1"/>
  <c r="Q53" i="566" s="1"/>
  <c r="Q70" i="566" s="1"/>
  <c r="Q87" i="566" s="1"/>
  <c r="Q104" i="566" s="1"/>
  <c r="Q121" i="566" s="1"/>
  <c r="Q138" i="566" s="1"/>
  <c r="Q155" i="566" s="1"/>
  <c r="Q172" i="566" s="1"/>
  <c r="Q189" i="566" s="1"/>
  <c r="Q206" i="566" s="1"/>
  <c r="Q223" i="566" s="1"/>
  <c r="Q240" i="566" s="1"/>
  <c r="Q257" i="566" s="1"/>
  <c r="Q274" i="566" s="1"/>
  <c r="Q291" i="566" s="1"/>
  <c r="Q308" i="566" s="1"/>
  <c r="Q325" i="566" s="1"/>
  <c r="Q342" i="566" s="1"/>
  <c r="Q359" i="566" s="1"/>
  <c r="Q376" i="566" s="1"/>
  <c r="Q393" i="566" s="1"/>
  <c r="Q410" i="566" s="1"/>
  <c r="Q427" i="566" s="1"/>
  <c r="Q444" i="566" s="1"/>
  <c r="Q461" i="566" s="1"/>
  <c r="Q478" i="566" s="1"/>
  <c r="Q495" i="566" s="1"/>
  <c r="Q512" i="566" s="1"/>
  <c r="Q529" i="566" s="1"/>
  <c r="S19" i="557"/>
  <c r="S36" i="557" s="1"/>
  <c r="S53" i="557" s="1"/>
  <c r="AS14" i="557"/>
  <c r="C483" i="560"/>
  <c r="C478" i="560"/>
  <c r="S477" i="560"/>
  <c r="P477" i="560"/>
  <c r="M477" i="560"/>
  <c r="N481" i="560" s="1"/>
  <c r="H477" i="560"/>
  <c r="C477" i="560"/>
  <c r="C476" i="560"/>
  <c r="U475" i="560"/>
  <c r="U477" i="560" s="1"/>
  <c r="S475" i="560"/>
  <c r="P475" i="560"/>
  <c r="Q479" i="560" s="1"/>
  <c r="M475" i="560"/>
  <c r="N479" i="560" s="1"/>
  <c r="H475" i="560"/>
  <c r="AS469" i="560"/>
  <c r="AR469" i="560"/>
  <c r="AS468" i="560"/>
  <c r="AR468" i="560"/>
  <c r="AS467" i="560"/>
  <c r="AS466" i="560"/>
  <c r="AS452" i="560"/>
  <c r="AR452" i="560"/>
  <c r="AS451" i="560"/>
  <c r="AR451" i="560"/>
  <c r="AS450" i="560"/>
  <c r="P450" i="560"/>
  <c r="J450" i="560"/>
  <c r="AS449" i="560"/>
  <c r="M449" i="560"/>
  <c r="J449" i="560" s="1"/>
  <c r="J451" i="560" s="1"/>
  <c r="H451" i="560" s="1"/>
  <c r="AS434" i="560"/>
  <c r="AR434" i="560"/>
  <c r="AS433" i="560"/>
  <c r="AS432" i="560"/>
  <c r="P432" i="560"/>
  <c r="J432" i="560" s="1"/>
  <c r="AS431" i="560"/>
  <c r="M431" i="560"/>
  <c r="J431" i="560"/>
  <c r="P429" i="560"/>
  <c r="T429" i="560" s="1"/>
  <c r="AS419" i="560"/>
  <c r="AR419" i="560"/>
  <c r="AS418" i="560"/>
  <c r="AR418" i="560"/>
  <c r="AS417" i="560"/>
  <c r="P417" i="560"/>
  <c r="J417" i="560" s="1"/>
  <c r="AS416" i="560"/>
  <c r="M416" i="560"/>
  <c r="J416" i="560"/>
  <c r="J418" i="560" s="1"/>
  <c r="H418" i="560" s="1"/>
  <c r="D414" i="560"/>
  <c r="I413" i="560"/>
  <c r="D413" i="560"/>
  <c r="I411" i="560"/>
  <c r="AS407" i="560"/>
  <c r="AR407" i="560"/>
  <c r="AS406" i="560"/>
  <c r="AS405" i="560"/>
  <c r="P405" i="560"/>
  <c r="J405" i="560"/>
  <c r="AS404" i="560"/>
  <c r="M404" i="560"/>
  <c r="J404" i="560" s="1"/>
  <c r="J406" i="560" s="1"/>
  <c r="H406" i="560" s="1"/>
  <c r="T402" i="560"/>
  <c r="S402" i="560"/>
  <c r="T401" i="560"/>
  <c r="M401" i="560"/>
  <c r="D399" i="560"/>
  <c r="U395" i="560"/>
  <c r="H395" i="560"/>
  <c r="E395" i="560"/>
  <c r="D394" i="560"/>
  <c r="H393" i="560"/>
  <c r="I392" i="560"/>
  <c r="D392" i="560"/>
  <c r="I390" i="560"/>
  <c r="AS386" i="560"/>
  <c r="AR386" i="560"/>
  <c r="AS385" i="560"/>
  <c r="AS384" i="560"/>
  <c r="P384" i="560"/>
  <c r="J384" i="560" s="1"/>
  <c r="AS383" i="560"/>
  <c r="M383" i="560"/>
  <c r="J383" i="560"/>
  <c r="U379" i="560"/>
  <c r="H379" i="560"/>
  <c r="E379" i="560"/>
  <c r="D378" i="560"/>
  <c r="D377" i="560"/>
  <c r="I377" i="560" s="1"/>
  <c r="I375" i="560"/>
  <c r="AS371" i="560"/>
  <c r="AR371" i="560"/>
  <c r="AS370" i="560"/>
  <c r="AR370" i="560"/>
  <c r="AS369" i="560"/>
  <c r="P369" i="560"/>
  <c r="J369" i="560" s="1"/>
  <c r="AS368" i="560"/>
  <c r="M368" i="560"/>
  <c r="J368" i="560"/>
  <c r="U366" i="560"/>
  <c r="E366" i="560"/>
  <c r="H366" i="560" s="1"/>
  <c r="D365" i="560"/>
  <c r="F364" i="560"/>
  <c r="D363" i="560"/>
  <c r="D362" i="560"/>
  <c r="I362" i="560" s="1"/>
  <c r="I360" i="560"/>
  <c r="AS356" i="560"/>
  <c r="AR356" i="560"/>
  <c r="AS355" i="560"/>
  <c r="AR355" i="560"/>
  <c r="AS354" i="560"/>
  <c r="P354" i="560"/>
  <c r="J354" i="560"/>
  <c r="AS353" i="560"/>
  <c r="P353" i="560"/>
  <c r="J353" i="560" s="1"/>
  <c r="AS352" i="560"/>
  <c r="M352" i="560"/>
  <c r="J352" i="560" s="1"/>
  <c r="J355" i="560" s="1"/>
  <c r="H355" i="560" s="1"/>
  <c r="P350" i="560"/>
  <c r="T350" i="560" s="1"/>
  <c r="F349" i="560"/>
  <c r="U348" i="560"/>
  <c r="E348" i="560"/>
  <c r="H348" i="560" s="1"/>
  <c r="D347" i="560"/>
  <c r="I346" i="560"/>
  <c r="D346" i="560"/>
  <c r="I344" i="560"/>
  <c r="AS340" i="560"/>
  <c r="AR340" i="560"/>
  <c r="AS339" i="560"/>
  <c r="AR339" i="560"/>
  <c r="AS338" i="560"/>
  <c r="P338" i="560"/>
  <c r="J338" i="560" s="1"/>
  <c r="AS337" i="560"/>
  <c r="M337" i="560"/>
  <c r="J337" i="560"/>
  <c r="J339" i="560" s="1"/>
  <c r="H339" i="560" s="1"/>
  <c r="T335" i="560"/>
  <c r="P335" i="560"/>
  <c r="U334" i="560"/>
  <c r="E334" i="560"/>
  <c r="H334" i="560" s="1"/>
  <c r="D333" i="560"/>
  <c r="D332" i="560"/>
  <c r="I332" i="560" s="1"/>
  <c r="I330" i="560"/>
  <c r="AS326" i="560"/>
  <c r="AR326" i="560"/>
  <c r="AS325" i="560"/>
  <c r="AR325" i="560"/>
  <c r="AS324" i="560"/>
  <c r="P324" i="560"/>
  <c r="J324" i="560" s="1"/>
  <c r="AS323" i="560"/>
  <c r="M323" i="560"/>
  <c r="J323" i="560" s="1"/>
  <c r="J325" i="560" s="1"/>
  <c r="H325" i="560" s="1"/>
  <c r="D321" i="560"/>
  <c r="D320" i="560"/>
  <c r="I320" i="560" s="1"/>
  <c r="I318" i="560"/>
  <c r="AR315" i="560"/>
  <c r="AS314" i="560"/>
  <c r="AR314" i="560"/>
  <c r="AS313" i="560"/>
  <c r="AR313" i="560"/>
  <c r="AS312" i="560"/>
  <c r="P312" i="560"/>
  <c r="J312" i="560"/>
  <c r="J313" i="560" s="1"/>
  <c r="H313" i="560" s="1"/>
  <c r="AS311" i="560"/>
  <c r="M311" i="560"/>
  <c r="J311" i="560"/>
  <c r="D309" i="560"/>
  <c r="I308" i="560"/>
  <c r="D308" i="560"/>
  <c r="I306" i="560"/>
  <c r="AS302" i="560"/>
  <c r="AR302" i="560"/>
  <c r="AS301" i="560"/>
  <c r="AR301" i="560"/>
  <c r="AS300" i="560"/>
  <c r="P300" i="560"/>
  <c r="J300" i="560" s="1"/>
  <c r="J301" i="560" s="1"/>
  <c r="H301" i="560" s="1"/>
  <c r="AS299" i="560"/>
  <c r="M299" i="560"/>
  <c r="J299" i="560"/>
  <c r="T294" i="560"/>
  <c r="U293" i="560"/>
  <c r="E293" i="560"/>
  <c r="H293" i="560" s="1"/>
  <c r="T291" i="560"/>
  <c r="D290" i="560"/>
  <c r="D289" i="560"/>
  <c r="I289" i="560" s="1"/>
  <c r="I287" i="560"/>
  <c r="AS283" i="560"/>
  <c r="AR283" i="560"/>
  <c r="AS282" i="560"/>
  <c r="AR282" i="560"/>
  <c r="AS281" i="560"/>
  <c r="P281" i="560"/>
  <c r="J281" i="560" s="1"/>
  <c r="AS280" i="560"/>
  <c r="M280" i="560"/>
  <c r="J280" i="560"/>
  <c r="J282" i="560" s="1"/>
  <c r="H282" i="560" s="1"/>
  <c r="U278" i="560"/>
  <c r="H278" i="560"/>
  <c r="E278" i="560"/>
  <c r="D276" i="560"/>
  <c r="D275" i="560"/>
  <c r="I275" i="560" s="1"/>
  <c r="I273" i="560"/>
  <c r="AS269" i="560"/>
  <c r="AR269" i="560"/>
  <c r="AS268" i="560"/>
  <c r="AR268" i="560"/>
  <c r="AS267" i="560"/>
  <c r="P267" i="560"/>
  <c r="J267" i="560" s="1"/>
  <c r="AS266" i="560"/>
  <c r="M266" i="560"/>
  <c r="J266" i="560"/>
  <c r="J268" i="560" s="1"/>
  <c r="H268" i="560" s="1"/>
  <c r="T264" i="560"/>
  <c r="U261" i="560"/>
  <c r="E261" i="560"/>
  <c r="H261" i="560" s="1"/>
  <c r="T257" i="560"/>
  <c r="D256" i="560"/>
  <c r="D255" i="560"/>
  <c r="I255" i="560" s="1"/>
  <c r="I253" i="560"/>
  <c r="AS249" i="560"/>
  <c r="AR249" i="560"/>
  <c r="AS248" i="560"/>
  <c r="AR248" i="560"/>
  <c r="AS247" i="560"/>
  <c r="P247" i="560"/>
  <c r="J247" i="560" s="1"/>
  <c r="AS246" i="560"/>
  <c r="M246" i="560"/>
  <c r="J246" i="560"/>
  <c r="P244" i="560"/>
  <c r="T244" i="560" s="1"/>
  <c r="T243" i="560"/>
  <c r="M243" i="560"/>
  <c r="D242" i="560"/>
  <c r="I241" i="560"/>
  <c r="D241" i="560"/>
  <c r="I239" i="560"/>
  <c r="AS235" i="560"/>
  <c r="AR235" i="560"/>
  <c r="AS234" i="560"/>
  <c r="AR234" i="560"/>
  <c r="J234" i="560"/>
  <c r="H234" i="560" s="1"/>
  <c r="AS233" i="560"/>
  <c r="P233" i="560"/>
  <c r="J233" i="560"/>
  <c r="AS232" i="560"/>
  <c r="M232" i="560"/>
  <c r="J232" i="560" s="1"/>
  <c r="D230" i="560"/>
  <c r="D229" i="560"/>
  <c r="I229" i="560" s="1"/>
  <c r="I227" i="560"/>
  <c r="AS223" i="560"/>
  <c r="AR223" i="560"/>
  <c r="AS222" i="560"/>
  <c r="AR222" i="560"/>
  <c r="AS221" i="560"/>
  <c r="P221" i="560"/>
  <c r="J221" i="560" s="1"/>
  <c r="AS220" i="560"/>
  <c r="M220" i="560"/>
  <c r="J220" i="560"/>
  <c r="J222" i="560" s="1"/>
  <c r="H222" i="560" s="1"/>
  <c r="D218" i="560"/>
  <c r="I217" i="560"/>
  <c r="D217" i="560"/>
  <c r="I215" i="560"/>
  <c r="AS211" i="560"/>
  <c r="AR211" i="560"/>
  <c r="AS210" i="560"/>
  <c r="AR210" i="560"/>
  <c r="AS209" i="560"/>
  <c r="P209" i="560"/>
  <c r="J209" i="560"/>
  <c r="AS208" i="560"/>
  <c r="M208" i="560"/>
  <c r="J208" i="560" s="1"/>
  <c r="J210" i="560" s="1"/>
  <c r="H210" i="560" s="1"/>
  <c r="T206" i="560"/>
  <c r="P206" i="560"/>
  <c r="D205" i="560"/>
  <c r="D204" i="560"/>
  <c r="I204" i="560" s="1"/>
  <c r="I202" i="560"/>
  <c r="AS198" i="560"/>
  <c r="AR198" i="560"/>
  <c r="AS197" i="560"/>
  <c r="AR197" i="560"/>
  <c r="AS196" i="560"/>
  <c r="P196" i="560"/>
  <c r="J196" i="560" s="1"/>
  <c r="AS195" i="560"/>
  <c r="M195" i="560"/>
  <c r="J195" i="560"/>
  <c r="U192" i="560"/>
  <c r="H192" i="560"/>
  <c r="E192" i="560"/>
  <c r="D191" i="560"/>
  <c r="D190" i="560"/>
  <c r="I190" i="560" s="1"/>
  <c r="I188" i="560"/>
  <c r="AS184" i="560"/>
  <c r="AR184" i="560"/>
  <c r="AS183" i="560"/>
  <c r="AR183" i="560"/>
  <c r="AS182" i="560"/>
  <c r="P182" i="560"/>
  <c r="J182" i="560" s="1"/>
  <c r="AS181" i="560"/>
  <c r="M181" i="560"/>
  <c r="J181" i="560"/>
  <c r="J183" i="560" s="1"/>
  <c r="H183" i="560" s="1"/>
  <c r="U179" i="560"/>
  <c r="H179" i="560"/>
  <c r="E179" i="560"/>
  <c r="D177" i="560"/>
  <c r="D176" i="560"/>
  <c r="I176" i="560" s="1"/>
  <c r="I174" i="560"/>
  <c r="U171" i="560"/>
  <c r="AS170" i="560"/>
  <c r="AR170" i="560"/>
  <c r="AS169" i="560"/>
  <c r="AR169" i="560"/>
  <c r="AS168" i="560"/>
  <c r="P168" i="560"/>
  <c r="J168" i="560"/>
  <c r="AS167" i="560"/>
  <c r="M167" i="560"/>
  <c r="J167" i="560" s="1"/>
  <c r="J169" i="560" s="1"/>
  <c r="H169" i="560" s="1"/>
  <c r="D164" i="560"/>
  <c r="T163" i="560"/>
  <c r="U162" i="560"/>
  <c r="E162" i="560"/>
  <c r="H162" i="560" s="1"/>
  <c r="D161" i="560"/>
  <c r="I160" i="560"/>
  <c r="D160" i="560"/>
  <c r="I158" i="560"/>
  <c r="AS154" i="560"/>
  <c r="AR154" i="560"/>
  <c r="AS153" i="560"/>
  <c r="AR153" i="560"/>
  <c r="AS152" i="560"/>
  <c r="P152" i="560"/>
  <c r="J152" i="560"/>
  <c r="AS151" i="560"/>
  <c r="M151" i="560"/>
  <c r="J151" i="560" s="1"/>
  <c r="J153" i="560" s="1"/>
  <c r="H153" i="560" s="1"/>
  <c r="T149" i="560"/>
  <c r="P149" i="560"/>
  <c r="D141" i="560"/>
  <c r="U140" i="560"/>
  <c r="H140" i="560"/>
  <c r="E140" i="560"/>
  <c r="D139" i="560"/>
  <c r="D138" i="560"/>
  <c r="I138" i="560" s="1"/>
  <c r="I136" i="560"/>
  <c r="AS132" i="560"/>
  <c r="AR132" i="560"/>
  <c r="AS131" i="560"/>
  <c r="J131" i="560"/>
  <c r="H131" i="560" s="1"/>
  <c r="AS130" i="560"/>
  <c r="P130" i="560"/>
  <c r="J130" i="560"/>
  <c r="AS129" i="560"/>
  <c r="M129" i="560"/>
  <c r="J129" i="560" s="1"/>
  <c r="T127" i="560"/>
  <c r="P127" i="560"/>
  <c r="U126" i="560"/>
  <c r="E126" i="560"/>
  <c r="H126" i="560" s="1"/>
  <c r="D125" i="560"/>
  <c r="I124" i="560"/>
  <c r="D124" i="560"/>
  <c r="I122" i="560"/>
  <c r="AS118" i="560"/>
  <c r="AR118" i="560"/>
  <c r="AS117" i="560"/>
  <c r="AS116" i="560"/>
  <c r="P116" i="560"/>
  <c r="J116" i="560" s="1"/>
  <c r="AS115" i="560"/>
  <c r="M115" i="560"/>
  <c r="J115" i="560"/>
  <c r="D113" i="560"/>
  <c r="I112" i="560"/>
  <c r="D112" i="560"/>
  <c r="I110" i="560"/>
  <c r="AS106" i="560"/>
  <c r="AR106" i="560"/>
  <c r="AS105" i="560"/>
  <c r="AS104" i="560"/>
  <c r="P104" i="560"/>
  <c r="J104" i="560" s="1"/>
  <c r="AS103" i="560"/>
  <c r="M103" i="560"/>
  <c r="J103" i="560"/>
  <c r="D101" i="560"/>
  <c r="I100" i="560"/>
  <c r="D100" i="560"/>
  <c r="I98" i="560"/>
  <c r="AS94" i="560"/>
  <c r="AR94" i="560"/>
  <c r="AS93" i="560"/>
  <c r="AS92" i="560"/>
  <c r="P92" i="560"/>
  <c r="J92" i="560" s="1"/>
  <c r="AS91" i="560"/>
  <c r="M91" i="560"/>
  <c r="J91" i="560"/>
  <c r="P89" i="560"/>
  <c r="T89" i="560" s="1"/>
  <c r="T88" i="560"/>
  <c r="M88" i="560"/>
  <c r="T86" i="560"/>
  <c r="U85" i="560"/>
  <c r="E85" i="560"/>
  <c r="H85" i="560" s="1"/>
  <c r="T83" i="560"/>
  <c r="D82" i="560"/>
  <c r="D81" i="560"/>
  <c r="I81" i="560" s="1"/>
  <c r="I79" i="560"/>
  <c r="AS75" i="560"/>
  <c r="AR75" i="560"/>
  <c r="AS74" i="560"/>
  <c r="AS73" i="560"/>
  <c r="P73" i="560"/>
  <c r="J73" i="560"/>
  <c r="AS72" i="560"/>
  <c r="M72" i="560"/>
  <c r="J72" i="560" s="1"/>
  <c r="J74" i="560" s="1"/>
  <c r="H74" i="560" s="1"/>
  <c r="S68" i="560"/>
  <c r="P68" i="560"/>
  <c r="M68" i="560"/>
  <c r="E68" i="560"/>
  <c r="H474" i="560" s="1"/>
  <c r="H479" i="560" s="1"/>
  <c r="U67" i="560"/>
  <c r="H67" i="560"/>
  <c r="E67" i="560"/>
  <c r="D66" i="560"/>
  <c r="D65" i="560"/>
  <c r="I65" i="560" s="1"/>
  <c r="I63" i="560"/>
  <c r="AS59" i="560"/>
  <c r="AR59" i="560"/>
  <c r="AS58" i="560"/>
  <c r="AS57" i="560"/>
  <c r="P57" i="560"/>
  <c r="J57" i="560"/>
  <c r="AS56" i="560"/>
  <c r="M56" i="560"/>
  <c r="J56" i="560" s="1"/>
  <c r="J58" i="560" s="1"/>
  <c r="H58" i="560" s="1"/>
  <c r="U54" i="560"/>
  <c r="E54" i="560"/>
  <c r="H54" i="560" s="1"/>
  <c r="D52" i="560"/>
  <c r="I51" i="560"/>
  <c r="D51" i="560"/>
  <c r="I49" i="560"/>
  <c r="AS45" i="560"/>
  <c r="AR45" i="560"/>
  <c r="AS44" i="560"/>
  <c r="AR44" i="560"/>
  <c r="AS43" i="560"/>
  <c r="P43" i="560"/>
  <c r="J43" i="560" s="1"/>
  <c r="AS42" i="560"/>
  <c r="M42" i="560"/>
  <c r="J42" i="560"/>
  <c r="J44" i="560" s="1"/>
  <c r="H44" i="560" s="1"/>
  <c r="T40" i="560"/>
  <c r="U37" i="560"/>
  <c r="E37" i="560"/>
  <c r="H37" i="560" s="1"/>
  <c r="T35" i="560"/>
  <c r="D34" i="560"/>
  <c r="D33" i="560"/>
  <c r="I33" i="560" s="1"/>
  <c r="I31" i="560"/>
  <c r="AL30" i="560"/>
  <c r="AL48" i="560" s="1"/>
  <c r="AL62" i="560" s="1"/>
  <c r="AL78" i="560" s="1"/>
  <c r="AL97" i="560" s="1"/>
  <c r="AL109" i="560" s="1"/>
  <c r="AL121" i="560" s="1"/>
  <c r="AL135" i="560" s="1"/>
  <c r="AL157" i="560" s="1"/>
  <c r="AL173" i="560" s="1"/>
  <c r="AL187" i="560" s="1"/>
  <c r="AL201" i="560" s="1"/>
  <c r="AL214" i="560" s="1"/>
  <c r="AL226" i="560" s="1"/>
  <c r="AL238" i="560" s="1"/>
  <c r="AL252" i="560" s="1"/>
  <c r="AL272" i="560" s="1"/>
  <c r="AL286" i="560" s="1"/>
  <c r="AL305" i="560" s="1"/>
  <c r="AL317" i="560" s="1"/>
  <c r="AL329" i="560" s="1"/>
  <c r="AL343" i="560" s="1"/>
  <c r="AL359" i="560" s="1"/>
  <c r="AL374" i="560" s="1"/>
  <c r="AS28" i="560"/>
  <c r="AS27" i="560"/>
  <c r="AS26" i="560"/>
  <c r="AS25" i="560"/>
  <c r="P25" i="560"/>
  <c r="J25" i="560"/>
  <c r="AS24" i="560"/>
  <c r="M24" i="560"/>
  <c r="J24" i="560" s="1"/>
  <c r="J26" i="560" s="1"/>
  <c r="H26" i="560" s="1"/>
  <c r="AS23" i="560"/>
  <c r="D22" i="560"/>
  <c r="H476" i="560" s="1"/>
  <c r="U20" i="560"/>
  <c r="E20" i="560"/>
  <c r="H20" i="560" s="1"/>
  <c r="F19" i="560"/>
  <c r="AS18" i="560"/>
  <c r="D18" i="560"/>
  <c r="AS17" i="560"/>
  <c r="D17" i="560"/>
  <c r="I17" i="560" s="1"/>
  <c r="AS16" i="560"/>
  <c r="AS15" i="560"/>
  <c r="I15" i="560"/>
  <c r="A15" i="560"/>
  <c r="A31" i="560" s="1"/>
  <c r="A49" i="560" s="1"/>
  <c r="Q14" i="560"/>
  <c r="Q30" i="560" s="1"/>
  <c r="Q48" i="560" s="1"/>
  <c r="Q62" i="560" s="1"/>
  <c r="Q78" i="560" s="1"/>
  <c r="Q97" i="560" s="1"/>
  <c r="Q109" i="560" s="1"/>
  <c r="Q121" i="560" s="1"/>
  <c r="Q135" i="560" s="1"/>
  <c r="Q157" i="560" s="1"/>
  <c r="Q173" i="560" s="1"/>
  <c r="Q187" i="560" s="1"/>
  <c r="Q201" i="560" s="1"/>
  <c r="Q214" i="560" s="1"/>
  <c r="Q226" i="560" s="1"/>
  <c r="Q238" i="560" s="1"/>
  <c r="Q252" i="560" s="1"/>
  <c r="Q272" i="560" s="1"/>
  <c r="Q286" i="560" s="1"/>
  <c r="Q305" i="560" s="1"/>
  <c r="Q317" i="560" s="1"/>
  <c r="Q329" i="560" s="1"/>
  <c r="Q343" i="560" s="1"/>
  <c r="Q359" i="560" s="1"/>
  <c r="Q374" i="560" s="1"/>
  <c r="Q389" i="560" s="1"/>
  <c r="Q410" i="560" s="1"/>
  <c r="S13" i="560"/>
  <c r="S14" i="560" s="1"/>
  <c r="P13" i="560"/>
  <c r="M13" i="560"/>
  <c r="AS12" i="560"/>
  <c r="AR12" i="560"/>
  <c r="AS11" i="560"/>
  <c r="AS10" i="560"/>
  <c r="AR10" i="560"/>
  <c r="AS9" i="560"/>
  <c r="P9" i="560"/>
  <c r="J9" i="560" s="1"/>
  <c r="AS8" i="560"/>
  <c r="M8" i="560"/>
  <c r="J8" i="560"/>
  <c r="J10" i="560" s="1"/>
  <c r="H10" i="560" s="1"/>
  <c r="AS7" i="560"/>
  <c r="D6" i="560"/>
  <c r="D5" i="560"/>
  <c r="I5" i="560" s="1"/>
  <c r="I3" i="560"/>
  <c r="AT2" i="560"/>
  <c r="AS2" i="560"/>
  <c r="AU2" i="560" s="1"/>
  <c r="S2" i="560"/>
  <c r="AS119" i="557"/>
  <c r="AS102" i="557"/>
  <c r="AS85" i="557"/>
  <c r="AS68" i="557"/>
  <c r="AS34" i="557"/>
  <c r="AS33" i="557"/>
  <c r="O104" i="574" l="1"/>
  <c r="P121" i="574"/>
  <c r="M138" i="574"/>
  <c r="L121" i="574"/>
  <c r="AR103" i="574"/>
  <c r="T104" i="574"/>
  <c r="C103" i="574"/>
  <c r="D121" i="574"/>
  <c r="AR104" i="574"/>
  <c r="C104" i="574" s="1"/>
  <c r="S121" i="574"/>
  <c r="R104" i="574"/>
  <c r="P121" i="573"/>
  <c r="O104" i="573"/>
  <c r="T121" i="573"/>
  <c r="AR120" i="573"/>
  <c r="S121" i="573"/>
  <c r="R104" i="573"/>
  <c r="M138" i="573"/>
  <c r="L121" i="573"/>
  <c r="C103" i="573"/>
  <c r="D121" i="573"/>
  <c r="AR104" i="573"/>
  <c r="C104" i="573" s="1"/>
  <c r="T138" i="572"/>
  <c r="AR137" i="572"/>
  <c r="M121" i="572"/>
  <c r="L104" i="572"/>
  <c r="D138" i="572"/>
  <c r="AR121" i="572"/>
  <c r="C121" i="572" s="1"/>
  <c r="S138" i="572"/>
  <c r="R121" i="572"/>
  <c r="P138" i="572"/>
  <c r="O121" i="572"/>
  <c r="M121" i="571"/>
  <c r="L104" i="571"/>
  <c r="AR103" i="571"/>
  <c r="T104" i="571"/>
  <c r="AR104" i="571" s="1"/>
  <c r="C104" i="571" s="1"/>
  <c r="C103" i="571"/>
  <c r="D121" i="571"/>
  <c r="P121" i="571"/>
  <c r="O104" i="571"/>
  <c r="R104" i="571"/>
  <c r="S121" i="571"/>
  <c r="D138" i="570"/>
  <c r="T138" i="570"/>
  <c r="AR137" i="570"/>
  <c r="P138" i="570"/>
  <c r="O121" i="570"/>
  <c r="M121" i="570"/>
  <c r="C120" i="570" s="1"/>
  <c r="L104" i="570"/>
  <c r="S138" i="570"/>
  <c r="R121" i="570"/>
  <c r="O104" i="569"/>
  <c r="P121" i="569"/>
  <c r="S121" i="569"/>
  <c r="R104" i="569"/>
  <c r="T121" i="569"/>
  <c r="AR120" i="569"/>
  <c r="C103" i="569"/>
  <c r="D121" i="569"/>
  <c r="AR104" i="569"/>
  <c r="C104" i="569" s="1"/>
  <c r="M121" i="569"/>
  <c r="L104" i="569"/>
  <c r="T104" i="568"/>
  <c r="AR104" i="568" s="1"/>
  <c r="C104" i="568" s="1"/>
  <c r="AR103" i="568"/>
  <c r="AR87" i="568"/>
  <c r="C87" i="568" s="1"/>
  <c r="L104" i="568"/>
  <c r="M121" i="568"/>
  <c r="D121" i="568"/>
  <c r="C103" i="568"/>
  <c r="P121" i="568"/>
  <c r="O104" i="568"/>
  <c r="S121" i="568"/>
  <c r="R104" i="568"/>
  <c r="D104" i="566"/>
  <c r="T121" i="566"/>
  <c r="AR120" i="566"/>
  <c r="D87" i="565"/>
  <c r="AR103" i="565"/>
  <c r="T104" i="565"/>
  <c r="R53" i="557"/>
  <c r="R19" i="557"/>
  <c r="R36" i="557"/>
  <c r="A63" i="560"/>
  <c r="AR60" i="560"/>
  <c r="AL389" i="560"/>
  <c r="AL410" i="560" s="1"/>
  <c r="AL422" i="560" s="1"/>
  <c r="AL437" i="560" s="1"/>
  <c r="AL455" i="560" s="1"/>
  <c r="R14" i="560"/>
  <c r="S30" i="560"/>
  <c r="Q422" i="560"/>
  <c r="Q437" i="560" s="1"/>
  <c r="Q455" i="560" s="1"/>
  <c r="Q472" i="560" s="1"/>
  <c r="AR28" i="560"/>
  <c r="J93" i="560"/>
  <c r="H93" i="560" s="1"/>
  <c r="J117" i="560"/>
  <c r="H117" i="560" s="1"/>
  <c r="J105" i="560"/>
  <c r="H105" i="560" s="1"/>
  <c r="J197" i="560"/>
  <c r="H197" i="560" s="1"/>
  <c r="W68" i="560"/>
  <c r="J248" i="560"/>
  <c r="H248" i="560" s="1"/>
  <c r="J370" i="560"/>
  <c r="H370" i="560" s="1"/>
  <c r="J385" i="560"/>
  <c r="H385" i="560" s="1"/>
  <c r="J433" i="560"/>
  <c r="H433" i="560" s="1"/>
  <c r="M491" i="549"/>
  <c r="E218" i="549"/>
  <c r="E231" i="549"/>
  <c r="C540" i="557"/>
  <c r="C535" i="557"/>
  <c r="P534" i="557"/>
  <c r="M534" i="557"/>
  <c r="H534" i="557"/>
  <c r="C534" i="557"/>
  <c r="C533" i="557"/>
  <c r="U532" i="557"/>
  <c r="U534" i="557" s="1"/>
  <c r="M532" i="557"/>
  <c r="H532" i="557"/>
  <c r="AL36" i="557"/>
  <c r="H533" i="557"/>
  <c r="AS17" i="557"/>
  <c r="AS16" i="557"/>
  <c r="AS15" i="557"/>
  <c r="AS13" i="557"/>
  <c r="AS12" i="557"/>
  <c r="AS10" i="557"/>
  <c r="AT2" i="557"/>
  <c r="AS2" i="557"/>
  <c r="C473" i="554"/>
  <c r="C480" i="554"/>
  <c r="E366" i="551"/>
  <c r="E402" i="551"/>
  <c r="E4" i="556"/>
  <c r="E5" i="556" s="1"/>
  <c r="E6" i="556" s="1"/>
  <c r="E7" i="556" s="1"/>
  <c r="E8" i="556" s="1"/>
  <c r="E10" i="556" s="1"/>
  <c r="E11" i="556" s="1"/>
  <c r="E13" i="556" s="1"/>
  <c r="C582" i="552"/>
  <c r="C583" i="552"/>
  <c r="C589" i="552"/>
  <c r="C458" i="551"/>
  <c r="C459" i="551"/>
  <c r="C465" i="551"/>
  <c r="C82" i="555"/>
  <c r="Q194" i="554"/>
  <c r="Q163" i="554"/>
  <c r="C69" i="555"/>
  <c r="C51" i="555"/>
  <c r="P127" i="554"/>
  <c r="Q127" i="554" s="1"/>
  <c r="M194" i="554"/>
  <c r="E5" i="555"/>
  <c r="E6" i="555"/>
  <c r="E7" i="555" s="1"/>
  <c r="E8" i="555" s="1"/>
  <c r="E9" i="555" s="1"/>
  <c r="E10" i="555" s="1"/>
  <c r="C26" i="555"/>
  <c r="C36" i="555" s="1"/>
  <c r="C22" i="555"/>
  <c r="C11" i="555"/>
  <c r="H474" i="554"/>
  <c r="H472" i="554"/>
  <c r="C474" i="554"/>
  <c r="H390" i="554"/>
  <c r="C475" i="554"/>
  <c r="M398" i="554"/>
  <c r="P361" i="554"/>
  <c r="M360" i="554"/>
  <c r="V194" i="554"/>
  <c r="M162" i="554"/>
  <c r="M23" i="554"/>
  <c r="M22" i="554"/>
  <c r="H584" i="552"/>
  <c r="H583" i="552"/>
  <c r="H582" i="552"/>
  <c r="H581" i="552"/>
  <c r="C462" i="551"/>
  <c r="H459" i="551"/>
  <c r="H460" i="551"/>
  <c r="C447" i="550"/>
  <c r="H446" i="550"/>
  <c r="H449" i="550"/>
  <c r="C448" i="550"/>
  <c r="Q471" i="552"/>
  <c r="Q470" i="552"/>
  <c r="F31" i="552"/>
  <c r="D412" i="554"/>
  <c r="D411" i="554"/>
  <c r="I411" i="554" s="1"/>
  <c r="D391" i="554"/>
  <c r="D389" i="554"/>
  <c r="I389" i="554"/>
  <c r="U398" i="554"/>
  <c r="D396" i="554"/>
  <c r="D375" i="554"/>
  <c r="D374" i="554"/>
  <c r="I374" i="554" s="1"/>
  <c r="D362" i="554"/>
  <c r="U360" i="554"/>
  <c r="F359" i="554"/>
  <c r="D358" i="554"/>
  <c r="D357" i="554"/>
  <c r="I357" i="554" s="1"/>
  <c r="F346" i="554"/>
  <c r="D344" i="554"/>
  <c r="D343" i="554"/>
  <c r="I343" i="554" s="1"/>
  <c r="D331" i="554"/>
  <c r="D330" i="554"/>
  <c r="I330" i="554" s="1"/>
  <c r="D319" i="554"/>
  <c r="D318" i="554"/>
  <c r="I318" i="554" s="1"/>
  <c r="D307" i="554"/>
  <c r="D306" i="554"/>
  <c r="I306" i="554"/>
  <c r="D288" i="554"/>
  <c r="Q289" i="554"/>
  <c r="D287" i="554"/>
  <c r="I287" i="554"/>
  <c r="D274" i="554"/>
  <c r="D273" i="554"/>
  <c r="I273" i="554"/>
  <c r="Q255" i="554"/>
  <c r="D254" i="554"/>
  <c r="D253" i="554"/>
  <c r="I253" i="554" s="1"/>
  <c r="D241" i="554"/>
  <c r="I241" i="554" s="1"/>
  <c r="D242" i="554"/>
  <c r="D230" i="554"/>
  <c r="D229" i="554"/>
  <c r="I229" i="554" s="1"/>
  <c r="D218" i="554"/>
  <c r="D217" i="554"/>
  <c r="I217" i="554"/>
  <c r="D206" i="554"/>
  <c r="D205" i="554"/>
  <c r="I205" i="554" s="1"/>
  <c r="D191" i="554"/>
  <c r="D190" i="554"/>
  <c r="I190" i="554" s="1"/>
  <c r="D177" i="554"/>
  <c r="D176" i="554"/>
  <c r="I176" i="554" s="1"/>
  <c r="D160" i="554"/>
  <c r="D164" i="554"/>
  <c r="R161" i="554"/>
  <c r="E161" i="554"/>
  <c r="H161" i="554" s="1"/>
  <c r="D159" i="554"/>
  <c r="I159" i="554"/>
  <c r="D138" i="554"/>
  <c r="I138" i="554" s="1"/>
  <c r="D141" i="554"/>
  <c r="D139" i="554"/>
  <c r="D125" i="554"/>
  <c r="D124" i="554"/>
  <c r="I124" i="554" s="1"/>
  <c r="D113" i="554"/>
  <c r="D112" i="554"/>
  <c r="I112" i="554" s="1"/>
  <c r="D101" i="554"/>
  <c r="D100" i="554"/>
  <c r="I100" i="554"/>
  <c r="Q85" i="554"/>
  <c r="D84" i="554"/>
  <c r="D83" i="554"/>
  <c r="I83" i="554" s="1"/>
  <c r="D68" i="554"/>
  <c r="D67" i="554"/>
  <c r="I67" i="554"/>
  <c r="E69" i="554"/>
  <c r="H69" i="554" s="1"/>
  <c r="D54" i="554"/>
  <c r="D53" i="554"/>
  <c r="I53" i="554" s="1"/>
  <c r="D36" i="554"/>
  <c r="D35" i="554"/>
  <c r="I35" i="554"/>
  <c r="Q37" i="554"/>
  <c r="D24" i="554"/>
  <c r="F19" i="554"/>
  <c r="E392" i="554"/>
  <c r="H392" i="554" s="1"/>
  <c r="R392" i="554"/>
  <c r="E376" i="554"/>
  <c r="H376" i="554"/>
  <c r="R376" i="554"/>
  <c r="E363" i="554"/>
  <c r="H363" i="554"/>
  <c r="R363" i="554"/>
  <c r="E345" i="554"/>
  <c r="H345" i="554" s="1"/>
  <c r="R345" i="554"/>
  <c r="E332" i="554"/>
  <c r="H332" i="554" s="1"/>
  <c r="R332" i="554"/>
  <c r="Q292" i="554"/>
  <c r="E291" i="554"/>
  <c r="H291" i="554" s="1"/>
  <c r="R291" i="554"/>
  <c r="E276" i="554"/>
  <c r="H276" i="554"/>
  <c r="R276" i="554"/>
  <c r="Q262" i="554"/>
  <c r="E259" i="554"/>
  <c r="H259" i="554"/>
  <c r="R259" i="554"/>
  <c r="E192" i="554"/>
  <c r="H192" i="554"/>
  <c r="R192" i="554"/>
  <c r="E179" i="554"/>
  <c r="H179" i="554" s="1"/>
  <c r="R179" i="554"/>
  <c r="E140" i="554"/>
  <c r="H140" i="554" s="1"/>
  <c r="R140" i="554"/>
  <c r="E126" i="554"/>
  <c r="H126" i="554"/>
  <c r="R126" i="554"/>
  <c r="Q88" i="554"/>
  <c r="E87" i="554"/>
  <c r="H87" i="554"/>
  <c r="R87" i="554"/>
  <c r="P70" i="554"/>
  <c r="M70" i="554"/>
  <c r="E70" i="554"/>
  <c r="T70" i="554" s="1"/>
  <c r="R69" i="554"/>
  <c r="E56" i="554"/>
  <c r="H56" i="554"/>
  <c r="R56" i="554"/>
  <c r="Q42" i="554"/>
  <c r="E39" i="554"/>
  <c r="H39" i="554"/>
  <c r="R39" i="554"/>
  <c r="E20" i="554"/>
  <c r="H20" i="554"/>
  <c r="E544" i="552"/>
  <c r="H544" i="552" s="1"/>
  <c r="E529" i="552"/>
  <c r="H529" i="552" s="1"/>
  <c r="E509" i="552"/>
  <c r="H509" i="552" s="1"/>
  <c r="E488" i="552"/>
  <c r="H488" i="552" s="1"/>
  <c r="E474" i="552"/>
  <c r="H474" i="552" s="1"/>
  <c r="E418" i="552"/>
  <c r="H418" i="552" s="1"/>
  <c r="E400" i="552"/>
  <c r="H400" i="552" s="1"/>
  <c r="E378" i="552"/>
  <c r="H378" i="552" s="1"/>
  <c r="E355" i="552"/>
  <c r="H355" i="552" s="1"/>
  <c r="E341" i="552"/>
  <c r="H341" i="552" s="1"/>
  <c r="E297" i="552"/>
  <c r="H297" i="552" s="1"/>
  <c r="E275" i="552"/>
  <c r="H275" i="552" s="1"/>
  <c r="E254" i="552"/>
  <c r="H254" i="552" s="1"/>
  <c r="E237" i="552"/>
  <c r="H237" i="552" s="1"/>
  <c r="E216" i="552"/>
  <c r="H216" i="552" s="1"/>
  <c r="Q224" i="552"/>
  <c r="E153" i="552"/>
  <c r="H153" i="552"/>
  <c r="E136" i="552"/>
  <c r="H136" i="552" s="1"/>
  <c r="E123" i="552"/>
  <c r="H123" i="552"/>
  <c r="Q103" i="552"/>
  <c r="E102" i="552"/>
  <c r="H102" i="552" s="1"/>
  <c r="E77" i="552"/>
  <c r="H77" i="552" s="1"/>
  <c r="P79" i="552"/>
  <c r="M79" i="552"/>
  <c r="E79" i="552"/>
  <c r="T79" i="552" s="1"/>
  <c r="Q78" i="552"/>
  <c r="E26" i="552"/>
  <c r="H26" i="552"/>
  <c r="D18" i="554"/>
  <c r="D17" i="554"/>
  <c r="I17" i="554"/>
  <c r="U52" i="551"/>
  <c r="U53" i="551"/>
  <c r="V9" i="551"/>
  <c r="F95" i="551"/>
  <c r="R414" i="551"/>
  <c r="E378" i="551"/>
  <c r="R380" i="551"/>
  <c r="R354" i="551"/>
  <c r="E338" i="551"/>
  <c r="R335" i="551"/>
  <c r="R323" i="551"/>
  <c r="R279" i="551"/>
  <c r="R265" i="551"/>
  <c r="R250" i="551"/>
  <c r="R238" i="551"/>
  <c r="R237" i="551"/>
  <c r="R236" i="551"/>
  <c r="R235" i="551"/>
  <c r="R222" i="551"/>
  <c r="R221" i="551"/>
  <c r="R220" i="551"/>
  <c r="R186" i="551"/>
  <c r="R185" i="551"/>
  <c r="Q157" i="551"/>
  <c r="R170" i="551"/>
  <c r="Q123" i="551"/>
  <c r="P80" i="551"/>
  <c r="M80" i="551"/>
  <c r="E80" i="551"/>
  <c r="H456" i="551" s="1"/>
  <c r="R78" i="551"/>
  <c r="R79" i="551"/>
  <c r="E77" i="551"/>
  <c r="H77" i="551" s="1"/>
  <c r="R77" i="551"/>
  <c r="E63" i="551"/>
  <c r="H63" i="551"/>
  <c r="R63" i="551"/>
  <c r="I15" i="554"/>
  <c r="I3" i="554"/>
  <c r="D6" i="554"/>
  <c r="D5" i="554"/>
  <c r="I5" i="554" s="1"/>
  <c r="D563" i="552"/>
  <c r="D562" i="552"/>
  <c r="I562" i="552" s="1"/>
  <c r="D543" i="552"/>
  <c r="D542" i="552"/>
  <c r="I542" i="552"/>
  <c r="D526" i="552"/>
  <c r="I526" i="552" s="1"/>
  <c r="F528" i="552"/>
  <c r="D527" i="552"/>
  <c r="D507" i="552"/>
  <c r="D506" i="552"/>
  <c r="I506" i="552" s="1"/>
  <c r="F508" i="552"/>
  <c r="D485" i="552"/>
  <c r="I485" i="552" s="1"/>
  <c r="F487" i="552"/>
  <c r="D486" i="552"/>
  <c r="F468" i="552"/>
  <c r="F469" i="552"/>
  <c r="D467" i="552"/>
  <c r="D466" i="552"/>
  <c r="I466" i="552" s="1"/>
  <c r="D454" i="552"/>
  <c r="D453" i="552"/>
  <c r="I453" i="552"/>
  <c r="D434" i="552"/>
  <c r="I434" i="552" s="1"/>
  <c r="F436" i="552"/>
  <c r="D435" i="552"/>
  <c r="D413" i="552"/>
  <c r="F417" i="552"/>
  <c r="E415" i="552"/>
  <c r="D412" i="552"/>
  <c r="I412" i="552" s="1"/>
  <c r="F414" i="552"/>
  <c r="D397" i="552"/>
  <c r="I397" i="552"/>
  <c r="D398" i="552"/>
  <c r="F399" i="552"/>
  <c r="D375" i="552"/>
  <c r="I375" i="552"/>
  <c r="D376" i="552"/>
  <c r="F377" i="552"/>
  <c r="F354" i="552"/>
  <c r="D353" i="552"/>
  <c r="D352" i="552"/>
  <c r="I352" i="552" s="1"/>
  <c r="D337" i="552"/>
  <c r="D336" i="552"/>
  <c r="I336" i="552" s="1"/>
  <c r="D325" i="552"/>
  <c r="D324" i="552"/>
  <c r="I324" i="552"/>
  <c r="D312" i="552"/>
  <c r="D311" i="552"/>
  <c r="I311" i="552"/>
  <c r="Q295" i="552"/>
  <c r="D293" i="552"/>
  <c r="I293" i="552" s="1"/>
  <c r="D294" i="552"/>
  <c r="D268" i="552"/>
  <c r="Q272" i="552"/>
  <c r="E270" i="552"/>
  <c r="D269" i="552"/>
  <c r="I268" i="552"/>
  <c r="D235" i="552"/>
  <c r="I235" i="552" s="1"/>
  <c r="D253" i="552"/>
  <c r="D252" i="552"/>
  <c r="I252" i="552" s="1"/>
  <c r="D236" i="552"/>
  <c r="D210" i="552"/>
  <c r="D209" i="552"/>
  <c r="I209" i="552" s="1"/>
  <c r="Q212" i="552"/>
  <c r="Q214" i="552"/>
  <c r="D197" i="552"/>
  <c r="D196" i="552"/>
  <c r="I196" i="552" s="1"/>
  <c r="D173" i="552"/>
  <c r="D172" i="552"/>
  <c r="I172" i="552" s="1"/>
  <c r="Q151" i="552"/>
  <c r="D150" i="552"/>
  <c r="D149" i="552"/>
  <c r="I149" i="552" s="1"/>
  <c r="D135" i="552"/>
  <c r="D134" i="552"/>
  <c r="I134" i="552"/>
  <c r="D132" i="552"/>
  <c r="D120" i="552"/>
  <c r="D119" i="552"/>
  <c r="I119" i="552"/>
  <c r="D73" i="552"/>
  <c r="D72" i="552"/>
  <c r="D97" i="552"/>
  <c r="D96" i="552"/>
  <c r="I96" i="552" s="1"/>
  <c r="D94" i="552"/>
  <c r="Q99" i="552"/>
  <c r="F98" i="552"/>
  <c r="Q75" i="552"/>
  <c r="F74" i="552"/>
  <c r="F60" i="552"/>
  <c r="I21" i="552"/>
  <c r="I25" i="552"/>
  <c r="I24" i="552"/>
  <c r="I22" i="552"/>
  <c r="I20" i="552"/>
  <c r="I18" i="552"/>
  <c r="P474" i="554"/>
  <c r="M474" i="554"/>
  <c r="R472" i="554"/>
  <c r="R474" i="554" s="1"/>
  <c r="P472" i="554"/>
  <c r="M472" i="554"/>
  <c r="AP466" i="554"/>
  <c r="AO466" i="554"/>
  <c r="AP465" i="554"/>
  <c r="AO465" i="554"/>
  <c r="AP464" i="554"/>
  <c r="AP463" i="554"/>
  <c r="AP449" i="554"/>
  <c r="AO449" i="554"/>
  <c r="AP448" i="554"/>
  <c r="AP447" i="554"/>
  <c r="AP446" i="554"/>
  <c r="AP431" i="554"/>
  <c r="AO431" i="554"/>
  <c r="AP430" i="554"/>
  <c r="AP429" i="554"/>
  <c r="AP428" i="554"/>
  <c r="AP417" i="554"/>
  <c r="AO417" i="554"/>
  <c r="AP416" i="554"/>
  <c r="AO416" i="554"/>
  <c r="AP415" i="554"/>
  <c r="P415" i="554"/>
  <c r="J415" i="554" s="1"/>
  <c r="AP414" i="554"/>
  <c r="M414" i="554"/>
  <c r="J414" i="554" s="1"/>
  <c r="I409" i="554"/>
  <c r="AP405" i="554"/>
  <c r="AO405" i="554"/>
  <c r="AP404" i="554"/>
  <c r="AP403" i="554"/>
  <c r="P403" i="554"/>
  <c r="J403" i="554" s="1"/>
  <c r="AP402" i="554"/>
  <c r="M402" i="554"/>
  <c r="J402" i="554" s="1"/>
  <c r="V400" i="554"/>
  <c r="P400" i="554"/>
  <c r="Q400" i="554" s="1"/>
  <c r="I387" i="554"/>
  <c r="AP383" i="554"/>
  <c r="AO383" i="554"/>
  <c r="AP382" i="554"/>
  <c r="AP381" i="554"/>
  <c r="P381" i="554"/>
  <c r="J381" i="554" s="1"/>
  <c r="AP380" i="554"/>
  <c r="M380" i="554"/>
  <c r="J380" i="554" s="1"/>
  <c r="J382" i="554" s="1"/>
  <c r="H382" i="554" s="1"/>
  <c r="I372" i="554"/>
  <c r="AP368" i="554"/>
  <c r="AO368" i="554"/>
  <c r="AP367" i="554"/>
  <c r="AO367" i="554"/>
  <c r="AP366" i="554"/>
  <c r="P366" i="554"/>
  <c r="J366" i="554" s="1"/>
  <c r="AP365" i="554"/>
  <c r="M365" i="554"/>
  <c r="J365" i="554" s="1"/>
  <c r="I355" i="554"/>
  <c r="AP351" i="554"/>
  <c r="AO351" i="554"/>
  <c r="AP350" i="554"/>
  <c r="AO350" i="554"/>
  <c r="AP349" i="554"/>
  <c r="P349" i="554"/>
  <c r="J349" i="554" s="1"/>
  <c r="AP348" i="554"/>
  <c r="M348" i="554"/>
  <c r="J348" i="554"/>
  <c r="I341" i="554"/>
  <c r="AP337" i="554"/>
  <c r="AO337" i="554"/>
  <c r="AP336" i="554"/>
  <c r="AO336" i="554"/>
  <c r="AP335" i="554"/>
  <c r="P335" i="554"/>
  <c r="J335" i="554" s="1"/>
  <c r="AP334" i="554"/>
  <c r="M334" i="554"/>
  <c r="J334" i="554" s="1"/>
  <c r="I328" i="554"/>
  <c r="AP324" i="554"/>
  <c r="AO324" i="554"/>
  <c r="AP323" i="554"/>
  <c r="AO323" i="554"/>
  <c r="AP322" i="554"/>
  <c r="P322" i="554"/>
  <c r="J322" i="554" s="1"/>
  <c r="AP321" i="554"/>
  <c r="M321" i="554"/>
  <c r="J321" i="554" s="1"/>
  <c r="I316" i="554"/>
  <c r="AO313" i="554"/>
  <c r="AP312" i="554"/>
  <c r="AO312" i="554"/>
  <c r="AP311" i="554"/>
  <c r="AO311" i="554"/>
  <c r="AP310" i="554"/>
  <c r="P310" i="554"/>
  <c r="J310" i="554" s="1"/>
  <c r="AP309" i="554"/>
  <c r="M309" i="554"/>
  <c r="J309" i="554"/>
  <c r="J311" i="554" s="1"/>
  <c r="H311" i="554" s="1"/>
  <c r="I304" i="554"/>
  <c r="AP300" i="554"/>
  <c r="AO300" i="554"/>
  <c r="AP299" i="554"/>
  <c r="AO299" i="554"/>
  <c r="AP298" i="554"/>
  <c r="P298" i="554"/>
  <c r="J298" i="554"/>
  <c r="AP297" i="554"/>
  <c r="M297" i="554"/>
  <c r="J297" i="554" s="1"/>
  <c r="I285" i="554"/>
  <c r="AP281" i="554"/>
  <c r="AO281" i="554"/>
  <c r="AP280" i="554"/>
  <c r="AO280" i="554"/>
  <c r="AP279" i="554"/>
  <c r="P279" i="554"/>
  <c r="J279" i="554" s="1"/>
  <c r="AP278" i="554"/>
  <c r="M278" i="554"/>
  <c r="J278" i="554" s="1"/>
  <c r="J280" i="554" s="1"/>
  <c r="H280" i="554" s="1"/>
  <c r="I271" i="554"/>
  <c r="AP267" i="554"/>
  <c r="AO267" i="554"/>
  <c r="AP266" i="554"/>
  <c r="AO266" i="554"/>
  <c r="AP265" i="554"/>
  <c r="P265" i="554"/>
  <c r="J265" i="554"/>
  <c r="AP264" i="554"/>
  <c r="M264" i="554"/>
  <c r="J264" i="554" s="1"/>
  <c r="I251" i="554"/>
  <c r="AP247" i="554"/>
  <c r="AO247" i="554"/>
  <c r="AP246" i="554"/>
  <c r="AO246" i="554"/>
  <c r="AP245" i="554"/>
  <c r="P245" i="554"/>
  <c r="J245" i="554" s="1"/>
  <c r="AP244" i="554"/>
  <c r="M244" i="554"/>
  <c r="J244" i="554"/>
  <c r="I239" i="554"/>
  <c r="AP235" i="554"/>
  <c r="AO235" i="554"/>
  <c r="AP234" i="554"/>
  <c r="AO234" i="554"/>
  <c r="AP233" i="554"/>
  <c r="P233" i="554"/>
  <c r="J233" i="554"/>
  <c r="AP232" i="554"/>
  <c r="M232" i="554"/>
  <c r="J232" i="554" s="1"/>
  <c r="I227" i="554"/>
  <c r="AP223" i="554"/>
  <c r="AO223" i="554"/>
  <c r="AP222" i="554"/>
  <c r="AO222" i="554"/>
  <c r="AP221" i="554"/>
  <c r="P221" i="554"/>
  <c r="J221" i="554" s="1"/>
  <c r="AP220" i="554"/>
  <c r="M220" i="554"/>
  <c r="J220" i="554" s="1"/>
  <c r="I215" i="554"/>
  <c r="AP211" i="554"/>
  <c r="AO211" i="554"/>
  <c r="AP210" i="554"/>
  <c r="AO210" i="554"/>
  <c r="AP209" i="554"/>
  <c r="P209" i="554"/>
  <c r="J209" i="554"/>
  <c r="AP208" i="554"/>
  <c r="M208" i="554"/>
  <c r="J208" i="554" s="1"/>
  <c r="I203" i="554"/>
  <c r="AP199" i="554"/>
  <c r="AO199" i="554"/>
  <c r="AP198" i="554"/>
  <c r="AO198" i="554"/>
  <c r="AP197" i="554"/>
  <c r="P197" i="554"/>
  <c r="J197" i="554" s="1"/>
  <c r="AP196" i="554"/>
  <c r="M196" i="554"/>
  <c r="J196" i="554"/>
  <c r="I188" i="554"/>
  <c r="AP184" i="554"/>
  <c r="AO184" i="554"/>
  <c r="AP183" i="554"/>
  <c r="AO183" i="554"/>
  <c r="AP182" i="554"/>
  <c r="P182" i="554"/>
  <c r="J182" i="554"/>
  <c r="AP181" i="554"/>
  <c r="M181" i="554"/>
  <c r="J181" i="554" s="1"/>
  <c r="I174" i="554"/>
  <c r="R171" i="554"/>
  <c r="AP170" i="554"/>
  <c r="AO170" i="554"/>
  <c r="AP169" i="554"/>
  <c r="AO169" i="554"/>
  <c r="AP168" i="554"/>
  <c r="P168" i="554"/>
  <c r="J168" i="554"/>
  <c r="AP167" i="554"/>
  <c r="M167" i="554"/>
  <c r="J167" i="554" s="1"/>
  <c r="I157" i="554"/>
  <c r="AP153" i="554"/>
  <c r="AO153" i="554"/>
  <c r="AP152" i="554"/>
  <c r="AO152" i="554"/>
  <c r="AP151" i="554"/>
  <c r="P151" i="554"/>
  <c r="J151" i="554" s="1"/>
  <c r="AP150" i="554"/>
  <c r="M150" i="554"/>
  <c r="J150" i="554" s="1"/>
  <c r="I136" i="554"/>
  <c r="AP132" i="554"/>
  <c r="AO132" i="554"/>
  <c r="AP131" i="554"/>
  <c r="AP130" i="554"/>
  <c r="P130" i="554"/>
  <c r="J130" i="554" s="1"/>
  <c r="AP129" i="554"/>
  <c r="M129" i="554"/>
  <c r="J129" i="554" s="1"/>
  <c r="J131" i="554" s="1"/>
  <c r="H131" i="554" s="1"/>
  <c r="I122" i="554"/>
  <c r="AP118" i="554"/>
  <c r="AO118" i="554"/>
  <c r="AP117" i="554"/>
  <c r="AP116" i="554"/>
  <c r="P116" i="554"/>
  <c r="J116" i="554" s="1"/>
  <c r="AP115" i="554"/>
  <c r="M115" i="554"/>
  <c r="J115" i="554"/>
  <c r="I110" i="554"/>
  <c r="AP106" i="554"/>
  <c r="AO106" i="554"/>
  <c r="AP105" i="554"/>
  <c r="AP104" i="554"/>
  <c r="P104" i="554"/>
  <c r="J104" i="554"/>
  <c r="AP103" i="554"/>
  <c r="M103" i="554"/>
  <c r="J103" i="554"/>
  <c r="J105" i="554" s="1"/>
  <c r="H105" i="554" s="1"/>
  <c r="I98" i="554"/>
  <c r="AP94" i="554"/>
  <c r="AO94" i="554"/>
  <c r="AP93" i="554"/>
  <c r="AP92" i="554"/>
  <c r="P92" i="554"/>
  <c r="J92" i="554"/>
  <c r="AP91" i="554"/>
  <c r="M91" i="554"/>
  <c r="J91" i="554" s="1"/>
  <c r="J93" i="554" s="1"/>
  <c r="H93" i="554" s="1"/>
  <c r="I81" i="554"/>
  <c r="AP77" i="554"/>
  <c r="AO77" i="554"/>
  <c r="AP76" i="554"/>
  <c r="AP75" i="554"/>
  <c r="P75" i="554"/>
  <c r="J75" i="554"/>
  <c r="AP74" i="554"/>
  <c r="M74" i="554"/>
  <c r="J74" i="554"/>
  <c r="J76" i="554" s="1"/>
  <c r="H76" i="554" s="1"/>
  <c r="I65" i="554"/>
  <c r="AP61" i="554"/>
  <c r="AO61" i="554"/>
  <c r="AP60" i="554"/>
  <c r="AP59" i="554"/>
  <c r="P59" i="554"/>
  <c r="J59" i="554" s="1"/>
  <c r="AP58" i="554"/>
  <c r="M58" i="554"/>
  <c r="J58" i="554" s="1"/>
  <c r="I51" i="554"/>
  <c r="AP47" i="554"/>
  <c r="AO47" i="554"/>
  <c r="AP46" i="554"/>
  <c r="AO46" i="554"/>
  <c r="AP45" i="554"/>
  <c r="P45" i="554"/>
  <c r="J45" i="554"/>
  <c r="AP44" i="554"/>
  <c r="M44" i="554"/>
  <c r="J44" i="554"/>
  <c r="I33" i="554"/>
  <c r="AI32" i="554"/>
  <c r="AI50" i="554" s="1"/>
  <c r="AI64" i="554" s="1"/>
  <c r="AI80" i="554" s="1"/>
  <c r="AI97" i="554" s="1"/>
  <c r="AI109" i="554" s="1"/>
  <c r="AI121" i="554" s="1"/>
  <c r="AI135" i="554" s="1"/>
  <c r="AI156" i="554" s="1"/>
  <c r="AI173" i="554" s="1"/>
  <c r="AI187" i="554" s="1"/>
  <c r="AI202" i="554" s="1"/>
  <c r="AI214" i="554" s="1"/>
  <c r="AI226" i="554" s="1"/>
  <c r="AI238" i="554" s="1"/>
  <c r="AI250" i="554" s="1"/>
  <c r="AI270" i="554" s="1"/>
  <c r="AI284" i="554" s="1"/>
  <c r="AI303" i="554" s="1"/>
  <c r="AI315" i="554" s="1"/>
  <c r="AI327" i="554" s="1"/>
  <c r="AI340" i="554" s="1"/>
  <c r="AI354" i="554" s="1"/>
  <c r="AI371" i="554" s="1"/>
  <c r="AP30" i="554"/>
  <c r="AP29" i="554"/>
  <c r="AP28" i="554"/>
  <c r="AP27" i="554"/>
  <c r="P27" i="554"/>
  <c r="J27" i="554" s="1"/>
  <c r="AP26" i="554"/>
  <c r="M26" i="554"/>
  <c r="J26" i="554" s="1"/>
  <c r="AP25" i="554"/>
  <c r="R20" i="554"/>
  <c r="AP18" i="554"/>
  <c r="AP17" i="554"/>
  <c r="AP16" i="554"/>
  <c r="AP15" i="554"/>
  <c r="A15" i="554"/>
  <c r="A33" i="554" s="1"/>
  <c r="A51" i="554" s="1"/>
  <c r="P13" i="554"/>
  <c r="M13" i="554"/>
  <c r="AP12" i="554"/>
  <c r="AO12" i="554"/>
  <c r="AP11" i="554"/>
  <c r="AP10" i="554"/>
  <c r="AO10" i="554"/>
  <c r="AP9" i="554"/>
  <c r="P9" i="554"/>
  <c r="J9" i="554"/>
  <c r="AP8" i="554"/>
  <c r="M8" i="554"/>
  <c r="J8" i="554" s="1"/>
  <c r="AP7" i="554"/>
  <c r="AQ2" i="554"/>
  <c r="AP2" i="554"/>
  <c r="V564" i="552"/>
  <c r="P564" i="552"/>
  <c r="Q564" i="552" s="1"/>
  <c r="V495" i="552"/>
  <c r="P495" i="552"/>
  <c r="Q495" i="552"/>
  <c r="V423" i="552"/>
  <c r="P423" i="552"/>
  <c r="Q423" i="552" s="1"/>
  <c r="M421" i="552"/>
  <c r="D421" i="552" s="1"/>
  <c r="P339" i="552"/>
  <c r="D339" i="552" s="1"/>
  <c r="M282" i="552"/>
  <c r="D282" i="552" s="1"/>
  <c r="P241" i="552"/>
  <c r="Q241" i="552" s="1"/>
  <c r="P108" i="552"/>
  <c r="Q108" i="552" s="1"/>
  <c r="M107" i="552"/>
  <c r="D107" i="552" s="1"/>
  <c r="I19" i="552"/>
  <c r="AP20" i="552"/>
  <c r="I23" i="552"/>
  <c r="AP22" i="552"/>
  <c r="AP24" i="552"/>
  <c r="Q31" i="551"/>
  <c r="F233" i="551"/>
  <c r="F208" i="551"/>
  <c r="V124" i="551"/>
  <c r="D124" i="551"/>
  <c r="F337" i="551"/>
  <c r="D339" i="551"/>
  <c r="F336" i="551"/>
  <c r="D322" i="551"/>
  <c r="H458" i="551" s="1"/>
  <c r="Q320" i="551"/>
  <c r="F319" i="551"/>
  <c r="Q321" i="551"/>
  <c r="F317" i="551"/>
  <c r="F318" i="551"/>
  <c r="F306" i="551"/>
  <c r="D278" i="551"/>
  <c r="F261" i="551"/>
  <c r="F197" i="551"/>
  <c r="U345" i="550"/>
  <c r="D169" i="551"/>
  <c r="H457" i="551" s="1"/>
  <c r="Q168" i="551"/>
  <c r="Q150" i="551"/>
  <c r="Q120" i="551"/>
  <c r="F119" i="551"/>
  <c r="M457" i="551"/>
  <c r="P429" i="551"/>
  <c r="D429" i="551"/>
  <c r="U340" i="551"/>
  <c r="M340" i="551"/>
  <c r="D340" i="551"/>
  <c r="P343" i="551"/>
  <c r="Q343" i="551" s="1"/>
  <c r="D343" i="551"/>
  <c r="P342" i="551"/>
  <c r="Q342" i="551" s="1"/>
  <c r="D342" i="551"/>
  <c r="P324" i="551"/>
  <c r="Q324" i="551"/>
  <c r="D324" i="551"/>
  <c r="U263" i="551"/>
  <c r="M263" i="551"/>
  <c r="D263" i="551"/>
  <c r="U183" i="551"/>
  <c r="M183" i="551"/>
  <c r="D183" i="551"/>
  <c r="P171" i="551"/>
  <c r="Q171" i="551" s="1"/>
  <c r="D171" i="551"/>
  <c r="P83" i="551"/>
  <c r="Q83" i="551"/>
  <c r="D83" i="551"/>
  <c r="P84" i="551"/>
  <c r="Q84" i="551"/>
  <c r="D84" i="551"/>
  <c r="P51" i="551"/>
  <c r="D51" i="551"/>
  <c r="F8" i="551"/>
  <c r="E6" i="551"/>
  <c r="F5" i="551"/>
  <c r="E44" i="551"/>
  <c r="U459" i="551"/>
  <c r="R446" i="550"/>
  <c r="H59" i="550"/>
  <c r="H448" i="550"/>
  <c r="Q261" i="550"/>
  <c r="Q245" i="550"/>
  <c r="Q276" i="550"/>
  <c r="U343" i="550"/>
  <c r="Q340" i="550"/>
  <c r="Q264" i="550"/>
  <c r="R242" i="550"/>
  <c r="Q162" i="550"/>
  <c r="Q208" i="550"/>
  <c r="Q94" i="550"/>
  <c r="P446" i="550"/>
  <c r="M448" i="550"/>
  <c r="M446" i="550"/>
  <c r="P489" i="549"/>
  <c r="M489" i="549"/>
  <c r="V80" i="550"/>
  <c r="Q331" i="549"/>
  <c r="Q227" i="549"/>
  <c r="Q226" i="549"/>
  <c r="Q89" i="549"/>
  <c r="Q88" i="549"/>
  <c r="Q47" i="549"/>
  <c r="Q46" i="549"/>
  <c r="G222" i="549"/>
  <c r="F426" i="550"/>
  <c r="F415" i="550"/>
  <c r="D404" i="550"/>
  <c r="F401" i="550"/>
  <c r="F386" i="550"/>
  <c r="F374" i="550"/>
  <c r="D344" i="550"/>
  <c r="D342" i="550"/>
  <c r="U341" i="550"/>
  <c r="D306" i="550"/>
  <c r="F305" i="550"/>
  <c r="F304" i="550"/>
  <c r="F291" i="550"/>
  <c r="D279" i="550"/>
  <c r="U278" i="550"/>
  <c r="I424" i="550"/>
  <c r="I413" i="550"/>
  <c r="I396" i="550"/>
  <c r="I383" i="550"/>
  <c r="I354" i="550"/>
  <c r="I337" i="550"/>
  <c r="I327" i="550"/>
  <c r="I317" i="550"/>
  <c r="I300" i="550"/>
  <c r="I288" i="550"/>
  <c r="I273" i="550"/>
  <c r="D262" i="550"/>
  <c r="I259" i="550"/>
  <c r="D248" i="550"/>
  <c r="H447" i="550"/>
  <c r="D244" i="550"/>
  <c r="I239" i="550"/>
  <c r="I229" i="550"/>
  <c r="I218" i="550"/>
  <c r="E206" i="550"/>
  <c r="F205" i="550"/>
  <c r="I201" i="550"/>
  <c r="F189" i="550"/>
  <c r="F176" i="550"/>
  <c r="I186" i="550"/>
  <c r="I172" i="550"/>
  <c r="I159" i="550"/>
  <c r="Q140" i="550"/>
  <c r="F148" i="550"/>
  <c r="D145" i="550"/>
  <c r="F147" i="550"/>
  <c r="F125" i="550"/>
  <c r="I134" i="550"/>
  <c r="I122" i="550"/>
  <c r="U149" i="550"/>
  <c r="U33" i="550"/>
  <c r="I111" i="550"/>
  <c r="F92" i="550"/>
  <c r="F93" i="550"/>
  <c r="F91" i="550"/>
  <c r="I89" i="550"/>
  <c r="F77" i="550"/>
  <c r="F58" i="550"/>
  <c r="I75" i="550"/>
  <c r="I56" i="550"/>
  <c r="I42" i="550"/>
  <c r="F30" i="550"/>
  <c r="F44" i="550"/>
  <c r="F19" i="550"/>
  <c r="I28" i="550"/>
  <c r="I16" i="550"/>
  <c r="F7" i="550"/>
  <c r="I3" i="550"/>
  <c r="E373" i="550"/>
  <c r="Q373" i="550"/>
  <c r="E372" i="550"/>
  <c r="Q372" i="550" s="1"/>
  <c r="R302" i="550"/>
  <c r="R275" i="550"/>
  <c r="R263" i="550"/>
  <c r="R241" i="550"/>
  <c r="R203" i="550"/>
  <c r="E61" i="550"/>
  <c r="H61" i="550"/>
  <c r="P64" i="550"/>
  <c r="M64" i="550"/>
  <c r="E64" i="550"/>
  <c r="T64" i="550"/>
  <c r="E45" i="550"/>
  <c r="H45" i="550" s="1"/>
  <c r="U403" i="550"/>
  <c r="M403" i="550"/>
  <c r="D403" i="550" s="1"/>
  <c r="P387" i="550"/>
  <c r="V387" i="550"/>
  <c r="M359" i="550"/>
  <c r="U359" i="550" s="1"/>
  <c r="P360" i="550"/>
  <c r="U360" i="550" s="1"/>
  <c r="N255" i="550"/>
  <c r="P448" i="550" s="1"/>
  <c r="N452" i="550" s="1"/>
  <c r="P250" i="550"/>
  <c r="D250" i="550"/>
  <c r="U249" i="550"/>
  <c r="M249" i="550"/>
  <c r="D249" i="550" s="1"/>
  <c r="P175" i="550"/>
  <c r="Q175" i="550" s="1"/>
  <c r="P113" i="550"/>
  <c r="U113" i="550" s="1"/>
  <c r="U101" i="550"/>
  <c r="M101" i="550"/>
  <c r="D101" i="550" s="1"/>
  <c r="C584" i="552"/>
  <c r="P583" i="552"/>
  <c r="M583" i="552"/>
  <c r="R581" i="552"/>
  <c r="R583" i="552" s="1"/>
  <c r="P581" i="552"/>
  <c r="M581" i="552"/>
  <c r="AP575" i="552"/>
  <c r="AO575" i="552"/>
  <c r="AP574" i="552"/>
  <c r="AO574" i="552"/>
  <c r="AP573" i="552"/>
  <c r="P573" i="552"/>
  <c r="J573" i="552"/>
  <c r="AP572" i="552"/>
  <c r="M572" i="552"/>
  <c r="J572" i="552" s="1"/>
  <c r="J574" i="552" s="1"/>
  <c r="H574" i="552" s="1"/>
  <c r="I560" i="552"/>
  <c r="AP556" i="552"/>
  <c r="AO556" i="552"/>
  <c r="AP555" i="552"/>
  <c r="AO555" i="552"/>
  <c r="AP554" i="552"/>
  <c r="P554" i="552"/>
  <c r="J554" i="552" s="1"/>
  <c r="AP553" i="552"/>
  <c r="M553" i="552"/>
  <c r="J553" i="552"/>
  <c r="I540" i="552"/>
  <c r="AP536" i="552"/>
  <c r="AO536" i="552"/>
  <c r="AP535" i="552"/>
  <c r="AO535" i="552"/>
  <c r="AP534" i="552"/>
  <c r="P534" i="552"/>
  <c r="J534" i="552"/>
  <c r="AP533" i="552"/>
  <c r="M533" i="552"/>
  <c r="J533" i="552" s="1"/>
  <c r="J535" i="552" s="1"/>
  <c r="H535" i="552" s="1"/>
  <c r="I524" i="552"/>
  <c r="AP520" i="552"/>
  <c r="AO520" i="552"/>
  <c r="AP519" i="552"/>
  <c r="AO519" i="552"/>
  <c r="AP518" i="552"/>
  <c r="P518" i="552"/>
  <c r="J518" i="552" s="1"/>
  <c r="AP517" i="552"/>
  <c r="M517" i="552"/>
  <c r="J517" i="552"/>
  <c r="I504" i="552"/>
  <c r="AP500" i="552"/>
  <c r="AO500" i="552"/>
  <c r="AP499" i="552"/>
  <c r="AP498" i="552"/>
  <c r="P498" i="552"/>
  <c r="J498" i="552" s="1"/>
  <c r="AP497" i="552"/>
  <c r="M497" i="552"/>
  <c r="J497" i="552"/>
  <c r="J499" i="552" s="1"/>
  <c r="H499" i="552" s="1"/>
  <c r="R490" i="552"/>
  <c r="I483" i="552"/>
  <c r="AP479" i="552"/>
  <c r="AO479" i="552"/>
  <c r="AP478" i="552"/>
  <c r="AP477" i="552"/>
  <c r="P477" i="552"/>
  <c r="J477" i="552"/>
  <c r="J478" i="552"/>
  <c r="H478" i="552" s="1"/>
  <c r="AP476" i="552"/>
  <c r="M476" i="552"/>
  <c r="J476" i="552"/>
  <c r="I464" i="552"/>
  <c r="AP460" i="552"/>
  <c r="AO460" i="552"/>
  <c r="AP459" i="552"/>
  <c r="AO459" i="552"/>
  <c r="AP458" i="552"/>
  <c r="P458" i="552"/>
  <c r="J458" i="552"/>
  <c r="AP457" i="552"/>
  <c r="M457" i="552"/>
  <c r="J457" i="552"/>
  <c r="I451" i="552"/>
  <c r="AP447" i="552"/>
  <c r="AO447" i="552"/>
  <c r="AP446" i="552"/>
  <c r="AO446" i="552"/>
  <c r="AP445" i="552"/>
  <c r="P445" i="552"/>
  <c r="J445" i="552"/>
  <c r="AP444" i="552"/>
  <c r="M444" i="552"/>
  <c r="J444" i="552" s="1"/>
  <c r="J446" i="552" s="1"/>
  <c r="H446" i="552" s="1"/>
  <c r="U440" i="552"/>
  <c r="I432" i="552"/>
  <c r="AP428" i="552"/>
  <c r="AO428" i="552"/>
  <c r="AP427" i="552"/>
  <c r="AO427" i="552"/>
  <c r="AP426" i="552"/>
  <c r="P426" i="552"/>
  <c r="J426" i="552" s="1"/>
  <c r="AP425" i="552"/>
  <c r="M425" i="552"/>
  <c r="J425" i="552" s="1"/>
  <c r="J427" i="552" s="1"/>
  <c r="H427" i="552" s="1"/>
  <c r="I410" i="552"/>
  <c r="AP406" i="552"/>
  <c r="AO406" i="552"/>
  <c r="AP405" i="552"/>
  <c r="AO405" i="552"/>
  <c r="AP404" i="552"/>
  <c r="P404" i="552"/>
  <c r="J404" i="552" s="1"/>
  <c r="AP403" i="552"/>
  <c r="M403" i="552"/>
  <c r="J403" i="552" s="1"/>
  <c r="I395" i="552"/>
  <c r="AO392" i="552"/>
  <c r="AP391" i="552"/>
  <c r="AO391" i="552"/>
  <c r="AP390" i="552"/>
  <c r="AO390" i="552"/>
  <c r="AP389" i="552"/>
  <c r="P389" i="552"/>
  <c r="J389" i="552" s="1"/>
  <c r="AP388" i="552"/>
  <c r="M388" i="552"/>
  <c r="J388" i="552" s="1"/>
  <c r="J390" i="552" s="1"/>
  <c r="H390" i="552" s="1"/>
  <c r="U385" i="552"/>
  <c r="Q382" i="552"/>
  <c r="I373" i="552"/>
  <c r="AP369" i="552"/>
  <c r="AO369" i="552"/>
  <c r="AP368" i="552"/>
  <c r="AO368" i="552"/>
  <c r="AP367" i="552"/>
  <c r="P367" i="552"/>
  <c r="J367" i="552" s="1"/>
  <c r="AP366" i="552"/>
  <c r="M366" i="552"/>
  <c r="J366" i="552" s="1"/>
  <c r="I350" i="552"/>
  <c r="AP346" i="552"/>
  <c r="AO346" i="552"/>
  <c r="AP345" i="552"/>
  <c r="AO345" i="552"/>
  <c r="AP344" i="552"/>
  <c r="P344" i="552"/>
  <c r="J344" i="552" s="1"/>
  <c r="AP343" i="552"/>
  <c r="M343" i="552"/>
  <c r="J343" i="552"/>
  <c r="I334" i="552"/>
  <c r="AP330" i="552"/>
  <c r="AO330" i="552"/>
  <c r="AP329" i="552"/>
  <c r="AO329" i="552"/>
  <c r="AP328" i="552"/>
  <c r="P328" i="552"/>
  <c r="J328" i="552"/>
  <c r="AP327" i="552"/>
  <c r="M327" i="552"/>
  <c r="J327" i="552"/>
  <c r="J329" i="552"/>
  <c r="H329" i="552" s="1"/>
  <c r="I322" i="552"/>
  <c r="AP318" i="552"/>
  <c r="AO318" i="552"/>
  <c r="AP317" i="552"/>
  <c r="AO317" i="552"/>
  <c r="AP316" i="552"/>
  <c r="P316" i="552"/>
  <c r="J316" i="552" s="1"/>
  <c r="AP315" i="552"/>
  <c r="M315" i="552"/>
  <c r="J315" i="552"/>
  <c r="I309" i="552"/>
  <c r="AP305" i="552"/>
  <c r="AO305" i="552"/>
  <c r="AP304" i="552"/>
  <c r="AO304" i="552"/>
  <c r="AP303" i="552"/>
  <c r="P303" i="552"/>
  <c r="J303" i="552"/>
  <c r="AP302" i="552"/>
  <c r="M302" i="552"/>
  <c r="J302" i="552" s="1"/>
  <c r="J304" i="552" s="1"/>
  <c r="H304" i="552" s="1"/>
  <c r="I291" i="552"/>
  <c r="AP287" i="552"/>
  <c r="AO287" i="552"/>
  <c r="AP286" i="552"/>
  <c r="AO286" i="552"/>
  <c r="AP285" i="552"/>
  <c r="P285" i="552"/>
  <c r="J285" i="552" s="1"/>
  <c r="AP284" i="552"/>
  <c r="M284" i="552"/>
  <c r="J284" i="552"/>
  <c r="I266" i="552"/>
  <c r="AP262" i="552"/>
  <c r="AO262" i="552"/>
  <c r="AP261" i="552"/>
  <c r="AO261" i="552"/>
  <c r="AP260" i="552"/>
  <c r="P260" i="552"/>
  <c r="J260" i="552"/>
  <c r="AP259" i="552"/>
  <c r="M259" i="552"/>
  <c r="J259" i="552"/>
  <c r="J261" i="552"/>
  <c r="H261" i="552" s="1"/>
  <c r="I250" i="552"/>
  <c r="AP246" i="552"/>
  <c r="AO246" i="552"/>
  <c r="AP245" i="552"/>
  <c r="AO245" i="552"/>
  <c r="AP244" i="552"/>
  <c r="P244" i="552"/>
  <c r="J244" i="552" s="1"/>
  <c r="AP243" i="552"/>
  <c r="M243" i="552"/>
  <c r="J243" i="552"/>
  <c r="V241" i="552"/>
  <c r="I233" i="552"/>
  <c r="AP229" i="552"/>
  <c r="AO229" i="552"/>
  <c r="AP228" i="552"/>
  <c r="AO228" i="552"/>
  <c r="AP227" i="552"/>
  <c r="P227" i="552"/>
  <c r="J227" i="552" s="1"/>
  <c r="AP226" i="552"/>
  <c r="M226" i="552"/>
  <c r="J226" i="552"/>
  <c r="J228" i="552" s="1"/>
  <c r="H228" i="552" s="1"/>
  <c r="I207" i="552"/>
  <c r="R204" i="552"/>
  <c r="AP203" i="552"/>
  <c r="AO203" i="552"/>
  <c r="AP202" i="552"/>
  <c r="AO202" i="552"/>
  <c r="AP201" i="552"/>
  <c r="P201" i="552"/>
  <c r="J201" i="552"/>
  <c r="AP200" i="552"/>
  <c r="M200" i="552"/>
  <c r="J200" i="552" s="1"/>
  <c r="I194" i="552"/>
  <c r="AP190" i="552"/>
  <c r="AO190" i="552"/>
  <c r="AP189" i="552"/>
  <c r="AO189" i="552"/>
  <c r="AP188" i="552"/>
  <c r="P188" i="552"/>
  <c r="J188" i="552" s="1"/>
  <c r="AP187" i="552"/>
  <c r="M187" i="552"/>
  <c r="J187" i="552"/>
  <c r="J189" i="552" s="1"/>
  <c r="H189" i="552" s="1"/>
  <c r="I170" i="552"/>
  <c r="AP166" i="552"/>
  <c r="AO166" i="552"/>
  <c r="AP165" i="552"/>
  <c r="AP164" i="552"/>
  <c r="P164" i="552"/>
  <c r="J164" i="552" s="1"/>
  <c r="AP163" i="552"/>
  <c r="M163" i="552"/>
  <c r="J163" i="552" s="1"/>
  <c r="U161" i="552"/>
  <c r="I147" i="552"/>
  <c r="AP143" i="552"/>
  <c r="AO143" i="552"/>
  <c r="AP142" i="552"/>
  <c r="AP141" i="552"/>
  <c r="P141" i="552"/>
  <c r="J141" i="552"/>
  <c r="AP140" i="552"/>
  <c r="M140" i="552"/>
  <c r="J140" i="552" s="1"/>
  <c r="I132" i="552"/>
  <c r="AP128" i="552"/>
  <c r="AO128" i="552"/>
  <c r="AP127" i="552"/>
  <c r="AP126" i="552"/>
  <c r="P126" i="552"/>
  <c r="J126" i="552" s="1"/>
  <c r="AP125" i="552"/>
  <c r="M125" i="552"/>
  <c r="J125" i="552" s="1"/>
  <c r="I117" i="552"/>
  <c r="AP113" i="552"/>
  <c r="AO113" i="552"/>
  <c r="AP112" i="552"/>
  <c r="AP111" i="552"/>
  <c r="P111" i="552"/>
  <c r="AP110" i="552"/>
  <c r="M110" i="552"/>
  <c r="J110" i="552" s="1"/>
  <c r="V107" i="552"/>
  <c r="I94" i="552"/>
  <c r="AP90" i="552"/>
  <c r="AO90" i="552"/>
  <c r="AP89" i="552"/>
  <c r="AP88" i="552"/>
  <c r="P88" i="552"/>
  <c r="AP87" i="552"/>
  <c r="M87" i="552"/>
  <c r="J87" i="552"/>
  <c r="I70" i="552"/>
  <c r="AP66" i="552"/>
  <c r="AO66" i="552"/>
  <c r="AP65" i="552"/>
  <c r="AP64" i="552"/>
  <c r="P64" i="552"/>
  <c r="J64" i="552" s="1"/>
  <c r="AP63" i="552"/>
  <c r="M63" i="552"/>
  <c r="J63" i="552" s="1"/>
  <c r="I58" i="552"/>
  <c r="AP54" i="552"/>
  <c r="AO54" i="552"/>
  <c r="AP53" i="552"/>
  <c r="AO53" i="552"/>
  <c r="AP52" i="552"/>
  <c r="P52" i="552"/>
  <c r="J52" i="552" s="1"/>
  <c r="AP51" i="552"/>
  <c r="M51" i="552"/>
  <c r="J51" i="552"/>
  <c r="I43" i="552"/>
  <c r="AI42" i="552"/>
  <c r="AI57" i="552"/>
  <c r="AI69" i="552"/>
  <c r="AI93" i="552" s="1"/>
  <c r="AI116" i="552" s="1"/>
  <c r="AI131" i="552" s="1"/>
  <c r="AI146" i="552" s="1"/>
  <c r="AI169" i="552" s="1"/>
  <c r="AI193" i="552" s="1"/>
  <c r="AI206" i="552" s="1"/>
  <c r="AI232" i="552" s="1"/>
  <c r="AI249" i="552" s="1"/>
  <c r="AI265" i="552" s="1"/>
  <c r="AI290" i="552" s="1"/>
  <c r="AI308" i="552" s="1"/>
  <c r="AI321" i="552" s="1"/>
  <c r="AI333" i="552" s="1"/>
  <c r="AI349" i="552" s="1"/>
  <c r="AI372" i="552" s="1"/>
  <c r="AI394" i="552" s="1"/>
  <c r="AI409" i="552" s="1"/>
  <c r="AI431" i="552" s="1"/>
  <c r="AI450" i="552" s="1"/>
  <c r="AI463" i="552" s="1"/>
  <c r="AP40" i="552"/>
  <c r="AP39" i="552"/>
  <c r="AP38" i="552"/>
  <c r="AP37" i="552"/>
  <c r="P37" i="552"/>
  <c r="J37" i="552"/>
  <c r="AP36" i="552"/>
  <c r="M36" i="552"/>
  <c r="J36" i="552"/>
  <c r="J38" i="552" s="1"/>
  <c r="H38" i="552" s="1"/>
  <c r="AP35" i="552"/>
  <c r="R26" i="552"/>
  <c r="AP18" i="552"/>
  <c r="A18" i="552"/>
  <c r="AO40" i="552" s="1"/>
  <c r="P16" i="552"/>
  <c r="M16" i="552"/>
  <c r="AP15" i="552"/>
  <c r="AO15" i="552"/>
  <c r="AP14" i="552"/>
  <c r="AP13" i="552"/>
  <c r="AO13" i="552"/>
  <c r="AP12" i="552"/>
  <c r="P12" i="552"/>
  <c r="J12" i="552"/>
  <c r="AP11" i="552"/>
  <c r="M11" i="552"/>
  <c r="J11" i="552"/>
  <c r="AP10" i="552"/>
  <c r="AQ2" i="552"/>
  <c r="AP2" i="552"/>
  <c r="C460" i="551"/>
  <c r="P459" i="551"/>
  <c r="M459" i="551"/>
  <c r="R457" i="551"/>
  <c r="R459" i="551" s="1"/>
  <c r="P457" i="551"/>
  <c r="AP451" i="551"/>
  <c r="AO451" i="551"/>
  <c r="AP450" i="551"/>
  <c r="AO450" i="551"/>
  <c r="AP449" i="551"/>
  <c r="P449" i="551"/>
  <c r="J449" i="551" s="1"/>
  <c r="AP448" i="551"/>
  <c r="M448" i="551"/>
  <c r="J448" i="551" s="1"/>
  <c r="AP434" i="551"/>
  <c r="AO434" i="551"/>
  <c r="AP433" i="551"/>
  <c r="AO433" i="551"/>
  <c r="AP432" i="551"/>
  <c r="P432" i="551"/>
  <c r="J432" i="551" s="1"/>
  <c r="AP431" i="551"/>
  <c r="M431" i="551"/>
  <c r="J431" i="551" s="1"/>
  <c r="AP421" i="551"/>
  <c r="AO421" i="551"/>
  <c r="AP420" i="551"/>
  <c r="AP419" i="551"/>
  <c r="P419" i="551"/>
  <c r="J419" i="551" s="1"/>
  <c r="AP418" i="551"/>
  <c r="M418" i="551"/>
  <c r="J418" i="551"/>
  <c r="I412" i="551"/>
  <c r="AP408" i="551"/>
  <c r="AO408" i="551"/>
  <c r="AP407" i="551"/>
  <c r="AP406" i="551"/>
  <c r="P406" i="551"/>
  <c r="J406" i="551" s="1"/>
  <c r="AP405" i="551"/>
  <c r="M405" i="551"/>
  <c r="J405" i="551" s="1"/>
  <c r="I400" i="551"/>
  <c r="AP396" i="551"/>
  <c r="AO396" i="551"/>
  <c r="AP395" i="551"/>
  <c r="AP394" i="551"/>
  <c r="P394" i="551"/>
  <c r="J394" i="551" s="1"/>
  <c r="AP393" i="551"/>
  <c r="M393" i="551"/>
  <c r="J393" i="551"/>
  <c r="I390" i="551"/>
  <c r="AP386" i="551"/>
  <c r="AO386" i="551"/>
  <c r="AP385" i="551"/>
  <c r="AP384" i="551"/>
  <c r="P384" i="551"/>
  <c r="J384" i="551" s="1"/>
  <c r="AP383" i="551"/>
  <c r="M383" i="551"/>
  <c r="J383" i="551" s="1"/>
  <c r="I376" i="551"/>
  <c r="AP372" i="551"/>
  <c r="AO372" i="551"/>
  <c r="AP371" i="551"/>
  <c r="AO371" i="551"/>
  <c r="AP370" i="551"/>
  <c r="P370" i="551"/>
  <c r="J370" i="551" s="1"/>
  <c r="AP369" i="551"/>
  <c r="M369" i="551"/>
  <c r="J369" i="551" s="1"/>
  <c r="I364" i="551"/>
  <c r="AP360" i="551"/>
  <c r="AO360" i="551"/>
  <c r="AP359" i="551"/>
  <c r="AO359" i="551"/>
  <c r="AP358" i="551"/>
  <c r="P358" i="551"/>
  <c r="J358" i="551" s="1"/>
  <c r="AP357" i="551"/>
  <c r="M357" i="551"/>
  <c r="J357" i="551"/>
  <c r="I352" i="551"/>
  <c r="AP348" i="551"/>
  <c r="AO348" i="551"/>
  <c r="AP347" i="551"/>
  <c r="AO347" i="551"/>
  <c r="AP346" i="551"/>
  <c r="P346" i="551"/>
  <c r="J346" i="551"/>
  <c r="AP345" i="551"/>
  <c r="M345" i="551"/>
  <c r="J345" i="551" s="1"/>
  <c r="I333" i="551"/>
  <c r="AP329" i="551"/>
  <c r="AO329" i="551"/>
  <c r="AP328" i="551"/>
  <c r="AO328" i="551"/>
  <c r="AP327" i="551"/>
  <c r="P327" i="551"/>
  <c r="J327" i="551" s="1"/>
  <c r="AP326" i="551"/>
  <c r="M326" i="551"/>
  <c r="J326" i="551" s="1"/>
  <c r="I315" i="551"/>
  <c r="AO312" i="551"/>
  <c r="AP311" i="551"/>
  <c r="AO311" i="551"/>
  <c r="AP310" i="551"/>
  <c r="AO310" i="551"/>
  <c r="AP309" i="551"/>
  <c r="P309" i="551"/>
  <c r="J309" i="551" s="1"/>
  <c r="AP308" i="551"/>
  <c r="M308" i="551"/>
  <c r="J308" i="551" s="1"/>
  <c r="I304" i="551"/>
  <c r="AP300" i="551"/>
  <c r="AO300" i="551"/>
  <c r="AP299" i="551"/>
  <c r="AO299" i="551"/>
  <c r="AP298" i="551"/>
  <c r="P298" i="551"/>
  <c r="J298" i="551" s="1"/>
  <c r="AP297" i="551"/>
  <c r="M297" i="551"/>
  <c r="J297" i="551" s="1"/>
  <c r="F294" i="551"/>
  <c r="I292" i="551"/>
  <c r="AP288" i="551"/>
  <c r="AO288" i="551"/>
  <c r="AP287" i="551"/>
  <c r="AO287" i="551"/>
  <c r="AP286" i="551"/>
  <c r="P286" i="551"/>
  <c r="J286" i="551" s="1"/>
  <c r="AP285" i="551"/>
  <c r="M285" i="551"/>
  <c r="J285" i="551" s="1"/>
  <c r="F276" i="551"/>
  <c r="I274" i="551"/>
  <c r="AP270" i="551"/>
  <c r="AO270" i="551"/>
  <c r="AP269" i="551"/>
  <c r="AO269" i="551"/>
  <c r="AP268" i="551"/>
  <c r="P268" i="551"/>
  <c r="J268" i="551" s="1"/>
  <c r="AP267" i="551"/>
  <c r="M267" i="551"/>
  <c r="J267" i="551"/>
  <c r="F262" i="551"/>
  <c r="I259" i="551"/>
  <c r="AP255" i="551"/>
  <c r="AO255" i="551"/>
  <c r="AP254" i="551"/>
  <c r="AO254" i="551"/>
  <c r="AP253" i="551"/>
  <c r="P253" i="551"/>
  <c r="J253" i="551" s="1"/>
  <c r="AP252" i="551"/>
  <c r="M252" i="551"/>
  <c r="J252" i="551"/>
  <c r="F249" i="551"/>
  <c r="I247" i="551"/>
  <c r="AP243" i="551"/>
  <c r="AO243" i="551"/>
  <c r="AP242" i="551"/>
  <c r="AO242" i="551"/>
  <c r="AP241" i="551"/>
  <c r="P241" i="551"/>
  <c r="J241" i="551" s="1"/>
  <c r="AP240" i="551"/>
  <c r="M240" i="551"/>
  <c r="J240" i="551" s="1"/>
  <c r="I231" i="551"/>
  <c r="AP227" i="551"/>
  <c r="AO227" i="551"/>
  <c r="AP226" i="551"/>
  <c r="AO226" i="551"/>
  <c r="AP225" i="551"/>
  <c r="P225" i="551"/>
  <c r="J225" i="551" s="1"/>
  <c r="AP224" i="551"/>
  <c r="M224" i="551"/>
  <c r="J224" i="551"/>
  <c r="F219" i="551"/>
  <c r="I217" i="551"/>
  <c r="AP213" i="551"/>
  <c r="AO213" i="551"/>
  <c r="AP212" i="551"/>
  <c r="AO212" i="551"/>
  <c r="AP211" i="551"/>
  <c r="P211" i="551"/>
  <c r="J211" i="551" s="1"/>
  <c r="AP210" i="551"/>
  <c r="M210" i="551"/>
  <c r="J210" i="551"/>
  <c r="I206" i="551"/>
  <c r="AP202" i="551"/>
  <c r="AO202" i="551"/>
  <c r="AP201" i="551"/>
  <c r="AO201" i="551"/>
  <c r="AP200" i="551"/>
  <c r="P200" i="551"/>
  <c r="J200" i="551"/>
  <c r="AP199" i="551"/>
  <c r="M199" i="551"/>
  <c r="J199" i="551"/>
  <c r="I195" i="551"/>
  <c r="AP191" i="551"/>
  <c r="AO191" i="551"/>
  <c r="AP190" i="551"/>
  <c r="AO190" i="551"/>
  <c r="AP189" i="551"/>
  <c r="P189" i="551"/>
  <c r="J189" i="551" s="1"/>
  <c r="AP188" i="551"/>
  <c r="M188" i="551"/>
  <c r="J188" i="551" s="1"/>
  <c r="F182" i="551"/>
  <c r="I180" i="551"/>
  <c r="R177" i="551"/>
  <c r="AP176" i="551"/>
  <c r="AO176" i="551"/>
  <c r="AP175" i="551"/>
  <c r="AO175" i="551"/>
  <c r="AP174" i="551"/>
  <c r="P174" i="551"/>
  <c r="J174" i="551"/>
  <c r="AP173" i="551"/>
  <c r="M173" i="551"/>
  <c r="J173" i="551"/>
  <c r="I166" i="551"/>
  <c r="AP162" i="551"/>
  <c r="AO162" i="551"/>
  <c r="AP161" i="551"/>
  <c r="AO161" i="551"/>
  <c r="AP160" i="551"/>
  <c r="P160" i="551"/>
  <c r="J160" i="551" s="1"/>
  <c r="AP159" i="551"/>
  <c r="M159" i="551"/>
  <c r="J159" i="551" s="1"/>
  <c r="I148" i="551"/>
  <c r="AP144" i="551"/>
  <c r="AO144" i="551"/>
  <c r="AP143" i="551"/>
  <c r="AP142" i="551"/>
  <c r="P142" i="551"/>
  <c r="J142" i="551" s="1"/>
  <c r="AP141" i="551"/>
  <c r="M141" i="551"/>
  <c r="J141" i="551"/>
  <c r="I133" i="551"/>
  <c r="AP129" i="551"/>
  <c r="AO129" i="551"/>
  <c r="AP128" i="551"/>
  <c r="AP127" i="551"/>
  <c r="P127" i="551"/>
  <c r="J127" i="551" s="1"/>
  <c r="AP126" i="551"/>
  <c r="M126" i="551"/>
  <c r="J126" i="551" s="1"/>
  <c r="F118" i="551"/>
  <c r="I116" i="551"/>
  <c r="AP112" i="551"/>
  <c r="AO112" i="551"/>
  <c r="AP111" i="551"/>
  <c r="AP110" i="551"/>
  <c r="P110" i="551"/>
  <c r="J110" i="551" s="1"/>
  <c r="AP109" i="551"/>
  <c r="M109" i="551"/>
  <c r="J109" i="551" s="1"/>
  <c r="F107" i="551"/>
  <c r="I105" i="551"/>
  <c r="AP101" i="551"/>
  <c r="AO101" i="551"/>
  <c r="AP100" i="551"/>
  <c r="AP99" i="551"/>
  <c r="P99" i="551"/>
  <c r="J99" i="551" s="1"/>
  <c r="AP98" i="551"/>
  <c r="M98" i="551"/>
  <c r="J98" i="551"/>
  <c r="J100" i="551" s="1"/>
  <c r="I93" i="551"/>
  <c r="AP89" i="551"/>
  <c r="AO89" i="551"/>
  <c r="AP88" i="551"/>
  <c r="AP87" i="551"/>
  <c r="P87" i="551"/>
  <c r="J87" i="551"/>
  <c r="AP86" i="551"/>
  <c r="M86" i="551"/>
  <c r="J86" i="551"/>
  <c r="I73" i="551"/>
  <c r="AP69" i="551"/>
  <c r="AO69" i="551"/>
  <c r="AP68" i="551"/>
  <c r="AP67" i="551"/>
  <c r="P67" i="551"/>
  <c r="J67" i="551" s="1"/>
  <c r="AP66" i="551"/>
  <c r="M66" i="551"/>
  <c r="J66" i="551" s="1"/>
  <c r="I61" i="551"/>
  <c r="AP57" i="551"/>
  <c r="AO57" i="551"/>
  <c r="AP56" i="551"/>
  <c r="AO56" i="551"/>
  <c r="AP55" i="551"/>
  <c r="P55" i="551"/>
  <c r="J55" i="551" s="1"/>
  <c r="AP54" i="551"/>
  <c r="M54" i="551"/>
  <c r="J54" i="551"/>
  <c r="U50" i="551"/>
  <c r="M50" i="551"/>
  <c r="D50" i="551" s="1"/>
  <c r="R46" i="551"/>
  <c r="I42" i="551"/>
  <c r="AI41" i="551"/>
  <c r="AI60" i="551" s="1"/>
  <c r="AI72" i="551" s="1"/>
  <c r="AI92" i="551" s="1"/>
  <c r="AI104" i="551" s="1"/>
  <c r="AI115" i="551" s="1"/>
  <c r="AI132" i="551" s="1"/>
  <c r="AI147" i="551" s="1"/>
  <c r="AI165" i="551" s="1"/>
  <c r="AI179" i="551" s="1"/>
  <c r="AI194" i="551" s="1"/>
  <c r="AI205" i="551" s="1"/>
  <c r="AI216" i="551" s="1"/>
  <c r="AI230" i="551" s="1"/>
  <c r="AI246" i="551" s="1"/>
  <c r="AI258" i="551" s="1"/>
  <c r="AI273" i="551" s="1"/>
  <c r="AI291" i="551" s="1"/>
  <c r="AI303" i="551" s="1"/>
  <c r="AI314" i="551" s="1"/>
  <c r="AI332" i="551" s="1"/>
  <c r="AI351" i="551" s="1"/>
  <c r="AI363" i="551" s="1"/>
  <c r="AI375" i="551" s="1"/>
  <c r="AP39" i="551"/>
  <c r="AP38" i="551"/>
  <c r="AP37" i="551"/>
  <c r="AP36" i="551"/>
  <c r="P36" i="551"/>
  <c r="J36" i="551" s="1"/>
  <c r="AP35" i="551"/>
  <c r="M35" i="551"/>
  <c r="J35" i="551" s="1"/>
  <c r="AP34" i="551"/>
  <c r="R23" i="551"/>
  <c r="AP21" i="551"/>
  <c r="I21" i="551"/>
  <c r="A21" i="551"/>
  <c r="AO39" i="551"/>
  <c r="P19" i="551"/>
  <c r="M19" i="551"/>
  <c r="AP18" i="551"/>
  <c r="AO18" i="551"/>
  <c r="AP17" i="551"/>
  <c r="AP16" i="551"/>
  <c r="AO16" i="551"/>
  <c r="AP15" i="551"/>
  <c r="P15" i="551"/>
  <c r="J15" i="551" s="1"/>
  <c r="AP14" i="551"/>
  <c r="M14" i="551"/>
  <c r="J14" i="551" s="1"/>
  <c r="AP13" i="551"/>
  <c r="I3" i="551"/>
  <c r="AQ2" i="551"/>
  <c r="AP2" i="551"/>
  <c r="C449" i="550"/>
  <c r="AP431" i="550"/>
  <c r="AO431" i="550"/>
  <c r="AP430" i="550"/>
  <c r="AP429" i="550"/>
  <c r="P429" i="550"/>
  <c r="J429" i="550"/>
  <c r="AP428" i="550"/>
  <c r="M428" i="550"/>
  <c r="J428" i="550"/>
  <c r="AP420" i="550"/>
  <c r="AO420" i="550"/>
  <c r="AP419" i="550"/>
  <c r="AO419" i="550"/>
  <c r="AP418" i="550"/>
  <c r="P418" i="550"/>
  <c r="J418" i="550" s="1"/>
  <c r="AP417" i="550"/>
  <c r="M417" i="550"/>
  <c r="J417" i="550"/>
  <c r="AP409" i="550"/>
  <c r="AO409" i="550"/>
  <c r="AP408" i="550"/>
  <c r="AO408" i="550"/>
  <c r="AP407" i="550"/>
  <c r="P407" i="550"/>
  <c r="J407" i="550"/>
  <c r="AP406" i="550"/>
  <c r="M406" i="550"/>
  <c r="J406" i="550"/>
  <c r="J408" i="550" s="1"/>
  <c r="H408" i="550" s="1"/>
  <c r="AP392" i="550"/>
  <c r="AO392" i="550"/>
  <c r="AP391" i="550"/>
  <c r="AP390" i="550"/>
  <c r="P390" i="550"/>
  <c r="J390" i="550" s="1"/>
  <c r="AP389" i="550"/>
  <c r="M389" i="550"/>
  <c r="J389" i="550" s="1"/>
  <c r="AP379" i="550"/>
  <c r="AO379" i="550"/>
  <c r="AP378" i="550"/>
  <c r="AP377" i="550"/>
  <c r="P377" i="550"/>
  <c r="J377" i="550"/>
  <c r="AP376" i="550"/>
  <c r="M376" i="550"/>
  <c r="J376" i="550"/>
  <c r="I369" i="550"/>
  <c r="AP365" i="550"/>
  <c r="AO365" i="550"/>
  <c r="AP364" i="550"/>
  <c r="AO364" i="550"/>
  <c r="AP363" i="550"/>
  <c r="P363" i="550"/>
  <c r="J363" i="550" s="1"/>
  <c r="AP362" i="550"/>
  <c r="M362" i="550"/>
  <c r="J362" i="550" s="1"/>
  <c r="AP350" i="550"/>
  <c r="AO350" i="550"/>
  <c r="AP349" i="550"/>
  <c r="AO349" i="550"/>
  <c r="AP348" i="550"/>
  <c r="P348" i="550"/>
  <c r="J348" i="550" s="1"/>
  <c r="AP347" i="550"/>
  <c r="M347" i="550"/>
  <c r="J347" i="550" s="1"/>
  <c r="J349" i="550" s="1"/>
  <c r="H349" i="550" s="1"/>
  <c r="AP333" i="550"/>
  <c r="AO333" i="550"/>
  <c r="AP332" i="550"/>
  <c r="AO332" i="550"/>
  <c r="AP331" i="550"/>
  <c r="P331" i="550"/>
  <c r="J331" i="550" s="1"/>
  <c r="AP330" i="550"/>
  <c r="M330" i="550"/>
  <c r="J330" i="550" s="1"/>
  <c r="J332" i="550" s="1"/>
  <c r="H332" i="550" s="1"/>
  <c r="AP323" i="550"/>
  <c r="AO323" i="550"/>
  <c r="AP322" i="550"/>
  <c r="AO322" i="550"/>
  <c r="AP321" i="550"/>
  <c r="P321" i="550"/>
  <c r="J321" i="550" s="1"/>
  <c r="AP320" i="550"/>
  <c r="M320" i="550"/>
  <c r="J320" i="550" s="1"/>
  <c r="AP313" i="550"/>
  <c r="AO313" i="550"/>
  <c r="AP312" i="550"/>
  <c r="AO312" i="550"/>
  <c r="AP311" i="550"/>
  <c r="P311" i="550"/>
  <c r="J311" i="550" s="1"/>
  <c r="AP310" i="550"/>
  <c r="M310" i="550"/>
  <c r="J310" i="550"/>
  <c r="P308" i="550"/>
  <c r="D308" i="550" s="1"/>
  <c r="M307" i="550"/>
  <c r="U307" i="550"/>
  <c r="AP296" i="550"/>
  <c r="AO296" i="550"/>
  <c r="AP295" i="550"/>
  <c r="AO295" i="550"/>
  <c r="AP294" i="550"/>
  <c r="P294" i="550"/>
  <c r="J294" i="550" s="1"/>
  <c r="AP293" i="550"/>
  <c r="M293" i="550"/>
  <c r="J293" i="550" s="1"/>
  <c r="J295" i="550" s="1"/>
  <c r="H295" i="550" s="1"/>
  <c r="R290" i="550"/>
  <c r="AP284" i="550"/>
  <c r="AO284" i="550"/>
  <c r="AP283" i="550"/>
  <c r="AO283" i="550"/>
  <c r="AP282" i="550"/>
  <c r="P282" i="550"/>
  <c r="J282" i="550"/>
  <c r="AP281" i="550"/>
  <c r="M281" i="550"/>
  <c r="J281" i="550"/>
  <c r="AP269" i="550"/>
  <c r="AO269" i="550"/>
  <c r="AP268" i="550"/>
  <c r="AO268" i="550"/>
  <c r="AP267" i="550"/>
  <c r="P267" i="550"/>
  <c r="J267" i="550" s="1"/>
  <c r="AP266" i="550"/>
  <c r="M266" i="550"/>
  <c r="J266" i="550" s="1"/>
  <c r="AP255" i="550"/>
  <c r="AO255" i="550"/>
  <c r="AP254" i="550"/>
  <c r="AO254" i="550"/>
  <c r="AP253" i="550"/>
  <c r="P253" i="550"/>
  <c r="J253" i="550"/>
  <c r="AP252" i="550"/>
  <c r="M252" i="550"/>
  <c r="J252" i="550"/>
  <c r="AP235" i="550"/>
  <c r="AO235" i="550"/>
  <c r="AP234" i="550"/>
  <c r="AO234" i="550"/>
  <c r="AP233" i="550"/>
  <c r="P233" i="550"/>
  <c r="J233" i="550" s="1"/>
  <c r="AP232" i="550"/>
  <c r="M232" i="550"/>
  <c r="J232" i="550"/>
  <c r="J234" i="550" s="1"/>
  <c r="H234" i="550" s="1"/>
  <c r="AP225" i="550"/>
  <c r="AO225" i="550"/>
  <c r="AP224" i="550"/>
  <c r="AO224" i="550"/>
  <c r="AP223" i="550"/>
  <c r="P223" i="550"/>
  <c r="J223" i="550" s="1"/>
  <c r="AP222" i="550"/>
  <c r="M222" i="550"/>
  <c r="J222" i="550" s="1"/>
  <c r="R220" i="550"/>
  <c r="AP214" i="550"/>
  <c r="AO214" i="550"/>
  <c r="AP213" i="550"/>
  <c r="AO213" i="550"/>
  <c r="AP212" i="550"/>
  <c r="P212" i="550"/>
  <c r="J212" i="550" s="1"/>
  <c r="AP211" i="550"/>
  <c r="M211" i="550"/>
  <c r="J211" i="550"/>
  <c r="J213" i="550" s="1"/>
  <c r="H213" i="550" s="1"/>
  <c r="AP197" i="550"/>
  <c r="AO197" i="550"/>
  <c r="AP196" i="550"/>
  <c r="AO196" i="550"/>
  <c r="AP195" i="550"/>
  <c r="P195" i="550"/>
  <c r="J195" i="550" s="1"/>
  <c r="AP194" i="550"/>
  <c r="M194" i="550"/>
  <c r="J194" i="550"/>
  <c r="R188" i="550"/>
  <c r="AP182" i="550"/>
  <c r="AO182" i="550"/>
  <c r="AP181" i="550"/>
  <c r="AO181" i="550"/>
  <c r="AP180" i="550"/>
  <c r="P180" i="550"/>
  <c r="J180" i="550"/>
  <c r="AP179" i="550"/>
  <c r="M179" i="550"/>
  <c r="J179" i="550"/>
  <c r="R169" i="550"/>
  <c r="AP168" i="550"/>
  <c r="AO168" i="550"/>
  <c r="AP167" i="550"/>
  <c r="AO167" i="550"/>
  <c r="AP166" i="550"/>
  <c r="P166" i="550"/>
  <c r="J166" i="550" s="1"/>
  <c r="AP165" i="550"/>
  <c r="M165" i="550"/>
  <c r="J165" i="550" s="1"/>
  <c r="AP155" i="550"/>
  <c r="AO155" i="550"/>
  <c r="AP154" i="550"/>
  <c r="AO154" i="550"/>
  <c r="AP153" i="550"/>
  <c r="P153" i="550"/>
  <c r="J153" i="550" s="1"/>
  <c r="AP152" i="550"/>
  <c r="M152" i="550"/>
  <c r="J152" i="550"/>
  <c r="J154" i="550" s="1"/>
  <c r="H154" i="550" s="1"/>
  <c r="AP130" i="550"/>
  <c r="AO130" i="550"/>
  <c r="AP129" i="550"/>
  <c r="AP128" i="550"/>
  <c r="P128" i="550"/>
  <c r="J128" i="550"/>
  <c r="AP127" i="550"/>
  <c r="M127" i="550"/>
  <c r="J127" i="550" s="1"/>
  <c r="J129" i="550" s="1"/>
  <c r="H129" i="550" s="1"/>
  <c r="AP118" i="550"/>
  <c r="AO118" i="550"/>
  <c r="AP117" i="550"/>
  <c r="AP116" i="550"/>
  <c r="P116" i="550"/>
  <c r="J116" i="550" s="1"/>
  <c r="AP115" i="550"/>
  <c r="M115" i="550"/>
  <c r="J115" i="550" s="1"/>
  <c r="AP107" i="550"/>
  <c r="AO107" i="550"/>
  <c r="AP106" i="550"/>
  <c r="AP105" i="550"/>
  <c r="P105" i="550"/>
  <c r="J105" i="550"/>
  <c r="AP104" i="550"/>
  <c r="M104" i="550"/>
  <c r="J104" i="550" s="1"/>
  <c r="AP85" i="550"/>
  <c r="AP84" i="550"/>
  <c r="AP83" i="550"/>
  <c r="P83" i="550"/>
  <c r="J83" i="550"/>
  <c r="AP82" i="550"/>
  <c r="M82" i="550"/>
  <c r="J82" i="550" s="1"/>
  <c r="J84" i="550" s="1"/>
  <c r="H84" i="550" s="1"/>
  <c r="AP71" i="550"/>
  <c r="AO71" i="550"/>
  <c r="AP70" i="550"/>
  <c r="AP69" i="550"/>
  <c r="P69" i="550"/>
  <c r="J69" i="550" s="1"/>
  <c r="AP68" i="550"/>
  <c r="M68" i="550"/>
  <c r="J68" i="550" s="1"/>
  <c r="AP52" i="550"/>
  <c r="AO52" i="550"/>
  <c r="AP51" i="550"/>
  <c r="AP50" i="550"/>
  <c r="P50" i="550"/>
  <c r="J50" i="550" s="1"/>
  <c r="AP49" i="550"/>
  <c r="M49" i="550"/>
  <c r="J49" i="550" s="1"/>
  <c r="J51" i="550" s="1"/>
  <c r="H51" i="550" s="1"/>
  <c r="AP38" i="550"/>
  <c r="AO38" i="550"/>
  <c r="AP37" i="550"/>
  <c r="AO37" i="550"/>
  <c r="AP36" i="550"/>
  <c r="P36" i="550"/>
  <c r="J36" i="550" s="1"/>
  <c r="AP35" i="550"/>
  <c r="M35" i="550"/>
  <c r="J35" i="550"/>
  <c r="AI27" i="550"/>
  <c r="AI41" i="550" s="1"/>
  <c r="AI55" i="550" s="1"/>
  <c r="AI74" i="550" s="1"/>
  <c r="AI88" i="550" s="1"/>
  <c r="AI110" i="550" s="1"/>
  <c r="AI121" i="550" s="1"/>
  <c r="AI133" i="550" s="1"/>
  <c r="AI158" i="550" s="1"/>
  <c r="AI171" i="550" s="1"/>
  <c r="AI185" i="550" s="1"/>
  <c r="AI200" i="550" s="1"/>
  <c r="AI217" i="550" s="1"/>
  <c r="AI228" i="550" s="1"/>
  <c r="AI238" i="550" s="1"/>
  <c r="AI258" i="550" s="1"/>
  <c r="AI272" i="550" s="1"/>
  <c r="AI287" i="550" s="1"/>
  <c r="AI299" i="550" s="1"/>
  <c r="AI316" i="550" s="1"/>
  <c r="AI326" i="550" s="1"/>
  <c r="AI336" i="550" s="1"/>
  <c r="AI353" i="550" s="1"/>
  <c r="AI368" i="550" s="1"/>
  <c r="AP25" i="550"/>
  <c r="AP24" i="550"/>
  <c r="AP23" i="550"/>
  <c r="AP22" i="550"/>
  <c r="P22" i="550"/>
  <c r="J22" i="550" s="1"/>
  <c r="AP21" i="550"/>
  <c r="M21" i="550"/>
  <c r="J21" i="550" s="1"/>
  <c r="AP20" i="550"/>
  <c r="R18" i="550"/>
  <c r="AP16" i="550"/>
  <c r="A16" i="550"/>
  <c r="A28" i="550" s="1"/>
  <c r="A42" i="550" s="1"/>
  <c r="P14" i="550"/>
  <c r="M14" i="550"/>
  <c r="AP13" i="550"/>
  <c r="AO13" i="550"/>
  <c r="AP12" i="550"/>
  <c r="AP11" i="550"/>
  <c r="AO11" i="550"/>
  <c r="AP10" i="550"/>
  <c r="P10" i="550"/>
  <c r="J10" i="550" s="1"/>
  <c r="AP9" i="550"/>
  <c r="M9" i="550"/>
  <c r="J9" i="550"/>
  <c r="AP8" i="550"/>
  <c r="AQ2" i="550"/>
  <c r="AP2" i="550"/>
  <c r="H491" i="549"/>
  <c r="P491" i="549"/>
  <c r="C491" i="549"/>
  <c r="C492" i="549"/>
  <c r="C463" i="532"/>
  <c r="C464" i="532"/>
  <c r="U471" i="549"/>
  <c r="M471" i="549"/>
  <c r="D450" i="549"/>
  <c r="P436" i="549"/>
  <c r="U436" i="549" s="1"/>
  <c r="R402" i="549"/>
  <c r="V418" i="549"/>
  <c r="P422" i="549"/>
  <c r="D422" i="549" s="1"/>
  <c r="D403" i="549"/>
  <c r="D404" i="549"/>
  <c r="P366" i="549"/>
  <c r="D366" i="549" s="1"/>
  <c r="D349" i="549"/>
  <c r="U350" i="549"/>
  <c r="Q348" i="549"/>
  <c r="U365" i="549"/>
  <c r="M365" i="549"/>
  <c r="Q314" i="549"/>
  <c r="U317" i="549"/>
  <c r="M317" i="549"/>
  <c r="P318" i="549"/>
  <c r="P298" i="549"/>
  <c r="R224" i="549"/>
  <c r="P225" i="549"/>
  <c r="G225" i="549"/>
  <c r="G149" i="549"/>
  <c r="G148" i="549"/>
  <c r="G144" i="549"/>
  <c r="M133" i="549"/>
  <c r="U133" i="549"/>
  <c r="G132" i="549"/>
  <c r="D315" i="549"/>
  <c r="H489" i="549"/>
  <c r="D296" i="549"/>
  <c r="D294" i="549"/>
  <c r="F293" i="549"/>
  <c r="G205" i="549"/>
  <c r="G204" i="549"/>
  <c r="R146" i="549"/>
  <c r="E146" i="549"/>
  <c r="H146" i="549"/>
  <c r="V156" i="549"/>
  <c r="G130" i="549"/>
  <c r="G129" i="549"/>
  <c r="D131" i="549"/>
  <c r="H490" i="549"/>
  <c r="D126" i="549"/>
  <c r="F125" i="549"/>
  <c r="P87" i="549"/>
  <c r="V87" i="549"/>
  <c r="V193" i="549"/>
  <c r="V86" i="549"/>
  <c r="Q48" i="549"/>
  <c r="U49" i="549"/>
  <c r="M49" i="549"/>
  <c r="P10" i="549"/>
  <c r="V10" i="549"/>
  <c r="D470" i="549"/>
  <c r="F469" i="549"/>
  <c r="F453" i="549"/>
  <c r="D452" i="549"/>
  <c r="F451" i="549"/>
  <c r="F435" i="549"/>
  <c r="D421" i="549"/>
  <c r="F420" i="549"/>
  <c r="F406" i="549"/>
  <c r="F405" i="549"/>
  <c r="F389" i="549"/>
  <c r="F378" i="549"/>
  <c r="D364" i="549"/>
  <c r="F363" i="549"/>
  <c r="F347" i="549"/>
  <c r="D346" i="549"/>
  <c r="F345" i="549"/>
  <c r="F344" i="549"/>
  <c r="F279" i="549"/>
  <c r="F268" i="549"/>
  <c r="F257" i="549"/>
  <c r="D230" i="549"/>
  <c r="F229" i="549"/>
  <c r="D206" i="549"/>
  <c r="D192" i="549"/>
  <c r="F178" i="549"/>
  <c r="F167" i="549"/>
  <c r="F114" i="549"/>
  <c r="F101" i="549"/>
  <c r="F85" i="549"/>
  <c r="F71" i="549"/>
  <c r="F60" i="549"/>
  <c r="F45" i="549"/>
  <c r="D27" i="549"/>
  <c r="F26" i="549"/>
  <c r="F9" i="549"/>
  <c r="E465" i="549"/>
  <c r="H465" i="549" s="1"/>
  <c r="E447" i="549"/>
  <c r="H447" i="549"/>
  <c r="E448" i="549"/>
  <c r="H448" i="549" s="1"/>
  <c r="E434" i="549"/>
  <c r="H434" i="549"/>
  <c r="E417" i="549"/>
  <c r="H417" i="549" s="1"/>
  <c r="E400" i="549"/>
  <c r="H400" i="549"/>
  <c r="H401" i="549"/>
  <c r="E362" i="549"/>
  <c r="H362" i="549"/>
  <c r="H343" i="549"/>
  <c r="E342" i="549"/>
  <c r="H342" i="549" s="1"/>
  <c r="E330" i="549"/>
  <c r="E329" i="549"/>
  <c r="H329" i="549"/>
  <c r="E310" i="549"/>
  <c r="H310" i="549"/>
  <c r="E290" i="549"/>
  <c r="H290" i="549"/>
  <c r="E292" i="549"/>
  <c r="E291" i="549"/>
  <c r="H291" i="549"/>
  <c r="R290" i="549"/>
  <c r="E244" i="549"/>
  <c r="E221" i="549"/>
  <c r="E220" i="549"/>
  <c r="C490" i="549"/>
  <c r="E219" i="549"/>
  <c r="H219" i="549"/>
  <c r="H218" i="549"/>
  <c r="R218" i="549"/>
  <c r="E190" i="549"/>
  <c r="H190" i="549"/>
  <c r="E189" i="549"/>
  <c r="H189" i="549"/>
  <c r="R189" i="549"/>
  <c r="E112" i="549"/>
  <c r="H112" i="549"/>
  <c r="E100" i="549"/>
  <c r="H100" i="549" s="1"/>
  <c r="P84" i="549"/>
  <c r="M84" i="549"/>
  <c r="E84" i="549"/>
  <c r="T84" i="549" s="1"/>
  <c r="E41" i="549"/>
  <c r="H41" i="549"/>
  <c r="E42" i="549"/>
  <c r="H42" i="549" s="1"/>
  <c r="R41" i="549"/>
  <c r="E21" i="549"/>
  <c r="H21" i="549"/>
  <c r="F8" i="549"/>
  <c r="E7" i="549"/>
  <c r="H7" i="549"/>
  <c r="E6" i="549"/>
  <c r="H6" i="549" s="1"/>
  <c r="R489" i="549"/>
  <c r="R491" i="549"/>
  <c r="I176" i="549"/>
  <c r="P181" i="549"/>
  <c r="J181" i="549"/>
  <c r="M180" i="549"/>
  <c r="J180" i="549"/>
  <c r="I187" i="549"/>
  <c r="I165" i="549"/>
  <c r="I110" i="549"/>
  <c r="I98" i="549"/>
  <c r="I82" i="549"/>
  <c r="I69" i="549"/>
  <c r="I58" i="549"/>
  <c r="I19" i="549"/>
  <c r="AP459" i="549"/>
  <c r="AO459" i="549"/>
  <c r="AP458" i="549"/>
  <c r="AO458" i="549"/>
  <c r="AP457" i="549"/>
  <c r="P457" i="549"/>
  <c r="J457" i="549"/>
  <c r="AP456" i="549"/>
  <c r="M456" i="549"/>
  <c r="J456" i="549"/>
  <c r="J458" i="549" s="1"/>
  <c r="H458" i="549" s="1"/>
  <c r="I445" i="549"/>
  <c r="AP441" i="549"/>
  <c r="AO441" i="549"/>
  <c r="AP440" i="549"/>
  <c r="AO440" i="549"/>
  <c r="AP439" i="549"/>
  <c r="P439" i="549"/>
  <c r="J439" i="549"/>
  <c r="AP438" i="549"/>
  <c r="M438" i="549"/>
  <c r="J438" i="549"/>
  <c r="J440" i="549"/>
  <c r="H440" i="549" s="1"/>
  <c r="I432" i="549"/>
  <c r="AP428" i="549"/>
  <c r="AO428" i="549"/>
  <c r="AP427" i="549"/>
  <c r="AO427" i="549"/>
  <c r="AP426" i="549"/>
  <c r="P426" i="549"/>
  <c r="J426" i="549" s="1"/>
  <c r="AP425" i="549"/>
  <c r="M425" i="549"/>
  <c r="J425" i="549"/>
  <c r="I415" i="549"/>
  <c r="AP411" i="549"/>
  <c r="AO411" i="549"/>
  <c r="AP410" i="549"/>
  <c r="AP409" i="549"/>
  <c r="P409" i="549"/>
  <c r="J409" i="549"/>
  <c r="AP408" i="549"/>
  <c r="M408" i="549"/>
  <c r="J408" i="549"/>
  <c r="J410" i="549" s="1"/>
  <c r="H410" i="549" s="1"/>
  <c r="I398" i="549"/>
  <c r="AP394" i="549"/>
  <c r="AO394" i="549"/>
  <c r="AP393" i="549"/>
  <c r="AP392" i="549"/>
  <c r="P392" i="549"/>
  <c r="J392" i="549"/>
  <c r="AP391" i="549"/>
  <c r="M391" i="549"/>
  <c r="J391" i="549"/>
  <c r="J393" i="549"/>
  <c r="H393" i="549"/>
  <c r="I387" i="549"/>
  <c r="G18" i="549"/>
  <c r="G38" i="549"/>
  <c r="G57" i="549"/>
  <c r="G68" i="549" s="1"/>
  <c r="G81" i="549" s="1"/>
  <c r="G97" i="549" s="1"/>
  <c r="G109" i="549" s="1"/>
  <c r="G122" i="549" s="1"/>
  <c r="AP483" i="549"/>
  <c r="AO483" i="549"/>
  <c r="AP482" i="549"/>
  <c r="AO482" i="549"/>
  <c r="AP481" i="549"/>
  <c r="P481" i="549"/>
  <c r="J481" i="549"/>
  <c r="AP480" i="549"/>
  <c r="M480" i="549"/>
  <c r="J480" i="549"/>
  <c r="J482" i="549" s="1"/>
  <c r="H482" i="549" s="1"/>
  <c r="I463" i="549"/>
  <c r="AP383" i="549"/>
  <c r="AO383" i="549"/>
  <c r="AP382" i="549"/>
  <c r="AO382" i="549"/>
  <c r="AP381" i="549"/>
  <c r="P381" i="549"/>
  <c r="J381" i="549"/>
  <c r="AP380" i="549"/>
  <c r="M380" i="549"/>
  <c r="J380" i="549"/>
  <c r="J382" i="549"/>
  <c r="H382" i="549" s="1"/>
  <c r="I376" i="549"/>
  <c r="AP372" i="549"/>
  <c r="AO372" i="549"/>
  <c r="AP371" i="549"/>
  <c r="AO371" i="549"/>
  <c r="AP370" i="549"/>
  <c r="P370" i="549"/>
  <c r="J370" i="549" s="1"/>
  <c r="AP369" i="549"/>
  <c r="M369" i="549"/>
  <c r="J369" i="549"/>
  <c r="J371" i="549" s="1"/>
  <c r="H371" i="549" s="1"/>
  <c r="I360" i="549"/>
  <c r="AP356" i="549"/>
  <c r="AO356" i="549"/>
  <c r="AP355" i="549"/>
  <c r="AO355" i="549"/>
  <c r="AP354" i="549"/>
  <c r="P354" i="549"/>
  <c r="J354" i="549" s="1"/>
  <c r="AP353" i="549"/>
  <c r="M353" i="549"/>
  <c r="J353" i="549" s="1"/>
  <c r="I340" i="549"/>
  <c r="AP336" i="549"/>
  <c r="AO336" i="549"/>
  <c r="AP335" i="549"/>
  <c r="AO335" i="549"/>
  <c r="AP334" i="549"/>
  <c r="P334" i="549"/>
  <c r="J334" i="549" s="1"/>
  <c r="AP333" i="549"/>
  <c r="M333" i="549"/>
  <c r="J333" i="549"/>
  <c r="I327" i="549"/>
  <c r="AO324" i="549"/>
  <c r="AP323" i="549"/>
  <c r="AO323" i="549"/>
  <c r="AP322" i="549"/>
  <c r="AO322" i="549"/>
  <c r="AP321" i="549"/>
  <c r="P321" i="549"/>
  <c r="J321" i="549"/>
  <c r="AP320" i="549"/>
  <c r="M320" i="549"/>
  <c r="J320" i="549"/>
  <c r="J322" i="549" s="1"/>
  <c r="H322" i="549" s="1"/>
  <c r="I308" i="549"/>
  <c r="AP304" i="549"/>
  <c r="AO304" i="549"/>
  <c r="AP303" i="549"/>
  <c r="AO303" i="549"/>
  <c r="AP302" i="549"/>
  <c r="P302" i="549"/>
  <c r="J302" i="549" s="1"/>
  <c r="AP301" i="549"/>
  <c r="M301" i="549"/>
  <c r="J301" i="549"/>
  <c r="I288" i="549"/>
  <c r="AP284" i="549"/>
  <c r="AO284" i="549"/>
  <c r="AP283" i="549"/>
  <c r="AO283" i="549"/>
  <c r="AP282" i="549"/>
  <c r="P282" i="549"/>
  <c r="J282" i="549"/>
  <c r="AP281" i="549"/>
  <c r="M281" i="549"/>
  <c r="J281" i="549" s="1"/>
  <c r="I277" i="549"/>
  <c r="AP273" i="549"/>
  <c r="AO273" i="549"/>
  <c r="AP272" i="549"/>
  <c r="AO272" i="549"/>
  <c r="AP271" i="549"/>
  <c r="P271" i="549"/>
  <c r="J271" i="549" s="1"/>
  <c r="AP270" i="549"/>
  <c r="M270" i="549"/>
  <c r="J270" i="549" s="1"/>
  <c r="I266" i="549"/>
  <c r="AP262" i="549"/>
  <c r="AO262" i="549"/>
  <c r="AP261" i="549"/>
  <c r="AO261" i="549"/>
  <c r="AP260" i="549"/>
  <c r="P260" i="549"/>
  <c r="J260" i="549"/>
  <c r="AP259" i="549"/>
  <c r="M259" i="549"/>
  <c r="J259" i="549"/>
  <c r="J261" i="549" s="1"/>
  <c r="H261" i="549" s="1"/>
  <c r="I255" i="549"/>
  <c r="AP251" i="549"/>
  <c r="AO251" i="549"/>
  <c r="AP250" i="549"/>
  <c r="AO250" i="549"/>
  <c r="AP249" i="549"/>
  <c r="P249" i="549"/>
  <c r="J249" i="549" s="1"/>
  <c r="AP248" i="549"/>
  <c r="M248" i="549"/>
  <c r="J248" i="549"/>
  <c r="I241" i="549"/>
  <c r="AP237" i="549"/>
  <c r="AO237" i="549"/>
  <c r="AP236" i="549"/>
  <c r="AO236" i="549"/>
  <c r="AP235" i="549"/>
  <c r="P235" i="549"/>
  <c r="J235" i="549" s="1"/>
  <c r="AP234" i="549"/>
  <c r="M234" i="549"/>
  <c r="J234" i="549" s="1"/>
  <c r="J236" i="549" s="1"/>
  <c r="H236" i="549" s="1"/>
  <c r="I216" i="549"/>
  <c r="AP212" i="549"/>
  <c r="AO212" i="549"/>
  <c r="AP211" i="549"/>
  <c r="AO211" i="549"/>
  <c r="AP210" i="549"/>
  <c r="P210" i="549"/>
  <c r="J210" i="549" s="1"/>
  <c r="AP209" i="549"/>
  <c r="M209" i="549"/>
  <c r="J209" i="549" s="1"/>
  <c r="I202" i="549"/>
  <c r="AP198" i="549"/>
  <c r="AO198" i="549"/>
  <c r="AP197" i="549"/>
  <c r="AO197" i="549"/>
  <c r="AP196" i="549"/>
  <c r="P196" i="549"/>
  <c r="J196" i="549" s="1"/>
  <c r="AP195" i="549"/>
  <c r="M195" i="549"/>
  <c r="J195" i="549"/>
  <c r="AP183" i="549"/>
  <c r="AO183" i="549"/>
  <c r="AP182" i="549"/>
  <c r="AO182" i="549"/>
  <c r="AP181" i="549"/>
  <c r="AP180" i="549"/>
  <c r="R173" i="549"/>
  <c r="AP172" i="549"/>
  <c r="AO172" i="549"/>
  <c r="AP171" i="549"/>
  <c r="AO171" i="549"/>
  <c r="AP170" i="549"/>
  <c r="P170" i="549"/>
  <c r="J170" i="549" s="1"/>
  <c r="AP169" i="549"/>
  <c r="M169" i="549"/>
  <c r="J169" i="549"/>
  <c r="AP161" i="549"/>
  <c r="AO161" i="549"/>
  <c r="AP160" i="549"/>
  <c r="AO160" i="549"/>
  <c r="AP159" i="549"/>
  <c r="P159" i="549"/>
  <c r="J159" i="549" s="1"/>
  <c r="AP158" i="549"/>
  <c r="M158" i="549"/>
  <c r="J158" i="549" s="1"/>
  <c r="I142" i="549"/>
  <c r="AP138" i="549"/>
  <c r="AO138" i="549"/>
  <c r="AP137" i="549"/>
  <c r="AP136" i="549"/>
  <c r="P136" i="549"/>
  <c r="J136" i="549" s="1"/>
  <c r="AP135" i="549"/>
  <c r="M135" i="549"/>
  <c r="J135" i="549" s="1"/>
  <c r="I123" i="549"/>
  <c r="AP119" i="549"/>
  <c r="AO119" i="549"/>
  <c r="AP118" i="549"/>
  <c r="AP117" i="549"/>
  <c r="P117" i="549"/>
  <c r="J117" i="549" s="1"/>
  <c r="AP116" i="549"/>
  <c r="M116" i="549"/>
  <c r="J116" i="549" s="1"/>
  <c r="AP106" i="549"/>
  <c r="AO106" i="549"/>
  <c r="AP105" i="549"/>
  <c r="AP104" i="549"/>
  <c r="P104" i="549"/>
  <c r="J104" i="549" s="1"/>
  <c r="AP103" i="549"/>
  <c r="M103" i="549"/>
  <c r="J103" i="549"/>
  <c r="AP94" i="549"/>
  <c r="AO94" i="549"/>
  <c r="AP93" i="549"/>
  <c r="AP92" i="549"/>
  <c r="P92" i="549"/>
  <c r="J92" i="549" s="1"/>
  <c r="J93" i="549" s="1"/>
  <c r="H93" i="549" s="1"/>
  <c r="AP91" i="549"/>
  <c r="M91" i="549"/>
  <c r="J91" i="549"/>
  <c r="AP78" i="549"/>
  <c r="AO78" i="549"/>
  <c r="AP77" i="549"/>
  <c r="AP76" i="549"/>
  <c r="P76" i="549"/>
  <c r="J76" i="549"/>
  <c r="AP75" i="549"/>
  <c r="M75" i="549"/>
  <c r="J75" i="549" s="1"/>
  <c r="J77" i="549" s="1"/>
  <c r="H77" i="549" s="1"/>
  <c r="AP65" i="549"/>
  <c r="AO65" i="549"/>
  <c r="AP64" i="549"/>
  <c r="AP63" i="549"/>
  <c r="P63" i="549"/>
  <c r="J63" i="549" s="1"/>
  <c r="AP62" i="549"/>
  <c r="M62" i="549"/>
  <c r="J62" i="549" s="1"/>
  <c r="AP54" i="549"/>
  <c r="AO54" i="549"/>
  <c r="AP53" i="549"/>
  <c r="AO53" i="549"/>
  <c r="AP52" i="549"/>
  <c r="P52" i="549"/>
  <c r="J52" i="549" s="1"/>
  <c r="AP51" i="549"/>
  <c r="M51" i="549"/>
  <c r="J51" i="549" s="1"/>
  <c r="I39" i="549"/>
  <c r="AI38" i="549"/>
  <c r="AI57" i="549" s="1"/>
  <c r="AI68" i="549" s="1"/>
  <c r="AI81" i="549" s="1"/>
  <c r="AI97" i="549" s="1"/>
  <c r="AI109" i="549" s="1"/>
  <c r="AI122" i="549" s="1"/>
  <c r="AI141" i="549" s="1"/>
  <c r="AI164" i="549" s="1"/>
  <c r="AI175" i="549" s="1"/>
  <c r="AI186" i="549" s="1"/>
  <c r="AI201" i="549" s="1"/>
  <c r="AI215" i="549" s="1"/>
  <c r="AI240" i="549" s="1"/>
  <c r="AI254" i="549" s="1"/>
  <c r="AI265" i="549" s="1"/>
  <c r="AI276" i="549" s="1"/>
  <c r="AI287" i="549" s="1"/>
  <c r="AI307" i="549" s="1"/>
  <c r="AI326" i="549" s="1"/>
  <c r="AI339" i="549" s="1"/>
  <c r="AI359" i="549" s="1"/>
  <c r="AI375" i="549" s="1"/>
  <c r="AI386" i="549" s="1"/>
  <c r="AP36" i="549"/>
  <c r="AP35" i="549"/>
  <c r="AP34" i="549"/>
  <c r="AP33" i="549"/>
  <c r="P33" i="549"/>
  <c r="J33" i="549" s="1"/>
  <c r="AP32" i="549"/>
  <c r="M32" i="549"/>
  <c r="J32" i="549" s="1"/>
  <c r="AP31" i="549"/>
  <c r="R21" i="549"/>
  <c r="AP19" i="549"/>
  <c r="A19" i="549"/>
  <c r="A39" i="549" s="1"/>
  <c r="A58" i="549" s="1"/>
  <c r="P17" i="549"/>
  <c r="M17" i="549"/>
  <c r="AP16" i="549"/>
  <c r="AO16" i="549"/>
  <c r="AP15" i="549"/>
  <c r="AP14" i="549"/>
  <c r="AO14" i="549"/>
  <c r="AP13" i="549"/>
  <c r="P13" i="549"/>
  <c r="J13" i="549"/>
  <c r="AP12" i="549"/>
  <c r="M12" i="549"/>
  <c r="J12" i="549" s="1"/>
  <c r="AP11" i="549"/>
  <c r="I3" i="549"/>
  <c r="AQ2" i="549"/>
  <c r="AP2" i="549"/>
  <c r="AR2" i="549"/>
  <c r="R382" i="532"/>
  <c r="H462" i="532"/>
  <c r="G431" i="532"/>
  <c r="H429" i="532"/>
  <c r="H393" i="532"/>
  <c r="H391" i="532"/>
  <c r="H340" i="532"/>
  <c r="H262" i="532"/>
  <c r="H263" i="532"/>
  <c r="H264" i="532"/>
  <c r="H265" i="532"/>
  <c r="H237" i="532"/>
  <c r="H186" i="532"/>
  <c r="H89" i="532"/>
  <c r="G318" i="532"/>
  <c r="G79" i="532"/>
  <c r="H463" i="532"/>
  <c r="P463" i="532"/>
  <c r="P461" i="532"/>
  <c r="M463" i="532"/>
  <c r="M461" i="532"/>
  <c r="R31" i="532"/>
  <c r="M2" i="532"/>
  <c r="P63" i="532"/>
  <c r="M63" i="532"/>
  <c r="Q63" i="532" s="1"/>
  <c r="U2" i="532"/>
  <c r="E444" i="532"/>
  <c r="H444" i="532" s="1"/>
  <c r="E428" i="532"/>
  <c r="H428" i="532"/>
  <c r="E427" i="532"/>
  <c r="H427" i="532" s="1"/>
  <c r="I441" i="532"/>
  <c r="U426" i="532"/>
  <c r="I424" i="532"/>
  <c r="I414" i="532"/>
  <c r="I404" i="532"/>
  <c r="P395" i="532"/>
  <c r="Q395" i="532"/>
  <c r="U389" i="532"/>
  <c r="E392" i="532"/>
  <c r="H392" i="532"/>
  <c r="E390" i="532"/>
  <c r="H390" i="532" s="1"/>
  <c r="I387" i="532"/>
  <c r="I385" i="532"/>
  <c r="R197" i="532"/>
  <c r="AO382" i="532"/>
  <c r="R373" i="532"/>
  <c r="U371" i="532"/>
  <c r="F370" i="532"/>
  <c r="E372" i="532"/>
  <c r="H372" i="532" s="1"/>
  <c r="E368" i="532"/>
  <c r="I366" i="532"/>
  <c r="U341" i="532"/>
  <c r="H352" i="532"/>
  <c r="E353" i="532"/>
  <c r="I350" i="532"/>
  <c r="P335" i="532"/>
  <c r="Q335" i="532" s="1"/>
  <c r="Q332" i="532"/>
  <c r="U334" i="532"/>
  <c r="M334" i="532"/>
  <c r="F331" i="532"/>
  <c r="E339" i="532"/>
  <c r="H339" i="532"/>
  <c r="U312" i="532"/>
  <c r="U311" i="532"/>
  <c r="U317" i="532"/>
  <c r="U316" i="532"/>
  <c r="F315" i="532"/>
  <c r="E309" i="532"/>
  <c r="H309" i="532"/>
  <c r="E308" i="532"/>
  <c r="H308" i="532" s="1"/>
  <c r="E307" i="532"/>
  <c r="H307" i="532" s="1"/>
  <c r="I329" i="532"/>
  <c r="I303" i="532"/>
  <c r="I293" i="532"/>
  <c r="I283" i="532"/>
  <c r="U266" i="532"/>
  <c r="E260" i="532"/>
  <c r="Q270" i="532"/>
  <c r="P272" i="532"/>
  <c r="E261" i="532"/>
  <c r="H261" i="532" s="1"/>
  <c r="I258" i="532"/>
  <c r="U238" i="532"/>
  <c r="U247" i="532"/>
  <c r="U246" i="532"/>
  <c r="U206" i="532"/>
  <c r="U205" i="532"/>
  <c r="F234" i="532"/>
  <c r="E242" i="532"/>
  <c r="E236" i="532"/>
  <c r="H236" i="532" s="1"/>
  <c r="E235" i="532"/>
  <c r="H235" i="532" s="1"/>
  <c r="I232" i="532"/>
  <c r="E189" i="532"/>
  <c r="U173" i="532"/>
  <c r="F221" i="532"/>
  <c r="I219" i="532"/>
  <c r="E222" i="532"/>
  <c r="H222" i="532"/>
  <c r="U127" i="532"/>
  <c r="U128" i="532"/>
  <c r="G99" i="532"/>
  <c r="G78" i="532"/>
  <c r="G16" i="532"/>
  <c r="G10" i="532"/>
  <c r="G204" i="532"/>
  <c r="G190" i="532"/>
  <c r="G188" i="532"/>
  <c r="G162" i="532"/>
  <c r="G149" i="532"/>
  <c r="G114" i="532"/>
  <c r="G97" i="532"/>
  <c r="G77" i="532"/>
  <c r="G46" i="532"/>
  <c r="F204" i="532"/>
  <c r="R183" i="532"/>
  <c r="I200" i="532"/>
  <c r="I202" i="532"/>
  <c r="E208" i="532"/>
  <c r="H208" i="532" s="1"/>
  <c r="I195" i="532"/>
  <c r="R461" i="532"/>
  <c r="R463" i="532" s="1"/>
  <c r="M191" i="532"/>
  <c r="Q191" i="532" s="1"/>
  <c r="U191" i="532"/>
  <c r="F188" i="532"/>
  <c r="F190" i="532"/>
  <c r="I184" i="532"/>
  <c r="D187" i="532"/>
  <c r="H461" i="532"/>
  <c r="E172" i="532"/>
  <c r="H172" i="532" s="1"/>
  <c r="E171" i="532"/>
  <c r="H171" i="532" s="1"/>
  <c r="F162" i="532"/>
  <c r="I160" i="532"/>
  <c r="AP455" i="532"/>
  <c r="AO455" i="532"/>
  <c r="AP454" i="532"/>
  <c r="AO454" i="532"/>
  <c r="AP453" i="532"/>
  <c r="P453" i="532"/>
  <c r="J453" i="532" s="1"/>
  <c r="AP452" i="532"/>
  <c r="M452" i="532"/>
  <c r="J452" i="532" s="1"/>
  <c r="AP437" i="532"/>
  <c r="AO437" i="532"/>
  <c r="AP436" i="532"/>
  <c r="AO436" i="532"/>
  <c r="AP435" i="532"/>
  <c r="P435" i="532"/>
  <c r="J435" i="532"/>
  <c r="AP434" i="532"/>
  <c r="M434" i="532"/>
  <c r="J434" i="532" s="1"/>
  <c r="AP420" i="532"/>
  <c r="AO420" i="532"/>
  <c r="AP419" i="532"/>
  <c r="AO419" i="532"/>
  <c r="AP418" i="532"/>
  <c r="P418" i="532"/>
  <c r="J418" i="532" s="1"/>
  <c r="AP417" i="532"/>
  <c r="M417" i="532"/>
  <c r="J417" i="532" s="1"/>
  <c r="AP410" i="532"/>
  <c r="AO410" i="532"/>
  <c r="AP409" i="532"/>
  <c r="AO409" i="532"/>
  <c r="AP408" i="532"/>
  <c r="P408" i="532"/>
  <c r="AP407" i="532"/>
  <c r="M407" i="532"/>
  <c r="J407" i="532" s="1"/>
  <c r="AP400" i="532"/>
  <c r="AO400" i="532"/>
  <c r="AP399" i="532"/>
  <c r="AO399" i="532"/>
  <c r="AP398" i="532"/>
  <c r="P398" i="532"/>
  <c r="J398" i="532"/>
  <c r="AP397" i="532"/>
  <c r="M397" i="532"/>
  <c r="J397" i="532"/>
  <c r="AP381" i="532"/>
  <c r="AO381" i="532"/>
  <c r="AP380" i="532"/>
  <c r="AO380" i="532"/>
  <c r="AP379" i="532"/>
  <c r="P379" i="532"/>
  <c r="J379" i="532"/>
  <c r="AP378" i="532"/>
  <c r="M378" i="532"/>
  <c r="J378" i="532" s="1"/>
  <c r="AP362" i="532"/>
  <c r="AO362" i="532"/>
  <c r="AP361" i="532"/>
  <c r="AO361" i="532"/>
  <c r="AP360" i="532"/>
  <c r="P360" i="532"/>
  <c r="J360" i="532" s="1"/>
  <c r="AP359" i="532"/>
  <c r="M359" i="532"/>
  <c r="J359" i="532"/>
  <c r="AP346" i="532"/>
  <c r="AO346" i="532"/>
  <c r="AP345" i="532"/>
  <c r="AO345" i="532"/>
  <c r="AP344" i="532"/>
  <c r="P344" i="532"/>
  <c r="J344" i="532" s="1"/>
  <c r="AP343" i="532"/>
  <c r="M343" i="532"/>
  <c r="J343" i="532" s="1"/>
  <c r="AP325" i="532"/>
  <c r="AO325" i="532"/>
  <c r="AP324" i="532"/>
  <c r="AO324" i="532"/>
  <c r="AP323" i="532"/>
  <c r="P323" i="532"/>
  <c r="J323" i="532" s="1"/>
  <c r="AP322" i="532"/>
  <c r="M322" i="532"/>
  <c r="J322" i="532"/>
  <c r="AP299" i="532"/>
  <c r="AO299" i="532"/>
  <c r="AP298" i="532"/>
  <c r="AO298" i="532"/>
  <c r="AP297" i="532"/>
  <c r="P297" i="532"/>
  <c r="J297" i="532" s="1"/>
  <c r="AP296" i="532"/>
  <c r="M296" i="532"/>
  <c r="J296" i="532"/>
  <c r="AP289" i="532"/>
  <c r="AO289" i="532"/>
  <c r="AP288" i="532"/>
  <c r="AO288" i="532"/>
  <c r="AP287" i="532"/>
  <c r="P287" i="532"/>
  <c r="J287" i="532" s="1"/>
  <c r="AP286" i="532"/>
  <c r="M286" i="532"/>
  <c r="J286" i="532"/>
  <c r="AP279" i="532"/>
  <c r="AO279" i="532"/>
  <c r="AP278" i="532"/>
  <c r="AO278" i="532"/>
  <c r="AP277" i="532"/>
  <c r="P277" i="532"/>
  <c r="J277" i="532" s="1"/>
  <c r="AP276" i="532"/>
  <c r="M276" i="532"/>
  <c r="J276" i="532"/>
  <c r="AP254" i="532"/>
  <c r="AO254" i="532"/>
  <c r="AP253" i="532"/>
  <c r="AO253" i="532"/>
  <c r="AP252" i="532"/>
  <c r="P252" i="532"/>
  <c r="J252" i="532" s="1"/>
  <c r="AP251" i="532"/>
  <c r="M251" i="532"/>
  <c r="J251" i="532"/>
  <c r="AP228" i="532"/>
  <c r="AO228" i="532"/>
  <c r="AP227" i="532"/>
  <c r="AO227" i="532"/>
  <c r="AP226" i="532"/>
  <c r="P226" i="532"/>
  <c r="J226" i="532" s="1"/>
  <c r="J227" i="532" s="1"/>
  <c r="H227" i="532" s="1"/>
  <c r="AP225" i="532"/>
  <c r="M225" i="532"/>
  <c r="AP215" i="532"/>
  <c r="AO215" i="532"/>
  <c r="AP214" i="532"/>
  <c r="AO214" i="532"/>
  <c r="AP213" i="532"/>
  <c r="P213" i="532"/>
  <c r="J213" i="532"/>
  <c r="AP212" i="532"/>
  <c r="M212" i="532"/>
  <c r="J212" i="532" s="1"/>
  <c r="AP196" i="532"/>
  <c r="AO196" i="532"/>
  <c r="AP195" i="532"/>
  <c r="AO195" i="532"/>
  <c r="AP194" i="532"/>
  <c r="P194" i="532"/>
  <c r="J194" i="532"/>
  <c r="AP193" i="532"/>
  <c r="M193" i="532"/>
  <c r="J193" i="532" s="1"/>
  <c r="AP167" i="532"/>
  <c r="AO167" i="532"/>
  <c r="AP166" i="532"/>
  <c r="AO166" i="532"/>
  <c r="AP165" i="532"/>
  <c r="P165" i="532"/>
  <c r="J165" i="532"/>
  <c r="AP164" i="532"/>
  <c r="M164" i="532"/>
  <c r="J164" i="532" s="1"/>
  <c r="AP156" i="532"/>
  <c r="AO156" i="532"/>
  <c r="AP155" i="532"/>
  <c r="AO155" i="532"/>
  <c r="AP154" i="532"/>
  <c r="P154" i="532"/>
  <c r="J154" i="532"/>
  <c r="AP153" i="532"/>
  <c r="M153" i="532"/>
  <c r="J153" i="532" s="1"/>
  <c r="F149" i="532"/>
  <c r="I147" i="532"/>
  <c r="U129" i="532"/>
  <c r="F114" i="532"/>
  <c r="U98" i="532"/>
  <c r="F97" i="532"/>
  <c r="F77" i="532"/>
  <c r="U62" i="532"/>
  <c r="U61" i="532"/>
  <c r="F60" i="532"/>
  <c r="F46" i="532"/>
  <c r="P100" i="532"/>
  <c r="V100" i="532"/>
  <c r="I135" i="532"/>
  <c r="AP143" i="532"/>
  <c r="AO143" i="532"/>
  <c r="AP142" i="532"/>
  <c r="AO142" i="532"/>
  <c r="AP141" i="532"/>
  <c r="P141" i="532"/>
  <c r="J141" i="532"/>
  <c r="AP140" i="532"/>
  <c r="M140" i="532"/>
  <c r="J140" i="532" s="1"/>
  <c r="AO105" i="532"/>
  <c r="AP120" i="532"/>
  <c r="AO120" i="532"/>
  <c r="AP119" i="532"/>
  <c r="AO119" i="532"/>
  <c r="AP118" i="532"/>
  <c r="P118" i="532"/>
  <c r="J118" i="532" s="1"/>
  <c r="AP117" i="532"/>
  <c r="M117" i="532"/>
  <c r="J117" i="532"/>
  <c r="I112" i="532"/>
  <c r="I113" i="532"/>
  <c r="I95" i="532"/>
  <c r="P98" i="532"/>
  <c r="AP105" i="532"/>
  <c r="AP104" i="532"/>
  <c r="AO104" i="532"/>
  <c r="AP103" i="532"/>
  <c r="P103" i="532"/>
  <c r="J103" i="532"/>
  <c r="AP102" i="532"/>
  <c r="M102" i="532"/>
  <c r="J102" i="532" s="1"/>
  <c r="P62" i="532"/>
  <c r="M62" i="532"/>
  <c r="P61" i="532"/>
  <c r="M61" i="532"/>
  <c r="I75" i="532"/>
  <c r="AP84" i="532"/>
  <c r="AO84" i="532"/>
  <c r="AP83" i="532"/>
  <c r="AO83" i="532"/>
  <c r="AP82" i="532"/>
  <c r="P82" i="532"/>
  <c r="AP81" i="532"/>
  <c r="M81" i="532"/>
  <c r="J81" i="532" s="1"/>
  <c r="H55" i="532"/>
  <c r="N28" i="532"/>
  <c r="N43" i="532"/>
  <c r="I3" i="532"/>
  <c r="I28" i="532" s="1"/>
  <c r="I30" i="532" s="1"/>
  <c r="I4" i="532"/>
  <c r="AP36" i="532"/>
  <c r="AP21" i="532"/>
  <c r="A29" i="532"/>
  <c r="AO41" i="532"/>
  <c r="M22" i="532"/>
  <c r="J22" i="532"/>
  <c r="AP22" i="532"/>
  <c r="P23" i="532"/>
  <c r="J23" i="532" s="1"/>
  <c r="AP23" i="532"/>
  <c r="AO24" i="532"/>
  <c r="AP24" i="532"/>
  <c r="AP25" i="532"/>
  <c r="I58" i="532"/>
  <c r="AP69" i="532"/>
  <c r="AO69" i="532"/>
  <c r="AP68" i="532"/>
  <c r="AP67" i="532"/>
  <c r="P67" i="532"/>
  <c r="J67" i="532"/>
  <c r="AP66" i="532"/>
  <c r="M66" i="532"/>
  <c r="J66" i="532" s="1"/>
  <c r="I44" i="532"/>
  <c r="AP51" i="532"/>
  <c r="AO51" i="532"/>
  <c r="AP50" i="532"/>
  <c r="AO50" i="532"/>
  <c r="AP49" i="532"/>
  <c r="P49" i="532"/>
  <c r="AP48" i="532"/>
  <c r="M48" i="532"/>
  <c r="J48" i="532" s="1"/>
  <c r="AP39" i="532"/>
  <c r="AO26" i="532"/>
  <c r="AP41" i="532"/>
  <c r="M37" i="532"/>
  <c r="J37" i="532"/>
  <c r="AP37" i="532"/>
  <c r="P38" i="532"/>
  <c r="J38" i="532" s="1"/>
  <c r="AP38" i="532"/>
  <c r="AP40" i="532"/>
  <c r="AP26" i="532"/>
  <c r="P18" i="532"/>
  <c r="V18" i="532"/>
  <c r="M14" i="532"/>
  <c r="U7" i="532"/>
  <c r="P27" i="532"/>
  <c r="P16" i="532"/>
  <c r="P15" i="532"/>
  <c r="P14" i="532"/>
  <c r="P13" i="532"/>
  <c r="P12" i="532"/>
  <c r="P11" i="532"/>
  <c r="P10" i="532"/>
  <c r="P9" i="532"/>
  <c r="P7" i="532"/>
  <c r="P6" i="532"/>
  <c r="P5" i="532"/>
  <c r="P2" i="532"/>
  <c r="AO2" i="532"/>
  <c r="M5" i="532"/>
  <c r="M6" i="532"/>
  <c r="M7" i="532"/>
  <c r="M8" i="532"/>
  <c r="M27" i="532"/>
  <c r="K28" i="532"/>
  <c r="K43" i="532" s="1"/>
  <c r="K54" i="532" s="1"/>
  <c r="K72" i="532" s="1"/>
  <c r="K87" i="532" s="1"/>
  <c r="Q12" i="532"/>
  <c r="E124" i="532"/>
  <c r="H124" i="532" s="1"/>
  <c r="E125" i="532"/>
  <c r="H125" i="532" s="1"/>
  <c r="E109" i="532"/>
  <c r="H109" i="532" s="1"/>
  <c r="E88" i="532"/>
  <c r="H88" i="532" s="1"/>
  <c r="E93" i="532"/>
  <c r="C462" i="532" s="1"/>
  <c r="E73" i="532"/>
  <c r="H73" i="532" s="1"/>
  <c r="E8" i="532"/>
  <c r="H460" i="532" s="1"/>
  <c r="E6" i="532"/>
  <c r="G6" i="532" s="1"/>
  <c r="F28" i="532"/>
  <c r="F43" i="532" s="1"/>
  <c r="E5" i="532"/>
  <c r="H5" i="532" s="1"/>
  <c r="J408" i="532"/>
  <c r="J225" i="532"/>
  <c r="J82" i="532"/>
  <c r="P8" i="532"/>
  <c r="J49" i="532"/>
  <c r="AI43" i="532"/>
  <c r="AI54" i="532"/>
  <c r="AI72" i="532" s="1"/>
  <c r="AI87" i="532" s="1"/>
  <c r="AI108" i="532" s="1"/>
  <c r="AI123" i="532" s="1"/>
  <c r="AI146" i="532" s="1"/>
  <c r="AI159" i="532" s="1"/>
  <c r="AI170" i="532" s="1"/>
  <c r="AI199" i="532" s="1"/>
  <c r="AI218" i="532" s="1"/>
  <c r="AI231" i="532" s="1"/>
  <c r="AI257" i="532" s="1"/>
  <c r="AI282" i="532" s="1"/>
  <c r="AI292" i="532" s="1"/>
  <c r="AI302" i="532" s="1"/>
  <c r="AI328" i="532" s="1"/>
  <c r="AI349" i="532" s="1"/>
  <c r="AI365" i="532" s="1"/>
  <c r="AI384" i="532" s="1"/>
  <c r="AI403" i="532" s="1"/>
  <c r="AI413" i="532" s="1"/>
  <c r="AI423" i="532" s="1"/>
  <c r="AI440" i="532" s="1"/>
  <c r="AI458" i="532" s="1"/>
  <c r="AI2" i="549" s="1"/>
  <c r="AJ28" i="532"/>
  <c r="AJ43" i="532"/>
  <c r="AJ54" i="532" s="1"/>
  <c r="AJ72" i="532" s="1"/>
  <c r="AJ87" i="532" s="1"/>
  <c r="AJ108" i="532" s="1"/>
  <c r="AJ123" i="532" s="1"/>
  <c r="AJ146" i="532" s="1"/>
  <c r="AJ159" i="532" s="1"/>
  <c r="AJ170" i="532" s="1"/>
  <c r="AJ199" i="532" s="1"/>
  <c r="AJ218" i="532" s="1"/>
  <c r="AJ231" i="532" s="1"/>
  <c r="AJ257" i="532" s="1"/>
  <c r="AJ282" i="532" s="1"/>
  <c r="AJ292" i="532" s="1"/>
  <c r="AJ302" i="532" s="1"/>
  <c r="AJ328" i="532" s="1"/>
  <c r="AJ349" i="532" s="1"/>
  <c r="AJ365" i="532" s="1"/>
  <c r="AJ384" i="532" s="1"/>
  <c r="AJ403" i="532" s="1"/>
  <c r="AJ413" i="532" s="1"/>
  <c r="AJ423" i="532" s="1"/>
  <c r="AJ440" i="532" s="1"/>
  <c r="AJ458" i="532" s="1"/>
  <c r="AJ2" i="549" s="1"/>
  <c r="AJ18" i="549" s="1"/>
  <c r="AJ38" i="549" s="1"/>
  <c r="AJ57" i="549" s="1"/>
  <c r="AJ68" i="549" s="1"/>
  <c r="AJ81" i="549" s="1"/>
  <c r="AJ97" i="549" s="1"/>
  <c r="AJ109" i="549" s="1"/>
  <c r="AJ122" i="549" s="1"/>
  <c r="AJ141" i="549" s="1"/>
  <c r="AJ164" i="549" s="1"/>
  <c r="AJ175" i="549" s="1"/>
  <c r="AJ186" i="549" s="1"/>
  <c r="AJ201" i="549" s="1"/>
  <c r="AJ215" i="549" s="1"/>
  <c r="AJ240" i="549" s="1"/>
  <c r="AJ254" i="549" s="1"/>
  <c r="AJ265" i="549" s="1"/>
  <c r="AJ276" i="549" s="1"/>
  <c r="AJ287" i="549" s="1"/>
  <c r="AJ307" i="549" s="1"/>
  <c r="AJ326" i="549" s="1"/>
  <c r="AJ339" i="549" s="1"/>
  <c r="AJ359" i="549" s="1"/>
  <c r="AJ375" i="549" s="1"/>
  <c r="AJ386" i="549" s="1"/>
  <c r="AP29" i="532"/>
  <c r="AQ2" i="532"/>
  <c r="AP2" i="532"/>
  <c r="R28" i="532"/>
  <c r="W28" i="532"/>
  <c r="W43" i="532"/>
  <c r="W54" i="532" s="1"/>
  <c r="W72" i="532" s="1"/>
  <c r="W87" i="532" s="1"/>
  <c r="W108" i="532" s="1"/>
  <c r="W123" i="532" s="1"/>
  <c r="W146" i="532" s="1"/>
  <c r="W159" i="532" s="1"/>
  <c r="W170" i="532" s="1"/>
  <c r="W199" i="532" s="1"/>
  <c r="W218" i="532" s="1"/>
  <c r="W231" i="532" s="1"/>
  <c r="W257" i="532" s="1"/>
  <c r="W282" i="532" s="1"/>
  <c r="W292" i="532" s="1"/>
  <c r="W302" i="532" s="1"/>
  <c r="W328" i="532" s="1"/>
  <c r="W349" i="532" s="1"/>
  <c r="W365" i="532" s="1"/>
  <c r="W384" i="532" s="1"/>
  <c r="W403" i="532" s="1"/>
  <c r="W413" i="532" s="1"/>
  <c r="W423" i="532" s="1"/>
  <c r="W440" i="532" s="1"/>
  <c r="W458" i="532" s="1"/>
  <c r="W2" i="549" s="1"/>
  <c r="W18" i="549" s="1"/>
  <c r="W38" i="549" s="1"/>
  <c r="W57" i="549" s="1"/>
  <c r="W68" i="549" s="1"/>
  <c r="W81" i="549" s="1"/>
  <c r="W97" i="549" s="1"/>
  <c r="W109" i="549" s="1"/>
  <c r="W122" i="549" s="1"/>
  <c r="W141" i="549" s="1"/>
  <c r="W164" i="549" s="1"/>
  <c r="W175" i="549" s="1"/>
  <c r="W186" i="549" s="1"/>
  <c r="W201" i="549" s="1"/>
  <c r="W215" i="549" s="1"/>
  <c r="W240" i="549" s="1"/>
  <c r="W254" i="549" s="1"/>
  <c r="W265" i="549" s="1"/>
  <c r="W276" i="549" s="1"/>
  <c r="W287" i="549" s="1"/>
  <c r="W307" i="549" s="1"/>
  <c r="W326" i="549" s="1"/>
  <c r="W339" i="549" s="1"/>
  <c r="W359" i="549" s="1"/>
  <c r="W375" i="549" s="1"/>
  <c r="W386" i="549" s="1"/>
  <c r="X28" i="532"/>
  <c r="X43" i="532"/>
  <c r="X54" i="532" s="1"/>
  <c r="X72" i="532" s="1"/>
  <c r="X87" i="532" s="1"/>
  <c r="X108" i="532" s="1"/>
  <c r="X123" i="532" s="1"/>
  <c r="X146" i="532" s="1"/>
  <c r="X159" i="532" s="1"/>
  <c r="X170" i="532" s="1"/>
  <c r="X199" i="532" s="1"/>
  <c r="X218" i="532" s="1"/>
  <c r="X231" i="532" s="1"/>
  <c r="X257" i="532" s="1"/>
  <c r="X282" i="532" s="1"/>
  <c r="X292" i="532" s="1"/>
  <c r="X302" i="532" s="1"/>
  <c r="X328" i="532" s="1"/>
  <c r="X349" i="532" s="1"/>
  <c r="X365" i="532" s="1"/>
  <c r="X384" i="532" s="1"/>
  <c r="X403" i="532" s="1"/>
  <c r="X413" i="532" s="1"/>
  <c r="X423" i="532" s="1"/>
  <c r="X440" i="532" s="1"/>
  <c r="X458" i="532" s="1"/>
  <c r="X2" i="549" s="1"/>
  <c r="X18" i="549" s="1"/>
  <c r="X38" i="549" s="1"/>
  <c r="X57" i="549" s="1"/>
  <c r="X68" i="549" s="1"/>
  <c r="X81" i="549" s="1"/>
  <c r="X97" i="549" s="1"/>
  <c r="X109" i="549" s="1"/>
  <c r="X122" i="549" s="1"/>
  <c r="X141" i="549" s="1"/>
  <c r="X164" i="549" s="1"/>
  <c r="X175" i="549" s="1"/>
  <c r="X186" i="549" s="1"/>
  <c r="X201" i="549" s="1"/>
  <c r="X215" i="549" s="1"/>
  <c r="X240" i="549" s="1"/>
  <c r="X254" i="549" s="1"/>
  <c r="X265" i="549" s="1"/>
  <c r="X276" i="549" s="1"/>
  <c r="X287" i="549" s="1"/>
  <c r="X307" i="549" s="1"/>
  <c r="X326" i="549" s="1"/>
  <c r="X339" i="549" s="1"/>
  <c r="X359" i="549" s="1"/>
  <c r="X375" i="549" s="1"/>
  <c r="X386" i="549" s="1"/>
  <c r="AF28" i="532"/>
  <c r="AF43" i="532"/>
  <c r="AF54" i="532" s="1"/>
  <c r="AF72" i="532" s="1"/>
  <c r="AF87" i="532" s="1"/>
  <c r="AF108" i="532" s="1"/>
  <c r="AF123" i="532" s="1"/>
  <c r="AF146" i="532" s="1"/>
  <c r="AF159" i="532" s="1"/>
  <c r="AF170" i="532" s="1"/>
  <c r="AF199" i="532" s="1"/>
  <c r="AF218" i="532" s="1"/>
  <c r="AF231" i="532" s="1"/>
  <c r="AF257" i="532" s="1"/>
  <c r="AF282" i="532" s="1"/>
  <c r="AF292" i="532" s="1"/>
  <c r="AF302" i="532" s="1"/>
  <c r="AF328" i="532" s="1"/>
  <c r="AF349" i="532" s="1"/>
  <c r="AF365" i="532" s="1"/>
  <c r="AF384" i="532" s="1"/>
  <c r="AF403" i="532" s="1"/>
  <c r="AF413" i="532" s="1"/>
  <c r="AF423" i="532" s="1"/>
  <c r="AF440" i="532" s="1"/>
  <c r="AF458" i="532" s="1"/>
  <c r="AF2" i="549" s="1"/>
  <c r="AF18" i="549" s="1"/>
  <c r="AF38" i="549" s="1"/>
  <c r="AF57" i="549" s="1"/>
  <c r="AF68" i="549" s="1"/>
  <c r="AF81" i="549" s="1"/>
  <c r="AF97" i="549" s="1"/>
  <c r="AF109" i="549" s="1"/>
  <c r="AF122" i="549" s="1"/>
  <c r="AF141" i="549" s="1"/>
  <c r="AF164" i="549" s="1"/>
  <c r="AF175" i="549" s="1"/>
  <c r="AF186" i="549" s="1"/>
  <c r="AF201" i="549" s="1"/>
  <c r="AF215" i="549" s="1"/>
  <c r="AF240" i="549" s="1"/>
  <c r="AF254" i="549" s="1"/>
  <c r="AF265" i="549" s="1"/>
  <c r="AF276" i="549" s="1"/>
  <c r="AF287" i="549" s="1"/>
  <c r="AF307" i="549" s="1"/>
  <c r="AF326" i="549" s="1"/>
  <c r="AF339" i="549" s="1"/>
  <c r="AF359" i="549" s="1"/>
  <c r="AF375" i="549" s="1"/>
  <c r="AF386" i="549" s="1"/>
  <c r="Y28" i="532"/>
  <c r="Y43" i="532"/>
  <c r="Y54" i="532" s="1"/>
  <c r="Y72" i="532" s="1"/>
  <c r="Y87" i="532" s="1"/>
  <c r="Y108" i="532" s="1"/>
  <c r="Y123" i="532" s="1"/>
  <c r="Y146" i="532" s="1"/>
  <c r="Y159" i="532" s="1"/>
  <c r="Y170" i="532" s="1"/>
  <c r="Y199" i="532" s="1"/>
  <c r="Y218" i="532" s="1"/>
  <c r="Y231" i="532" s="1"/>
  <c r="Y257" i="532" s="1"/>
  <c r="Y282" i="532" s="1"/>
  <c r="Y292" i="532" s="1"/>
  <c r="Y302" i="532" s="1"/>
  <c r="Y328" i="532" s="1"/>
  <c r="Y349" i="532" s="1"/>
  <c r="Y365" i="532" s="1"/>
  <c r="Y384" i="532" s="1"/>
  <c r="Y403" i="532" s="1"/>
  <c r="Y413" i="532" s="1"/>
  <c r="Y423" i="532" s="1"/>
  <c r="Y440" i="532" s="1"/>
  <c r="Y458" i="532" s="1"/>
  <c r="Y2" i="549" s="1"/>
  <c r="Y18" i="549" s="1"/>
  <c r="Y38" i="549" s="1"/>
  <c r="Y57" i="549" s="1"/>
  <c r="Y68" i="549" s="1"/>
  <c r="Y81" i="549" s="1"/>
  <c r="Y97" i="549" s="1"/>
  <c r="Y109" i="549" s="1"/>
  <c r="Y122" i="549" s="1"/>
  <c r="Y141" i="549" s="1"/>
  <c r="Y164" i="549" s="1"/>
  <c r="Y175" i="549" s="1"/>
  <c r="Y186" i="549" s="1"/>
  <c r="Y201" i="549" s="1"/>
  <c r="Y215" i="549" s="1"/>
  <c r="Y240" i="549" s="1"/>
  <c r="Y254" i="549" s="1"/>
  <c r="Y265" i="549" s="1"/>
  <c r="Y276" i="549" s="1"/>
  <c r="Y287" i="549" s="1"/>
  <c r="Y307" i="549" s="1"/>
  <c r="Y326" i="549" s="1"/>
  <c r="Y339" i="549" s="1"/>
  <c r="Y359" i="549" s="1"/>
  <c r="Y375" i="549" s="1"/>
  <c r="Y386" i="549" s="1"/>
  <c r="AL28" i="532"/>
  <c r="AL43" i="532"/>
  <c r="AL54" i="532" s="1"/>
  <c r="AL72" i="532" s="1"/>
  <c r="AL87" i="532" s="1"/>
  <c r="AL108" i="532" s="1"/>
  <c r="AL123" i="532" s="1"/>
  <c r="AL146" i="532" s="1"/>
  <c r="AL159" i="532" s="1"/>
  <c r="AL170" i="532" s="1"/>
  <c r="AL199" i="532" s="1"/>
  <c r="AL218" i="532" s="1"/>
  <c r="AL231" i="532" s="1"/>
  <c r="AL257" i="532" s="1"/>
  <c r="AL282" i="532" s="1"/>
  <c r="AL292" i="532" s="1"/>
  <c r="AL302" i="532" s="1"/>
  <c r="AL328" i="532" s="1"/>
  <c r="AL349" i="532" s="1"/>
  <c r="AL365" i="532" s="1"/>
  <c r="AL384" i="532" s="1"/>
  <c r="AL403" i="532" s="1"/>
  <c r="AL413" i="532" s="1"/>
  <c r="AL423" i="532" s="1"/>
  <c r="AL440" i="532" s="1"/>
  <c r="AL458" i="532" s="1"/>
  <c r="AL2" i="549" s="1"/>
  <c r="AL18" i="549" s="1"/>
  <c r="AL38" i="549" s="1"/>
  <c r="AL57" i="549" s="1"/>
  <c r="AL68" i="549" s="1"/>
  <c r="AL81" i="549" s="1"/>
  <c r="AL97" i="549" s="1"/>
  <c r="AL109" i="549" s="1"/>
  <c r="AL122" i="549" s="1"/>
  <c r="AL141" i="549" s="1"/>
  <c r="AL164" i="549" s="1"/>
  <c r="AL175" i="549" s="1"/>
  <c r="AL186" i="549" s="1"/>
  <c r="AL201" i="549" s="1"/>
  <c r="AL215" i="549" s="1"/>
  <c r="AL240" i="549" s="1"/>
  <c r="AL254" i="549" s="1"/>
  <c r="AL265" i="549" s="1"/>
  <c r="AL276" i="549" s="1"/>
  <c r="AL287" i="549" s="1"/>
  <c r="AL307" i="549" s="1"/>
  <c r="AL326" i="549" s="1"/>
  <c r="AL339" i="549" s="1"/>
  <c r="AL359" i="549" s="1"/>
  <c r="AL375" i="549" s="1"/>
  <c r="AL386" i="549" s="1"/>
  <c r="Z28" i="532"/>
  <c r="Z43" i="532"/>
  <c r="Z54" i="532" s="1"/>
  <c r="Z72" i="532" s="1"/>
  <c r="Z87" i="532" s="1"/>
  <c r="Z108" i="532" s="1"/>
  <c r="Z123" i="532" s="1"/>
  <c r="Z146" i="532" s="1"/>
  <c r="Z159" i="532" s="1"/>
  <c r="Z170" i="532" s="1"/>
  <c r="Z199" i="532" s="1"/>
  <c r="Z218" i="532" s="1"/>
  <c r="Z231" i="532" s="1"/>
  <c r="Z257" i="532" s="1"/>
  <c r="Z282" i="532" s="1"/>
  <c r="Z292" i="532" s="1"/>
  <c r="Z302" i="532" s="1"/>
  <c r="Z328" i="532" s="1"/>
  <c r="Z349" i="532" s="1"/>
  <c r="Z365" i="532" s="1"/>
  <c r="Z384" i="532" s="1"/>
  <c r="Z403" i="532" s="1"/>
  <c r="Z413" i="532" s="1"/>
  <c r="Z423" i="532" s="1"/>
  <c r="Z440" i="532" s="1"/>
  <c r="Z458" i="532" s="1"/>
  <c r="Z2" i="549" s="1"/>
  <c r="Z18" i="549" s="1"/>
  <c r="Z38" i="549" s="1"/>
  <c r="Z57" i="549" s="1"/>
  <c r="Z68" i="549" s="1"/>
  <c r="Z81" i="549" s="1"/>
  <c r="Z97" i="549" s="1"/>
  <c r="Z109" i="549" s="1"/>
  <c r="Z122" i="549" s="1"/>
  <c r="Z141" i="549" s="1"/>
  <c r="Z164" i="549" s="1"/>
  <c r="Z175" i="549" s="1"/>
  <c r="Z186" i="549" s="1"/>
  <c r="Z201" i="549" s="1"/>
  <c r="Z215" i="549" s="1"/>
  <c r="Z240" i="549" s="1"/>
  <c r="Z254" i="549" s="1"/>
  <c r="Z265" i="549" s="1"/>
  <c r="Z276" i="549" s="1"/>
  <c r="Z287" i="549" s="1"/>
  <c r="Z307" i="549" s="1"/>
  <c r="Z326" i="549" s="1"/>
  <c r="Z339" i="549" s="1"/>
  <c r="Z359" i="549" s="1"/>
  <c r="Z375" i="549" s="1"/>
  <c r="Z386" i="549" s="1"/>
  <c r="AH28" i="532"/>
  <c r="AH43" i="532"/>
  <c r="AH54" i="532" s="1"/>
  <c r="AH72" i="532" s="1"/>
  <c r="AH87" i="532" s="1"/>
  <c r="AH108" i="532" s="1"/>
  <c r="AH123" i="532" s="1"/>
  <c r="AH146" i="532" s="1"/>
  <c r="AH159" i="532" s="1"/>
  <c r="AH170" i="532" s="1"/>
  <c r="AH199" i="532" s="1"/>
  <c r="AH218" i="532" s="1"/>
  <c r="AH231" i="532" s="1"/>
  <c r="AH257" i="532" s="1"/>
  <c r="AH282" i="532" s="1"/>
  <c r="AH292" i="532" s="1"/>
  <c r="AH302" i="532" s="1"/>
  <c r="AH328" i="532" s="1"/>
  <c r="AH349" i="532" s="1"/>
  <c r="AH365" i="532" s="1"/>
  <c r="AH384" i="532" s="1"/>
  <c r="AH403" i="532" s="1"/>
  <c r="AH413" i="532" s="1"/>
  <c r="AH423" i="532" s="1"/>
  <c r="AH440" i="532" s="1"/>
  <c r="AH458" i="532" s="1"/>
  <c r="AH2" i="549" s="1"/>
  <c r="AH18" i="549" s="1"/>
  <c r="AH38" i="549" s="1"/>
  <c r="AH57" i="549" s="1"/>
  <c r="AH68" i="549" s="1"/>
  <c r="AH81" i="549" s="1"/>
  <c r="AH97" i="549" s="1"/>
  <c r="AH109" i="549" s="1"/>
  <c r="AH122" i="549" s="1"/>
  <c r="AH141" i="549" s="1"/>
  <c r="AH164" i="549" s="1"/>
  <c r="AH175" i="549" s="1"/>
  <c r="AH186" i="549" s="1"/>
  <c r="AH201" i="549" s="1"/>
  <c r="AH215" i="549" s="1"/>
  <c r="AH240" i="549" s="1"/>
  <c r="AH254" i="549" s="1"/>
  <c r="AH265" i="549" s="1"/>
  <c r="AH276" i="549" s="1"/>
  <c r="AH287" i="549" s="1"/>
  <c r="AH307" i="549" s="1"/>
  <c r="AH326" i="549" s="1"/>
  <c r="AH339" i="549" s="1"/>
  <c r="AH359" i="549" s="1"/>
  <c r="AH375" i="549" s="1"/>
  <c r="AH386" i="549" s="1"/>
  <c r="AG28" i="532"/>
  <c r="AG43" i="532"/>
  <c r="AG54" i="532" s="1"/>
  <c r="AG72" i="532" s="1"/>
  <c r="AG87" i="532" s="1"/>
  <c r="AG108" i="532" s="1"/>
  <c r="AG123" i="532" s="1"/>
  <c r="AG146" i="532" s="1"/>
  <c r="AG159" i="532" s="1"/>
  <c r="AG170" i="532" s="1"/>
  <c r="AG199" i="532" s="1"/>
  <c r="AG218" i="532" s="1"/>
  <c r="AG231" i="532" s="1"/>
  <c r="AG257" i="532" s="1"/>
  <c r="AG282" i="532" s="1"/>
  <c r="AG292" i="532" s="1"/>
  <c r="AG302" i="532" s="1"/>
  <c r="AG328" i="532" s="1"/>
  <c r="AG349" i="532" s="1"/>
  <c r="AG365" i="532" s="1"/>
  <c r="AG384" i="532" s="1"/>
  <c r="AG403" i="532" s="1"/>
  <c r="AG413" i="532" s="1"/>
  <c r="AG423" i="532" s="1"/>
  <c r="AG440" i="532" s="1"/>
  <c r="AG458" i="532" s="1"/>
  <c r="AG2" i="549" s="1"/>
  <c r="AG18" i="549" s="1"/>
  <c r="AG38" i="549" s="1"/>
  <c r="AG57" i="549" s="1"/>
  <c r="AG68" i="549" s="1"/>
  <c r="AG81" i="549" s="1"/>
  <c r="AG97" i="549" s="1"/>
  <c r="AG109" i="549" s="1"/>
  <c r="AG122" i="549" s="1"/>
  <c r="AG141" i="549" s="1"/>
  <c r="AG164" i="549" s="1"/>
  <c r="AG175" i="549" s="1"/>
  <c r="AG186" i="549" s="1"/>
  <c r="AG201" i="549" s="1"/>
  <c r="AG215" i="549" s="1"/>
  <c r="AG240" i="549" s="1"/>
  <c r="AG254" i="549" s="1"/>
  <c r="AG265" i="549" s="1"/>
  <c r="AG276" i="549" s="1"/>
  <c r="AG287" i="549" s="1"/>
  <c r="AG307" i="549" s="1"/>
  <c r="AG326" i="549" s="1"/>
  <c r="AG339" i="549" s="1"/>
  <c r="AG359" i="549" s="1"/>
  <c r="AG375" i="549" s="1"/>
  <c r="AG386" i="549" s="1"/>
  <c r="AG397" i="549" s="1"/>
  <c r="AG414" i="549" s="1"/>
  <c r="AG431" i="549" s="1"/>
  <c r="AG444" i="549" s="1"/>
  <c r="AG462" i="549" s="1"/>
  <c r="AE28" i="532"/>
  <c r="AE43" i="532" s="1"/>
  <c r="AE54" i="532" s="1"/>
  <c r="AE72" i="532" s="1"/>
  <c r="AE87" i="532" s="1"/>
  <c r="AE108" i="532" s="1"/>
  <c r="AE123" i="532" s="1"/>
  <c r="AE146" i="532" s="1"/>
  <c r="AE159" i="532" s="1"/>
  <c r="AE170" i="532" s="1"/>
  <c r="AE199" i="532" s="1"/>
  <c r="AE218" i="532" s="1"/>
  <c r="AE231" i="532" s="1"/>
  <c r="AE257" i="532" s="1"/>
  <c r="AE282" i="532" s="1"/>
  <c r="AE292" i="532" s="1"/>
  <c r="AE302" i="532" s="1"/>
  <c r="AE328" i="532" s="1"/>
  <c r="AE349" i="532" s="1"/>
  <c r="AE365" i="532" s="1"/>
  <c r="AE384" i="532" s="1"/>
  <c r="AE403" i="532" s="1"/>
  <c r="AE413" i="532" s="1"/>
  <c r="AE423" i="532" s="1"/>
  <c r="AE440" i="532" s="1"/>
  <c r="AE458" i="532" s="1"/>
  <c r="AE2" i="549" s="1"/>
  <c r="AE18" i="549" s="1"/>
  <c r="AE38" i="549" s="1"/>
  <c r="AE57" i="549" s="1"/>
  <c r="AE68" i="549" s="1"/>
  <c r="AE81" i="549" s="1"/>
  <c r="AE97" i="549" s="1"/>
  <c r="AE109" i="549" s="1"/>
  <c r="AE122" i="549" s="1"/>
  <c r="AE141" i="549" s="1"/>
  <c r="AE164" i="549" s="1"/>
  <c r="AE175" i="549" s="1"/>
  <c r="AE186" i="549" s="1"/>
  <c r="AE201" i="549" s="1"/>
  <c r="AE215" i="549" s="1"/>
  <c r="AE240" i="549" s="1"/>
  <c r="AE254" i="549" s="1"/>
  <c r="AE265" i="549" s="1"/>
  <c r="AE276" i="549" s="1"/>
  <c r="AE287" i="549" s="1"/>
  <c r="AE307" i="549" s="1"/>
  <c r="AE326" i="549" s="1"/>
  <c r="AE339" i="549" s="1"/>
  <c r="AE359" i="549" s="1"/>
  <c r="AE375" i="549" s="1"/>
  <c r="AE386" i="549" s="1"/>
  <c r="AB28" i="532"/>
  <c r="AB43" i="532" s="1"/>
  <c r="AB54" i="532" s="1"/>
  <c r="AB72" i="532" s="1"/>
  <c r="AB87" i="532"/>
  <c r="AB108" i="532" s="1"/>
  <c r="AB123" i="532" s="1"/>
  <c r="AB146" i="532" s="1"/>
  <c r="AB159" i="532"/>
  <c r="AB170" i="532" s="1"/>
  <c r="AB199" i="532" s="1"/>
  <c r="AB218" i="532" s="1"/>
  <c r="AB231" i="532" s="1"/>
  <c r="AB257" i="532" s="1"/>
  <c r="AB282" i="532" s="1"/>
  <c r="AB292" i="532" s="1"/>
  <c r="AB302" i="532" s="1"/>
  <c r="AB328" i="532" s="1"/>
  <c r="AB349" i="532" s="1"/>
  <c r="AB365" i="532" s="1"/>
  <c r="AB384" i="532" s="1"/>
  <c r="AB403" i="532" s="1"/>
  <c r="AB413" i="532" s="1"/>
  <c r="AB423" i="532" s="1"/>
  <c r="AB440" i="532" s="1"/>
  <c r="AB458" i="532" s="1"/>
  <c r="AB2" i="549" s="1"/>
  <c r="AB18" i="549" s="1"/>
  <c r="AB38" i="549" s="1"/>
  <c r="AB57" i="549" s="1"/>
  <c r="AB68" i="549" s="1"/>
  <c r="AB81" i="549" s="1"/>
  <c r="AB97" i="549" s="1"/>
  <c r="AB109" i="549" s="1"/>
  <c r="AB122" i="549" s="1"/>
  <c r="AB141" i="549" s="1"/>
  <c r="AB164" i="549" s="1"/>
  <c r="AB175" i="549" s="1"/>
  <c r="AB186" i="549" s="1"/>
  <c r="AB201" i="549" s="1"/>
  <c r="AB215" i="549" s="1"/>
  <c r="AB240" i="549" s="1"/>
  <c r="AB254" i="549" s="1"/>
  <c r="AB265" i="549" s="1"/>
  <c r="AB276" i="549" s="1"/>
  <c r="AB287" i="549" s="1"/>
  <c r="AB307" i="549" s="1"/>
  <c r="AB326" i="549" s="1"/>
  <c r="AB339" i="549" s="1"/>
  <c r="AB359" i="549" s="1"/>
  <c r="AB375" i="549" s="1"/>
  <c r="AB386" i="549" s="1"/>
  <c r="AB397" i="549" s="1"/>
  <c r="AB414" i="549" s="1"/>
  <c r="AB431" i="549" s="1"/>
  <c r="AB444" i="549" s="1"/>
  <c r="AB462" i="549" s="1"/>
  <c r="AM28" i="532"/>
  <c r="AM43" i="532" s="1"/>
  <c r="AM54" i="532" s="1"/>
  <c r="AM72" i="532" s="1"/>
  <c r="AM87" i="532" s="1"/>
  <c r="AM108" i="532" s="1"/>
  <c r="AM123" i="532" s="1"/>
  <c r="AM146" i="532" s="1"/>
  <c r="AM159" i="532" s="1"/>
  <c r="AM170" i="532" s="1"/>
  <c r="AM199" i="532" s="1"/>
  <c r="AM218" i="532" s="1"/>
  <c r="AM231" i="532" s="1"/>
  <c r="AM257" i="532" s="1"/>
  <c r="AM282" i="532" s="1"/>
  <c r="AM292" i="532" s="1"/>
  <c r="AM302" i="532" s="1"/>
  <c r="AM328" i="532" s="1"/>
  <c r="AM349" i="532" s="1"/>
  <c r="AM365" i="532" s="1"/>
  <c r="AM384" i="532" s="1"/>
  <c r="AM403" i="532" s="1"/>
  <c r="AM413" i="532" s="1"/>
  <c r="AM423" i="532" s="1"/>
  <c r="AM440" i="532" s="1"/>
  <c r="AM458" i="532" s="1"/>
  <c r="AM2" i="549" s="1"/>
  <c r="AM18" i="549" s="1"/>
  <c r="AM38" i="549" s="1"/>
  <c r="AM57" i="549" s="1"/>
  <c r="AM68" i="549" s="1"/>
  <c r="AM81" i="549" s="1"/>
  <c r="AM97" i="549" s="1"/>
  <c r="AM109" i="549" s="1"/>
  <c r="AM122" i="549" s="1"/>
  <c r="AM141" i="549" s="1"/>
  <c r="AM164" i="549" s="1"/>
  <c r="AM175" i="549" s="1"/>
  <c r="AM186" i="549" s="1"/>
  <c r="AM201" i="549" s="1"/>
  <c r="AM215" i="549" s="1"/>
  <c r="AM240" i="549" s="1"/>
  <c r="AM254" i="549" s="1"/>
  <c r="AM265" i="549" s="1"/>
  <c r="AM276" i="549" s="1"/>
  <c r="AM287" i="549" s="1"/>
  <c r="AM307" i="549" s="1"/>
  <c r="AM326" i="549" s="1"/>
  <c r="AM339" i="549" s="1"/>
  <c r="AM359" i="549" s="1"/>
  <c r="AM375" i="549" s="1"/>
  <c r="AM386" i="549" s="1"/>
  <c r="AA28" i="532"/>
  <c r="AA43" i="532" s="1"/>
  <c r="AA54" i="532"/>
  <c r="AA72" i="532" s="1"/>
  <c r="AA87" i="532" s="1"/>
  <c r="AA108" i="532" s="1"/>
  <c r="AA123" i="532" s="1"/>
  <c r="AA146" i="532" s="1"/>
  <c r="AA159" i="532" s="1"/>
  <c r="AA170" i="532" s="1"/>
  <c r="AA199" i="532" s="1"/>
  <c r="AA218" i="532" s="1"/>
  <c r="AA231" i="532" s="1"/>
  <c r="AA257" i="532" s="1"/>
  <c r="AA282" i="532" s="1"/>
  <c r="AA292" i="532" s="1"/>
  <c r="AA302" i="532" s="1"/>
  <c r="AA328" i="532" s="1"/>
  <c r="AA349" i="532" s="1"/>
  <c r="AA365" i="532" s="1"/>
  <c r="AA384" i="532" s="1"/>
  <c r="AA403" i="532" s="1"/>
  <c r="AA413" i="532" s="1"/>
  <c r="AA423" i="532" s="1"/>
  <c r="AA440" i="532" s="1"/>
  <c r="AA458" i="532" s="1"/>
  <c r="AA2" i="549" s="1"/>
  <c r="AA18" i="549" s="1"/>
  <c r="AA38" i="549" s="1"/>
  <c r="AA57" i="549" s="1"/>
  <c r="AA68" i="549" s="1"/>
  <c r="AA81" i="549" s="1"/>
  <c r="AA97" i="549" s="1"/>
  <c r="AA109" i="549" s="1"/>
  <c r="AA122" i="549" s="1"/>
  <c r="AA141" i="549" s="1"/>
  <c r="AA164" i="549" s="1"/>
  <c r="AA175" i="549" s="1"/>
  <c r="AA186" i="549" s="1"/>
  <c r="AA201" i="549" s="1"/>
  <c r="AA215" i="549" s="1"/>
  <c r="AA240" i="549" s="1"/>
  <c r="AA254" i="549" s="1"/>
  <c r="AA265" i="549" s="1"/>
  <c r="AA276" i="549" s="1"/>
  <c r="AA287" i="549" s="1"/>
  <c r="AA307" i="549" s="1"/>
  <c r="AA326" i="549" s="1"/>
  <c r="AA339" i="549" s="1"/>
  <c r="AA359" i="549" s="1"/>
  <c r="AA375" i="549" s="1"/>
  <c r="AA386" i="549" s="1"/>
  <c r="AA397" i="549" s="1"/>
  <c r="AA414" i="549" s="1"/>
  <c r="AA431" i="549" s="1"/>
  <c r="AA444" i="549" s="1"/>
  <c r="AA462" i="549" s="1"/>
  <c r="AC28" i="532"/>
  <c r="AC43" i="532" s="1"/>
  <c r="AC54" i="532"/>
  <c r="AC72" i="532" s="1"/>
  <c r="AC87" i="532" s="1"/>
  <c r="AC108" i="532" s="1"/>
  <c r="AC123" i="532" s="1"/>
  <c r="AC146" i="532" s="1"/>
  <c r="AC159" i="532" s="1"/>
  <c r="AC170" i="532" s="1"/>
  <c r="AC199" i="532" s="1"/>
  <c r="AC218" i="532" s="1"/>
  <c r="AC231" i="532" s="1"/>
  <c r="AC257" i="532" s="1"/>
  <c r="AC282" i="532" s="1"/>
  <c r="AC292" i="532" s="1"/>
  <c r="AC302" i="532" s="1"/>
  <c r="AC328" i="532" s="1"/>
  <c r="AC349" i="532" s="1"/>
  <c r="AC365" i="532" s="1"/>
  <c r="AC384" i="532" s="1"/>
  <c r="AC403" i="532" s="1"/>
  <c r="AC413" i="532" s="1"/>
  <c r="AC423" i="532" s="1"/>
  <c r="AC440" i="532" s="1"/>
  <c r="AC458" i="532" s="1"/>
  <c r="AC2" i="549" s="1"/>
  <c r="AC18" i="549" s="1"/>
  <c r="AC38" i="549" s="1"/>
  <c r="AC57" i="549" s="1"/>
  <c r="AC68" i="549" s="1"/>
  <c r="AC81" i="549" s="1"/>
  <c r="AC97" i="549" s="1"/>
  <c r="AC109" i="549" s="1"/>
  <c r="AC122" i="549" s="1"/>
  <c r="AC141" i="549" s="1"/>
  <c r="AC164" i="549" s="1"/>
  <c r="AC175" i="549" s="1"/>
  <c r="AC186" i="549" s="1"/>
  <c r="AC201" i="549" s="1"/>
  <c r="AC215" i="549" s="1"/>
  <c r="AC240" i="549" s="1"/>
  <c r="AC254" i="549" s="1"/>
  <c r="AC265" i="549" s="1"/>
  <c r="AC276" i="549" s="1"/>
  <c r="AC287" i="549" s="1"/>
  <c r="AC307" i="549" s="1"/>
  <c r="AC326" i="549" s="1"/>
  <c r="AC339" i="549" s="1"/>
  <c r="AC359" i="549" s="1"/>
  <c r="AC375" i="549" s="1"/>
  <c r="AC386" i="549" s="1"/>
  <c r="AC397" i="549" s="1"/>
  <c r="AC414" i="549" s="1"/>
  <c r="AC431" i="549" s="1"/>
  <c r="AC444" i="549" s="1"/>
  <c r="AC462" i="549" s="1"/>
  <c r="AD28" i="532"/>
  <c r="AD43" i="532" s="1"/>
  <c r="AD54" i="532"/>
  <c r="AD72" i="532" s="1"/>
  <c r="AD87" i="532" s="1"/>
  <c r="AD108" i="532" s="1"/>
  <c r="AD123" i="532" s="1"/>
  <c r="AD146" i="532" s="1"/>
  <c r="AD159" i="532" s="1"/>
  <c r="AD170" i="532" s="1"/>
  <c r="AD199" i="532" s="1"/>
  <c r="AD218" i="532" s="1"/>
  <c r="AD231" i="532" s="1"/>
  <c r="AD257" i="532" s="1"/>
  <c r="AD282" i="532" s="1"/>
  <c r="AD292" i="532" s="1"/>
  <c r="AD302" i="532" s="1"/>
  <c r="AD328" i="532" s="1"/>
  <c r="AD349" i="532" s="1"/>
  <c r="AD365" i="532" s="1"/>
  <c r="AD384" i="532" s="1"/>
  <c r="AD403" i="532" s="1"/>
  <c r="AD413" i="532" s="1"/>
  <c r="AD423" i="532" s="1"/>
  <c r="AD440" i="532" s="1"/>
  <c r="AD458" i="532" s="1"/>
  <c r="AD2" i="549" s="1"/>
  <c r="AD18" i="549" s="1"/>
  <c r="AD38" i="549" s="1"/>
  <c r="AD57" i="549" s="1"/>
  <c r="AD68" i="549" s="1"/>
  <c r="AD81" i="549" s="1"/>
  <c r="AD97" i="549" s="1"/>
  <c r="AD109" i="549" s="1"/>
  <c r="AD122" i="549" s="1"/>
  <c r="AD141" i="549" s="1"/>
  <c r="AD164" i="549" s="1"/>
  <c r="AD175" i="549" s="1"/>
  <c r="AD186" i="549" s="1"/>
  <c r="AD201" i="549" s="1"/>
  <c r="AD215" i="549" s="1"/>
  <c r="AD240" i="549" s="1"/>
  <c r="AD254" i="549" s="1"/>
  <c r="AD265" i="549" s="1"/>
  <c r="AD276" i="549" s="1"/>
  <c r="AD287" i="549" s="1"/>
  <c r="AD307" i="549" s="1"/>
  <c r="AD326" i="549" s="1"/>
  <c r="AD339" i="549" s="1"/>
  <c r="AD359" i="549" s="1"/>
  <c r="AD375" i="549" s="1"/>
  <c r="AD386" i="549" s="1"/>
  <c r="AK28" i="532"/>
  <c r="AK43" i="532" s="1"/>
  <c r="AK54" i="532"/>
  <c r="AK72" i="532" s="1"/>
  <c r="AK87" i="532" s="1"/>
  <c r="AK108" i="532" s="1"/>
  <c r="AK123" i="532" s="1"/>
  <c r="AK146" i="532" s="1"/>
  <c r="AK159" i="532" s="1"/>
  <c r="AK170" i="532" s="1"/>
  <c r="AK199" i="532" s="1"/>
  <c r="AK218" i="532" s="1"/>
  <c r="AK231" i="532" s="1"/>
  <c r="AK257" i="532" s="1"/>
  <c r="AK282" i="532" s="1"/>
  <c r="AK292" i="532" s="1"/>
  <c r="AK302" i="532" s="1"/>
  <c r="AK328" i="532" s="1"/>
  <c r="AK349" i="532" s="1"/>
  <c r="AK365" i="532" s="1"/>
  <c r="AK384" i="532" s="1"/>
  <c r="AK403" i="532" s="1"/>
  <c r="AK413" i="532" s="1"/>
  <c r="AK423" i="532" s="1"/>
  <c r="AK440" i="532" s="1"/>
  <c r="AK458" i="532" s="1"/>
  <c r="AK2" i="549" s="1"/>
  <c r="AK18" i="549" s="1"/>
  <c r="AK38" i="549" s="1"/>
  <c r="AK57" i="549" s="1"/>
  <c r="AK68" i="549" s="1"/>
  <c r="AK81" i="549" s="1"/>
  <c r="AK97" i="549" s="1"/>
  <c r="AK109" i="549" s="1"/>
  <c r="AK122" i="549" s="1"/>
  <c r="AK141" i="549" s="1"/>
  <c r="AK164" i="549" s="1"/>
  <c r="AK175" i="549" s="1"/>
  <c r="AK186" i="549" s="1"/>
  <c r="AK201" i="549" s="1"/>
  <c r="AK215" i="549" s="1"/>
  <c r="AK240" i="549" s="1"/>
  <c r="AK254" i="549" s="1"/>
  <c r="AK265" i="549" s="1"/>
  <c r="AK276" i="549" s="1"/>
  <c r="AK287" i="549" s="1"/>
  <c r="AK307" i="549" s="1"/>
  <c r="AK326" i="549" s="1"/>
  <c r="AK339" i="549" s="1"/>
  <c r="AK359" i="549" s="1"/>
  <c r="AK375" i="549" s="1"/>
  <c r="AK386" i="549" s="1"/>
  <c r="D28" i="532"/>
  <c r="D43" i="532" s="1"/>
  <c r="D54" i="532"/>
  <c r="D72" i="532" s="1"/>
  <c r="Q28" i="532"/>
  <c r="Q43" i="532" s="1"/>
  <c r="Q54" i="532" s="1"/>
  <c r="Q72" i="532" s="1"/>
  <c r="Q87" i="532" s="1"/>
  <c r="Q108" i="532" s="1"/>
  <c r="Q123" i="532" s="1"/>
  <c r="Q146" i="532" s="1"/>
  <c r="Q159" i="532" s="1"/>
  <c r="Q170" i="532" s="1"/>
  <c r="Q199" i="532" s="1"/>
  <c r="Q218" i="532" s="1"/>
  <c r="Q231" i="532" s="1"/>
  <c r="AN28" i="532"/>
  <c r="AN43" i="532" s="1"/>
  <c r="AN54" i="532" s="1"/>
  <c r="AN72" i="532" s="1"/>
  <c r="AN87" i="532" s="1"/>
  <c r="AN108" i="532" s="1"/>
  <c r="AN123" i="532" s="1"/>
  <c r="AN146" i="532" s="1"/>
  <c r="AN159" i="532" s="1"/>
  <c r="AN170" i="532" s="1"/>
  <c r="AN199" i="532" s="1"/>
  <c r="AN218" i="532" s="1"/>
  <c r="AN231" i="532" s="1"/>
  <c r="AN257" i="532" s="1"/>
  <c r="AN282" i="532" s="1"/>
  <c r="AN292" i="532" s="1"/>
  <c r="AN302" i="532" s="1"/>
  <c r="AN328" i="532" s="1"/>
  <c r="AN349" i="532" s="1"/>
  <c r="AN365" i="532" s="1"/>
  <c r="AN384" i="532" s="1"/>
  <c r="AN403" i="532" s="1"/>
  <c r="AN413" i="532" s="1"/>
  <c r="AN423" i="532" s="1"/>
  <c r="AN440" i="532" s="1"/>
  <c r="AN458" i="532" s="1"/>
  <c r="AN2" i="549" s="1"/>
  <c r="AN18" i="549" s="1"/>
  <c r="AN38" i="549" s="1"/>
  <c r="AN57" i="549" s="1"/>
  <c r="AN68" i="549" s="1"/>
  <c r="AN81" i="549" s="1"/>
  <c r="AN97" i="549" s="1"/>
  <c r="AN109" i="549" s="1"/>
  <c r="AN122" i="549" s="1"/>
  <c r="AN141" i="549" s="1"/>
  <c r="AN164" i="549" s="1"/>
  <c r="AN175" i="549" s="1"/>
  <c r="AN186" i="549" s="1"/>
  <c r="AN201" i="549" s="1"/>
  <c r="AN215" i="549" s="1"/>
  <c r="AN240" i="549" s="1"/>
  <c r="AN254" i="549" s="1"/>
  <c r="AN265" i="549" s="1"/>
  <c r="AN276" i="549" s="1"/>
  <c r="AN287" i="549" s="1"/>
  <c r="AN307" i="549" s="1"/>
  <c r="AN326" i="549" s="1"/>
  <c r="AN339" i="549" s="1"/>
  <c r="AN359" i="549" s="1"/>
  <c r="AN375" i="549" s="1"/>
  <c r="AN386" i="549" s="1"/>
  <c r="AN397" i="549" s="1"/>
  <c r="AN414" i="549" s="1"/>
  <c r="AN431" i="549" s="1"/>
  <c r="AN444" i="549" s="1"/>
  <c r="AN462" i="549" s="1"/>
  <c r="S28" i="532"/>
  <c r="S43" i="532" s="1"/>
  <c r="S54" i="532" s="1"/>
  <c r="S72" i="532" s="1"/>
  <c r="S87" i="532" s="1"/>
  <c r="S108" i="532" s="1"/>
  <c r="S123" i="532" s="1"/>
  <c r="S146" i="532" s="1"/>
  <c r="S159" i="532" s="1"/>
  <c r="S170" i="532" s="1"/>
  <c r="S199" i="532" s="1"/>
  <c r="S218" i="532" s="1"/>
  <c r="S231" i="532" s="1"/>
  <c r="S257" i="532" s="1"/>
  <c r="S282" i="532" s="1"/>
  <c r="S292" i="532" s="1"/>
  <c r="S302" i="532" s="1"/>
  <c r="S328" i="532" s="1"/>
  <c r="S349" i="532" s="1"/>
  <c r="S365" i="532" s="1"/>
  <c r="S384" i="532" s="1"/>
  <c r="S403" i="532" s="1"/>
  <c r="S413" i="532" s="1"/>
  <c r="S423" i="532" s="1"/>
  <c r="S440" i="532" s="1"/>
  <c r="S458" i="532" s="1"/>
  <c r="S2" i="549" s="1"/>
  <c r="S18" i="549" s="1"/>
  <c r="S38" i="549" s="1"/>
  <c r="S57" i="549" s="1"/>
  <c r="S68" i="549" s="1"/>
  <c r="S81" i="549" s="1"/>
  <c r="S97" i="549" s="1"/>
  <c r="S109" i="549" s="1"/>
  <c r="S122" i="549" s="1"/>
  <c r="S141" i="549" s="1"/>
  <c r="S164" i="549" s="1"/>
  <c r="S175" i="549" s="1"/>
  <c r="S186" i="549" s="1"/>
  <c r="S201" i="549" s="1"/>
  <c r="S215" i="549" s="1"/>
  <c r="S240" i="549" s="1"/>
  <c r="S254" i="549" s="1"/>
  <c r="S265" i="549" s="1"/>
  <c r="S276" i="549" s="1"/>
  <c r="S287" i="549" s="1"/>
  <c r="S307" i="549" s="1"/>
  <c r="S326" i="549" s="1"/>
  <c r="S339" i="549" s="1"/>
  <c r="S359" i="549" s="1"/>
  <c r="S375" i="549" s="1"/>
  <c r="S386" i="549" s="1"/>
  <c r="S397" i="549" s="1"/>
  <c r="S414" i="549" s="1"/>
  <c r="S431" i="549" s="1"/>
  <c r="S444" i="549" s="1"/>
  <c r="S462" i="549" s="1"/>
  <c r="S486" i="549" s="1"/>
  <c r="S2" i="550" s="1"/>
  <c r="S15" i="550" s="1"/>
  <c r="S27" i="550" s="1"/>
  <c r="S41" i="550" s="1"/>
  <c r="S55" i="550" s="1"/>
  <c r="S74" i="550" s="1"/>
  <c r="S88" i="550" s="1"/>
  <c r="S110" i="550" s="1"/>
  <c r="S121" i="550" s="1"/>
  <c r="S133" i="550" s="1"/>
  <c r="S158" i="550" s="1"/>
  <c r="S171" i="550" s="1"/>
  <c r="S185" i="550" s="1"/>
  <c r="S200" i="550" s="1"/>
  <c r="S217" i="550" s="1"/>
  <c r="S228" i="550" s="1"/>
  <c r="S238" i="550" s="1"/>
  <c r="S258" i="550" s="1"/>
  <c r="S272" i="550" s="1"/>
  <c r="S287" i="550" s="1"/>
  <c r="S299" i="550" s="1"/>
  <c r="S316" i="550" s="1"/>
  <c r="S326" i="550" s="1"/>
  <c r="S336" i="550" s="1"/>
  <c r="S353" i="550" s="1"/>
  <c r="S368" i="550" s="1"/>
  <c r="S382" i="550" s="1"/>
  <c r="S395" i="550" s="1"/>
  <c r="S412" i="550" s="1"/>
  <c r="S423" i="550" s="1"/>
  <c r="S434" i="550" s="1"/>
  <c r="S443" i="550" s="1"/>
  <c r="S2" i="551" s="1"/>
  <c r="S20" i="551" s="1"/>
  <c r="K108" i="532"/>
  <c r="K123" i="532" s="1"/>
  <c r="K146" i="532"/>
  <c r="K159" i="532" s="1"/>
  <c r="K170" i="532" s="1"/>
  <c r="K199" i="532" s="1"/>
  <c r="K218" i="532" s="1"/>
  <c r="K231" i="532" s="1"/>
  <c r="K257" i="532" s="1"/>
  <c r="K282" i="532" s="1"/>
  <c r="K292" i="532" s="1"/>
  <c r="K302" i="532" s="1"/>
  <c r="A44" i="532"/>
  <c r="A55" i="532" s="1"/>
  <c r="A73" i="532" s="1"/>
  <c r="AO85" i="532" s="1"/>
  <c r="AO197" i="532"/>
  <c r="A200" i="532"/>
  <c r="U28" i="532"/>
  <c r="U43" i="532"/>
  <c r="U54" i="532" s="1"/>
  <c r="U72" i="532" s="1"/>
  <c r="U87" i="532" s="1"/>
  <c r="U108" i="532" s="1"/>
  <c r="U123" i="532" s="1"/>
  <c r="U146" i="532" s="1"/>
  <c r="U159" i="532" s="1"/>
  <c r="U170" i="532" s="1"/>
  <c r="U199" i="532" s="1"/>
  <c r="U218" i="532" s="1"/>
  <c r="U231" i="532" s="1"/>
  <c r="U257" i="532" s="1"/>
  <c r="U282" i="532" s="1"/>
  <c r="U292" i="532" s="1"/>
  <c r="U302" i="532" s="1"/>
  <c r="U328" i="532" s="1"/>
  <c r="U349" i="532" s="1"/>
  <c r="U365" i="532" s="1"/>
  <c r="U384" i="532" s="1"/>
  <c r="U403" i="532" s="1"/>
  <c r="U413" i="532" s="1"/>
  <c r="U423" i="532" s="1"/>
  <c r="U440" i="532" s="1"/>
  <c r="U458" i="532" s="1"/>
  <c r="U2" i="549" s="1"/>
  <c r="U18" i="549" s="1"/>
  <c r="U38" i="549" s="1"/>
  <c r="U57" i="549" s="1"/>
  <c r="U68" i="549" s="1"/>
  <c r="U81" i="549" s="1"/>
  <c r="U97" i="549" s="1"/>
  <c r="U109" i="549" s="1"/>
  <c r="U122" i="549" s="1"/>
  <c r="U141" i="549" s="1"/>
  <c r="U164" i="549" s="1"/>
  <c r="U175" i="549" s="1"/>
  <c r="U186" i="549" s="1"/>
  <c r="U201" i="549" s="1"/>
  <c r="U215" i="549" s="1"/>
  <c r="U240" i="549" s="1"/>
  <c r="U254" i="549" s="1"/>
  <c r="U265" i="549" s="1"/>
  <c r="U276" i="549" s="1"/>
  <c r="U287" i="549" s="1"/>
  <c r="U307" i="549" s="1"/>
  <c r="U326" i="549" s="1"/>
  <c r="U339" i="549" s="1"/>
  <c r="U359" i="549" s="1"/>
  <c r="U375" i="549" s="1"/>
  <c r="U386" i="549" s="1"/>
  <c r="U397" i="549" s="1"/>
  <c r="U414" i="549" s="1"/>
  <c r="U431" i="549" s="1"/>
  <c r="U444" i="549" s="1"/>
  <c r="U462" i="549" s="1"/>
  <c r="U486" i="549" s="1"/>
  <c r="U2" i="550" s="1"/>
  <c r="U15" i="550" s="1"/>
  <c r="U27" i="550" s="1"/>
  <c r="U41" i="550" s="1"/>
  <c r="U55" i="550" s="1"/>
  <c r="U74" i="550" s="1"/>
  <c r="U88" i="550" s="1"/>
  <c r="U110" i="550" s="1"/>
  <c r="U121" i="550" s="1"/>
  <c r="U133" i="550" s="1"/>
  <c r="U158" i="550" s="1"/>
  <c r="U171" i="550" s="1"/>
  <c r="U185" i="550" s="1"/>
  <c r="U200" i="550" s="1"/>
  <c r="U217" i="550" s="1"/>
  <c r="U228" i="550" s="1"/>
  <c r="U238" i="550" s="1"/>
  <c r="U258" i="550" s="1"/>
  <c r="U272" i="550" s="1"/>
  <c r="U287" i="550" s="1"/>
  <c r="U299" i="550" s="1"/>
  <c r="U316" i="550" s="1"/>
  <c r="U326" i="550" s="1"/>
  <c r="U336" i="550" s="1"/>
  <c r="U353" i="550" s="1"/>
  <c r="U368" i="550" s="1"/>
  <c r="U382" i="550" s="1"/>
  <c r="U395" i="550" s="1"/>
  <c r="U412" i="550" s="1"/>
  <c r="U423" i="550" s="1"/>
  <c r="U434" i="550" s="1"/>
  <c r="U443" i="550" s="1"/>
  <c r="U2" i="551" s="1"/>
  <c r="U20" i="551" s="1"/>
  <c r="U41" i="551" s="1"/>
  <c r="U60" i="551" s="1"/>
  <c r="U72" i="551" s="1"/>
  <c r="U92" i="551" s="1"/>
  <c r="U104" i="551" s="1"/>
  <c r="U115" i="551" s="1"/>
  <c r="U132" i="551" s="1"/>
  <c r="U147" i="551" s="1"/>
  <c r="U165" i="551" s="1"/>
  <c r="U179" i="551" s="1"/>
  <c r="U194" i="551" s="1"/>
  <c r="U205" i="551" s="1"/>
  <c r="U216" i="551" s="1"/>
  <c r="U230" i="551" s="1"/>
  <c r="U246" i="551" s="1"/>
  <c r="U258" i="551" s="1"/>
  <c r="U273" i="551" s="1"/>
  <c r="U291" i="551" s="1"/>
  <c r="U303" i="551" s="1"/>
  <c r="U314" i="551" s="1"/>
  <c r="U332" i="551" s="1"/>
  <c r="U351" i="551" s="1"/>
  <c r="U363" i="551" s="1"/>
  <c r="U375" i="551" s="1"/>
  <c r="U389" i="551" s="1"/>
  <c r="U399" i="551" s="1"/>
  <c r="U411" i="551" s="1"/>
  <c r="U424" i="551" s="1"/>
  <c r="U437" i="551" s="1"/>
  <c r="U454" i="551" s="1"/>
  <c r="U2" i="552" s="1"/>
  <c r="U17" i="552" s="1"/>
  <c r="U42" i="552" s="1"/>
  <c r="U57" i="552" s="1"/>
  <c r="U69" i="552" s="1"/>
  <c r="U93" i="552" s="1"/>
  <c r="U116" i="552" s="1"/>
  <c r="U131" i="552" s="1"/>
  <c r="U146" i="552" s="1"/>
  <c r="U169" i="552" s="1"/>
  <c r="U193" i="552" s="1"/>
  <c r="U206" i="552" s="1"/>
  <c r="U232" i="552" s="1"/>
  <c r="U249" i="552" s="1"/>
  <c r="U265" i="552" s="1"/>
  <c r="U290" i="552" s="1"/>
  <c r="U308" i="552" s="1"/>
  <c r="U321" i="552" s="1"/>
  <c r="U333" i="552" s="1"/>
  <c r="U349" i="552" s="1"/>
  <c r="U372" i="552" s="1"/>
  <c r="U394" i="552" s="1"/>
  <c r="U409" i="552" s="1"/>
  <c r="U431" i="552" s="1"/>
  <c r="U450" i="552" s="1"/>
  <c r="U463" i="552" s="1"/>
  <c r="U482" i="552" s="1"/>
  <c r="U503" i="552" s="1"/>
  <c r="U523" i="552" s="1"/>
  <c r="U539" i="552" s="1"/>
  <c r="H488" i="549"/>
  <c r="M25" i="532"/>
  <c r="M28" i="532"/>
  <c r="N467" i="532"/>
  <c r="I43" i="532"/>
  <c r="R43" i="532"/>
  <c r="R54" i="532"/>
  <c r="AR2" i="532"/>
  <c r="D317" i="549"/>
  <c r="G133" i="549"/>
  <c r="J182" i="549"/>
  <c r="H182" i="549" s="1"/>
  <c r="N493" i="549"/>
  <c r="N495" i="549"/>
  <c r="AO36" i="549"/>
  <c r="J303" i="549"/>
  <c r="H303" i="549"/>
  <c r="C2" i="532"/>
  <c r="E28" i="532"/>
  <c r="E43" i="532" s="1"/>
  <c r="AO70" i="532"/>
  <c r="J214" i="532"/>
  <c r="H214" i="532"/>
  <c r="T8" i="532"/>
  <c r="T28" i="532"/>
  <c r="J68" i="532"/>
  <c r="H68" i="532"/>
  <c r="J155" i="532"/>
  <c r="H155" i="532"/>
  <c r="J83" i="532"/>
  <c r="H83" i="532"/>
  <c r="J166" i="532"/>
  <c r="H166" i="532"/>
  <c r="G28" i="532"/>
  <c r="G43" i="532"/>
  <c r="G54" i="532" s="1"/>
  <c r="G72" i="532" s="1"/>
  <c r="G87" i="532" s="1"/>
  <c r="G108" i="532" s="1"/>
  <c r="G123" i="532" s="1"/>
  <c r="G146" i="532" s="1"/>
  <c r="G159" i="532" s="1"/>
  <c r="G170" i="532" s="1"/>
  <c r="G199" i="532" s="1"/>
  <c r="G218" i="532" s="1"/>
  <c r="G231" i="532" s="1"/>
  <c r="G257" i="532" s="1"/>
  <c r="G282" i="532" s="1"/>
  <c r="G292" i="532" s="1"/>
  <c r="G302" i="532" s="1"/>
  <c r="G328" i="532" s="1"/>
  <c r="G349" i="532" s="1"/>
  <c r="G365" i="532" s="1"/>
  <c r="G384" i="532" s="1"/>
  <c r="G403" i="532" s="1"/>
  <c r="G413" i="532" s="1"/>
  <c r="G423" i="532" s="1"/>
  <c r="G440" i="532" s="1"/>
  <c r="G458" i="532" s="1"/>
  <c r="J345" i="532"/>
  <c r="H345" i="532"/>
  <c r="J436" i="532"/>
  <c r="H436" i="532"/>
  <c r="J142" i="532"/>
  <c r="H142" i="532"/>
  <c r="F54" i="532"/>
  <c r="F72" i="532"/>
  <c r="F87" i="532" s="1"/>
  <c r="F108" i="532" s="1"/>
  <c r="F123" i="532" s="1"/>
  <c r="F146" i="532" s="1"/>
  <c r="F159" i="532" s="1"/>
  <c r="F170" i="532" s="1"/>
  <c r="F199" i="532" s="1"/>
  <c r="F218" i="532" s="1"/>
  <c r="F231" i="532" s="1"/>
  <c r="F257" i="532" s="1"/>
  <c r="F282" i="532" s="1"/>
  <c r="F292" i="532" s="1"/>
  <c r="F302" i="532" s="1"/>
  <c r="F328" i="532" s="1"/>
  <c r="F349" i="532" s="1"/>
  <c r="F365" i="532" s="1"/>
  <c r="F384" i="532" s="1"/>
  <c r="F403" i="532" s="1"/>
  <c r="F413" i="532" s="1"/>
  <c r="F423" i="532" s="1"/>
  <c r="F440" i="532" s="1"/>
  <c r="F458" i="532" s="1"/>
  <c r="F2" i="549" s="1"/>
  <c r="F18" i="549" s="1"/>
  <c r="F38" i="549" s="1"/>
  <c r="F57" i="549" s="1"/>
  <c r="F68" i="549" s="1"/>
  <c r="F81" i="549" s="1"/>
  <c r="F97" i="549" s="1"/>
  <c r="F109" i="549" s="1"/>
  <c r="F122" i="549" s="1"/>
  <c r="F141" i="549" s="1"/>
  <c r="F164" i="549" s="1"/>
  <c r="F175" i="549" s="1"/>
  <c r="F186" i="549" s="1"/>
  <c r="F201" i="549" s="1"/>
  <c r="F215" i="549" s="1"/>
  <c r="F240" i="549" s="1"/>
  <c r="F254" i="549" s="1"/>
  <c r="F265" i="549" s="1"/>
  <c r="F276" i="549" s="1"/>
  <c r="F287" i="549" s="1"/>
  <c r="F307" i="549" s="1"/>
  <c r="F326" i="549" s="1"/>
  <c r="F339" i="549" s="1"/>
  <c r="F359" i="549" s="1"/>
  <c r="F375" i="549" s="1"/>
  <c r="F386" i="549" s="1"/>
  <c r="F397" i="549" s="1"/>
  <c r="F414" i="549" s="1"/>
  <c r="F431" i="549" s="1"/>
  <c r="F444" i="549" s="1"/>
  <c r="F462" i="549" s="1"/>
  <c r="F486" i="549" s="1"/>
  <c r="F2" i="550" s="1"/>
  <c r="F15" i="550" s="1"/>
  <c r="F27" i="550" s="1"/>
  <c r="F41" i="550" s="1"/>
  <c r="F55" i="550" s="1"/>
  <c r="F74" i="550" s="1"/>
  <c r="F88" i="550" s="1"/>
  <c r="F110" i="550" s="1"/>
  <c r="F121" i="550" s="1"/>
  <c r="F133" i="550" s="1"/>
  <c r="F158" i="550" s="1"/>
  <c r="F171" i="550" s="1"/>
  <c r="F185" i="550" s="1"/>
  <c r="F200" i="550" s="1"/>
  <c r="F217" i="550" s="1"/>
  <c r="F228" i="550" s="1"/>
  <c r="F238" i="550" s="1"/>
  <c r="F258" i="550" s="1"/>
  <c r="F272" i="550" s="1"/>
  <c r="F287" i="550" s="1"/>
  <c r="F299" i="550" s="1"/>
  <c r="F316" i="550" s="1"/>
  <c r="F326" i="550" s="1"/>
  <c r="F336" i="550" s="1"/>
  <c r="F353" i="550" s="1"/>
  <c r="F368" i="550" s="1"/>
  <c r="F382" i="550" s="1"/>
  <c r="F395" i="550" s="1"/>
  <c r="F412" i="550" s="1"/>
  <c r="F423" i="550" s="1"/>
  <c r="F434" i="550" s="1"/>
  <c r="F443" i="550" s="1"/>
  <c r="F2" i="551" s="1"/>
  <c r="F20" i="551" s="1"/>
  <c r="F41" i="551" s="1"/>
  <c r="F60" i="551" s="1"/>
  <c r="F72" i="551" s="1"/>
  <c r="F92" i="551" s="1"/>
  <c r="F104" i="551" s="1"/>
  <c r="F115" i="551" s="1"/>
  <c r="F132" i="551" s="1"/>
  <c r="F147" i="551" s="1"/>
  <c r="F165" i="551" s="1"/>
  <c r="F179" i="551" s="1"/>
  <c r="F194" i="551" s="1"/>
  <c r="F205" i="551" s="1"/>
  <c r="F216" i="551" s="1"/>
  <c r="F230" i="551" s="1"/>
  <c r="F246" i="551" s="1"/>
  <c r="F258" i="551" s="1"/>
  <c r="F273" i="551" s="1"/>
  <c r="F291" i="551" s="1"/>
  <c r="F303" i="551" s="1"/>
  <c r="F314" i="551" s="1"/>
  <c r="F332" i="551" s="1"/>
  <c r="F351" i="551" s="1"/>
  <c r="F363" i="551" s="1"/>
  <c r="F375" i="551" s="1"/>
  <c r="F389" i="551" s="1"/>
  <c r="F399" i="551" s="1"/>
  <c r="F411" i="551" s="1"/>
  <c r="F424" i="551" s="1"/>
  <c r="F437" i="551" s="1"/>
  <c r="F454" i="551" s="1"/>
  <c r="F2" i="552" s="1"/>
  <c r="F17" i="552" s="1"/>
  <c r="F42" i="552" s="1"/>
  <c r="F57" i="552" s="1"/>
  <c r="F69" i="552" s="1"/>
  <c r="F93" i="552" s="1"/>
  <c r="F116" i="552" s="1"/>
  <c r="F131" i="552" s="1"/>
  <c r="F146" i="552" s="1"/>
  <c r="F169" i="552" s="1"/>
  <c r="F193" i="552" s="1"/>
  <c r="F206" i="552" s="1"/>
  <c r="F232" i="552" s="1"/>
  <c r="F249" i="552" s="1"/>
  <c r="F265" i="552" s="1"/>
  <c r="F290" i="552" s="1"/>
  <c r="F308" i="552" s="1"/>
  <c r="F321" i="552" s="1"/>
  <c r="F333" i="552" s="1"/>
  <c r="F349" i="552" s="1"/>
  <c r="F372" i="552" s="1"/>
  <c r="F394" i="552" s="1"/>
  <c r="F409" i="552" s="1"/>
  <c r="F431" i="552" s="1"/>
  <c r="F450" i="552" s="1"/>
  <c r="F463" i="552" s="1"/>
  <c r="F482" i="552" s="1"/>
  <c r="F503" i="552" s="1"/>
  <c r="F523" i="552" s="1"/>
  <c r="F539" i="552" s="1"/>
  <c r="F559" i="552" s="1"/>
  <c r="F578" i="552" s="1"/>
  <c r="F2" i="554" s="1"/>
  <c r="F14" i="554" s="1"/>
  <c r="F32" i="554" s="1"/>
  <c r="F50" i="554" s="1"/>
  <c r="F64" i="554" s="1"/>
  <c r="F80" i="554" s="1"/>
  <c r="F97" i="554" s="1"/>
  <c r="F109" i="554" s="1"/>
  <c r="F121" i="554" s="1"/>
  <c r="F135" i="554" s="1"/>
  <c r="F156" i="554" s="1"/>
  <c r="F173" i="554" s="1"/>
  <c r="F187" i="554" s="1"/>
  <c r="F202" i="554" s="1"/>
  <c r="F214" i="554" s="1"/>
  <c r="F226" i="554" s="1"/>
  <c r="F238" i="554" s="1"/>
  <c r="F250" i="554" s="1"/>
  <c r="F270" i="554" s="1"/>
  <c r="F284" i="554" s="1"/>
  <c r="F303" i="554" s="1"/>
  <c r="F315" i="554" s="1"/>
  <c r="F327" i="554" s="1"/>
  <c r="F340" i="554" s="1"/>
  <c r="F354" i="554" s="1"/>
  <c r="F371" i="554" s="1"/>
  <c r="F386" i="554" s="1"/>
  <c r="F408" i="554" s="1"/>
  <c r="F420" i="554" s="1"/>
  <c r="F434" i="554" s="1"/>
  <c r="F452" i="554" s="1"/>
  <c r="F469" i="554" s="1"/>
  <c r="F2" i="557" s="1"/>
  <c r="F19" i="557" s="1"/>
  <c r="F36" i="557" s="1"/>
  <c r="J278" i="532"/>
  <c r="H278" i="532"/>
  <c r="J288" i="532"/>
  <c r="H288" i="532"/>
  <c r="J419" i="532"/>
  <c r="H419" i="532"/>
  <c r="C1" i="532"/>
  <c r="J409" i="532"/>
  <c r="H409" i="532" s="1"/>
  <c r="P25" i="532"/>
  <c r="P28" i="532" s="1"/>
  <c r="J361" i="532"/>
  <c r="H361" i="532"/>
  <c r="N465" i="532"/>
  <c r="J24" i="532"/>
  <c r="H24" i="532"/>
  <c r="H28" i="532"/>
  <c r="N54" i="532"/>
  <c r="N72" i="532" s="1"/>
  <c r="N87" i="532"/>
  <c r="J253" i="532"/>
  <c r="H253" i="532"/>
  <c r="J195" i="532"/>
  <c r="H195" i="532"/>
  <c r="J298" i="532"/>
  <c r="H298" i="532"/>
  <c r="J324" i="532"/>
  <c r="H324" i="532"/>
  <c r="J454" i="532"/>
  <c r="H454" i="532"/>
  <c r="J119" i="532"/>
  <c r="H119" i="532"/>
  <c r="J50" i="532"/>
  <c r="H50" i="532"/>
  <c r="J104" i="532"/>
  <c r="H104" i="532"/>
  <c r="J380" i="532"/>
  <c r="H380" i="532"/>
  <c r="J399" i="532"/>
  <c r="H399" i="532"/>
  <c r="AO216" i="532"/>
  <c r="A219" i="532"/>
  <c r="A232" i="532" s="1"/>
  <c r="V28" i="532"/>
  <c r="J39" i="532"/>
  <c r="AO27" i="532"/>
  <c r="J28" i="532"/>
  <c r="V43" i="532"/>
  <c r="V54" i="532" s="1"/>
  <c r="V72" i="532" s="1"/>
  <c r="V87" i="532" s="1"/>
  <c r="V108" i="532" s="1"/>
  <c r="V123" i="532" s="1"/>
  <c r="V146" i="532" s="1"/>
  <c r="V159" i="532" s="1"/>
  <c r="V170" i="532" s="1"/>
  <c r="V199" i="532" s="1"/>
  <c r="V218" i="532" s="1"/>
  <c r="V231" i="532" s="1"/>
  <c r="V257" i="532" s="1"/>
  <c r="V282" i="532" s="1"/>
  <c r="V292" i="532" s="1"/>
  <c r="V302" i="532" s="1"/>
  <c r="V328" i="532" s="1"/>
  <c r="V349" i="532" s="1"/>
  <c r="V365" i="532" s="1"/>
  <c r="V384" i="532" s="1"/>
  <c r="V403" i="532" s="1"/>
  <c r="V413" i="532" s="1"/>
  <c r="V423" i="532" s="1"/>
  <c r="V440" i="532" s="1"/>
  <c r="V458" i="532" s="1"/>
  <c r="V2" i="549" s="1"/>
  <c r="V18" i="549" s="1"/>
  <c r="V38" i="549" s="1"/>
  <c r="V57" i="549" s="1"/>
  <c r="V68" i="549" s="1"/>
  <c r="V81" i="549" s="1"/>
  <c r="V97" i="549" s="1"/>
  <c r="V109" i="549" s="1"/>
  <c r="V122" i="549" s="1"/>
  <c r="V141" i="549" s="1"/>
  <c r="V164" i="549" s="1"/>
  <c r="V175" i="549" s="1"/>
  <c r="V186" i="549" s="1"/>
  <c r="V201" i="549" s="1"/>
  <c r="V215" i="549" s="1"/>
  <c r="V240" i="549" s="1"/>
  <c r="V254" i="549" s="1"/>
  <c r="V265" i="549" s="1"/>
  <c r="V276" i="549" s="1"/>
  <c r="V287" i="549" s="1"/>
  <c r="V307" i="549" s="1"/>
  <c r="V326" i="549" s="1"/>
  <c r="V339" i="549" s="1"/>
  <c r="V359" i="549" s="1"/>
  <c r="V375" i="549" s="1"/>
  <c r="V386" i="549" s="1"/>
  <c r="V397" i="549" s="1"/>
  <c r="V414" i="549" s="1"/>
  <c r="V431" i="549" s="1"/>
  <c r="V444" i="549" s="1"/>
  <c r="V462" i="549" s="1"/>
  <c r="V486" i="549" s="1"/>
  <c r="V2" i="550" s="1"/>
  <c r="V15" i="550" s="1"/>
  <c r="V27" i="550" s="1"/>
  <c r="V41" i="550" s="1"/>
  <c r="V55" i="550" s="1"/>
  <c r="V74" i="550" s="1"/>
  <c r="V88" i="550" s="1"/>
  <c r="V110" i="550" s="1"/>
  <c r="V121" i="550" s="1"/>
  <c r="V133" i="550" s="1"/>
  <c r="V158" i="550" s="1"/>
  <c r="V171" i="550" s="1"/>
  <c r="V185" i="550" s="1"/>
  <c r="V200" i="550" s="1"/>
  <c r="V217" i="550" s="1"/>
  <c r="V228" i="550" s="1"/>
  <c r="V238" i="550" s="1"/>
  <c r="V258" i="550" s="1"/>
  <c r="V272" i="550" s="1"/>
  <c r="V287" i="550" s="1"/>
  <c r="V299" i="550" s="1"/>
  <c r="V316" i="550" s="1"/>
  <c r="V326" i="550" s="1"/>
  <c r="V336" i="550" s="1"/>
  <c r="V353" i="550" s="1"/>
  <c r="V368" i="550" s="1"/>
  <c r="V382" i="550" s="1"/>
  <c r="V395" i="550" s="1"/>
  <c r="V412" i="550" s="1"/>
  <c r="V423" i="550" s="1"/>
  <c r="V434" i="550" s="1"/>
  <c r="V443" i="550" s="1"/>
  <c r="V2" i="551" s="1"/>
  <c r="V20" i="551" s="1"/>
  <c r="V41" i="551" s="1"/>
  <c r="V60" i="551" s="1"/>
  <c r="V72" i="551" s="1"/>
  <c r="V92" i="551" s="1"/>
  <c r="V104" i="551" s="1"/>
  <c r="V115" i="551" s="1"/>
  <c r="V132" i="551" s="1"/>
  <c r="V147" i="551" s="1"/>
  <c r="V165" i="551" s="1"/>
  <c r="V179" i="551" s="1"/>
  <c r="V194" i="551" s="1"/>
  <c r="V205" i="551" s="1"/>
  <c r="V216" i="551" s="1"/>
  <c r="V230" i="551" s="1"/>
  <c r="V246" i="551" s="1"/>
  <c r="V258" i="551" s="1"/>
  <c r="V273" i="551" s="1"/>
  <c r="V291" i="551" s="1"/>
  <c r="V303" i="551" s="1"/>
  <c r="V314" i="551" s="1"/>
  <c r="V332" i="551" s="1"/>
  <c r="V351" i="551" s="1"/>
  <c r="V363" i="551" s="1"/>
  <c r="V375" i="551" s="1"/>
  <c r="V389" i="551" s="1"/>
  <c r="V399" i="551" s="1"/>
  <c r="V411" i="551" s="1"/>
  <c r="V424" i="551" s="1"/>
  <c r="V437" i="551" s="1"/>
  <c r="V454" i="551" s="1"/>
  <c r="V2" i="552" s="1"/>
  <c r="V17" i="552" s="1"/>
  <c r="V42" i="552" s="1"/>
  <c r="V57" i="552" s="1"/>
  <c r="V69" i="552" s="1"/>
  <c r="V93" i="552" s="1"/>
  <c r="V116" i="552" s="1"/>
  <c r="V131" i="552" s="1"/>
  <c r="V146" i="552" s="1"/>
  <c r="V169" i="552" s="1"/>
  <c r="V193" i="552" s="1"/>
  <c r="V206" i="552" s="1"/>
  <c r="V232" i="552" s="1"/>
  <c r="V249" i="552" s="1"/>
  <c r="V265" i="552" s="1"/>
  <c r="V290" i="552" s="1"/>
  <c r="V308" i="552" s="1"/>
  <c r="V321" i="552" s="1"/>
  <c r="V333" i="552" s="1"/>
  <c r="V349" i="552" s="1"/>
  <c r="V372" i="552" s="1"/>
  <c r="V394" i="552" s="1"/>
  <c r="V409" i="552" s="1"/>
  <c r="V431" i="552" s="1"/>
  <c r="V450" i="552" s="1"/>
  <c r="V463" i="552" s="1"/>
  <c r="V482" i="552" s="1"/>
  <c r="V503" i="552" s="1"/>
  <c r="V523" i="552" s="1"/>
  <c r="V539" i="552" s="1"/>
  <c r="V559" i="552" s="1"/>
  <c r="V578" i="552" s="1"/>
  <c r="V2" i="554" s="1"/>
  <c r="V14" i="554" s="1"/>
  <c r="V32" i="554" s="1"/>
  <c r="V50" i="554" s="1"/>
  <c r="V64" i="554" s="1"/>
  <c r="V80" i="554" s="1"/>
  <c r="V97" i="554" s="1"/>
  <c r="V109" i="554" s="1"/>
  <c r="V121" i="554" s="1"/>
  <c r="V135" i="554" s="1"/>
  <c r="V156" i="554" s="1"/>
  <c r="V173" i="554" s="1"/>
  <c r="V187" i="554" s="1"/>
  <c r="V202" i="554" s="1"/>
  <c r="V214" i="554" s="1"/>
  <c r="V226" i="554" s="1"/>
  <c r="V238" i="554" s="1"/>
  <c r="V250" i="554" s="1"/>
  <c r="V270" i="554" s="1"/>
  <c r="V284" i="554" s="1"/>
  <c r="V303" i="554" s="1"/>
  <c r="V315" i="554" s="1"/>
  <c r="V327" i="554" s="1"/>
  <c r="V340" i="554" s="1"/>
  <c r="V354" i="554" s="1"/>
  <c r="V371" i="554" s="1"/>
  <c r="V386" i="554" s="1"/>
  <c r="V408" i="554" s="1"/>
  <c r="V420" i="554" s="1"/>
  <c r="V434" i="554" s="1"/>
  <c r="V452" i="554" s="1"/>
  <c r="V469" i="554" s="1"/>
  <c r="Y2" i="557" s="1"/>
  <c r="Y19" i="557" s="1"/>
  <c r="Y36" i="557" s="1"/>
  <c r="H39" i="532"/>
  <c r="J43" i="532"/>
  <c r="J54" i="532" s="1"/>
  <c r="J72" i="532" s="1"/>
  <c r="J87" i="532" s="1"/>
  <c r="J108" i="532" s="1"/>
  <c r="J123" i="532" s="1"/>
  <c r="J146" i="532" s="1"/>
  <c r="J159" i="532" s="1"/>
  <c r="J170" i="532" s="1"/>
  <c r="J199" i="532" s="1"/>
  <c r="J218" i="532" s="1"/>
  <c r="J231" i="532" s="1"/>
  <c r="J257" i="532" s="1"/>
  <c r="J282" i="532" s="1"/>
  <c r="J292" i="532" s="1"/>
  <c r="J302" i="532" s="1"/>
  <c r="J328" i="532" s="1"/>
  <c r="J349" i="532" s="1"/>
  <c r="J365" i="532" s="1"/>
  <c r="J384" i="532" s="1"/>
  <c r="J403" i="532" s="1"/>
  <c r="J413" i="532" s="1"/>
  <c r="J423" i="532" s="1"/>
  <c r="J440" i="532" s="1"/>
  <c r="J458" i="532" s="1"/>
  <c r="J2" i="549" s="1"/>
  <c r="J18" i="549" s="1"/>
  <c r="H465" i="532"/>
  <c r="A43" i="552"/>
  <c r="A58" i="552" s="1"/>
  <c r="N450" i="550"/>
  <c r="AO25" i="550"/>
  <c r="AL397" i="549"/>
  <c r="AL414" i="549" s="1"/>
  <c r="AL431" i="549" s="1"/>
  <c r="AL444" i="549" s="1"/>
  <c r="AL462" i="549" s="1"/>
  <c r="AF397" i="549"/>
  <c r="AF414" i="549"/>
  <c r="AF431" i="549" s="1"/>
  <c r="AF444" i="549" s="1"/>
  <c r="AF462" i="549" s="1"/>
  <c r="AJ397" i="549"/>
  <c r="AJ414" i="549" s="1"/>
  <c r="AH397" i="549"/>
  <c r="AH414" i="549"/>
  <c r="AH431" i="549" s="1"/>
  <c r="AH444" i="549" s="1"/>
  <c r="AH462" i="549" s="1"/>
  <c r="AE397" i="549"/>
  <c r="AE414" i="549"/>
  <c r="AE431" i="549" s="1"/>
  <c r="Y397" i="549"/>
  <c r="Y414" i="549"/>
  <c r="Y431" i="549" s="1"/>
  <c r="X397" i="549"/>
  <c r="X414" i="549" s="1"/>
  <c r="AG486" i="549"/>
  <c r="AG2" i="550"/>
  <c r="AG15" i="550" s="1"/>
  <c r="AG27" i="550" s="1"/>
  <c r="AG41" i="550" s="1"/>
  <c r="AG55" i="550" s="1"/>
  <c r="AG74" i="550" s="1"/>
  <c r="AG88" i="550" s="1"/>
  <c r="AG110" i="550" s="1"/>
  <c r="AG121" i="550" s="1"/>
  <c r="AG133" i="550" s="1"/>
  <c r="AG158" i="550" s="1"/>
  <c r="AG171" i="550" s="1"/>
  <c r="AG185" i="550" s="1"/>
  <c r="AG200" i="550" s="1"/>
  <c r="AG217" i="550" s="1"/>
  <c r="AG228" i="550" s="1"/>
  <c r="AG238" i="550" s="1"/>
  <c r="AG258" i="550" s="1"/>
  <c r="AG272" i="550" s="1"/>
  <c r="AG287" i="550" s="1"/>
  <c r="AG299" i="550" s="1"/>
  <c r="AG316" i="550" s="1"/>
  <c r="AG326" i="550" s="1"/>
  <c r="AG336" i="550" s="1"/>
  <c r="AG353" i="550" s="1"/>
  <c r="AG368" i="550" s="1"/>
  <c r="Z397" i="549"/>
  <c r="Z414" i="549"/>
  <c r="W397" i="549"/>
  <c r="W414" i="549"/>
  <c r="V51" i="551"/>
  <c r="J322" i="550"/>
  <c r="H322" i="550" s="1"/>
  <c r="AR2" i="550"/>
  <c r="J117" i="550"/>
  <c r="H117" i="550" s="1"/>
  <c r="J181" i="550"/>
  <c r="H181" i="550" s="1"/>
  <c r="J268" i="550"/>
  <c r="H268" i="550" s="1"/>
  <c r="J430" i="550"/>
  <c r="H430" i="550" s="1"/>
  <c r="J196" i="550"/>
  <c r="H196" i="550" s="1"/>
  <c r="J312" i="550"/>
  <c r="H312" i="550" s="1"/>
  <c r="J23" i="550"/>
  <c r="H23" i="550" s="1"/>
  <c r="J106" i="550"/>
  <c r="H106" i="550" s="1"/>
  <c r="J167" i="550"/>
  <c r="H167" i="550" s="1"/>
  <c r="J224" i="550"/>
  <c r="H224" i="550" s="1"/>
  <c r="J11" i="550"/>
  <c r="H11" i="550" s="1"/>
  <c r="J254" i="550"/>
  <c r="H254" i="550" s="1"/>
  <c r="J391" i="550"/>
  <c r="H391" i="550" s="1"/>
  <c r="J37" i="550"/>
  <c r="H37" i="550" s="1"/>
  <c r="J378" i="550"/>
  <c r="H378" i="550" s="1"/>
  <c r="N587" i="552"/>
  <c r="N585" i="552"/>
  <c r="AR2" i="552"/>
  <c r="J111" i="552"/>
  <c r="J88" i="552"/>
  <c r="H445" i="550"/>
  <c r="H450" i="550" s="1"/>
  <c r="E429" i="551"/>
  <c r="N463" i="551"/>
  <c r="AR2" i="551"/>
  <c r="N461" i="551"/>
  <c r="A42" i="551"/>
  <c r="A61" i="551" s="1"/>
  <c r="H100" i="551"/>
  <c r="H473" i="554"/>
  <c r="H471" i="554"/>
  <c r="AR2" i="554"/>
  <c r="H580" i="552"/>
  <c r="H585" i="552" s="1"/>
  <c r="N476" i="554"/>
  <c r="J367" i="554"/>
  <c r="H367" i="554"/>
  <c r="AO30" i="554"/>
  <c r="N478" i="554"/>
  <c r="J152" i="554"/>
  <c r="H152" i="554"/>
  <c r="J299" i="554"/>
  <c r="H299" i="554"/>
  <c r="J28" i="554"/>
  <c r="H28" i="554"/>
  <c r="J117" i="554"/>
  <c r="H117" i="554"/>
  <c r="J183" i="554"/>
  <c r="H183" i="554"/>
  <c r="J234" i="554"/>
  <c r="H234" i="554"/>
  <c r="J169" i="554"/>
  <c r="H169" i="554"/>
  <c r="A65" i="554"/>
  <c r="AO78" i="554"/>
  <c r="AO62" i="554"/>
  <c r="J112" i="552"/>
  <c r="H112" i="552" s="1"/>
  <c r="J13" i="552"/>
  <c r="H13" i="552" s="1"/>
  <c r="J555" i="552"/>
  <c r="H555" i="552" s="1"/>
  <c r="J368" i="552"/>
  <c r="H368" i="552" s="1"/>
  <c r="J65" i="552"/>
  <c r="H65" i="552" s="1"/>
  <c r="J127" i="552"/>
  <c r="H127" i="552" s="1"/>
  <c r="J286" i="552"/>
  <c r="H286" i="552" s="1"/>
  <c r="J345" i="552"/>
  <c r="H345" i="552" s="1"/>
  <c r="J459" i="552"/>
  <c r="H459" i="552" s="1"/>
  <c r="J519" i="552"/>
  <c r="H519" i="552" s="1"/>
  <c r="J89" i="552"/>
  <c r="H89" i="552" s="1"/>
  <c r="J405" i="552"/>
  <c r="H405" i="552" s="1"/>
  <c r="J53" i="552"/>
  <c r="H53" i="552" s="1"/>
  <c r="AI482" i="552"/>
  <c r="AI503" i="552" s="1"/>
  <c r="AI523" i="552" s="1"/>
  <c r="AI539" i="552" s="1"/>
  <c r="AI559" i="552" s="1"/>
  <c r="H476" i="554"/>
  <c r="AO432" i="554"/>
  <c r="AO450" i="554"/>
  <c r="AO467" i="554"/>
  <c r="E12" i="555"/>
  <c r="E13" i="555" s="1"/>
  <c r="E14" i="555" s="1"/>
  <c r="E15" i="555" s="1"/>
  <c r="E16" i="555" s="1"/>
  <c r="E17" i="555" s="1"/>
  <c r="E18" i="555" s="1"/>
  <c r="E19" i="555" s="1"/>
  <c r="E20" i="555" s="1"/>
  <c r="E21" i="555" s="1"/>
  <c r="E22" i="555" s="1"/>
  <c r="E23" i="555" s="1"/>
  <c r="E24" i="555" s="1"/>
  <c r="E25" i="555" s="1"/>
  <c r="E26" i="555" s="1"/>
  <c r="E27" i="555" s="1"/>
  <c r="E28" i="555" s="1"/>
  <c r="E29" i="555" s="1"/>
  <c r="E30" i="555" s="1"/>
  <c r="E31" i="555" s="1"/>
  <c r="E32" i="555" s="1"/>
  <c r="E33" i="555" s="1"/>
  <c r="E34" i="555" s="1"/>
  <c r="E35" i="555" s="1"/>
  <c r="E36" i="555" s="1"/>
  <c r="E37" i="555" s="1"/>
  <c r="E38" i="555" s="1"/>
  <c r="E39" i="555" s="1"/>
  <c r="E40" i="555" s="1"/>
  <c r="E41" i="555" s="1"/>
  <c r="E42" i="555" s="1"/>
  <c r="E43" i="555" s="1"/>
  <c r="E44" i="555" s="1"/>
  <c r="E45" i="555" s="1"/>
  <c r="E46" i="555" s="1"/>
  <c r="E47" i="555" s="1"/>
  <c r="E48" i="555" s="1"/>
  <c r="E49" i="555" s="1"/>
  <c r="E50" i="555" s="1"/>
  <c r="E11" i="555"/>
  <c r="AI382" i="550"/>
  <c r="AI395" i="550" s="1"/>
  <c r="AI412" i="550" s="1"/>
  <c r="AI423" i="550" s="1"/>
  <c r="AI434" i="550" s="1"/>
  <c r="J283" i="550"/>
  <c r="H283" i="550"/>
  <c r="J419" i="550"/>
  <c r="H419" i="550"/>
  <c r="AO53" i="550"/>
  <c r="A56" i="550"/>
  <c r="J211" i="549"/>
  <c r="H211" i="549"/>
  <c r="J355" i="549"/>
  <c r="H355" i="549" s="1"/>
  <c r="J427" i="549"/>
  <c r="H427" i="549"/>
  <c r="AO66" i="549"/>
  <c r="A69" i="549"/>
  <c r="J14" i="549"/>
  <c r="H14" i="549" s="1"/>
  <c r="AI397" i="549"/>
  <c r="AI414" i="549" s="1"/>
  <c r="AI431" i="549" s="1"/>
  <c r="AI444" i="549" s="1"/>
  <c r="AI462" i="549" s="1"/>
  <c r="J171" i="549"/>
  <c r="H171" i="549"/>
  <c r="J283" i="549"/>
  <c r="H283" i="549" s="1"/>
  <c r="H493" i="549"/>
  <c r="W431" i="549"/>
  <c r="W444" i="549" s="1"/>
  <c r="Z431" i="549"/>
  <c r="Z444" i="549" s="1"/>
  <c r="Z462" i="549" s="1"/>
  <c r="N108" i="532"/>
  <c r="R72" i="532"/>
  <c r="AC486" i="549"/>
  <c r="AC2" i="550" s="1"/>
  <c r="AC15" i="550" s="1"/>
  <c r="AC27" i="550" s="1"/>
  <c r="AC41" i="550"/>
  <c r="AC55" i="550" s="1"/>
  <c r="AC74" i="550" s="1"/>
  <c r="AC88" i="550" s="1"/>
  <c r="AC110" i="550" s="1"/>
  <c r="AC121" i="550" s="1"/>
  <c r="AC133" i="550" s="1"/>
  <c r="AC158" i="550" s="1"/>
  <c r="AC171" i="550" s="1"/>
  <c r="AC185" i="550" s="1"/>
  <c r="AC200" i="550" s="1"/>
  <c r="AC217" i="550" s="1"/>
  <c r="AC228" i="550" s="1"/>
  <c r="AC238" i="550" s="1"/>
  <c r="AC258" i="550" s="1"/>
  <c r="AC272" i="550" s="1"/>
  <c r="AC287" i="550" s="1"/>
  <c r="AC299" i="550" s="1"/>
  <c r="AC316" i="550" s="1"/>
  <c r="AC326" i="550" s="1"/>
  <c r="AC336" i="550" s="1"/>
  <c r="AC353" i="550" s="1"/>
  <c r="AC368" i="550" s="1"/>
  <c r="AF486" i="549"/>
  <c r="AF2" i="550" s="1"/>
  <c r="AF15" i="550" s="1"/>
  <c r="AF27" i="550" s="1"/>
  <c r="AF41" i="550"/>
  <c r="AF55" i="550" s="1"/>
  <c r="AF74" i="550" s="1"/>
  <c r="AF88" i="550" s="1"/>
  <c r="AF110" i="550"/>
  <c r="AF121" i="550" s="1"/>
  <c r="AF133" i="550" s="1"/>
  <c r="AF158" i="550" s="1"/>
  <c r="AF171" i="550" s="1"/>
  <c r="AF185" i="550" s="1"/>
  <c r="AF200" i="550" s="1"/>
  <c r="AF217" i="550" s="1"/>
  <c r="AF228" i="550" s="1"/>
  <c r="AF238" i="550" s="1"/>
  <c r="AF258" i="550" s="1"/>
  <c r="AF272" i="550" s="1"/>
  <c r="AF287" i="550" s="1"/>
  <c r="AF299" i="550" s="1"/>
  <c r="AF316" i="550" s="1"/>
  <c r="AF326" i="550" s="1"/>
  <c r="AF336" i="550" s="1"/>
  <c r="AF353" i="550" s="1"/>
  <c r="AF368" i="550" s="1"/>
  <c r="D87" i="532"/>
  <c r="H43" i="532"/>
  <c r="AO28" i="532"/>
  <c r="C28" i="532" s="1"/>
  <c r="C27" i="532"/>
  <c r="O28" i="532"/>
  <c r="P40" i="532" s="1"/>
  <c r="AO42" i="532"/>
  <c r="T43" i="532"/>
  <c r="E54" i="532"/>
  <c r="I45" i="532"/>
  <c r="L28" i="532"/>
  <c r="M40" i="532" s="1"/>
  <c r="M43" i="532" s="1"/>
  <c r="J128" i="551"/>
  <c r="H128" i="551" s="1"/>
  <c r="J37" i="551"/>
  <c r="H37" i="551"/>
  <c r="J56" i="551"/>
  <c r="H56" i="551" s="1"/>
  <c r="J88" i="551"/>
  <c r="H88" i="551"/>
  <c r="J175" i="551"/>
  <c r="H175" i="551" s="1"/>
  <c r="J226" i="551"/>
  <c r="H226" i="551"/>
  <c r="J254" i="551"/>
  <c r="H254" i="551" s="1"/>
  <c r="J310" i="551"/>
  <c r="H310" i="551" s="1"/>
  <c r="J347" i="551"/>
  <c r="H347" i="551" s="1"/>
  <c r="J371" i="551"/>
  <c r="H371" i="551"/>
  <c r="J395" i="551"/>
  <c r="H395" i="551" s="1"/>
  <c r="J190" i="551"/>
  <c r="H190" i="551"/>
  <c r="J212" i="551"/>
  <c r="H212" i="551" s="1"/>
  <c r="J242" i="551"/>
  <c r="H242" i="551"/>
  <c r="J299" i="551"/>
  <c r="H299" i="551" s="1"/>
  <c r="J407" i="551"/>
  <c r="H407" i="551" s="1"/>
  <c r="J16" i="551"/>
  <c r="H16" i="551" s="1"/>
  <c r="J111" i="551"/>
  <c r="H111" i="551"/>
  <c r="J143" i="551"/>
  <c r="H143" i="551" s="1"/>
  <c r="J201" i="551"/>
  <c r="H201" i="551"/>
  <c r="J287" i="551"/>
  <c r="H287" i="551" s="1"/>
  <c r="J420" i="551"/>
  <c r="H420" i="551"/>
  <c r="J68" i="551"/>
  <c r="H68" i="551" s="1"/>
  <c r="J161" i="551"/>
  <c r="H161" i="551" s="1"/>
  <c r="J269" i="551"/>
  <c r="H269" i="551" s="1"/>
  <c r="J328" i="551"/>
  <c r="H328" i="551"/>
  <c r="J359" i="551"/>
  <c r="H359" i="551" s="1"/>
  <c r="J385" i="551"/>
  <c r="H385" i="551"/>
  <c r="J142" i="552"/>
  <c r="H142" i="552"/>
  <c r="J202" i="552"/>
  <c r="H202" i="552" s="1"/>
  <c r="J245" i="552"/>
  <c r="H245" i="552" s="1"/>
  <c r="J317" i="552"/>
  <c r="H317" i="552" s="1"/>
  <c r="AI578" i="552"/>
  <c r="AI2" i="554"/>
  <c r="J336" i="554"/>
  <c r="H336" i="554"/>
  <c r="J10" i="554"/>
  <c r="H10" i="554"/>
  <c r="J46" i="554"/>
  <c r="H46" i="554"/>
  <c r="J210" i="554"/>
  <c r="H210" i="554"/>
  <c r="J266" i="554"/>
  <c r="H266" i="554"/>
  <c r="AI386" i="554"/>
  <c r="A81" i="554"/>
  <c r="AI389" i="551"/>
  <c r="AI399" i="551"/>
  <c r="AI411" i="551"/>
  <c r="AI424" i="551"/>
  <c r="AI437" i="551" s="1"/>
  <c r="H461" i="551"/>
  <c r="T80" i="551"/>
  <c r="S41" i="551"/>
  <c r="A75" i="550"/>
  <c r="AO72" i="550"/>
  <c r="A82" i="549"/>
  <c r="AO79" i="549"/>
  <c r="K328" i="532"/>
  <c r="AL486" i="549"/>
  <c r="AL2" i="550"/>
  <c r="AL15" i="550" s="1"/>
  <c r="AL27" i="550" s="1"/>
  <c r="AL41" i="550" s="1"/>
  <c r="AL55" i="550"/>
  <c r="AL74" i="550" s="1"/>
  <c r="AL88" i="550" s="1"/>
  <c r="AL110" i="550" s="1"/>
  <c r="AL121" i="550" s="1"/>
  <c r="AL133" i="550" s="1"/>
  <c r="AL158" i="550" s="1"/>
  <c r="AL171" i="550" s="1"/>
  <c r="AL185" i="550" s="1"/>
  <c r="AL200" i="550" s="1"/>
  <c r="AL217" i="550" s="1"/>
  <c r="AL228" i="550" s="1"/>
  <c r="AL238" i="550" s="1"/>
  <c r="AL258" i="550" s="1"/>
  <c r="AL272" i="550" s="1"/>
  <c r="AL287" i="550" s="1"/>
  <c r="AL299" i="550" s="1"/>
  <c r="AL316" i="550" s="1"/>
  <c r="AL326" i="550" s="1"/>
  <c r="AL336" i="550" s="1"/>
  <c r="AL353" i="550" s="1"/>
  <c r="AL368" i="550" s="1"/>
  <c r="D108" i="532"/>
  <c r="D123" i="532" s="1"/>
  <c r="Q257" i="532"/>
  <c r="Q282" i="532" s="1"/>
  <c r="T54" i="532"/>
  <c r="AO53" i="532"/>
  <c r="I54" i="532"/>
  <c r="H54" i="532"/>
  <c r="P43" i="532"/>
  <c r="R87" i="532"/>
  <c r="AB486" i="549"/>
  <c r="AB2" i="550"/>
  <c r="AB15" i="550" s="1"/>
  <c r="AB27" i="550" s="1"/>
  <c r="AB41" i="550" s="1"/>
  <c r="AB55" i="550" s="1"/>
  <c r="AB74" i="550" s="1"/>
  <c r="AB88" i="550" s="1"/>
  <c r="AB110" i="550" s="1"/>
  <c r="AB121" i="550" s="1"/>
  <c r="AB133" i="550" s="1"/>
  <c r="AB158" i="550" s="1"/>
  <c r="AB171" i="550" s="1"/>
  <c r="AB185" i="550" s="1"/>
  <c r="AB200" i="550" s="1"/>
  <c r="AB217" i="550" s="1"/>
  <c r="AB228" i="550" s="1"/>
  <c r="AB238" i="550" s="1"/>
  <c r="AB258" i="550" s="1"/>
  <c r="AB272" i="550" s="1"/>
  <c r="AB287" i="550" s="1"/>
  <c r="AB299" i="550" s="1"/>
  <c r="AB316" i="550" s="1"/>
  <c r="AB326" i="550" s="1"/>
  <c r="AB336" i="550" s="1"/>
  <c r="AB353" i="550" s="1"/>
  <c r="AB368" i="550" s="1"/>
  <c r="AN486" i="549"/>
  <c r="AN2" i="550"/>
  <c r="AN15" i="550" s="1"/>
  <c r="AN27" i="550" s="1"/>
  <c r="AN41" i="550" s="1"/>
  <c r="AN55" i="550" s="1"/>
  <c r="AN74" i="550" s="1"/>
  <c r="AN88" i="550" s="1"/>
  <c r="AN110" i="550" s="1"/>
  <c r="AN121" i="550" s="1"/>
  <c r="AN133" i="550" s="1"/>
  <c r="AN158" i="550" s="1"/>
  <c r="AN171" i="550" s="1"/>
  <c r="AN185" i="550" s="1"/>
  <c r="AN200" i="550" s="1"/>
  <c r="AN217" i="550" s="1"/>
  <c r="AN228" i="550" s="1"/>
  <c r="AN238" i="550" s="1"/>
  <c r="AN258" i="550" s="1"/>
  <c r="AN272" i="550" s="1"/>
  <c r="AN287" i="550" s="1"/>
  <c r="AN299" i="550" s="1"/>
  <c r="AN316" i="550" s="1"/>
  <c r="AN326" i="550" s="1"/>
  <c r="AN336" i="550" s="1"/>
  <c r="AN353" i="550" s="1"/>
  <c r="AN368" i="550" s="1"/>
  <c r="AA486" i="549"/>
  <c r="AA2" i="550" s="1"/>
  <c r="AA15" i="550" s="1"/>
  <c r="AA27" i="550" s="1"/>
  <c r="AA41" i="550" s="1"/>
  <c r="AA55" i="550" s="1"/>
  <c r="AA74" i="550" s="1"/>
  <c r="AA88" i="550" s="1"/>
  <c r="AA110" i="550" s="1"/>
  <c r="AA121" i="550" s="1"/>
  <c r="AA133" i="550" s="1"/>
  <c r="AA158" i="550" s="1"/>
  <c r="AA171" i="550" s="1"/>
  <c r="AA185" i="550" s="1"/>
  <c r="AA200" i="550" s="1"/>
  <c r="AA217" i="550" s="1"/>
  <c r="AA228" i="550" s="1"/>
  <c r="AA238" i="550" s="1"/>
  <c r="AA258" i="550" s="1"/>
  <c r="AA272" i="550" s="1"/>
  <c r="AA287" i="550" s="1"/>
  <c r="AA299" i="550" s="1"/>
  <c r="AA316" i="550" s="1"/>
  <c r="AA326" i="550" s="1"/>
  <c r="AA336" i="550" s="1"/>
  <c r="AA353" i="550" s="1"/>
  <c r="AA368" i="550" s="1"/>
  <c r="Z486" i="549"/>
  <c r="Z2" i="550" s="1"/>
  <c r="Z15" i="550" s="1"/>
  <c r="Z27" i="550" s="1"/>
  <c r="Z41" i="550" s="1"/>
  <c r="Z55" i="550" s="1"/>
  <c r="Z74" i="550" s="1"/>
  <c r="Z88" i="550" s="1"/>
  <c r="Z110" i="550" s="1"/>
  <c r="Z121" i="550" s="1"/>
  <c r="Z133" i="550" s="1"/>
  <c r="Z158" i="550" s="1"/>
  <c r="Z171" i="550" s="1"/>
  <c r="Z185" i="550" s="1"/>
  <c r="Z200" i="550" s="1"/>
  <c r="Z217" i="550" s="1"/>
  <c r="Z228" i="550" s="1"/>
  <c r="Z238" i="550" s="1"/>
  <c r="Z258" i="550" s="1"/>
  <c r="Z272" i="550" s="1"/>
  <c r="Z287" i="550" s="1"/>
  <c r="Z299" i="550" s="1"/>
  <c r="Z316" i="550" s="1"/>
  <c r="Z326" i="550" s="1"/>
  <c r="Z336" i="550" s="1"/>
  <c r="Z353" i="550" s="1"/>
  <c r="Z368" i="550" s="1"/>
  <c r="E72" i="532"/>
  <c r="E87" i="532" s="1"/>
  <c r="N123" i="532"/>
  <c r="N146" i="532" s="1"/>
  <c r="A98" i="554"/>
  <c r="AO95" i="554"/>
  <c r="S60" i="551"/>
  <c r="S72" i="551" s="1"/>
  <c r="U559" i="552"/>
  <c r="AO86" i="550"/>
  <c r="A89" i="550"/>
  <c r="A98" i="549"/>
  <c r="AO107" i="549" s="1"/>
  <c r="AO95" i="549"/>
  <c r="T72" i="532"/>
  <c r="T87" i="532" s="1"/>
  <c r="AO71" i="532"/>
  <c r="L43" i="532"/>
  <c r="M51" i="532" s="1"/>
  <c r="K349" i="532"/>
  <c r="K365" i="532" s="1"/>
  <c r="R108" i="532"/>
  <c r="R123" i="532" s="1"/>
  <c r="I59" i="532"/>
  <c r="I72" i="532" s="1"/>
  <c r="O43" i="532"/>
  <c r="P51" i="532"/>
  <c r="P54" i="532"/>
  <c r="O54" i="532" s="1"/>
  <c r="A110" i="554"/>
  <c r="AO107" i="554"/>
  <c r="U578" i="552"/>
  <c r="A111" i="550"/>
  <c r="AO108" i="550"/>
  <c r="P69" i="532"/>
  <c r="P72" i="532"/>
  <c r="O72" i="532" s="1"/>
  <c r="P84" i="532" s="1"/>
  <c r="D146" i="532"/>
  <c r="E108" i="532"/>
  <c r="Q292" i="532"/>
  <c r="N159" i="532"/>
  <c r="A122" i="554"/>
  <c r="AO119" i="554"/>
  <c r="S92" i="551"/>
  <c r="U2" i="554"/>
  <c r="U14" i="554" s="1"/>
  <c r="U32" i="554" s="1"/>
  <c r="U50" i="554" s="1"/>
  <c r="U64" i="554" s="1"/>
  <c r="U80" i="554" s="1"/>
  <c r="U97" i="554" s="1"/>
  <c r="U109" i="554" s="1"/>
  <c r="U121" i="554" s="1"/>
  <c r="U135" i="554" s="1"/>
  <c r="U156" i="554" s="1"/>
  <c r="U173" i="554" s="1"/>
  <c r="U187" i="554" s="1"/>
  <c r="U202" i="554" s="1"/>
  <c r="U214" i="554" s="1"/>
  <c r="U226" i="554" s="1"/>
  <c r="U238" i="554" s="1"/>
  <c r="U250" i="554" s="1"/>
  <c r="U270" i="554" s="1"/>
  <c r="U284" i="554" s="1"/>
  <c r="U303" i="554" s="1"/>
  <c r="U315" i="554" s="1"/>
  <c r="U327" i="554" s="1"/>
  <c r="U340" i="554" s="1"/>
  <c r="U354" i="554" s="1"/>
  <c r="U371" i="554" s="1"/>
  <c r="U386" i="554" s="1"/>
  <c r="U408" i="554" s="1"/>
  <c r="U420" i="554" s="1"/>
  <c r="U434" i="554" s="1"/>
  <c r="U452" i="554" s="1"/>
  <c r="U469" i="554" s="1"/>
  <c r="X2" i="557" s="1"/>
  <c r="X19" i="557" s="1"/>
  <c r="X36" i="557" s="1"/>
  <c r="AO119" i="550"/>
  <c r="A122" i="550"/>
  <c r="AO131" i="550" s="1"/>
  <c r="T108" i="532"/>
  <c r="AO107" i="532"/>
  <c r="N170" i="532"/>
  <c r="E123" i="532"/>
  <c r="E146" i="532" s="1"/>
  <c r="Q302" i="532"/>
  <c r="K384" i="532"/>
  <c r="R146" i="532"/>
  <c r="D159" i="532"/>
  <c r="D170" i="532" s="1"/>
  <c r="A136" i="554"/>
  <c r="AO133" i="554"/>
  <c r="S104" i="551"/>
  <c r="R159" i="532"/>
  <c r="R170" i="532" s="1"/>
  <c r="K403" i="532"/>
  <c r="Q328" i="532"/>
  <c r="N199" i="532"/>
  <c r="T123" i="532"/>
  <c r="T146" i="532" s="1"/>
  <c r="AO122" i="532"/>
  <c r="AO154" i="554"/>
  <c r="A157" i="554"/>
  <c r="S115" i="551"/>
  <c r="N218" i="532"/>
  <c r="Q349" i="532"/>
  <c r="AO145" i="532"/>
  <c r="D199" i="532"/>
  <c r="E159" i="532"/>
  <c r="E170" i="532" s="1"/>
  <c r="K413" i="532"/>
  <c r="AO171" i="554"/>
  <c r="A174" i="554"/>
  <c r="S132" i="551"/>
  <c r="D218" i="532"/>
  <c r="D231" i="532" s="1"/>
  <c r="T159" i="532"/>
  <c r="AO158" i="532"/>
  <c r="K423" i="532"/>
  <c r="Q365" i="532"/>
  <c r="Q384" i="532" s="1"/>
  <c r="R199" i="532"/>
  <c r="AO217" i="532" s="1"/>
  <c r="N231" i="532"/>
  <c r="AO185" i="554"/>
  <c r="A188" i="554"/>
  <c r="S147" i="551"/>
  <c r="R218" i="532"/>
  <c r="R231" i="532" s="1"/>
  <c r="K440" i="532"/>
  <c r="K458" i="532" s="1"/>
  <c r="T170" i="532"/>
  <c r="AO198" i="532" s="1"/>
  <c r="AO169" i="532"/>
  <c r="N257" i="532"/>
  <c r="A203" i="554"/>
  <c r="A215" i="554" s="1"/>
  <c r="AO200" i="554"/>
  <c r="S165" i="551"/>
  <c r="S179" i="551" s="1"/>
  <c r="S194" i="551" s="1"/>
  <c r="S205" i="551" s="1"/>
  <c r="S216" i="551" s="1"/>
  <c r="S230" i="551" s="1"/>
  <c r="S246" i="551" s="1"/>
  <c r="S258" i="551" s="1"/>
  <c r="S273" i="551" s="1"/>
  <c r="S291" i="551" s="1"/>
  <c r="S303" i="551" s="1"/>
  <c r="S314" i="551" s="1"/>
  <c r="S332" i="551" s="1"/>
  <c r="S351" i="551" s="1"/>
  <c r="S363" i="551" s="1"/>
  <c r="S375" i="551" s="1"/>
  <c r="S389" i="551" s="1"/>
  <c r="S399" i="551" s="1"/>
  <c r="S411" i="551" s="1"/>
  <c r="S424" i="551" s="1"/>
  <c r="S437" i="551" s="1"/>
  <c r="S454" i="551" s="1"/>
  <c r="S2" i="552" s="1"/>
  <c r="S17" i="552" s="1"/>
  <c r="S42" i="552" s="1"/>
  <c r="S57" i="552" s="1"/>
  <c r="S69" i="552" s="1"/>
  <c r="S93" i="552" s="1"/>
  <c r="S116" i="552" s="1"/>
  <c r="S131" i="552" s="1"/>
  <c r="S146" i="552" s="1"/>
  <c r="S169" i="552" s="1"/>
  <c r="S193" i="552" s="1"/>
  <c r="S206" i="552" s="1"/>
  <c r="S232" i="552" s="1"/>
  <c r="S249" i="552" s="1"/>
  <c r="S265" i="552" s="1"/>
  <c r="S290" i="552" s="1"/>
  <c r="S308" i="552" s="1"/>
  <c r="S321" i="552" s="1"/>
  <c r="S333" i="552" s="1"/>
  <c r="S349" i="552" s="1"/>
  <c r="S372" i="552" s="1"/>
  <c r="S394" i="552" s="1"/>
  <c r="S409" i="552" s="1"/>
  <c r="S431" i="552" s="1"/>
  <c r="S450" i="552" s="1"/>
  <c r="S463" i="552" s="1"/>
  <c r="S482" i="552" s="1"/>
  <c r="S503" i="552" s="1"/>
  <c r="S523" i="552" s="1"/>
  <c r="S539" i="552" s="1"/>
  <c r="S559" i="552" s="1"/>
  <c r="S578" i="552" s="1"/>
  <c r="S2" i="554" s="1"/>
  <c r="S14" i="554" s="1"/>
  <c r="S32" i="554" s="1"/>
  <c r="S50" i="554" s="1"/>
  <c r="S64" i="554" s="1"/>
  <c r="S80" i="554" s="1"/>
  <c r="S97" i="554" s="1"/>
  <c r="S109" i="554" s="1"/>
  <c r="S121" i="554" s="1"/>
  <c r="S135" i="554" s="1"/>
  <c r="S156" i="554" s="1"/>
  <c r="S173" i="554" s="1"/>
  <c r="S187" i="554" s="1"/>
  <c r="S202" i="554" s="1"/>
  <c r="S214" i="554" s="1"/>
  <c r="S226" i="554" s="1"/>
  <c r="S238" i="554" s="1"/>
  <c r="S250" i="554" s="1"/>
  <c r="S270" i="554" s="1"/>
  <c r="S284" i="554" s="1"/>
  <c r="S303" i="554" s="1"/>
  <c r="S315" i="554" s="1"/>
  <c r="S327" i="554" s="1"/>
  <c r="S340" i="554" s="1"/>
  <c r="S354" i="554" s="1"/>
  <c r="S371" i="554" s="1"/>
  <c r="S386" i="554" s="1"/>
  <c r="S408" i="554" s="1"/>
  <c r="S420" i="554" s="1"/>
  <c r="S434" i="554" s="1"/>
  <c r="S452" i="554" s="1"/>
  <c r="S469" i="554" s="1"/>
  <c r="V2" i="557" s="1"/>
  <c r="V19" i="557" s="1"/>
  <c r="V36" i="557" s="1"/>
  <c r="N282" i="532"/>
  <c r="T199" i="532"/>
  <c r="T218" i="532" s="1"/>
  <c r="AO212" i="554"/>
  <c r="N292" i="532"/>
  <c r="N302" i="532" s="1"/>
  <c r="P532" i="557"/>
  <c r="H531" i="557"/>
  <c r="D138" i="574" l="1"/>
  <c r="C120" i="574"/>
  <c r="M155" i="574"/>
  <c r="L138" i="574"/>
  <c r="S138" i="574"/>
  <c r="R121" i="574"/>
  <c r="AR120" i="574"/>
  <c r="T121" i="574"/>
  <c r="AR121" i="574" s="1"/>
  <c r="C121" i="574" s="1"/>
  <c r="P138" i="574"/>
  <c r="O121" i="574"/>
  <c r="M155" i="573"/>
  <c r="L138" i="573"/>
  <c r="T138" i="573"/>
  <c r="AR137" i="573"/>
  <c r="C120" i="573"/>
  <c r="D138" i="573"/>
  <c r="AR121" i="573"/>
  <c r="C121" i="573" s="1"/>
  <c r="S138" i="573"/>
  <c r="R121" i="573"/>
  <c r="P138" i="573"/>
  <c r="O121" i="573"/>
  <c r="S155" i="572"/>
  <c r="R138" i="572"/>
  <c r="M138" i="572"/>
  <c r="AR138" i="572" s="1"/>
  <c r="C138" i="572" s="1"/>
  <c r="L121" i="572"/>
  <c r="P155" i="572"/>
  <c r="O138" i="572"/>
  <c r="D155" i="572"/>
  <c r="C137" i="572"/>
  <c r="C120" i="572"/>
  <c r="T155" i="572"/>
  <c r="AR154" i="572"/>
  <c r="P138" i="571"/>
  <c r="O121" i="571"/>
  <c r="AR120" i="571"/>
  <c r="T121" i="571"/>
  <c r="S138" i="571"/>
  <c r="R121" i="571"/>
  <c r="C120" i="571"/>
  <c r="D138" i="571"/>
  <c r="AR121" i="571"/>
  <c r="C121" i="571" s="1"/>
  <c r="M138" i="571"/>
  <c r="L121" i="571"/>
  <c r="M138" i="570"/>
  <c r="AR138" i="570" s="1"/>
  <c r="C138" i="570" s="1"/>
  <c r="L121" i="570"/>
  <c r="T155" i="570"/>
  <c r="AR154" i="570"/>
  <c r="S155" i="570"/>
  <c r="R138" i="570"/>
  <c r="P155" i="570"/>
  <c r="O138" i="570"/>
  <c r="AR121" i="570"/>
  <c r="C121" i="570" s="1"/>
  <c r="D155" i="570"/>
  <c r="C120" i="569"/>
  <c r="D138" i="569"/>
  <c r="AR121" i="569"/>
  <c r="C121" i="569" s="1"/>
  <c r="S138" i="569"/>
  <c r="R121" i="569"/>
  <c r="M138" i="569"/>
  <c r="L121" i="569"/>
  <c r="P138" i="569"/>
  <c r="O121" i="569"/>
  <c r="T138" i="569"/>
  <c r="AR137" i="569"/>
  <c r="R121" i="568"/>
  <c r="S138" i="568"/>
  <c r="D138" i="568"/>
  <c r="C120" i="568"/>
  <c r="P138" i="568"/>
  <c r="O121" i="568"/>
  <c r="L121" i="568"/>
  <c r="M138" i="568"/>
  <c r="T121" i="568"/>
  <c r="AR121" i="568" s="1"/>
  <c r="C121" i="568" s="1"/>
  <c r="AR120" i="568"/>
  <c r="D121" i="566"/>
  <c r="AR137" i="566"/>
  <c r="T138" i="566"/>
  <c r="D104" i="565"/>
  <c r="AR120" i="565"/>
  <c r="T121" i="565"/>
  <c r="AL53" i="557"/>
  <c r="AL70" i="557" s="1"/>
  <c r="AL87" i="557" s="1"/>
  <c r="AL104" i="557" s="1"/>
  <c r="AL121" i="557" s="1"/>
  <c r="AL138" i="557" s="1"/>
  <c r="AL155" i="557" s="1"/>
  <c r="AL172" i="557" s="1"/>
  <c r="AL189" i="557" s="1"/>
  <c r="AL206" i="557" s="1"/>
  <c r="AL223" i="557" s="1"/>
  <c r="AL240" i="557" s="1"/>
  <c r="AL257" i="557" s="1"/>
  <c r="AL274" i="557" s="1"/>
  <c r="AL291" i="557" s="1"/>
  <c r="AL308" i="557" s="1"/>
  <c r="AL325" i="557" s="1"/>
  <c r="AL342" i="557" s="1"/>
  <c r="AL359" i="557" s="1"/>
  <c r="AL376" i="557" s="1"/>
  <c r="AL393" i="557" s="1"/>
  <c r="AL410" i="557" s="1"/>
  <c r="AL427" i="557" s="1"/>
  <c r="AL444" i="557" s="1"/>
  <c r="AL461" i="557" s="1"/>
  <c r="AL478" i="557" s="1"/>
  <c r="AL495" i="557" s="1"/>
  <c r="AL512" i="557" s="1"/>
  <c r="Y53" i="557"/>
  <c r="Y70" i="557" s="1"/>
  <c r="Y87" i="557" s="1"/>
  <c r="Y104" i="557" s="1"/>
  <c r="Y121" i="557" s="1"/>
  <c r="Y138" i="557" s="1"/>
  <c r="Y155" i="557" s="1"/>
  <c r="Y172" i="557" s="1"/>
  <c r="Y189" i="557" s="1"/>
  <c r="Y206" i="557" s="1"/>
  <c r="Y223" i="557" s="1"/>
  <c r="Y240" i="557" s="1"/>
  <c r="Y257" i="557" s="1"/>
  <c r="Y274" i="557" s="1"/>
  <c r="Y291" i="557" s="1"/>
  <c r="Y308" i="557" s="1"/>
  <c r="Y325" i="557" s="1"/>
  <c r="Y342" i="557" s="1"/>
  <c r="Y359" i="557" s="1"/>
  <c r="Y376" i="557" s="1"/>
  <c r="Y393" i="557" s="1"/>
  <c r="Y410" i="557" s="1"/>
  <c r="Y427" i="557" s="1"/>
  <c r="Y444" i="557" s="1"/>
  <c r="Y461" i="557" s="1"/>
  <c r="Y478" i="557" s="1"/>
  <c r="Y495" i="557" s="1"/>
  <c r="Y512" i="557" s="1"/>
  <c r="Y529" i="557" s="1"/>
  <c r="V53" i="557"/>
  <c r="V70" i="557" s="1"/>
  <c r="V87" i="557" s="1"/>
  <c r="V104" i="557" s="1"/>
  <c r="V121" i="557" s="1"/>
  <c r="V138" i="557" s="1"/>
  <c r="V155" i="557" s="1"/>
  <c r="V172" i="557" s="1"/>
  <c r="V189" i="557" s="1"/>
  <c r="V206" i="557" s="1"/>
  <c r="V223" i="557" s="1"/>
  <c r="V240" i="557" s="1"/>
  <c r="V257" i="557" s="1"/>
  <c r="V274" i="557" s="1"/>
  <c r="V291" i="557" s="1"/>
  <c r="V308" i="557" s="1"/>
  <c r="V325" i="557" s="1"/>
  <c r="V342" i="557" s="1"/>
  <c r="V359" i="557" s="1"/>
  <c r="V376" i="557" s="1"/>
  <c r="V393" i="557" s="1"/>
  <c r="V410" i="557" s="1"/>
  <c r="V427" i="557" s="1"/>
  <c r="V444" i="557" s="1"/>
  <c r="V461" i="557" s="1"/>
  <c r="V478" i="557" s="1"/>
  <c r="V495" i="557" s="1"/>
  <c r="V512" i="557" s="1"/>
  <c r="V529" i="557" s="1"/>
  <c r="F53" i="557"/>
  <c r="F70" i="557" s="1"/>
  <c r="F87" i="557" s="1"/>
  <c r="F104" i="557" s="1"/>
  <c r="F121" i="557" s="1"/>
  <c r="F138" i="557" s="1"/>
  <c r="F155" i="557" s="1"/>
  <c r="F172" i="557" s="1"/>
  <c r="F189" i="557" s="1"/>
  <c r="F206" i="557" s="1"/>
  <c r="F223" i="557" s="1"/>
  <c r="F240" i="557" s="1"/>
  <c r="F257" i="557" s="1"/>
  <c r="F274" i="557" s="1"/>
  <c r="F291" i="557" s="1"/>
  <c r="F308" i="557" s="1"/>
  <c r="F325" i="557" s="1"/>
  <c r="F342" i="557" s="1"/>
  <c r="F359" i="557" s="1"/>
  <c r="F376" i="557" s="1"/>
  <c r="F393" i="557" s="1"/>
  <c r="F410" i="557" s="1"/>
  <c r="F427" i="557" s="1"/>
  <c r="F444" i="557" s="1"/>
  <c r="F461" i="557" s="1"/>
  <c r="F478" i="557" s="1"/>
  <c r="F495" i="557" s="1"/>
  <c r="F512" i="557" s="1"/>
  <c r="F529" i="557" s="1"/>
  <c r="X53" i="557"/>
  <c r="X70" i="557" s="1"/>
  <c r="X87" i="557" s="1"/>
  <c r="X104" i="557" s="1"/>
  <c r="X121" i="557" s="1"/>
  <c r="X138" i="557" s="1"/>
  <c r="X155" i="557" s="1"/>
  <c r="X172" i="557" s="1"/>
  <c r="X189" i="557" s="1"/>
  <c r="X206" i="557" s="1"/>
  <c r="X223" i="557" s="1"/>
  <c r="X240" i="557" s="1"/>
  <c r="X257" i="557" s="1"/>
  <c r="X274" i="557" s="1"/>
  <c r="X291" i="557" s="1"/>
  <c r="X308" i="557" s="1"/>
  <c r="X325" i="557" s="1"/>
  <c r="X342" i="557" s="1"/>
  <c r="X359" i="557" s="1"/>
  <c r="X376" i="557" s="1"/>
  <c r="X393" i="557" s="1"/>
  <c r="X410" i="557" s="1"/>
  <c r="X427" i="557" s="1"/>
  <c r="X444" i="557" s="1"/>
  <c r="X461" i="557" s="1"/>
  <c r="X478" i="557" s="1"/>
  <c r="X495" i="557" s="1"/>
  <c r="X512" i="557" s="1"/>
  <c r="X529" i="557" s="1"/>
  <c r="N536" i="557"/>
  <c r="S70" i="557"/>
  <c r="R30" i="560"/>
  <c r="S48" i="560"/>
  <c r="AL472" i="560"/>
  <c r="A79" i="560"/>
  <c r="AR76" i="560"/>
  <c r="N538" i="557"/>
  <c r="AU2" i="557"/>
  <c r="H536" i="557"/>
  <c r="N328" i="532"/>
  <c r="Q403" i="532"/>
  <c r="D257" i="532"/>
  <c r="T231" i="532"/>
  <c r="T257" i="532" s="1"/>
  <c r="T282" i="532" s="1"/>
  <c r="T292" i="532" s="1"/>
  <c r="T302" i="532" s="1"/>
  <c r="T328" i="532" s="1"/>
  <c r="T349" i="532" s="1"/>
  <c r="T365" i="532" s="1"/>
  <c r="T384" i="532" s="1"/>
  <c r="T403" i="532" s="1"/>
  <c r="T413" i="532" s="1"/>
  <c r="T423" i="532" s="1"/>
  <c r="T440" i="532" s="1"/>
  <c r="T458" i="532" s="1"/>
  <c r="T2" i="549" s="1"/>
  <c r="T18" i="549" s="1"/>
  <c r="T38" i="549" s="1"/>
  <c r="T57" i="549" s="1"/>
  <c r="T68" i="549" s="1"/>
  <c r="T81" i="549" s="1"/>
  <c r="T97" i="549" s="1"/>
  <c r="T109" i="549" s="1"/>
  <c r="T122" i="549" s="1"/>
  <c r="T141" i="549" s="1"/>
  <c r="T164" i="549" s="1"/>
  <c r="T175" i="549" s="1"/>
  <c r="T186" i="549" s="1"/>
  <c r="T201" i="549" s="1"/>
  <c r="T215" i="549" s="1"/>
  <c r="T240" i="549" s="1"/>
  <c r="T254" i="549" s="1"/>
  <c r="T265" i="549" s="1"/>
  <c r="T276" i="549" s="1"/>
  <c r="T287" i="549" s="1"/>
  <c r="T307" i="549" s="1"/>
  <c r="T326" i="549" s="1"/>
  <c r="T339" i="549" s="1"/>
  <c r="T359" i="549" s="1"/>
  <c r="T375" i="549" s="1"/>
  <c r="T386" i="549" s="1"/>
  <c r="T397" i="549" s="1"/>
  <c r="T414" i="549" s="1"/>
  <c r="T431" i="549" s="1"/>
  <c r="T444" i="549" s="1"/>
  <c r="T462" i="549" s="1"/>
  <c r="T486" i="549" s="1"/>
  <c r="T2" i="550" s="1"/>
  <c r="T15" i="550" s="1"/>
  <c r="T27" i="550" s="1"/>
  <c r="T41" i="550" s="1"/>
  <c r="T55" i="550" s="1"/>
  <c r="T74" i="550" s="1"/>
  <c r="T88" i="550" s="1"/>
  <c r="T110" i="550" s="1"/>
  <c r="T121" i="550" s="1"/>
  <c r="T133" i="550" s="1"/>
  <c r="T158" i="550" s="1"/>
  <c r="T171" i="550" s="1"/>
  <c r="T185" i="550" s="1"/>
  <c r="T200" i="550" s="1"/>
  <c r="T217" i="550" s="1"/>
  <c r="T228" i="550" s="1"/>
  <c r="T238" i="550" s="1"/>
  <c r="T258" i="550" s="1"/>
  <c r="T272" i="550" s="1"/>
  <c r="T287" i="550" s="1"/>
  <c r="T299" i="550" s="1"/>
  <c r="T316" i="550" s="1"/>
  <c r="T326" i="550" s="1"/>
  <c r="T336" i="550" s="1"/>
  <c r="T353" i="550" s="1"/>
  <c r="T368" i="550" s="1"/>
  <c r="T382" i="550" s="1"/>
  <c r="T395" i="550" s="1"/>
  <c r="T412" i="550" s="1"/>
  <c r="T423" i="550" s="1"/>
  <c r="T434" i="550" s="1"/>
  <c r="T443" i="550" s="1"/>
  <c r="T2" i="551" s="1"/>
  <c r="T20" i="551" s="1"/>
  <c r="T41" i="551" s="1"/>
  <c r="T60" i="551" s="1"/>
  <c r="T72" i="551" s="1"/>
  <c r="T92" i="551" s="1"/>
  <c r="T104" i="551" s="1"/>
  <c r="T115" i="551" s="1"/>
  <c r="T132" i="551" s="1"/>
  <c r="T147" i="551" s="1"/>
  <c r="T165" i="551" s="1"/>
  <c r="T179" i="551" s="1"/>
  <c r="T194" i="551" s="1"/>
  <c r="T205" i="551" s="1"/>
  <c r="T216" i="551" s="1"/>
  <c r="T230" i="551" s="1"/>
  <c r="T246" i="551" s="1"/>
  <c r="T258" i="551" s="1"/>
  <c r="T273" i="551" s="1"/>
  <c r="T291" i="551" s="1"/>
  <c r="T303" i="551" s="1"/>
  <c r="T314" i="551" s="1"/>
  <c r="T332" i="551" s="1"/>
  <c r="T351" i="551" s="1"/>
  <c r="T363" i="551" s="1"/>
  <c r="T375" i="551" s="1"/>
  <c r="T389" i="551" s="1"/>
  <c r="T399" i="551" s="1"/>
  <c r="T411" i="551" s="1"/>
  <c r="T424" i="551" s="1"/>
  <c r="T437" i="551" s="1"/>
  <c r="T454" i="551" s="1"/>
  <c r="T2" i="552" s="1"/>
  <c r="T17" i="552" s="1"/>
  <c r="T42" i="552" s="1"/>
  <c r="T57" i="552" s="1"/>
  <c r="T69" i="552" s="1"/>
  <c r="T93" i="552" s="1"/>
  <c r="T116" i="552" s="1"/>
  <c r="T131" i="552" s="1"/>
  <c r="T146" i="552" s="1"/>
  <c r="T169" i="552" s="1"/>
  <c r="T193" i="552" s="1"/>
  <c r="T206" i="552" s="1"/>
  <c r="T232" i="552" s="1"/>
  <c r="T249" i="552" s="1"/>
  <c r="T265" i="552" s="1"/>
  <c r="T290" i="552" s="1"/>
  <c r="T308" i="552" s="1"/>
  <c r="T321" i="552" s="1"/>
  <c r="T333" i="552" s="1"/>
  <c r="T349" i="552" s="1"/>
  <c r="T372" i="552" s="1"/>
  <c r="T394" i="552" s="1"/>
  <c r="T409" i="552" s="1"/>
  <c r="T431" i="552" s="1"/>
  <c r="T450" i="552" s="1"/>
  <c r="T463" i="552" s="1"/>
  <c r="T482" i="552" s="1"/>
  <c r="T503" i="552" s="1"/>
  <c r="T523" i="552" s="1"/>
  <c r="T539" i="552" s="1"/>
  <c r="T559" i="552" s="1"/>
  <c r="T578" i="552" s="1"/>
  <c r="T2" i="554" s="1"/>
  <c r="T14" i="554" s="1"/>
  <c r="T32" i="554" s="1"/>
  <c r="T50" i="554" s="1"/>
  <c r="T64" i="554" s="1"/>
  <c r="T80" i="554" s="1"/>
  <c r="T97" i="554" s="1"/>
  <c r="T109" i="554" s="1"/>
  <c r="T121" i="554" s="1"/>
  <c r="T135" i="554" s="1"/>
  <c r="T156" i="554" s="1"/>
  <c r="T173" i="554" s="1"/>
  <c r="T187" i="554" s="1"/>
  <c r="T202" i="554" s="1"/>
  <c r="T214" i="554" s="1"/>
  <c r="T226" i="554" s="1"/>
  <c r="T238" i="554" s="1"/>
  <c r="T250" i="554" s="1"/>
  <c r="T270" i="554" s="1"/>
  <c r="T284" i="554" s="1"/>
  <c r="T303" i="554" s="1"/>
  <c r="T315" i="554" s="1"/>
  <c r="T327" i="554" s="1"/>
  <c r="T340" i="554" s="1"/>
  <c r="T354" i="554" s="1"/>
  <c r="T371" i="554" s="1"/>
  <c r="T386" i="554" s="1"/>
  <c r="T408" i="554" s="1"/>
  <c r="T420" i="554" s="1"/>
  <c r="T434" i="554" s="1"/>
  <c r="T452" i="554" s="1"/>
  <c r="T469" i="554" s="1"/>
  <c r="W2" i="557" s="1"/>
  <c r="W19" i="557" s="1"/>
  <c r="W36" i="557" s="1"/>
  <c r="AO230" i="532"/>
  <c r="AO224" i="554"/>
  <c r="A227" i="554"/>
  <c r="K2" i="549"/>
  <c r="K18" i="549" s="1"/>
  <c r="E199" i="532"/>
  <c r="R257" i="532"/>
  <c r="AO256" i="532"/>
  <c r="AA382" i="550"/>
  <c r="AA395" i="550" s="1"/>
  <c r="AA412" i="550" s="1"/>
  <c r="AA423" i="550" s="1"/>
  <c r="AA434" i="550" s="1"/>
  <c r="AA443" i="550"/>
  <c r="AA2" i="551" s="1"/>
  <c r="AA20" i="551" s="1"/>
  <c r="AA41" i="551" s="1"/>
  <c r="AA60" i="551" s="1"/>
  <c r="AA72" i="551" s="1"/>
  <c r="AA92" i="551" s="1"/>
  <c r="AA104" i="551" s="1"/>
  <c r="AA115" i="551" s="1"/>
  <c r="AA132" i="551" s="1"/>
  <c r="AA147" i="551" s="1"/>
  <c r="AA165" i="551" s="1"/>
  <c r="AA179" i="551" s="1"/>
  <c r="AA194" i="551" s="1"/>
  <c r="AA205" i="551" s="1"/>
  <c r="AA216" i="551" s="1"/>
  <c r="AA230" i="551" s="1"/>
  <c r="AA246" i="551" s="1"/>
  <c r="AA258" i="551" s="1"/>
  <c r="AA273" i="551" s="1"/>
  <c r="AA291" i="551" s="1"/>
  <c r="AA303" i="551" s="1"/>
  <c r="AA314" i="551" s="1"/>
  <c r="AA332" i="551" s="1"/>
  <c r="AA351" i="551" s="1"/>
  <c r="AA363" i="551" s="1"/>
  <c r="AA375" i="551" s="1"/>
  <c r="AF382" i="550"/>
  <c r="AF395" i="550" s="1"/>
  <c r="AF412" i="550" s="1"/>
  <c r="AF423" i="550" s="1"/>
  <c r="AF434" i="550" s="1"/>
  <c r="AF443" i="550"/>
  <c r="AF2" i="551" s="1"/>
  <c r="AF20" i="551" s="1"/>
  <c r="AF41" i="551" s="1"/>
  <c r="AF60" i="551" s="1"/>
  <c r="AF72" i="551" s="1"/>
  <c r="AF92" i="551" s="1"/>
  <c r="AF104" i="551" s="1"/>
  <c r="AF115" i="551" s="1"/>
  <c r="AF132" i="551" s="1"/>
  <c r="AF147" i="551" s="1"/>
  <c r="AF165" i="551" s="1"/>
  <c r="AF179" i="551" s="1"/>
  <c r="AF194" i="551" s="1"/>
  <c r="AF205" i="551" s="1"/>
  <c r="AF216" i="551" s="1"/>
  <c r="AF230" i="551" s="1"/>
  <c r="AF246" i="551" s="1"/>
  <c r="AF258" i="551" s="1"/>
  <c r="AF273" i="551" s="1"/>
  <c r="AF291" i="551" s="1"/>
  <c r="AF303" i="551" s="1"/>
  <c r="AF314" i="551" s="1"/>
  <c r="AF332" i="551" s="1"/>
  <c r="AF351" i="551" s="1"/>
  <c r="AF363" i="551" s="1"/>
  <c r="AF375" i="551" s="1"/>
  <c r="AN382" i="550"/>
  <c r="AN395" i="550" s="1"/>
  <c r="AN412" i="550" s="1"/>
  <c r="AN423" i="550" s="1"/>
  <c r="AN434" i="550" s="1"/>
  <c r="AL382" i="550"/>
  <c r="AL395" i="550" s="1"/>
  <c r="AL412" i="550" s="1"/>
  <c r="AL423" i="550" s="1"/>
  <c r="AL434" i="550" s="1"/>
  <c r="Z382" i="550"/>
  <c r="Z395" i="550" s="1"/>
  <c r="Z412" i="550" s="1"/>
  <c r="Z423" i="550" s="1"/>
  <c r="Z434" i="550" s="1"/>
  <c r="Z443" i="550"/>
  <c r="Z2" i="551" s="1"/>
  <c r="Z20" i="551" s="1"/>
  <c r="Z41" i="551" s="1"/>
  <c r="Z60" i="551" s="1"/>
  <c r="Z72" i="551" s="1"/>
  <c r="Z92" i="551" s="1"/>
  <c r="Z104" i="551" s="1"/>
  <c r="Z115" i="551" s="1"/>
  <c r="Z132" i="551" s="1"/>
  <c r="Z147" i="551" s="1"/>
  <c r="Z165" i="551" s="1"/>
  <c r="Z179" i="551" s="1"/>
  <c r="Z194" i="551" s="1"/>
  <c r="Z205" i="551" s="1"/>
  <c r="Z216" i="551" s="1"/>
  <c r="Z230" i="551" s="1"/>
  <c r="Z246" i="551" s="1"/>
  <c r="Z258" i="551" s="1"/>
  <c r="Z273" i="551" s="1"/>
  <c r="Z291" i="551" s="1"/>
  <c r="Z303" i="551" s="1"/>
  <c r="Z314" i="551" s="1"/>
  <c r="Z332" i="551" s="1"/>
  <c r="Z351" i="551" s="1"/>
  <c r="Z363" i="551" s="1"/>
  <c r="Z375" i="551" s="1"/>
  <c r="AB382" i="550"/>
  <c r="AB395" i="550" s="1"/>
  <c r="AB412" i="550" s="1"/>
  <c r="AB423" i="550" s="1"/>
  <c r="AB434" i="550" s="1"/>
  <c r="AB443" i="550"/>
  <c r="AB2" i="551" s="1"/>
  <c r="AB20" i="551" s="1"/>
  <c r="AB41" i="551" s="1"/>
  <c r="AB60" i="551" s="1"/>
  <c r="AB72" i="551" s="1"/>
  <c r="AB92" i="551" s="1"/>
  <c r="AB104" i="551" s="1"/>
  <c r="AB115" i="551" s="1"/>
  <c r="AB132" i="551" s="1"/>
  <c r="AB147" i="551" s="1"/>
  <c r="AB165" i="551" s="1"/>
  <c r="AB179" i="551" s="1"/>
  <c r="AB194" i="551" s="1"/>
  <c r="AB205" i="551" s="1"/>
  <c r="AB216" i="551" s="1"/>
  <c r="AB230" i="551" s="1"/>
  <c r="AB246" i="551" s="1"/>
  <c r="AB258" i="551" s="1"/>
  <c r="AB273" i="551" s="1"/>
  <c r="AB291" i="551" s="1"/>
  <c r="AB303" i="551" s="1"/>
  <c r="AB314" i="551" s="1"/>
  <c r="AB332" i="551" s="1"/>
  <c r="AB351" i="551" s="1"/>
  <c r="AB363" i="551" s="1"/>
  <c r="AB375" i="551" s="1"/>
  <c r="AC382" i="550"/>
  <c r="AC395" i="550" s="1"/>
  <c r="AC412" i="550" s="1"/>
  <c r="AC423" i="550" s="1"/>
  <c r="AC434" i="550" s="1"/>
  <c r="AC443" i="550"/>
  <c r="AC2" i="551" s="1"/>
  <c r="AC20" i="551" s="1"/>
  <c r="AC41" i="551" s="1"/>
  <c r="AC60" i="551" s="1"/>
  <c r="AC72" i="551" s="1"/>
  <c r="AC92" i="551" s="1"/>
  <c r="AC104" i="551" s="1"/>
  <c r="AC115" i="551" s="1"/>
  <c r="AC132" i="551" s="1"/>
  <c r="AC147" i="551" s="1"/>
  <c r="AC165" i="551" s="1"/>
  <c r="AC179" i="551" s="1"/>
  <c r="AC194" i="551" s="1"/>
  <c r="AC205" i="551" s="1"/>
  <c r="AC216" i="551" s="1"/>
  <c r="AC230" i="551" s="1"/>
  <c r="AC246" i="551" s="1"/>
  <c r="AC258" i="551" s="1"/>
  <c r="AC273" i="551" s="1"/>
  <c r="AC291" i="551" s="1"/>
  <c r="AC303" i="551" s="1"/>
  <c r="AC314" i="551" s="1"/>
  <c r="AC332" i="551" s="1"/>
  <c r="AC351" i="551" s="1"/>
  <c r="AC363" i="551" s="1"/>
  <c r="AC375" i="551" s="1"/>
  <c r="P87" i="532"/>
  <c r="AO86" i="532"/>
  <c r="AH486" i="549"/>
  <c r="AH2" i="550" s="1"/>
  <c r="AH15" i="550" s="1"/>
  <c r="AH27" i="550" s="1"/>
  <c r="AH41" i="550" s="1"/>
  <c r="AH55" i="550" s="1"/>
  <c r="AH74" i="550" s="1"/>
  <c r="AH88" i="550" s="1"/>
  <c r="AH110" i="550" s="1"/>
  <c r="AH121" i="550" s="1"/>
  <c r="AH133" i="550" s="1"/>
  <c r="AH158" i="550" s="1"/>
  <c r="AH171" i="550" s="1"/>
  <c r="AH185" i="550" s="1"/>
  <c r="AH200" i="550" s="1"/>
  <c r="AH217" i="550" s="1"/>
  <c r="AH228" i="550" s="1"/>
  <c r="AH238" i="550" s="1"/>
  <c r="AH258" i="550" s="1"/>
  <c r="AH272" i="550" s="1"/>
  <c r="AH287" i="550" s="1"/>
  <c r="AH299" i="550" s="1"/>
  <c r="AH316" i="550" s="1"/>
  <c r="AH326" i="550" s="1"/>
  <c r="AH336" i="550" s="1"/>
  <c r="AH353" i="550" s="1"/>
  <c r="AH368" i="550" s="1"/>
  <c r="AI469" i="554"/>
  <c r="AL2" i="557" s="1"/>
  <c r="AI408" i="554"/>
  <c r="AI420" i="554" s="1"/>
  <c r="AI434" i="554" s="1"/>
  <c r="AI452" i="554" s="1"/>
  <c r="AO70" i="551"/>
  <c r="A73" i="551"/>
  <c r="Y486" i="549"/>
  <c r="Y2" i="550" s="1"/>
  <c r="Y15" i="550" s="1"/>
  <c r="Y27" i="550" s="1"/>
  <c r="Y41" i="550" s="1"/>
  <c r="Y55" i="550" s="1"/>
  <c r="Y74" i="550" s="1"/>
  <c r="Y88" i="550" s="1"/>
  <c r="Y110" i="550" s="1"/>
  <c r="Y121" i="550" s="1"/>
  <c r="Y133" i="550" s="1"/>
  <c r="Y158" i="550" s="1"/>
  <c r="Y171" i="550" s="1"/>
  <c r="Y185" i="550" s="1"/>
  <c r="Y200" i="550" s="1"/>
  <c r="Y217" i="550" s="1"/>
  <c r="Y228" i="550" s="1"/>
  <c r="Y238" i="550" s="1"/>
  <c r="Y258" i="550" s="1"/>
  <c r="Y272" i="550" s="1"/>
  <c r="Y287" i="550" s="1"/>
  <c r="Y299" i="550" s="1"/>
  <c r="Y316" i="550" s="1"/>
  <c r="Y326" i="550" s="1"/>
  <c r="Y336" i="550" s="1"/>
  <c r="Y353" i="550" s="1"/>
  <c r="Y368" i="550" s="1"/>
  <c r="Y444" i="549"/>
  <c r="Y462" i="549" s="1"/>
  <c r="AO67" i="552"/>
  <c r="A70" i="552"/>
  <c r="A134" i="550"/>
  <c r="I76" i="532"/>
  <c r="H72" i="532"/>
  <c r="AO54" i="532"/>
  <c r="C54" i="532" s="1"/>
  <c r="AI454" i="551"/>
  <c r="AI2" i="552" s="1"/>
  <c r="M54" i="532"/>
  <c r="AO43" i="532"/>
  <c r="C43" i="532" s="1"/>
  <c r="C42" i="532"/>
  <c r="A110" i="549"/>
  <c r="W462" i="549"/>
  <c r="W486" i="549" s="1"/>
  <c r="W2" i="550" s="1"/>
  <c r="W15" i="550" s="1"/>
  <c r="W27" i="550" s="1"/>
  <c r="W41" i="550" s="1"/>
  <c r="W55" i="550" s="1"/>
  <c r="W74" i="550" s="1"/>
  <c r="W88" i="550" s="1"/>
  <c r="W110" i="550" s="1"/>
  <c r="W121" i="550" s="1"/>
  <c r="W133" i="550" s="1"/>
  <c r="W158" i="550" s="1"/>
  <c r="W171" i="550" s="1"/>
  <c r="W185" i="550" s="1"/>
  <c r="W200" i="550" s="1"/>
  <c r="W217" i="550" s="1"/>
  <c r="W228" i="550" s="1"/>
  <c r="W238" i="550" s="1"/>
  <c r="W258" i="550" s="1"/>
  <c r="W272" i="550" s="1"/>
  <c r="W287" i="550" s="1"/>
  <c r="W299" i="550" s="1"/>
  <c r="W316" i="550" s="1"/>
  <c r="W326" i="550" s="1"/>
  <c r="W336" i="550" s="1"/>
  <c r="W353" i="550" s="1"/>
  <c r="W368" i="550" s="1"/>
  <c r="X486" i="549"/>
  <c r="X2" i="550" s="1"/>
  <c r="X15" i="550" s="1"/>
  <c r="X27" i="550" s="1"/>
  <c r="X41" i="550" s="1"/>
  <c r="X55" i="550" s="1"/>
  <c r="X74" i="550" s="1"/>
  <c r="X88" i="550" s="1"/>
  <c r="X110" i="550" s="1"/>
  <c r="X121" i="550" s="1"/>
  <c r="X133" i="550" s="1"/>
  <c r="X158" i="550" s="1"/>
  <c r="X171" i="550" s="1"/>
  <c r="X185" i="550" s="1"/>
  <c r="X200" i="550" s="1"/>
  <c r="X217" i="550" s="1"/>
  <c r="X228" i="550" s="1"/>
  <c r="X238" i="550" s="1"/>
  <c r="X258" i="550" s="1"/>
  <c r="X272" i="550" s="1"/>
  <c r="X287" i="550" s="1"/>
  <c r="X299" i="550" s="1"/>
  <c r="X316" i="550" s="1"/>
  <c r="X326" i="550" s="1"/>
  <c r="X336" i="550" s="1"/>
  <c r="X353" i="550" s="1"/>
  <c r="X368" i="550" s="1"/>
  <c r="X431" i="549"/>
  <c r="X444" i="549" s="1"/>
  <c r="X462" i="549" s="1"/>
  <c r="AD486" i="549"/>
  <c r="AD2" i="550" s="1"/>
  <c r="AD15" i="550" s="1"/>
  <c r="AD27" i="550" s="1"/>
  <c r="AD41" i="550" s="1"/>
  <c r="AD55" i="550" s="1"/>
  <c r="AD74" i="550" s="1"/>
  <c r="AD88" i="550" s="1"/>
  <c r="AD110" i="550" s="1"/>
  <c r="AD121" i="550" s="1"/>
  <c r="AD133" i="550" s="1"/>
  <c r="AD158" i="550" s="1"/>
  <c r="AD171" i="550" s="1"/>
  <c r="AD185" i="550" s="1"/>
  <c r="AD200" i="550" s="1"/>
  <c r="AD217" i="550" s="1"/>
  <c r="AD228" i="550" s="1"/>
  <c r="AD238" i="550" s="1"/>
  <c r="AD258" i="550" s="1"/>
  <c r="AD272" i="550" s="1"/>
  <c r="AD287" i="550" s="1"/>
  <c r="AD299" i="550" s="1"/>
  <c r="AD316" i="550" s="1"/>
  <c r="AD326" i="550" s="1"/>
  <c r="AD336" i="550" s="1"/>
  <c r="AD353" i="550" s="1"/>
  <c r="AD368" i="550" s="1"/>
  <c r="AD397" i="549"/>
  <c r="AD414" i="549" s="1"/>
  <c r="AD431" i="549" s="1"/>
  <c r="AD444" i="549" s="1"/>
  <c r="AD462" i="549" s="1"/>
  <c r="AG382" i="550"/>
  <c r="AG395" i="550" s="1"/>
  <c r="AG412" i="550" s="1"/>
  <c r="AG423" i="550" s="1"/>
  <c r="AG434" i="550" s="1"/>
  <c r="AO255" i="532"/>
  <c r="A258" i="532"/>
  <c r="AK486" i="549"/>
  <c r="AK2" i="550" s="1"/>
  <c r="AK15" i="550" s="1"/>
  <c r="AK27" i="550" s="1"/>
  <c r="AK41" i="550" s="1"/>
  <c r="AK55" i="550" s="1"/>
  <c r="AK74" i="550" s="1"/>
  <c r="AK88" i="550" s="1"/>
  <c r="AK110" i="550" s="1"/>
  <c r="AK121" i="550" s="1"/>
  <c r="AK133" i="550" s="1"/>
  <c r="AK158" i="550" s="1"/>
  <c r="AK171" i="550" s="1"/>
  <c r="AK185" i="550" s="1"/>
  <c r="AK200" i="550" s="1"/>
  <c r="AK217" i="550" s="1"/>
  <c r="AK228" i="550" s="1"/>
  <c r="AK238" i="550" s="1"/>
  <c r="AK258" i="550" s="1"/>
  <c r="AK272" i="550" s="1"/>
  <c r="AK287" i="550" s="1"/>
  <c r="AK299" i="550" s="1"/>
  <c r="AK316" i="550" s="1"/>
  <c r="AK326" i="550" s="1"/>
  <c r="AK336" i="550" s="1"/>
  <c r="AK353" i="550" s="1"/>
  <c r="AK368" i="550" s="1"/>
  <c r="AK397" i="549"/>
  <c r="AK414" i="549" s="1"/>
  <c r="AK431" i="549" s="1"/>
  <c r="AK444" i="549" s="1"/>
  <c r="AK462" i="549" s="1"/>
  <c r="AM397" i="549"/>
  <c r="AM414" i="549" s="1"/>
  <c r="AM431" i="549" s="1"/>
  <c r="AM444" i="549" s="1"/>
  <c r="AM462" i="549" s="1"/>
  <c r="A88" i="532"/>
  <c r="E51" i="555"/>
  <c r="E52" i="555"/>
  <c r="E53" i="555" s="1"/>
  <c r="E54" i="555" s="1"/>
  <c r="E55" i="555" s="1"/>
  <c r="E56" i="555" s="1"/>
  <c r="E57" i="555" s="1"/>
  <c r="E58" i="555" s="1"/>
  <c r="E59" i="555" s="1"/>
  <c r="E60" i="555" s="1"/>
  <c r="E61" i="555" s="1"/>
  <c r="E62" i="555" s="1"/>
  <c r="E63" i="555" s="1"/>
  <c r="E64" i="555" s="1"/>
  <c r="E65" i="555" s="1"/>
  <c r="E66" i="555" s="1"/>
  <c r="E67" i="555" s="1"/>
  <c r="E68" i="555" s="1"/>
  <c r="E69" i="555" s="1"/>
  <c r="E70" i="555" s="1"/>
  <c r="E71" i="555" s="1"/>
  <c r="E72" i="555" s="1"/>
  <c r="E73" i="555" s="1"/>
  <c r="E74" i="555" s="1"/>
  <c r="E75" i="555" s="1"/>
  <c r="E76" i="555" s="1"/>
  <c r="E77" i="555" s="1"/>
  <c r="E78" i="555" s="1"/>
  <c r="E79" i="555" s="1"/>
  <c r="E80" i="555" s="1"/>
  <c r="E81" i="555" s="1"/>
  <c r="E82" i="555" s="1"/>
  <c r="E83" i="555" s="1"/>
  <c r="E84" i="555" s="1"/>
  <c r="E85" i="555" s="1"/>
  <c r="E86" i="555" s="1"/>
  <c r="E87" i="555" s="1"/>
  <c r="E88" i="555" s="1"/>
  <c r="E89" i="555" s="1"/>
  <c r="E90" i="555" s="1"/>
  <c r="AE444" i="549"/>
  <c r="AE462" i="549" s="1"/>
  <c r="AE486" i="549"/>
  <c r="AE2" i="550" s="1"/>
  <c r="AE15" i="550" s="1"/>
  <c r="AE27" i="550" s="1"/>
  <c r="AE41" i="550" s="1"/>
  <c r="AE55" i="550" s="1"/>
  <c r="AE74" i="550" s="1"/>
  <c r="AE88" i="550" s="1"/>
  <c r="AE110" i="550" s="1"/>
  <c r="AE121" i="550" s="1"/>
  <c r="AE133" i="550" s="1"/>
  <c r="AE158" i="550" s="1"/>
  <c r="AE171" i="550" s="1"/>
  <c r="AE185" i="550" s="1"/>
  <c r="AE200" i="550" s="1"/>
  <c r="AE217" i="550" s="1"/>
  <c r="AE228" i="550" s="1"/>
  <c r="AE238" i="550" s="1"/>
  <c r="AE258" i="550" s="1"/>
  <c r="AE272" i="550" s="1"/>
  <c r="AE287" i="550" s="1"/>
  <c r="AE299" i="550" s="1"/>
  <c r="AE316" i="550" s="1"/>
  <c r="AE326" i="550" s="1"/>
  <c r="AE336" i="550" s="1"/>
  <c r="AE353" i="550" s="1"/>
  <c r="AE368" i="550" s="1"/>
  <c r="AJ431" i="549"/>
  <c r="AJ444" i="549" s="1"/>
  <c r="AJ462" i="549" s="1"/>
  <c r="AO229" i="532"/>
  <c r="AI443" i="550"/>
  <c r="AI2" i="551" s="1"/>
  <c r="AI486" i="549"/>
  <c r="AI2" i="550" s="1"/>
  <c r="J53" i="549"/>
  <c r="H53" i="549" s="1"/>
  <c r="J64" i="549"/>
  <c r="H64" i="549" s="1"/>
  <c r="J272" i="549"/>
  <c r="H272" i="549" s="1"/>
  <c r="G141" i="549"/>
  <c r="G164" i="549" s="1"/>
  <c r="G175" i="549" s="1"/>
  <c r="G186" i="549" s="1"/>
  <c r="G201" i="549" s="1"/>
  <c r="G215" i="549" s="1"/>
  <c r="G240" i="549" s="1"/>
  <c r="G254" i="549" s="1"/>
  <c r="G265" i="549" s="1"/>
  <c r="G276" i="549" s="1"/>
  <c r="G287" i="549" s="1"/>
  <c r="G307" i="549" s="1"/>
  <c r="G326" i="549" s="1"/>
  <c r="G339" i="549" s="1"/>
  <c r="G359" i="549" s="1"/>
  <c r="G375" i="549" s="1"/>
  <c r="G386" i="549" s="1"/>
  <c r="G397" i="549" s="1"/>
  <c r="G414" i="549" s="1"/>
  <c r="G431" i="549" s="1"/>
  <c r="G444" i="549" s="1"/>
  <c r="G462" i="549" s="1"/>
  <c r="G486" i="549" s="1"/>
  <c r="G2" i="550" s="1"/>
  <c r="G15" i="550" s="1"/>
  <c r="G27" i="550" s="1"/>
  <c r="G41" i="550" s="1"/>
  <c r="G55" i="550" s="1"/>
  <c r="G74" i="550" s="1"/>
  <c r="G88" i="550" s="1"/>
  <c r="G110" i="550" s="1"/>
  <c r="G121" i="550" s="1"/>
  <c r="G133" i="550" s="1"/>
  <c r="G158" i="550" s="1"/>
  <c r="G171" i="550" s="1"/>
  <c r="G185" i="550" s="1"/>
  <c r="G200" i="550" s="1"/>
  <c r="G217" i="550" s="1"/>
  <c r="G228" i="550" s="1"/>
  <c r="G238" i="550" s="1"/>
  <c r="G258" i="550" s="1"/>
  <c r="G272" i="550" s="1"/>
  <c r="G287" i="550" s="1"/>
  <c r="G299" i="550" s="1"/>
  <c r="G316" i="550" s="1"/>
  <c r="G326" i="550" s="1"/>
  <c r="G336" i="550" s="1"/>
  <c r="G353" i="550" s="1"/>
  <c r="G368" i="550" s="1"/>
  <c r="G382" i="550" s="1"/>
  <c r="G395" i="550" s="1"/>
  <c r="G412" i="550" s="1"/>
  <c r="G423" i="550" s="1"/>
  <c r="G434" i="550" s="1"/>
  <c r="G443" i="550" s="1"/>
  <c r="G2" i="551" s="1"/>
  <c r="G20" i="551" s="1"/>
  <c r="G41" i="551" s="1"/>
  <c r="G60" i="551" s="1"/>
  <c r="G72" i="551" s="1"/>
  <c r="G92" i="551" s="1"/>
  <c r="G104" i="551" s="1"/>
  <c r="G115" i="551" s="1"/>
  <c r="G132" i="551" s="1"/>
  <c r="G147" i="551" s="1"/>
  <c r="G165" i="551" s="1"/>
  <c r="G179" i="551" s="1"/>
  <c r="G194" i="551" s="1"/>
  <c r="G205" i="551" s="1"/>
  <c r="G216" i="551" s="1"/>
  <c r="G230" i="551" s="1"/>
  <c r="G246" i="551" s="1"/>
  <c r="G258" i="551" s="1"/>
  <c r="G273" i="551" s="1"/>
  <c r="G291" i="551" s="1"/>
  <c r="G303" i="551" s="1"/>
  <c r="G314" i="551" s="1"/>
  <c r="G332" i="551" s="1"/>
  <c r="G351" i="551" s="1"/>
  <c r="G363" i="551" s="1"/>
  <c r="G375" i="551" s="1"/>
  <c r="G389" i="551" s="1"/>
  <c r="G399" i="551" s="1"/>
  <c r="G411" i="551" s="1"/>
  <c r="G424" i="551" s="1"/>
  <c r="G437" i="551" s="1"/>
  <c r="G454" i="551" s="1"/>
  <c r="G2" i="552" s="1"/>
  <c r="G17" i="552" s="1"/>
  <c r="G42" i="552" s="1"/>
  <c r="G57" i="552" s="1"/>
  <c r="G69" i="552" s="1"/>
  <c r="G93" i="552" s="1"/>
  <c r="G116" i="552" s="1"/>
  <c r="G131" i="552" s="1"/>
  <c r="G146" i="552" s="1"/>
  <c r="G169" i="552" s="1"/>
  <c r="G193" i="552" s="1"/>
  <c r="G206" i="552" s="1"/>
  <c r="G232" i="552" s="1"/>
  <c r="G249" i="552" s="1"/>
  <c r="G265" i="552" s="1"/>
  <c r="G290" i="552" s="1"/>
  <c r="G308" i="552" s="1"/>
  <c r="G321" i="552" s="1"/>
  <c r="G333" i="552" s="1"/>
  <c r="G349" i="552" s="1"/>
  <c r="G372" i="552" s="1"/>
  <c r="G394" i="552" s="1"/>
  <c r="G409" i="552" s="1"/>
  <c r="G431" i="552" s="1"/>
  <c r="G450" i="552" s="1"/>
  <c r="G463" i="552" s="1"/>
  <c r="G482" i="552" s="1"/>
  <c r="G503" i="552" s="1"/>
  <c r="G523" i="552" s="1"/>
  <c r="G539" i="552" s="1"/>
  <c r="G559" i="552" s="1"/>
  <c r="G578" i="552" s="1"/>
  <c r="G2" i="554" s="1"/>
  <c r="G14" i="554" s="1"/>
  <c r="G32" i="554" s="1"/>
  <c r="G50" i="554" s="1"/>
  <c r="G64" i="554" s="1"/>
  <c r="G80" i="554" s="1"/>
  <c r="G97" i="554" s="1"/>
  <c r="G109" i="554" s="1"/>
  <c r="G121" i="554" s="1"/>
  <c r="G135" i="554" s="1"/>
  <c r="G156" i="554" s="1"/>
  <c r="G173" i="554" s="1"/>
  <c r="G187" i="554" s="1"/>
  <c r="G202" i="554" s="1"/>
  <c r="G214" i="554" s="1"/>
  <c r="G226" i="554" s="1"/>
  <c r="G238" i="554" s="1"/>
  <c r="G250" i="554" s="1"/>
  <c r="G270" i="554" s="1"/>
  <c r="G284" i="554" s="1"/>
  <c r="G303" i="554" s="1"/>
  <c r="G315" i="554" s="1"/>
  <c r="G327" i="554" s="1"/>
  <c r="G340" i="554" s="1"/>
  <c r="G354" i="554" s="1"/>
  <c r="G371" i="554" s="1"/>
  <c r="G386" i="554" s="1"/>
  <c r="G408" i="554" s="1"/>
  <c r="G420" i="554" s="1"/>
  <c r="G434" i="554" s="1"/>
  <c r="G452" i="554" s="1"/>
  <c r="G469" i="554" s="1"/>
  <c r="G2" i="557" s="1"/>
  <c r="G19" i="557" s="1"/>
  <c r="G36" i="557" s="1"/>
  <c r="J433" i="551"/>
  <c r="H433" i="551" s="1"/>
  <c r="J450" i="551"/>
  <c r="H450" i="551" s="1"/>
  <c r="J165" i="552"/>
  <c r="H165" i="552" s="1"/>
  <c r="J335" i="549"/>
  <c r="H335" i="549" s="1"/>
  <c r="J364" i="550"/>
  <c r="H364" i="550" s="1"/>
  <c r="J34" i="549"/>
  <c r="H34" i="549" s="1"/>
  <c r="J105" i="549"/>
  <c r="H105" i="549" s="1"/>
  <c r="J118" i="549"/>
  <c r="H118" i="549" s="1"/>
  <c r="J137" i="549"/>
  <c r="H137" i="549" s="1"/>
  <c r="J160" i="549"/>
  <c r="H160" i="549" s="1"/>
  <c r="J197" i="549"/>
  <c r="H197" i="549" s="1"/>
  <c r="J250" i="549"/>
  <c r="H250" i="549" s="1"/>
  <c r="J70" i="550"/>
  <c r="H70" i="550" s="1"/>
  <c r="J60" i="554"/>
  <c r="H60" i="554" s="1"/>
  <c r="J198" i="554"/>
  <c r="H198" i="554" s="1"/>
  <c r="J222" i="554"/>
  <c r="H222" i="554" s="1"/>
  <c r="J404" i="554"/>
  <c r="H404" i="554" s="1"/>
  <c r="J416" i="554"/>
  <c r="H416" i="554" s="1"/>
  <c r="R447" i="550"/>
  <c r="R448" i="550"/>
  <c r="J323" i="554"/>
  <c r="H323" i="554" s="1"/>
  <c r="J246" i="554"/>
  <c r="H246" i="554" s="1"/>
  <c r="J350" i="554"/>
  <c r="H350" i="554" s="1"/>
  <c r="L155" i="574" l="1"/>
  <c r="M172" i="574"/>
  <c r="P155" i="574"/>
  <c r="O138" i="574"/>
  <c r="S155" i="574"/>
  <c r="R138" i="574"/>
  <c r="T138" i="574"/>
  <c r="AR137" i="574"/>
  <c r="C137" i="574"/>
  <c r="D155" i="574"/>
  <c r="S155" i="573"/>
  <c r="R138" i="573"/>
  <c r="AR154" i="573"/>
  <c r="T155" i="573"/>
  <c r="P155" i="573"/>
  <c r="O138" i="573"/>
  <c r="C137" i="573"/>
  <c r="AR138" i="573"/>
  <c r="C138" i="573" s="1"/>
  <c r="D155" i="573"/>
  <c r="M172" i="573"/>
  <c r="L155" i="573"/>
  <c r="T172" i="572"/>
  <c r="AR171" i="572"/>
  <c r="D172" i="572"/>
  <c r="L138" i="572"/>
  <c r="M155" i="572"/>
  <c r="P172" i="572"/>
  <c r="O155" i="572"/>
  <c r="S172" i="572"/>
  <c r="R155" i="572"/>
  <c r="D155" i="571"/>
  <c r="C137" i="571"/>
  <c r="AR137" i="571"/>
  <c r="T138" i="571"/>
  <c r="AR138" i="571" s="1"/>
  <c r="C138" i="571" s="1"/>
  <c r="M155" i="571"/>
  <c r="L138" i="571"/>
  <c r="R138" i="571"/>
  <c r="S155" i="571"/>
  <c r="P155" i="571"/>
  <c r="O138" i="571"/>
  <c r="C137" i="570"/>
  <c r="D172" i="570"/>
  <c r="P172" i="570"/>
  <c r="O155" i="570"/>
  <c r="T172" i="570"/>
  <c r="AR171" i="570"/>
  <c r="S172" i="570"/>
  <c r="R155" i="570"/>
  <c r="M155" i="570"/>
  <c r="L138" i="570"/>
  <c r="P155" i="569"/>
  <c r="O138" i="569"/>
  <c r="S155" i="569"/>
  <c r="R138" i="569"/>
  <c r="AR154" i="569"/>
  <c r="T155" i="569"/>
  <c r="M155" i="569"/>
  <c r="L138" i="569"/>
  <c r="C137" i="569"/>
  <c r="AR138" i="569"/>
  <c r="C138" i="569" s="1"/>
  <c r="D155" i="569"/>
  <c r="AR138" i="568"/>
  <c r="C138" i="568" s="1"/>
  <c r="C137" i="568"/>
  <c r="D155" i="568"/>
  <c r="T138" i="568"/>
  <c r="AR137" i="568"/>
  <c r="P155" i="568"/>
  <c r="O138" i="568"/>
  <c r="S155" i="568"/>
  <c r="R138" i="568"/>
  <c r="M155" i="568"/>
  <c r="L138" i="568"/>
  <c r="D138" i="566"/>
  <c r="T155" i="566"/>
  <c r="AR154" i="566"/>
  <c r="T138" i="565"/>
  <c r="AR137" i="565"/>
  <c r="D121" i="565"/>
  <c r="V2" i="560"/>
  <c r="V14" i="560" s="1"/>
  <c r="V30" i="560" s="1"/>
  <c r="V48" i="560" s="1"/>
  <c r="V62" i="560" s="1"/>
  <c r="V78" i="560" s="1"/>
  <c r="V97" i="560" s="1"/>
  <c r="V109" i="560" s="1"/>
  <c r="V121" i="560" s="1"/>
  <c r="V135" i="560" s="1"/>
  <c r="V157" i="560" s="1"/>
  <c r="V173" i="560" s="1"/>
  <c r="V187" i="560" s="1"/>
  <c r="V201" i="560" s="1"/>
  <c r="V214" i="560" s="1"/>
  <c r="V226" i="560" s="1"/>
  <c r="V238" i="560" s="1"/>
  <c r="V252" i="560" s="1"/>
  <c r="V272" i="560" s="1"/>
  <c r="V286" i="560" s="1"/>
  <c r="V305" i="560" s="1"/>
  <c r="V317" i="560" s="1"/>
  <c r="V329" i="560" s="1"/>
  <c r="V343" i="560" s="1"/>
  <c r="V359" i="560" s="1"/>
  <c r="V374" i="560" s="1"/>
  <c r="V389" i="560" s="1"/>
  <c r="V410" i="560" s="1"/>
  <c r="V422" i="560" s="1"/>
  <c r="V437" i="560" s="1"/>
  <c r="V455" i="560" s="1"/>
  <c r="V472" i="560" s="1"/>
  <c r="X2" i="560"/>
  <c r="X14" i="560" s="1"/>
  <c r="X30" i="560" s="1"/>
  <c r="X48" i="560" s="1"/>
  <c r="X62" i="560" s="1"/>
  <c r="X78" i="560" s="1"/>
  <c r="X97" i="560" s="1"/>
  <c r="X109" i="560" s="1"/>
  <c r="X121" i="560" s="1"/>
  <c r="X135" i="560" s="1"/>
  <c r="X157" i="560" s="1"/>
  <c r="X173" i="560" s="1"/>
  <c r="X187" i="560" s="1"/>
  <c r="X201" i="560" s="1"/>
  <c r="X214" i="560" s="1"/>
  <c r="X226" i="560" s="1"/>
  <c r="X238" i="560" s="1"/>
  <c r="X252" i="560" s="1"/>
  <c r="X272" i="560" s="1"/>
  <c r="X286" i="560" s="1"/>
  <c r="X305" i="560" s="1"/>
  <c r="X317" i="560" s="1"/>
  <c r="X329" i="560" s="1"/>
  <c r="X343" i="560" s="1"/>
  <c r="X359" i="560" s="1"/>
  <c r="X374" i="560" s="1"/>
  <c r="X389" i="560" s="1"/>
  <c r="X410" i="560" s="1"/>
  <c r="X422" i="560" s="1"/>
  <c r="X437" i="560" s="1"/>
  <c r="X455" i="560" s="1"/>
  <c r="X472" i="560" s="1"/>
  <c r="Y2" i="560"/>
  <c r="Y14" i="560" s="1"/>
  <c r="Y30" i="560" s="1"/>
  <c r="Y48" i="560" s="1"/>
  <c r="Y62" i="560" s="1"/>
  <c r="Y78" i="560" s="1"/>
  <c r="Y97" i="560" s="1"/>
  <c r="Y109" i="560" s="1"/>
  <c r="Y121" i="560" s="1"/>
  <c r="Y135" i="560" s="1"/>
  <c r="Y157" i="560" s="1"/>
  <c r="Y173" i="560" s="1"/>
  <c r="Y187" i="560" s="1"/>
  <c r="Y201" i="560" s="1"/>
  <c r="Y214" i="560" s="1"/>
  <c r="Y226" i="560" s="1"/>
  <c r="Y238" i="560" s="1"/>
  <c r="Y252" i="560" s="1"/>
  <c r="Y272" i="560" s="1"/>
  <c r="Y286" i="560" s="1"/>
  <c r="Y305" i="560" s="1"/>
  <c r="Y317" i="560" s="1"/>
  <c r="Y329" i="560" s="1"/>
  <c r="Y343" i="560" s="1"/>
  <c r="Y359" i="560" s="1"/>
  <c r="Y374" i="560" s="1"/>
  <c r="Y389" i="560" s="1"/>
  <c r="Y410" i="560" s="1"/>
  <c r="Y422" i="560" s="1"/>
  <c r="Y437" i="560" s="1"/>
  <c r="Y455" i="560" s="1"/>
  <c r="Y472" i="560" s="1"/>
  <c r="W53" i="557"/>
  <c r="W70" i="557" s="1"/>
  <c r="W87" i="557" s="1"/>
  <c r="W104" i="557" s="1"/>
  <c r="W121" i="557" s="1"/>
  <c r="W138" i="557" s="1"/>
  <c r="W155" i="557" s="1"/>
  <c r="W172" i="557" s="1"/>
  <c r="W189" i="557" s="1"/>
  <c r="W206" i="557" s="1"/>
  <c r="W223" i="557" s="1"/>
  <c r="W240" i="557" s="1"/>
  <c r="W257" i="557" s="1"/>
  <c r="W274" i="557" s="1"/>
  <c r="W291" i="557" s="1"/>
  <c r="W308" i="557" s="1"/>
  <c r="W325" i="557" s="1"/>
  <c r="W342" i="557" s="1"/>
  <c r="W359" i="557" s="1"/>
  <c r="W376" i="557" s="1"/>
  <c r="W393" i="557" s="1"/>
  <c r="W410" i="557" s="1"/>
  <c r="W427" i="557" s="1"/>
  <c r="W444" i="557" s="1"/>
  <c r="W461" i="557" s="1"/>
  <c r="W478" i="557" s="1"/>
  <c r="W495" i="557" s="1"/>
  <c r="W512" i="557" s="1"/>
  <c r="W529" i="557" s="1"/>
  <c r="G53" i="557"/>
  <c r="G70" i="557" s="1"/>
  <c r="G87" i="557" s="1"/>
  <c r="G104" i="557" s="1"/>
  <c r="G121" i="557" s="1"/>
  <c r="G138" i="557" s="1"/>
  <c r="G155" i="557" s="1"/>
  <c r="G172" i="557" s="1"/>
  <c r="G189" i="557" s="1"/>
  <c r="G206" i="557" s="1"/>
  <c r="G223" i="557" s="1"/>
  <c r="G240" i="557" s="1"/>
  <c r="G257" i="557" s="1"/>
  <c r="G274" i="557" s="1"/>
  <c r="G291" i="557" s="1"/>
  <c r="G308" i="557" s="1"/>
  <c r="G325" i="557" s="1"/>
  <c r="G342" i="557" s="1"/>
  <c r="G359" i="557" s="1"/>
  <c r="G376" i="557" s="1"/>
  <c r="G393" i="557" s="1"/>
  <c r="G410" i="557" s="1"/>
  <c r="G427" i="557" s="1"/>
  <c r="G444" i="557" s="1"/>
  <c r="G461" i="557" s="1"/>
  <c r="G478" i="557" s="1"/>
  <c r="G495" i="557" s="1"/>
  <c r="G512" i="557" s="1"/>
  <c r="G529" i="557" s="1"/>
  <c r="S87" i="557"/>
  <c r="R70" i="557"/>
  <c r="F2" i="560"/>
  <c r="F14" i="560" s="1"/>
  <c r="F30" i="560" s="1"/>
  <c r="F48" i="560" s="1"/>
  <c r="F62" i="560" s="1"/>
  <c r="F78" i="560" s="1"/>
  <c r="F97" i="560" s="1"/>
  <c r="F109" i="560" s="1"/>
  <c r="F121" i="560" s="1"/>
  <c r="F135" i="560" s="1"/>
  <c r="F157" i="560" s="1"/>
  <c r="F173" i="560" s="1"/>
  <c r="F187" i="560" s="1"/>
  <c r="F201" i="560" s="1"/>
  <c r="F214" i="560" s="1"/>
  <c r="F226" i="560" s="1"/>
  <c r="F238" i="560" s="1"/>
  <c r="F252" i="560" s="1"/>
  <c r="F272" i="560" s="1"/>
  <c r="F286" i="560" s="1"/>
  <c r="F305" i="560" s="1"/>
  <c r="F317" i="560" s="1"/>
  <c r="F329" i="560" s="1"/>
  <c r="F343" i="560" s="1"/>
  <c r="F359" i="560" s="1"/>
  <c r="F374" i="560" s="1"/>
  <c r="F389" i="560" s="1"/>
  <c r="F410" i="560" s="1"/>
  <c r="F422" i="560" s="1"/>
  <c r="F437" i="560" s="1"/>
  <c r="F455" i="560" s="1"/>
  <c r="F472" i="560" s="1"/>
  <c r="AR95" i="560"/>
  <c r="A98" i="560"/>
  <c r="S62" i="560"/>
  <c r="R48" i="560"/>
  <c r="AL529" i="557"/>
  <c r="W382" i="550"/>
  <c r="W395" i="550" s="1"/>
  <c r="W412" i="550" s="1"/>
  <c r="W423" i="550" s="1"/>
  <c r="W434" i="550" s="1"/>
  <c r="AD382" i="550"/>
  <c r="AD395" i="550" s="1"/>
  <c r="AD412" i="550" s="1"/>
  <c r="AD423" i="550" s="1"/>
  <c r="AD434" i="550" s="1"/>
  <c r="AD443" i="550"/>
  <c r="AD2" i="551" s="1"/>
  <c r="AD20" i="551" s="1"/>
  <c r="AD41" i="551" s="1"/>
  <c r="AD60" i="551" s="1"/>
  <c r="AD72" i="551" s="1"/>
  <c r="AD92" i="551" s="1"/>
  <c r="AD104" i="551" s="1"/>
  <c r="AD115" i="551" s="1"/>
  <c r="AD132" i="551" s="1"/>
  <c r="AD147" i="551" s="1"/>
  <c r="AD165" i="551" s="1"/>
  <c r="AD179" i="551" s="1"/>
  <c r="AD194" i="551" s="1"/>
  <c r="AD205" i="551" s="1"/>
  <c r="AD216" i="551" s="1"/>
  <c r="AD230" i="551" s="1"/>
  <c r="AD246" i="551" s="1"/>
  <c r="AD258" i="551" s="1"/>
  <c r="AD273" i="551" s="1"/>
  <c r="AD291" i="551" s="1"/>
  <c r="AD303" i="551" s="1"/>
  <c r="AD314" i="551" s="1"/>
  <c r="AD332" i="551" s="1"/>
  <c r="AD351" i="551" s="1"/>
  <c r="AD363" i="551" s="1"/>
  <c r="AD375" i="551" s="1"/>
  <c r="M69" i="532"/>
  <c r="C53" i="532"/>
  <c r="M72" i="532"/>
  <c r="L54" i="532"/>
  <c r="AB389" i="551"/>
  <c r="AB399" i="551" s="1"/>
  <c r="AB411" i="551" s="1"/>
  <c r="AB424" i="551" s="1"/>
  <c r="AB437" i="551" s="1"/>
  <c r="AA389" i="551"/>
  <c r="AA399" i="551" s="1"/>
  <c r="AA411" i="551" s="1"/>
  <c r="AA424" i="551" s="1"/>
  <c r="AA437" i="551" s="1"/>
  <c r="R282" i="532"/>
  <c r="AO281" i="532"/>
  <c r="AJ486" i="549"/>
  <c r="AJ2" i="550" s="1"/>
  <c r="AJ15" i="550" s="1"/>
  <c r="AJ27" i="550" s="1"/>
  <c r="AJ41" i="550" s="1"/>
  <c r="AJ55" i="550" s="1"/>
  <c r="AJ74" i="550" s="1"/>
  <c r="AJ88" i="550" s="1"/>
  <c r="AJ110" i="550" s="1"/>
  <c r="AJ121" i="550" s="1"/>
  <c r="AJ133" i="550" s="1"/>
  <c r="AJ158" i="550" s="1"/>
  <c r="AJ171" i="550" s="1"/>
  <c r="AJ185" i="550" s="1"/>
  <c r="AJ200" i="550" s="1"/>
  <c r="AJ217" i="550" s="1"/>
  <c r="AJ228" i="550" s="1"/>
  <c r="AJ238" i="550" s="1"/>
  <c r="AJ258" i="550" s="1"/>
  <c r="AJ272" i="550" s="1"/>
  <c r="AJ287" i="550" s="1"/>
  <c r="AJ299" i="550" s="1"/>
  <c r="AJ316" i="550" s="1"/>
  <c r="AJ326" i="550" s="1"/>
  <c r="AJ336" i="550" s="1"/>
  <c r="AJ353" i="550" s="1"/>
  <c r="AJ368" i="550" s="1"/>
  <c r="AG443" i="550"/>
  <c r="AG2" i="551" s="1"/>
  <c r="AG20" i="551" s="1"/>
  <c r="AG41" i="551" s="1"/>
  <c r="AG60" i="551" s="1"/>
  <c r="AG72" i="551" s="1"/>
  <c r="AG92" i="551" s="1"/>
  <c r="AG104" i="551" s="1"/>
  <c r="AG115" i="551" s="1"/>
  <c r="AG132" i="551" s="1"/>
  <c r="AG147" i="551" s="1"/>
  <c r="AG165" i="551" s="1"/>
  <c r="AG179" i="551" s="1"/>
  <c r="AG194" i="551" s="1"/>
  <c r="AG205" i="551" s="1"/>
  <c r="AG216" i="551" s="1"/>
  <c r="AG230" i="551" s="1"/>
  <c r="AG246" i="551" s="1"/>
  <c r="AG258" i="551" s="1"/>
  <c r="AG273" i="551" s="1"/>
  <c r="AG291" i="551" s="1"/>
  <c r="AG303" i="551" s="1"/>
  <c r="AG314" i="551" s="1"/>
  <c r="AG332" i="551" s="1"/>
  <c r="AG351" i="551" s="1"/>
  <c r="AG363" i="551" s="1"/>
  <c r="AG375" i="551" s="1"/>
  <c r="AO120" i="549"/>
  <c r="A123" i="549"/>
  <c r="I87" i="532"/>
  <c r="O87" i="532"/>
  <c r="P105" i="532"/>
  <c r="P108" i="532"/>
  <c r="AN443" i="550"/>
  <c r="AN2" i="551" s="1"/>
  <c r="AN20" i="551" s="1"/>
  <c r="AN41" i="551" s="1"/>
  <c r="AN60" i="551" s="1"/>
  <c r="AN72" i="551" s="1"/>
  <c r="AN92" i="551" s="1"/>
  <c r="AN104" i="551" s="1"/>
  <c r="AN115" i="551" s="1"/>
  <c r="AN132" i="551" s="1"/>
  <c r="AN147" i="551" s="1"/>
  <c r="AN165" i="551" s="1"/>
  <c r="AN179" i="551" s="1"/>
  <c r="AN194" i="551" s="1"/>
  <c r="AN205" i="551" s="1"/>
  <c r="AN216" i="551" s="1"/>
  <c r="AN230" i="551" s="1"/>
  <c r="AN246" i="551" s="1"/>
  <c r="AN258" i="551" s="1"/>
  <c r="AN273" i="551" s="1"/>
  <c r="AN291" i="551" s="1"/>
  <c r="AN303" i="551" s="1"/>
  <c r="AN314" i="551" s="1"/>
  <c r="AN332" i="551" s="1"/>
  <c r="AN351" i="551" s="1"/>
  <c r="AN363" i="551" s="1"/>
  <c r="AN375" i="551" s="1"/>
  <c r="K38" i="549"/>
  <c r="D282" i="532"/>
  <c r="N349" i="532"/>
  <c r="AE382" i="550"/>
  <c r="AE395" i="550" s="1"/>
  <c r="AE412" i="550" s="1"/>
  <c r="AE423" i="550" s="1"/>
  <c r="AE434" i="550" s="1"/>
  <c r="AO106" i="532"/>
  <c r="A109" i="532"/>
  <c r="AK443" i="550"/>
  <c r="AK2" i="551" s="1"/>
  <c r="AK20" i="551" s="1"/>
  <c r="AK41" i="551" s="1"/>
  <c r="AK60" i="551" s="1"/>
  <c r="AK72" i="551" s="1"/>
  <c r="AK92" i="551" s="1"/>
  <c r="AK104" i="551" s="1"/>
  <c r="AK115" i="551" s="1"/>
  <c r="AK132" i="551" s="1"/>
  <c r="AK147" i="551" s="1"/>
  <c r="AK165" i="551" s="1"/>
  <c r="AK179" i="551" s="1"/>
  <c r="AK194" i="551" s="1"/>
  <c r="AK205" i="551" s="1"/>
  <c r="AK216" i="551" s="1"/>
  <c r="AK230" i="551" s="1"/>
  <c r="AK246" i="551" s="1"/>
  <c r="AK258" i="551" s="1"/>
  <c r="AK273" i="551" s="1"/>
  <c r="AK291" i="551" s="1"/>
  <c r="AK303" i="551" s="1"/>
  <c r="AK314" i="551" s="1"/>
  <c r="AK332" i="551" s="1"/>
  <c r="AK351" i="551" s="1"/>
  <c r="AK363" i="551" s="1"/>
  <c r="AK375" i="551" s="1"/>
  <c r="AK382" i="550"/>
  <c r="AK395" i="550" s="1"/>
  <c r="AK412" i="550" s="1"/>
  <c r="AK423" i="550" s="1"/>
  <c r="AK434" i="550" s="1"/>
  <c r="X382" i="550"/>
  <c r="X395" i="550" s="1"/>
  <c r="X412" i="550" s="1"/>
  <c r="X423" i="550" s="1"/>
  <c r="X434" i="550" s="1"/>
  <c r="X443" i="550"/>
  <c r="X2" i="551" s="1"/>
  <c r="X20" i="551" s="1"/>
  <c r="X41" i="551" s="1"/>
  <c r="X60" i="551" s="1"/>
  <c r="X72" i="551" s="1"/>
  <c r="X92" i="551" s="1"/>
  <c r="X104" i="551" s="1"/>
  <c r="X115" i="551" s="1"/>
  <c r="X132" i="551" s="1"/>
  <c r="X147" i="551" s="1"/>
  <c r="X165" i="551" s="1"/>
  <c r="X179" i="551" s="1"/>
  <c r="X194" i="551" s="1"/>
  <c r="X205" i="551" s="1"/>
  <c r="X216" i="551" s="1"/>
  <c r="X230" i="551" s="1"/>
  <c r="X246" i="551" s="1"/>
  <c r="X258" i="551" s="1"/>
  <c r="X273" i="551" s="1"/>
  <c r="X291" i="551" s="1"/>
  <c r="X303" i="551" s="1"/>
  <c r="X314" i="551" s="1"/>
  <c r="X332" i="551" s="1"/>
  <c r="X351" i="551" s="1"/>
  <c r="X363" i="551" s="1"/>
  <c r="X375" i="551" s="1"/>
  <c r="AO156" i="550"/>
  <c r="A159" i="550"/>
  <c r="Y382" i="550"/>
  <c r="Y395" i="550" s="1"/>
  <c r="Y412" i="550" s="1"/>
  <c r="Y423" i="550" s="1"/>
  <c r="Y434" i="550" s="1"/>
  <c r="AC389" i="551"/>
  <c r="AC399" i="551" s="1"/>
  <c r="AC411" i="551" s="1"/>
  <c r="AC424" i="551" s="1"/>
  <c r="AC437" i="551" s="1"/>
  <c r="Z389" i="551"/>
  <c r="Z399" i="551" s="1"/>
  <c r="Z411" i="551" s="1"/>
  <c r="Z424" i="551" s="1"/>
  <c r="Z437" i="551" s="1"/>
  <c r="Z454" i="551"/>
  <c r="Z2" i="552" s="1"/>
  <c r="Z17" i="552" s="1"/>
  <c r="Z42" i="552" s="1"/>
  <c r="Z57" i="552" s="1"/>
  <c r="Z69" i="552" s="1"/>
  <c r="Z93" i="552" s="1"/>
  <c r="Z116" i="552" s="1"/>
  <c r="Z131" i="552" s="1"/>
  <c r="Z146" i="552" s="1"/>
  <c r="Z169" i="552" s="1"/>
  <c r="Z193" i="552" s="1"/>
  <c r="Z206" i="552" s="1"/>
  <c r="Z232" i="552" s="1"/>
  <c r="Z249" i="552" s="1"/>
  <c r="Z265" i="552" s="1"/>
  <c r="Z290" i="552" s="1"/>
  <c r="Z308" i="552" s="1"/>
  <c r="Z321" i="552" s="1"/>
  <c r="Z333" i="552" s="1"/>
  <c r="Z349" i="552" s="1"/>
  <c r="Z372" i="552" s="1"/>
  <c r="Z394" i="552" s="1"/>
  <c r="Z409" i="552" s="1"/>
  <c r="Z431" i="552" s="1"/>
  <c r="Z450" i="552" s="1"/>
  <c r="Z463" i="552" s="1"/>
  <c r="AF389" i="551"/>
  <c r="AF399" i="551" s="1"/>
  <c r="AF411" i="551" s="1"/>
  <c r="AF424" i="551" s="1"/>
  <c r="AF437" i="551" s="1"/>
  <c r="E218" i="532"/>
  <c r="J38" i="549"/>
  <c r="J57" i="549" s="1"/>
  <c r="J68" i="549" s="1"/>
  <c r="J81" i="549" s="1"/>
  <c r="J97" i="549" s="1"/>
  <c r="J109" i="549" s="1"/>
  <c r="J122" i="549" s="1"/>
  <c r="J141" i="549" s="1"/>
  <c r="J164" i="549" s="1"/>
  <c r="J175" i="549" s="1"/>
  <c r="J186" i="549" s="1"/>
  <c r="J201" i="549" s="1"/>
  <c r="J215" i="549" s="1"/>
  <c r="J240" i="549" s="1"/>
  <c r="J254" i="549" s="1"/>
  <c r="J265" i="549" s="1"/>
  <c r="J276" i="549" s="1"/>
  <c r="J287" i="549" s="1"/>
  <c r="J307" i="549" s="1"/>
  <c r="J326" i="549" s="1"/>
  <c r="J339" i="549" s="1"/>
  <c r="J359" i="549" s="1"/>
  <c r="J375" i="549" s="1"/>
  <c r="J386" i="549" s="1"/>
  <c r="J397" i="549" s="1"/>
  <c r="J414" i="549" s="1"/>
  <c r="J431" i="549" s="1"/>
  <c r="J444" i="549" s="1"/>
  <c r="J462" i="549" s="1"/>
  <c r="J486" i="549" s="1"/>
  <c r="J2" i="550" s="1"/>
  <c r="J15" i="550" s="1"/>
  <c r="J27" i="550" s="1"/>
  <c r="J41" i="550" s="1"/>
  <c r="J55" i="550" s="1"/>
  <c r="J74" i="550" s="1"/>
  <c r="J88" i="550" s="1"/>
  <c r="J110" i="550" s="1"/>
  <c r="J121" i="550" s="1"/>
  <c r="J133" i="550" s="1"/>
  <c r="J158" i="550" s="1"/>
  <c r="J171" i="550" s="1"/>
  <c r="J185" i="550" s="1"/>
  <c r="J200" i="550" s="1"/>
  <c r="J217" i="550" s="1"/>
  <c r="J228" i="550" s="1"/>
  <c r="J238" i="550" s="1"/>
  <c r="J258" i="550" s="1"/>
  <c r="J272" i="550" s="1"/>
  <c r="J287" i="550" s="1"/>
  <c r="J299" i="550" s="1"/>
  <c r="J316" i="550" s="1"/>
  <c r="J326" i="550" s="1"/>
  <c r="J336" i="550" s="1"/>
  <c r="J353" i="550" s="1"/>
  <c r="J368" i="550" s="1"/>
  <c r="J382" i="550" s="1"/>
  <c r="J395" i="550" s="1"/>
  <c r="J412" i="550" s="1"/>
  <c r="J423" i="550" s="1"/>
  <c r="J434" i="550" s="1"/>
  <c r="J443" i="550" s="1"/>
  <c r="J2" i="551" s="1"/>
  <c r="J20" i="551" s="1"/>
  <c r="J41" i="551" s="1"/>
  <c r="J60" i="551" s="1"/>
  <c r="J72" i="551" s="1"/>
  <c r="J92" i="551" s="1"/>
  <c r="J104" i="551" s="1"/>
  <c r="J115" i="551" s="1"/>
  <c r="J132" i="551" s="1"/>
  <c r="J147" i="551" s="1"/>
  <c r="J165" i="551" s="1"/>
  <c r="J179" i="551" s="1"/>
  <c r="J194" i="551" s="1"/>
  <c r="J205" i="551" s="1"/>
  <c r="J216" i="551" s="1"/>
  <c r="J230" i="551" s="1"/>
  <c r="J246" i="551" s="1"/>
  <c r="J258" i="551" s="1"/>
  <c r="J273" i="551" s="1"/>
  <c r="J291" i="551" s="1"/>
  <c r="J303" i="551" s="1"/>
  <c r="J314" i="551" s="1"/>
  <c r="J332" i="551" s="1"/>
  <c r="J351" i="551" s="1"/>
  <c r="J363" i="551" s="1"/>
  <c r="J375" i="551" s="1"/>
  <c r="J389" i="551" s="1"/>
  <c r="J399" i="551" s="1"/>
  <c r="J411" i="551" s="1"/>
  <c r="J424" i="551" s="1"/>
  <c r="J437" i="551" s="1"/>
  <c r="J454" i="551" s="1"/>
  <c r="J2" i="552" s="1"/>
  <c r="J17" i="552" s="1"/>
  <c r="J42" i="552" s="1"/>
  <c r="J57" i="552" s="1"/>
  <c r="J69" i="552" s="1"/>
  <c r="J93" i="552" s="1"/>
  <c r="J116" i="552" s="1"/>
  <c r="J131" i="552" s="1"/>
  <c r="J146" i="552" s="1"/>
  <c r="J169" i="552" s="1"/>
  <c r="J193" i="552" s="1"/>
  <c r="J206" i="552" s="1"/>
  <c r="J232" i="552" s="1"/>
  <c r="J249" i="552" s="1"/>
  <c r="J265" i="552" s="1"/>
  <c r="J290" i="552" s="1"/>
  <c r="J308" i="552" s="1"/>
  <c r="J321" i="552" s="1"/>
  <c r="J333" i="552" s="1"/>
  <c r="J349" i="552" s="1"/>
  <c r="J372" i="552" s="1"/>
  <c r="J394" i="552" s="1"/>
  <c r="J409" i="552" s="1"/>
  <c r="J431" i="552" s="1"/>
  <c r="J450" i="552" s="1"/>
  <c r="J463" i="552" s="1"/>
  <c r="J482" i="552" s="1"/>
  <c r="J503" i="552" s="1"/>
  <c r="J523" i="552" s="1"/>
  <c r="J539" i="552" s="1"/>
  <c r="J559" i="552" s="1"/>
  <c r="J578" i="552" s="1"/>
  <c r="J2" i="554" s="1"/>
  <c r="J14" i="554" s="1"/>
  <c r="J32" i="554" s="1"/>
  <c r="J50" i="554" s="1"/>
  <c r="J64" i="554" s="1"/>
  <c r="J80" i="554" s="1"/>
  <c r="J97" i="554" s="1"/>
  <c r="J109" i="554" s="1"/>
  <c r="J121" i="554" s="1"/>
  <c r="J135" i="554" s="1"/>
  <c r="J156" i="554" s="1"/>
  <c r="J173" i="554" s="1"/>
  <c r="J187" i="554" s="1"/>
  <c r="J202" i="554" s="1"/>
  <c r="J214" i="554" s="1"/>
  <c r="J226" i="554" s="1"/>
  <c r="J238" i="554" s="1"/>
  <c r="J250" i="554" s="1"/>
  <c r="J270" i="554" s="1"/>
  <c r="J284" i="554" s="1"/>
  <c r="J303" i="554" s="1"/>
  <c r="J315" i="554" s="1"/>
  <c r="J327" i="554" s="1"/>
  <c r="J340" i="554" s="1"/>
  <c r="J354" i="554" s="1"/>
  <c r="J371" i="554" s="1"/>
  <c r="J386" i="554" s="1"/>
  <c r="J408" i="554" s="1"/>
  <c r="J420" i="554" s="1"/>
  <c r="J434" i="554" s="1"/>
  <c r="J452" i="554" s="1"/>
  <c r="J469" i="554" s="1"/>
  <c r="J2" i="557" s="1"/>
  <c r="J19" i="557" s="1"/>
  <c r="J36" i="557" s="1"/>
  <c r="AM486" i="549"/>
  <c r="AM2" i="550" s="1"/>
  <c r="AM15" i="550" s="1"/>
  <c r="AM27" i="550" s="1"/>
  <c r="AM41" i="550" s="1"/>
  <c r="AM55" i="550" s="1"/>
  <c r="AM74" i="550" s="1"/>
  <c r="AM88" i="550" s="1"/>
  <c r="AM110" i="550" s="1"/>
  <c r="AM121" i="550" s="1"/>
  <c r="AM133" i="550" s="1"/>
  <c r="AM158" i="550" s="1"/>
  <c r="AM171" i="550" s="1"/>
  <c r="AM185" i="550" s="1"/>
  <c r="AM200" i="550" s="1"/>
  <c r="AM217" i="550" s="1"/>
  <c r="AM228" i="550" s="1"/>
  <c r="AM238" i="550" s="1"/>
  <c r="AM258" i="550" s="1"/>
  <c r="AM272" i="550" s="1"/>
  <c r="AM287" i="550" s="1"/>
  <c r="AM299" i="550" s="1"/>
  <c r="AM316" i="550" s="1"/>
  <c r="AM326" i="550" s="1"/>
  <c r="AM336" i="550" s="1"/>
  <c r="AM353" i="550" s="1"/>
  <c r="AM368" i="550" s="1"/>
  <c r="AO280" i="532"/>
  <c r="A283" i="532"/>
  <c r="H87" i="532"/>
  <c r="C71" i="532"/>
  <c r="AO72" i="532"/>
  <c r="C72" i="532" s="1"/>
  <c r="AO91" i="552"/>
  <c r="A94" i="552"/>
  <c r="A93" i="551"/>
  <c r="AO90" i="551"/>
  <c r="AH382" i="550"/>
  <c r="AH395" i="550" s="1"/>
  <c r="AH412" i="550" s="1"/>
  <c r="AH423" i="550" s="1"/>
  <c r="AH434" i="550" s="1"/>
  <c r="AH443" i="550"/>
  <c r="AH2" i="551" s="1"/>
  <c r="AH20" i="551" s="1"/>
  <c r="AH41" i="551" s="1"/>
  <c r="AH60" i="551" s="1"/>
  <c r="AH72" i="551" s="1"/>
  <c r="AH92" i="551" s="1"/>
  <c r="AH104" i="551" s="1"/>
  <c r="AH115" i="551" s="1"/>
  <c r="AH132" i="551" s="1"/>
  <c r="AH147" i="551" s="1"/>
  <c r="AH165" i="551" s="1"/>
  <c r="AH179" i="551" s="1"/>
  <c r="AH194" i="551" s="1"/>
  <c r="AH205" i="551" s="1"/>
  <c r="AH216" i="551" s="1"/>
  <c r="AH230" i="551" s="1"/>
  <c r="AH246" i="551" s="1"/>
  <c r="AH258" i="551" s="1"/>
  <c r="AH273" i="551" s="1"/>
  <c r="AH291" i="551" s="1"/>
  <c r="AH303" i="551" s="1"/>
  <c r="AH314" i="551" s="1"/>
  <c r="AH332" i="551" s="1"/>
  <c r="AH351" i="551" s="1"/>
  <c r="AH363" i="551" s="1"/>
  <c r="AH375" i="551" s="1"/>
  <c r="AL443" i="550"/>
  <c r="AL2" i="551" s="1"/>
  <c r="AL20" i="551" s="1"/>
  <c r="AL41" i="551" s="1"/>
  <c r="AL60" i="551" s="1"/>
  <c r="AL72" i="551" s="1"/>
  <c r="AL92" i="551" s="1"/>
  <c r="AL104" i="551" s="1"/>
  <c r="AL115" i="551" s="1"/>
  <c r="AL132" i="551" s="1"/>
  <c r="AL147" i="551" s="1"/>
  <c r="AL165" i="551" s="1"/>
  <c r="AL179" i="551" s="1"/>
  <c r="AL194" i="551" s="1"/>
  <c r="AL205" i="551" s="1"/>
  <c r="AL216" i="551" s="1"/>
  <c r="AL230" i="551" s="1"/>
  <c r="AL246" i="551" s="1"/>
  <c r="AL258" i="551" s="1"/>
  <c r="AL273" i="551" s="1"/>
  <c r="AL291" i="551" s="1"/>
  <c r="AL303" i="551" s="1"/>
  <c r="AL314" i="551" s="1"/>
  <c r="AL332" i="551" s="1"/>
  <c r="AL351" i="551" s="1"/>
  <c r="AL363" i="551" s="1"/>
  <c r="AL375" i="551" s="1"/>
  <c r="AO236" i="554"/>
  <c r="A239" i="554"/>
  <c r="Q413" i="532"/>
  <c r="C154" i="574" l="1"/>
  <c r="D172" i="574"/>
  <c r="AR154" i="574"/>
  <c r="T155" i="574"/>
  <c r="AR155" i="574" s="1"/>
  <c r="C155" i="574" s="1"/>
  <c r="P172" i="574"/>
  <c r="O155" i="574"/>
  <c r="AR138" i="574"/>
  <c r="C138" i="574" s="1"/>
  <c r="M189" i="574"/>
  <c r="L172" i="574"/>
  <c r="S172" i="574"/>
  <c r="R155" i="574"/>
  <c r="AR171" i="573"/>
  <c r="T172" i="573"/>
  <c r="M189" i="573"/>
  <c r="L172" i="573"/>
  <c r="C154" i="573"/>
  <c r="AR155" i="573"/>
  <c r="C155" i="573" s="1"/>
  <c r="D172" i="573"/>
  <c r="P172" i="573"/>
  <c r="O155" i="573"/>
  <c r="S172" i="573"/>
  <c r="R155" i="573"/>
  <c r="P189" i="572"/>
  <c r="O172" i="572"/>
  <c r="D189" i="572"/>
  <c r="AR172" i="572"/>
  <c r="C172" i="572" s="1"/>
  <c r="M172" i="572"/>
  <c r="C171" i="572" s="1"/>
  <c r="L155" i="572"/>
  <c r="AR155" i="572"/>
  <c r="C155" i="572" s="1"/>
  <c r="S189" i="572"/>
  <c r="R172" i="572"/>
  <c r="C154" i="572"/>
  <c r="T189" i="572"/>
  <c r="AR188" i="572"/>
  <c r="P172" i="571"/>
  <c r="O155" i="571"/>
  <c r="M172" i="571"/>
  <c r="L155" i="571"/>
  <c r="S172" i="571"/>
  <c r="R155" i="571"/>
  <c r="T155" i="571"/>
  <c r="AR155" i="571" s="1"/>
  <c r="C155" i="571" s="1"/>
  <c r="AR154" i="571"/>
  <c r="C154" i="571"/>
  <c r="D172" i="571"/>
  <c r="D189" i="570"/>
  <c r="M172" i="570"/>
  <c r="AR172" i="570" s="1"/>
  <c r="C172" i="570" s="1"/>
  <c r="L155" i="570"/>
  <c r="T189" i="570"/>
  <c r="AR188" i="570"/>
  <c r="AR155" i="570"/>
  <c r="C155" i="570" s="1"/>
  <c r="C154" i="570"/>
  <c r="S189" i="570"/>
  <c r="R172" i="570"/>
  <c r="P189" i="570"/>
  <c r="O172" i="570"/>
  <c r="C154" i="569"/>
  <c r="AR155" i="569"/>
  <c r="C155" i="569" s="1"/>
  <c r="D172" i="569"/>
  <c r="S172" i="569"/>
  <c r="R155" i="569"/>
  <c r="M172" i="569"/>
  <c r="L155" i="569"/>
  <c r="AR171" i="569"/>
  <c r="T172" i="569"/>
  <c r="P172" i="569"/>
  <c r="O155" i="569"/>
  <c r="S172" i="568"/>
  <c r="R155" i="568"/>
  <c r="T155" i="568"/>
  <c r="AR154" i="568"/>
  <c r="C154" i="568"/>
  <c r="D172" i="568"/>
  <c r="AR155" i="568"/>
  <c r="C155" i="568" s="1"/>
  <c r="M172" i="568"/>
  <c r="L155" i="568"/>
  <c r="P172" i="568"/>
  <c r="O155" i="568"/>
  <c r="D155" i="566"/>
  <c r="T172" i="566"/>
  <c r="AR171" i="566"/>
  <c r="T155" i="565"/>
  <c r="AR154" i="565"/>
  <c r="D138" i="565"/>
  <c r="W2" i="560"/>
  <c r="W14" i="560" s="1"/>
  <c r="W30" i="560" s="1"/>
  <c r="W48" i="560" s="1"/>
  <c r="W62" i="560" s="1"/>
  <c r="W78" i="560" s="1"/>
  <c r="W97" i="560" s="1"/>
  <c r="W109" i="560" s="1"/>
  <c r="W121" i="560" s="1"/>
  <c r="W135" i="560" s="1"/>
  <c r="W157" i="560" s="1"/>
  <c r="W173" i="560" s="1"/>
  <c r="W187" i="560" s="1"/>
  <c r="W201" i="560" s="1"/>
  <c r="W214" i="560" s="1"/>
  <c r="W226" i="560" s="1"/>
  <c r="W238" i="560" s="1"/>
  <c r="W252" i="560" s="1"/>
  <c r="W272" i="560" s="1"/>
  <c r="W286" i="560" s="1"/>
  <c r="W305" i="560" s="1"/>
  <c r="W317" i="560" s="1"/>
  <c r="W329" i="560" s="1"/>
  <c r="W343" i="560" s="1"/>
  <c r="W359" i="560" s="1"/>
  <c r="W374" i="560" s="1"/>
  <c r="W389" i="560" s="1"/>
  <c r="W410" i="560" s="1"/>
  <c r="W422" i="560" s="1"/>
  <c r="W437" i="560" s="1"/>
  <c r="W455" i="560" s="1"/>
  <c r="W472" i="560" s="1"/>
  <c r="G2" i="560"/>
  <c r="G14" i="560" s="1"/>
  <c r="G30" i="560" s="1"/>
  <c r="G48" i="560" s="1"/>
  <c r="G62" i="560" s="1"/>
  <c r="G78" i="560" s="1"/>
  <c r="G97" i="560" s="1"/>
  <c r="G109" i="560" s="1"/>
  <c r="G121" i="560" s="1"/>
  <c r="G135" i="560" s="1"/>
  <c r="G157" i="560" s="1"/>
  <c r="G173" i="560" s="1"/>
  <c r="G187" i="560" s="1"/>
  <c r="G201" i="560" s="1"/>
  <c r="G214" i="560" s="1"/>
  <c r="G226" i="560" s="1"/>
  <c r="G238" i="560" s="1"/>
  <c r="G252" i="560" s="1"/>
  <c r="G272" i="560" s="1"/>
  <c r="G286" i="560" s="1"/>
  <c r="G305" i="560" s="1"/>
  <c r="G317" i="560" s="1"/>
  <c r="G329" i="560" s="1"/>
  <c r="G343" i="560" s="1"/>
  <c r="G359" i="560" s="1"/>
  <c r="G374" i="560" s="1"/>
  <c r="G389" i="560" s="1"/>
  <c r="G410" i="560" s="1"/>
  <c r="G422" i="560" s="1"/>
  <c r="G437" i="560" s="1"/>
  <c r="G455" i="560" s="1"/>
  <c r="G472" i="560" s="1"/>
  <c r="J53" i="557"/>
  <c r="J70" i="557" s="1"/>
  <c r="J87" i="557" s="1"/>
  <c r="J104" i="557" s="1"/>
  <c r="J121" i="557" s="1"/>
  <c r="J138" i="557" s="1"/>
  <c r="J155" i="557" s="1"/>
  <c r="J172" i="557" s="1"/>
  <c r="J189" i="557" s="1"/>
  <c r="J206" i="557" s="1"/>
  <c r="J223" i="557" s="1"/>
  <c r="J240" i="557" s="1"/>
  <c r="J257" i="557" s="1"/>
  <c r="J274" i="557" s="1"/>
  <c r="J291" i="557" s="1"/>
  <c r="J308" i="557" s="1"/>
  <c r="J325" i="557" s="1"/>
  <c r="J342" i="557" s="1"/>
  <c r="J359" i="557" s="1"/>
  <c r="J376" i="557" s="1"/>
  <c r="J393" i="557" s="1"/>
  <c r="J410" i="557" s="1"/>
  <c r="J427" i="557" s="1"/>
  <c r="J444" i="557" s="1"/>
  <c r="J461" i="557" s="1"/>
  <c r="J478" i="557" s="1"/>
  <c r="J495" i="557" s="1"/>
  <c r="J512" i="557" s="1"/>
  <c r="J529" i="557" s="1"/>
  <c r="S104" i="557"/>
  <c r="R87" i="557"/>
  <c r="AL2" i="560"/>
  <c r="AR107" i="560"/>
  <c r="A110" i="560"/>
  <c r="R62" i="560"/>
  <c r="S78" i="560"/>
  <c r="Q423" i="532"/>
  <c r="AK389" i="551"/>
  <c r="AK399" i="551" s="1"/>
  <c r="AK411" i="551" s="1"/>
  <c r="AK424" i="551" s="1"/>
  <c r="AK437" i="551" s="1"/>
  <c r="AK454" i="551" s="1"/>
  <c r="AK2" i="552" s="1"/>
  <c r="AK17" i="552" s="1"/>
  <c r="AK42" i="552" s="1"/>
  <c r="AK57" i="552" s="1"/>
  <c r="AK69" i="552" s="1"/>
  <c r="AK93" i="552" s="1"/>
  <c r="AK116" i="552" s="1"/>
  <c r="AK131" i="552" s="1"/>
  <c r="AK146" i="552" s="1"/>
  <c r="AK169" i="552" s="1"/>
  <c r="AK193" i="552" s="1"/>
  <c r="AK206" i="552" s="1"/>
  <c r="AK232" i="552" s="1"/>
  <c r="AK249" i="552" s="1"/>
  <c r="AK265" i="552" s="1"/>
  <c r="AK290" i="552" s="1"/>
  <c r="AK308" i="552" s="1"/>
  <c r="AK321" i="552" s="1"/>
  <c r="AK333" i="552" s="1"/>
  <c r="AK349" i="552" s="1"/>
  <c r="AK372" i="552" s="1"/>
  <c r="AK394" i="552" s="1"/>
  <c r="AK409" i="552" s="1"/>
  <c r="AK431" i="552" s="1"/>
  <c r="AK450" i="552" s="1"/>
  <c r="AK463" i="552" s="1"/>
  <c r="AJ382" i="550"/>
  <c r="AJ395" i="550" s="1"/>
  <c r="AJ412" i="550" s="1"/>
  <c r="AJ423" i="550" s="1"/>
  <c r="AJ434" i="550" s="1"/>
  <c r="Z482" i="552"/>
  <c r="Z503" i="552" s="1"/>
  <c r="Z523" i="552" s="1"/>
  <c r="Z539" i="552" s="1"/>
  <c r="Z559" i="552" s="1"/>
  <c r="X389" i="551"/>
  <c r="X399" i="551" s="1"/>
  <c r="X411" i="551" s="1"/>
  <c r="X424" i="551" s="1"/>
  <c r="X437" i="551" s="1"/>
  <c r="AO121" i="532"/>
  <c r="A124" i="532"/>
  <c r="O108" i="532"/>
  <c r="P120" i="532" s="1"/>
  <c r="P123" i="532" s="1"/>
  <c r="AO139" i="549"/>
  <c r="A142" i="549"/>
  <c r="M87" i="532"/>
  <c r="L72" i="532"/>
  <c r="M84" i="532" s="1"/>
  <c r="AH389" i="551"/>
  <c r="AH399" i="551" s="1"/>
  <c r="AH411" i="551" s="1"/>
  <c r="AH424" i="551" s="1"/>
  <c r="AH437" i="551" s="1"/>
  <c r="AH454" i="551"/>
  <c r="AH2" i="552" s="1"/>
  <c r="AH17" i="552" s="1"/>
  <c r="AH42" i="552" s="1"/>
  <c r="AH57" i="552" s="1"/>
  <c r="AH69" i="552" s="1"/>
  <c r="AH93" i="552" s="1"/>
  <c r="AH116" i="552" s="1"/>
  <c r="AH131" i="552" s="1"/>
  <c r="AH146" i="552" s="1"/>
  <c r="AH169" i="552" s="1"/>
  <c r="AH193" i="552" s="1"/>
  <c r="AH206" i="552" s="1"/>
  <c r="AH232" i="552" s="1"/>
  <c r="AH249" i="552" s="1"/>
  <c r="AH265" i="552" s="1"/>
  <c r="AH290" i="552" s="1"/>
  <c r="AH308" i="552" s="1"/>
  <c r="AH321" i="552" s="1"/>
  <c r="AH333" i="552" s="1"/>
  <c r="AH349" i="552" s="1"/>
  <c r="AH372" i="552" s="1"/>
  <c r="AH394" i="552" s="1"/>
  <c r="AH409" i="552" s="1"/>
  <c r="AH431" i="552" s="1"/>
  <c r="AH450" i="552" s="1"/>
  <c r="AH463" i="552" s="1"/>
  <c r="AO114" i="552"/>
  <c r="A117" i="552"/>
  <c r="H108" i="532"/>
  <c r="C86" i="532"/>
  <c r="AO87" i="532"/>
  <c r="C87" i="532" s="1"/>
  <c r="A251" i="554"/>
  <c r="AO248" i="554"/>
  <c r="A293" i="532"/>
  <c r="AO290" i="532"/>
  <c r="D292" i="532"/>
  <c r="AN389" i="551"/>
  <c r="AN399" i="551" s="1"/>
  <c r="AN411" i="551" s="1"/>
  <c r="AN424" i="551" s="1"/>
  <c r="AN437" i="551" s="1"/>
  <c r="I96" i="532"/>
  <c r="I108" i="532"/>
  <c r="I123" i="532" s="1"/>
  <c r="AD389" i="551"/>
  <c r="AD399" i="551" s="1"/>
  <c r="AD411" i="551" s="1"/>
  <c r="AD424" i="551" s="1"/>
  <c r="AD437" i="551" s="1"/>
  <c r="AL389" i="551"/>
  <c r="AL399" i="551" s="1"/>
  <c r="AL411" i="551" s="1"/>
  <c r="AL424" i="551" s="1"/>
  <c r="AL437" i="551" s="1"/>
  <c r="AO102" i="551"/>
  <c r="A105" i="551"/>
  <c r="AM382" i="550"/>
  <c r="AM395" i="550" s="1"/>
  <c r="AM412" i="550" s="1"/>
  <c r="AM423" i="550" s="1"/>
  <c r="AM434" i="550" s="1"/>
  <c r="E231" i="532"/>
  <c r="Y443" i="550"/>
  <c r="Y2" i="551" s="1"/>
  <c r="Y20" i="551" s="1"/>
  <c r="Y41" i="551" s="1"/>
  <c r="Y60" i="551" s="1"/>
  <c r="Y72" i="551" s="1"/>
  <c r="Y92" i="551" s="1"/>
  <c r="Y104" i="551" s="1"/>
  <c r="Y115" i="551" s="1"/>
  <c r="Y132" i="551" s="1"/>
  <c r="Y147" i="551" s="1"/>
  <c r="Y165" i="551" s="1"/>
  <c r="Y179" i="551" s="1"/>
  <c r="Y194" i="551" s="1"/>
  <c r="Y205" i="551" s="1"/>
  <c r="Y216" i="551" s="1"/>
  <c r="Y230" i="551" s="1"/>
  <c r="Y246" i="551" s="1"/>
  <c r="Y258" i="551" s="1"/>
  <c r="Y273" i="551" s="1"/>
  <c r="Y291" i="551" s="1"/>
  <c r="Y303" i="551" s="1"/>
  <c r="Y314" i="551" s="1"/>
  <c r="Y332" i="551" s="1"/>
  <c r="Y351" i="551" s="1"/>
  <c r="Y363" i="551" s="1"/>
  <c r="Y375" i="551" s="1"/>
  <c r="N365" i="532"/>
  <c r="K57" i="549"/>
  <c r="R292" i="532"/>
  <c r="AO291" i="532"/>
  <c r="AB454" i="551"/>
  <c r="AB2" i="552" s="1"/>
  <c r="AB17" i="552" s="1"/>
  <c r="AB42" i="552" s="1"/>
  <c r="AB57" i="552" s="1"/>
  <c r="AB69" i="552" s="1"/>
  <c r="AB93" i="552" s="1"/>
  <c r="AB116" i="552" s="1"/>
  <c r="AB131" i="552" s="1"/>
  <c r="AB146" i="552" s="1"/>
  <c r="AB169" i="552" s="1"/>
  <c r="AB193" i="552" s="1"/>
  <c r="AB206" i="552" s="1"/>
  <c r="AB232" i="552" s="1"/>
  <c r="AB249" i="552" s="1"/>
  <c r="AB265" i="552" s="1"/>
  <c r="AB290" i="552" s="1"/>
  <c r="AB308" i="552" s="1"/>
  <c r="AB321" i="552" s="1"/>
  <c r="AB333" i="552" s="1"/>
  <c r="AB349" i="552" s="1"/>
  <c r="AB372" i="552" s="1"/>
  <c r="AB394" i="552" s="1"/>
  <c r="AB409" i="552" s="1"/>
  <c r="AB431" i="552" s="1"/>
  <c r="AB450" i="552" s="1"/>
  <c r="AB463" i="552" s="1"/>
  <c r="AF454" i="551"/>
  <c r="AF2" i="552" s="1"/>
  <c r="AF17" i="552" s="1"/>
  <c r="AF42" i="552" s="1"/>
  <c r="AF57" i="552" s="1"/>
  <c r="AF69" i="552" s="1"/>
  <c r="AF93" i="552" s="1"/>
  <c r="AF116" i="552" s="1"/>
  <c r="AF131" i="552" s="1"/>
  <c r="AF146" i="552" s="1"/>
  <c r="AF169" i="552" s="1"/>
  <c r="AF193" i="552" s="1"/>
  <c r="AF206" i="552" s="1"/>
  <c r="AF232" i="552" s="1"/>
  <c r="AF249" i="552" s="1"/>
  <c r="AF265" i="552" s="1"/>
  <c r="AF290" i="552" s="1"/>
  <c r="AF308" i="552" s="1"/>
  <c r="AF321" i="552" s="1"/>
  <c r="AF333" i="552" s="1"/>
  <c r="AF349" i="552" s="1"/>
  <c r="AF372" i="552" s="1"/>
  <c r="AF394" i="552" s="1"/>
  <c r="AF409" i="552" s="1"/>
  <c r="AF431" i="552" s="1"/>
  <c r="AF450" i="552" s="1"/>
  <c r="AF463" i="552" s="1"/>
  <c r="AC454" i="551"/>
  <c r="AC2" i="552" s="1"/>
  <c r="AC17" i="552" s="1"/>
  <c r="AC42" i="552" s="1"/>
  <c r="AC57" i="552" s="1"/>
  <c r="AC69" i="552" s="1"/>
  <c r="AC93" i="552" s="1"/>
  <c r="AC116" i="552" s="1"/>
  <c r="AC131" i="552" s="1"/>
  <c r="AC146" i="552" s="1"/>
  <c r="AC169" i="552" s="1"/>
  <c r="AC193" i="552" s="1"/>
  <c r="AC206" i="552" s="1"/>
  <c r="AC232" i="552" s="1"/>
  <c r="AC249" i="552" s="1"/>
  <c r="AC265" i="552" s="1"/>
  <c r="AC290" i="552" s="1"/>
  <c r="AC308" i="552" s="1"/>
  <c r="AC321" i="552" s="1"/>
  <c r="AC333" i="552" s="1"/>
  <c r="AC349" i="552" s="1"/>
  <c r="AC372" i="552" s="1"/>
  <c r="AC394" i="552" s="1"/>
  <c r="AC409" i="552" s="1"/>
  <c r="AC431" i="552" s="1"/>
  <c r="AC450" i="552" s="1"/>
  <c r="AC463" i="552" s="1"/>
  <c r="A172" i="550"/>
  <c r="AO169" i="550"/>
  <c r="AE443" i="550"/>
  <c r="AE2" i="551" s="1"/>
  <c r="AE20" i="551" s="1"/>
  <c r="AE41" i="551" s="1"/>
  <c r="AE60" i="551" s="1"/>
  <c r="AE72" i="551" s="1"/>
  <c r="AE92" i="551" s="1"/>
  <c r="AE104" i="551" s="1"/>
  <c r="AE115" i="551" s="1"/>
  <c r="AE132" i="551" s="1"/>
  <c r="AE147" i="551" s="1"/>
  <c r="AE165" i="551" s="1"/>
  <c r="AE179" i="551" s="1"/>
  <c r="AE194" i="551" s="1"/>
  <c r="AE205" i="551" s="1"/>
  <c r="AE216" i="551" s="1"/>
  <c r="AE230" i="551" s="1"/>
  <c r="AE246" i="551" s="1"/>
  <c r="AE258" i="551" s="1"/>
  <c r="AE273" i="551" s="1"/>
  <c r="AE291" i="551" s="1"/>
  <c r="AE303" i="551" s="1"/>
  <c r="AE314" i="551" s="1"/>
  <c r="AE332" i="551" s="1"/>
  <c r="AE351" i="551" s="1"/>
  <c r="AE363" i="551" s="1"/>
  <c r="AE375" i="551" s="1"/>
  <c r="AG389" i="551"/>
  <c r="AG399" i="551" s="1"/>
  <c r="AG411" i="551" s="1"/>
  <c r="AG424" i="551" s="1"/>
  <c r="AG437" i="551" s="1"/>
  <c r="AA454" i="551"/>
  <c r="AA2" i="552" s="1"/>
  <c r="AA17" i="552" s="1"/>
  <c r="AA42" i="552" s="1"/>
  <c r="AA57" i="552" s="1"/>
  <c r="AA69" i="552" s="1"/>
  <c r="AA93" i="552" s="1"/>
  <c r="AA116" i="552" s="1"/>
  <c r="AA131" i="552" s="1"/>
  <c r="AA146" i="552" s="1"/>
  <c r="AA169" i="552" s="1"/>
  <c r="AA193" i="552" s="1"/>
  <c r="AA206" i="552" s="1"/>
  <c r="AA232" i="552" s="1"/>
  <c r="AA249" i="552" s="1"/>
  <c r="AA265" i="552" s="1"/>
  <c r="AA290" i="552" s="1"/>
  <c r="AA308" i="552" s="1"/>
  <c r="AA321" i="552" s="1"/>
  <c r="AA333" i="552" s="1"/>
  <c r="AA349" i="552" s="1"/>
  <c r="AA372" i="552" s="1"/>
  <c r="AA394" i="552" s="1"/>
  <c r="AA409" i="552" s="1"/>
  <c r="AA431" i="552" s="1"/>
  <c r="AA450" i="552" s="1"/>
  <c r="AA463" i="552" s="1"/>
  <c r="W443" i="550"/>
  <c r="W2" i="551" s="1"/>
  <c r="W20" i="551" s="1"/>
  <c r="W41" i="551" s="1"/>
  <c r="W60" i="551" s="1"/>
  <c r="W72" i="551" s="1"/>
  <c r="W92" i="551" s="1"/>
  <c r="W104" i="551" s="1"/>
  <c r="W115" i="551" s="1"/>
  <c r="W132" i="551" s="1"/>
  <c r="W147" i="551" s="1"/>
  <c r="W165" i="551" s="1"/>
  <c r="W179" i="551" s="1"/>
  <c r="W194" i="551" s="1"/>
  <c r="W205" i="551" s="1"/>
  <c r="W216" i="551" s="1"/>
  <c r="W230" i="551" s="1"/>
  <c r="W246" i="551" s="1"/>
  <c r="W258" i="551" s="1"/>
  <c r="W273" i="551" s="1"/>
  <c r="W291" i="551" s="1"/>
  <c r="W303" i="551" s="1"/>
  <c r="W314" i="551" s="1"/>
  <c r="W332" i="551" s="1"/>
  <c r="W351" i="551" s="1"/>
  <c r="W363" i="551" s="1"/>
  <c r="W375" i="551" s="1"/>
  <c r="S189" i="574" l="1"/>
  <c r="R172" i="574"/>
  <c r="P189" i="574"/>
  <c r="O172" i="574"/>
  <c r="AR172" i="574"/>
  <c r="C172" i="574" s="1"/>
  <c r="D189" i="574"/>
  <c r="C171" i="574"/>
  <c r="M206" i="574"/>
  <c r="L189" i="574"/>
  <c r="T172" i="574"/>
  <c r="AR171" i="574"/>
  <c r="O172" i="573"/>
  <c r="P189" i="573"/>
  <c r="D189" i="573"/>
  <c r="C171" i="573"/>
  <c r="AR172" i="573"/>
  <c r="C172" i="573" s="1"/>
  <c r="M206" i="573"/>
  <c r="L189" i="573"/>
  <c r="S189" i="573"/>
  <c r="R172" i="573"/>
  <c r="AR188" i="573"/>
  <c r="T189" i="573"/>
  <c r="S206" i="572"/>
  <c r="R189" i="572"/>
  <c r="T206" i="572"/>
  <c r="AR205" i="572"/>
  <c r="D206" i="572"/>
  <c r="M189" i="572"/>
  <c r="L172" i="572"/>
  <c r="P206" i="572"/>
  <c r="O189" i="572"/>
  <c r="C171" i="571"/>
  <c r="D189" i="571"/>
  <c r="AR171" i="571"/>
  <c r="T172" i="571"/>
  <c r="M189" i="571"/>
  <c r="L172" i="571"/>
  <c r="S189" i="571"/>
  <c r="R172" i="571"/>
  <c r="O172" i="571"/>
  <c r="P189" i="571"/>
  <c r="C171" i="570"/>
  <c r="P206" i="570"/>
  <c r="O189" i="570"/>
  <c r="M189" i="570"/>
  <c r="C188" i="570" s="1"/>
  <c r="L172" i="570"/>
  <c r="S206" i="570"/>
  <c r="R189" i="570"/>
  <c r="AR205" i="570"/>
  <c r="T206" i="570"/>
  <c r="D206" i="570"/>
  <c r="S189" i="569"/>
  <c r="R172" i="569"/>
  <c r="D189" i="569"/>
  <c r="C171" i="569"/>
  <c r="AR172" i="569"/>
  <c r="C172" i="569" s="1"/>
  <c r="P189" i="569"/>
  <c r="O172" i="569"/>
  <c r="M189" i="569"/>
  <c r="L172" i="569"/>
  <c r="T189" i="569"/>
  <c r="AR188" i="569"/>
  <c r="M189" i="568"/>
  <c r="L172" i="568"/>
  <c r="AR171" i="568"/>
  <c r="T172" i="568"/>
  <c r="AR172" i="568" s="1"/>
  <c r="C172" i="568" s="1"/>
  <c r="O172" i="568"/>
  <c r="P189" i="568"/>
  <c r="D189" i="568"/>
  <c r="C171" i="568"/>
  <c r="S189" i="568"/>
  <c r="R172" i="568"/>
  <c r="T189" i="566"/>
  <c r="AR188" i="566"/>
  <c r="D172" i="566"/>
  <c r="D155" i="565"/>
  <c r="T172" i="565"/>
  <c r="AR171" i="565"/>
  <c r="J2" i="560"/>
  <c r="J14" i="560" s="1"/>
  <c r="J30" i="560" s="1"/>
  <c r="J48" i="560" s="1"/>
  <c r="J62" i="560" s="1"/>
  <c r="J78" i="560" s="1"/>
  <c r="J97" i="560" s="1"/>
  <c r="J109" i="560" s="1"/>
  <c r="J121" i="560" s="1"/>
  <c r="J135" i="560" s="1"/>
  <c r="J157" i="560" s="1"/>
  <c r="J173" i="560" s="1"/>
  <c r="J187" i="560" s="1"/>
  <c r="J201" i="560" s="1"/>
  <c r="J214" i="560" s="1"/>
  <c r="J226" i="560" s="1"/>
  <c r="J238" i="560" s="1"/>
  <c r="J252" i="560" s="1"/>
  <c r="J272" i="560" s="1"/>
  <c r="J286" i="560" s="1"/>
  <c r="J305" i="560" s="1"/>
  <c r="J317" i="560" s="1"/>
  <c r="J329" i="560" s="1"/>
  <c r="J343" i="560" s="1"/>
  <c r="J359" i="560" s="1"/>
  <c r="J374" i="560" s="1"/>
  <c r="J389" i="560" s="1"/>
  <c r="J410" i="560" s="1"/>
  <c r="J422" i="560" s="1"/>
  <c r="J437" i="560" s="1"/>
  <c r="J455" i="560" s="1"/>
  <c r="J472" i="560" s="1"/>
  <c r="S121" i="557"/>
  <c r="R104" i="557"/>
  <c r="S97" i="560"/>
  <c r="R78" i="560"/>
  <c r="AR119" i="560"/>
  <c r="A122" i="560"/>
  <c r="O123" i="532"/>
  <c r="P143" i="532" s="1"/>
  <c r="P146" i="532"/>
  <c r="AK482" i="552"/>
  <c r="AK503" i="552" s="1"/>
  <c r="AK523" i="552" s="1"/>
  <c r="AK539" i="552" s="1"/>
  <c r="AK559" i="552" s="1"/>
  <c r="AK578" i="552"/>
  <c r="AK2" i="554" s="1"/>
  <c r="AK14" i="554" s="1"/>
  <c r="AK32" i="554" s="1"/>
  <c r="AK50" i="554" s="1"/>
  <c r="AK64" i="554" s="1"/>
  <c r="AK80" i="554" s="1"/>
  <c r="AK97" i="554" s="1"/>
  <c r="AK109" i="554" s="1"/>
  <c r="AK121" i="554" s="1"/>
  <c r="AK135" i="554" s="1"/>
  <c r="AK156" i="554" s="1"/>
  <c r="AK173" i="554" s="1"/>
  <c r="AK187" i="554" s="1"/>
  <c r="AK202" i="554" s="1"/>
  <c r="AK214" i="554" s="1"/>
  <c r="AK226" i="554" s="1"/>
  <c r="AK238" i="554" s="1"/>
  <c r="AK250" i="554" s="1"/>
  <c r="AK270" i="554" s="1"/>
  <c r="AK284" i="554" s="1"/>
  <c r="AK303" i="554" s="1"/>
  <c r="AK315" i="554" s="1"/>
  <c r="AK327" i="554" s="1"/>
  <c r="AK340" i="554" s="1"/>
  <c r="AK354" i="554" s="1"/>
  <c r="AK371" i="554" s="1"/>
  <c r="AB482" i="552"/>
  <c r="AB503" i="552" s="1"/>
  <c r="AB523" i="552" s="1"/>
  <c r="AB539" i="552" s="1"/>
  <c r="AB559" i="552" s="1"/>
  <c r="K68" i="549"/>
  <c r="I136" i="532"/>
  <c r="I146" i="532" s="1"/>
  <c r="AO300" i="532"/>
  <c r="A303" i="532"/>
  <c r="AH482" i="552"/>
  <c r="AH503" i="552" s="1"/>
  <c r="AH523" i="552" s="1"/>
  <c r="AH539" i="552" s="1"/>
  <c r="AH559" i="552" s="1"/>
  <c r="AH578" i="552"/>
  <c r="AH2" i="554" s="1"/>
  <c r="AH14" i="554" s="1"/>
  <c r="AH32" i="554" s="1"/>
  <c r="AH50" i="554" s="1"/>
  <c r="AH64" i="554" s="1"/>
  <c r="AH80" i="554" s="1"/>
  <c r="AH97" i="554" s="1"/>
  <c r="AH109" i="554" s="1"/>
  <c r="AH121" i="554" s="1"/>
  <c r="AH135" i="554" s="1"/>
  <c r="AH156" i="554" s="1"/>
  <c r="AH173" i="554" s="1"/>
  <c r="AH187" i="554" s="1"/>
  <c r="AH202" i="554" s="1"/>
  <c r="AH214" i="554" s="1"/>
  <c r="AH226" i="554" s="1"/>
  <c r="AH238" i="554" s="1"/>
  <c r="AH250" i="554" s="1"/>
  <c r="AH270" i="554" s="1"/>
  <c r="AH284" i="554" s="1"/>
  <c r="AH303" i="554" s="1"/>
  <c r="AH315" i="554" s="1"/>
  <c r="AH327" i="554" s="1"/>
  <c r="AH340" i="554" s="1"/>
  <c r="AH354" i="554" s="1"/>
  <c r="AH371" i="554" s="1"/>
  <c r="A165" i="549"/>
  <c r="AO162" i="549"/>
  <c r="AO183" i="550"/>
  <c r="A186" i="550"/>
  <c r="AM443" i="550"/>
  <c r="AM2" i="551" s="1"/>
  <c r="AM20" i="551" s="1"/>
  <c r="AM41" i="551" s="1"/>
  <c r="AM60" i="551" s="1"/>
  <c r="AM72" i="551" s="1"/>
  <c r="AM92" i="551" s="1"/>
  <c r="AM104" i="551" s="1"/>
  <c r="AM115" i="551" s="1"/>
  <c r="AM132" i="551" s="1"/>
  <c r="AM147" i="551" s="1"/>
  <c r="AM165" i="551" s="1"/>
  <c r="AM179" i="551" s="1"/>
  <c r="AM194" i="551" s="1"/>
  <c r="AM205" i="551" s="1"/>
  <c r="AM216" i="551" s="1"/>
  <c r="AM230" i="551" s="1"/>
  <c r="AM246" i="551" s="1"/>
  <c r="AM258" i="551" s="1"/>
  <c r="AM273" i="551" s="1"/>
  <c r="AM291" i="551" s="1"/>
  <c r="AM303" i="551" s="1"/>
  <c r="AM314" i="551" s="1"/>
  <c r="AM332" i="551" s="1"/>
  <c r="AM351" i="551" s="1"/>
  <c r="AM363" i="551" s="1"/>
  <c r="AM375" i="551" s="1"/>
  <c r="AL454" i="551"/>
  <c r="AL2" i="552" s="1"/>
  <c r="AL17" i="552" s="1"/>
  <c r="AL42" i="552" s="1"/>
  <c r="AL57" i="552" s="1"/>
  <c r="AL69" i="552" s="1"/>
  <c r="AL93" i="552" s="1"/>
  <c r="AL116" i="552" s="1"/>
  <c r="AL131" i="552" s="1"/>
  <c r="AL146" i="552" s="1"/>
  <c r="AL169" i="552" s="1"/>
  <c r="AL193" i="552" s="1"/>
  <c r="AL206" i="552" s="1"/>
  <c r="AL232" i="552" s="1"/>
  <c r="AL249" i="552" s="1"/>
  <c r="AL265" i="552" s="1"/>
  <c r="AL290" i="552" s="1"/>
  <c r="AL308" i="552" s="1"/>
  <c r="AL321" i="552" s="1"/>
  <c r="AL333" i="552" s="1"/>
  <c r="AL349" i="552" s="1"/>
  <c r="AL372" i="552" s="1"/>
  <c r="AL394" i="552" s="1"/>
  <c r="AL409" i="552" s="1"/>
  <c r="AL431" i="552" s="1"/>
  <c r="AL450" i="552" s="1"/>
  <c r="AL463" i="552" s="1"/>
  <c r="D302" i="532"/>
  <c r="H123" i="532"/>
  <c r="X454" i="551"/>
  <c r="X2" i="552" s="1"/>
  <c r="X17" i="552" s="1"/>
  <c r="X42" i="552" s="1"/>
  <c r="X57" i="552" s="1"/>
  <c r="X69" i="552" s="1"/>
  <c r="X93" i="552" s="1"/>
  <c r="X116" i="552" s="1"/>
  <c r="X131" i="552" s="1"/>
  <c r="X146" i="552" s="1"/>
  <c r="X169" i="552" s="1"/>
  <c r="X193" i="552" s="1"/>
  <c r="X206" i="552" s="1"/>
  <c r="X232" i="552" s="1"/>
  <c r="X249" i="552" s="1"/>
  <c r="X265" i="552" s="1"/>
  <c r="X290" i="552" s="1"/>
  <c r="X308" i="552" s="1"/>
  <c r="X321" i="552" s="1"/>
  <c r="X333" i="552" s="1"/>
  <c r="X349" i="552" s="1"/>
  <c r="X372" i="552" s="1"/>
  <c r="X394" i="552" s="1"/>
  <c r="X409" i="552" s="1"/>
  <c r="X431" i="552" s="1"/>
  <c r="X450" i="552" s="1"/>
  <c r="X463" i="552" s="1"/>
  <c r="AJ443" i="550"/>
  <c r="AJ2" i="551" s="1"/>
  <c r="AJ20" i="551" s="1"/>
  <c r="AJ41" i="551" s="1"/>
  <c r="AJ60" i="551" s="1"/>
  <c r="AJ72" i="551" s="1"/>
  <c r="AJ92" i="551" s="1"/>
  <c r="AJ104" i="551" s="1"/>
  <c r="AJ115" i="551" s="1"/>
  <c r="AJ132" i="551" s="1"/>
  <c r="AJ147" i="551" s="1"/>
  <c r="AJ165" i="551" s="1"/>
  <c r="AJ179" i="551" s="1"/>
  <c r="AJ194" i="551" s="1"/>
  <c r="AJ205" i="551" s="1"/>
  <c r="AJ216" i="551" s="1"/>
  <c r="AJ230" i="551" s="1"/>
  <c r="AJ246" i="551" s="1"/>
  <c r="AJ258" i="551" s="1"/>
  <c r="AJ273" i="551" s="1"/>
  <c r="AJ291" i="551" s="1"/>
  <c r="AJ303" i="551" s="1"/>
  <c r="AJ314" i="551" s="1"/>
  <c r="AJ332" i="551" s="1"/>
  <c r="AJ351" i="551" s="1"/>
  <c r="AJ363" i="551" s="1"/>
  <c r="AJ375" i="551" s="1"/>
  <c r="Q440" i="532"/>
  <c r="Y389" i="551"/>
  <c r="Y399" i="551" s="1"/>
  <c r="Y411" i="551" s="1"/>
  <c r="Y424" i="551" s="1"/>
  <c r="Y437" i="551" s="1"/>
  <c r="Y454" i="551"/>
  <c r="Y2" i="552" s="1"/>
  <c r="Y17" i="552" s="1"/>
  <c r="Y42" i="552" s="1"/>
  <c r="Y57" i="552" s="1"/>
  <c r="Y69" i="552" s="1"/>
  <c r="Y93" i="552" s="1"/>
  <c r="Y116" i="552" s="1"/>
  <c r="Y131" i="552" s="1"/>
  <c r="Y146" i="552" s="1"/>
  <c r="Y169" i="552" s="1"/>
  <c r="Y193" i="552" s="1"/>
  <c r="Y206" i="552" s="1"/>
  <c r="Y232" i="552" s="1"/>
  <c r="Y249" i="552" s="1"/>
  <c r="Y265" i="552" s="1"/>
  <c r="Y290" i="552" s="1"/>
  <c r="Y308" i="552" s="1"/>
  <c r="Y321" i="552" s="1"/>
  <c r="Y333" i="552" s="1"/>
  <c r="Y349" i="552" s="1"/>
  <c r="Y372" i="552" s="1"/>
  <c r="Y394" i="552" s="1"/>
  <c r="Y409" i="552" s="1"/>
  <c r="Y431" i="552" s="1"/>
  <c r="Y450" i="552" s="1"/>
  <c r="Y463" i="552" s="1"/>
  <c r="AA482" i="552"/>
  <c r="AA503" i="552" s="1"/>
  <c r="AA523" i="552" s="1"/>
  <c r="AA539" i="552" s="1"/>
  <c r="AA559" i="552" s="1"/>
  <c r="AC482" i="552"/>
  <c r="AC503" i="552" s="1"/>
  <c r="AC523" i="552" s="1"/>
  <c r="AC539" i="552" s="1"/>
  <c r="AC559" i="552" s="1"/>
  <c r="R302" i="532"/>
  <c r="AO301" i="532"/>
  <c r="A116" i="551"/>
  <c r="AO113" i="551"/>
  <c r="AD454" i="551"/>
  <c r="AD2" i="552" s="1"/>
  <c r="AD17" i="552" s="1"/>
  <c r="AD42" i="552" s="1"/>
  <c r="AD57" i="552" s="1"/>
  <c r="AD69" i="552" s="1"/>
  <c r="AD93" i="552" s="1"/>
  <c r="AD116" i="552" s="1"/>
  <c r="AD131" i="552" s="1"/>
  <c r="AD146" i="552" s="1"/>
  <c r="AD169" i="552" s="1"/>
  <c r="AD193" i="552" s="1"/>
  <c r="AD206" i="552" s="1"/>
  <c r="AD232" i="552" s="1"/>
  <c r="AD249" i="552" s="1"/>
  <c r="AD265" i="552" s="1"/>
  <c r="AD290" i="552" s="1"/>
  <c r="AD308" i="552" s="1"/>
  <c r="AD321" i="552" s="1"/>
  <c r="AD333" i="552" s="1"/>
  <c r="AD349" i="552" s="1"/>
  <c r="AD372" i="552" s="1"/>
  <c r="AD394" i="552" s="1"/>
  <c r="AD409" i="552" s="1"/>
  <c r="AD431" i="552" s="1"/>
  <c r="AD450" i="552" s="1"/>
  <c r="AD463" i="552" s="1"/>
  <c r="AN454" i="551"/>
  <c r="AN2" i="552" s="1"/>
  <c r="AN17" i="552" s="1"/>
  <c r="AN42" i="552" s="1"/>
  <c r="AN57" i="552" s="1"/>
  <c r="AN69" i="552" s="1"/>
  <c r="AN93" i="552" s="1"/>
  <c r="AN116" i="552" s="1"/>
  <c r="AN131" i="552" s="1"/>
  <c r="AN146" i="552" s="1"/>
  <c r="AN169" i="552" s="1"/>
  <c r="AN193" i="552" s="1"/>
  <c r="AN206" i="552" s="1"/>
  <c r="AN232" i="552" s="1"/>
  <c r="AN249" i="552" s="1"/>
  <c r="AN265" i="552" s="1"/>
  <c r="AN290" i="552" s="1"/>
  <c r="AN308" i="552" s="1"/>
  <c r="AN321" i="552" s="1"/>
  <c r="AN333" i="552" s="1"/>
  <c r="AN349" i="552" s="1"/>
  <c r="AN372" i="552" s="1"/>
  <c r="AN394" i="552" s="1"/>
  <c r="AN409" i="552" s="1"/>
  <c r="AN431" i="552" s="1"/>
  <c r="AN450" i="552" s="1"/>
  <c r="AN463" i="552" s="1"/>
  <c r="A271" i="554"/>
  <c r="AO268" i="554"/>
  <c r="A132" i="552"/>
  <c r="AO129" i="552"/>
  <c r="A147" i="532"/>
  <c r="AO144" i="532"/>
  <c r="W389" i="551"/>
  <c r="W399" i="551" s="1"/>
  <c r="W411" i="551" s="1"/>
  <c r="W424" i="551" s="1"/>
  <c r="W437" i="551" s="1"/>
  <c r="AG454" i="551"/>
  <c r="AG2" i="552" s="1"/>
  <c r="AG17" i="552" s="1"/>
  <c r="AG42" i="552" s="1"/>
  <c r="AG57" i="552" s="1"/>
  <c r="AG69" i="552" s="1"/>
  <c r="AG93" i="552" s="1"/>
  <c r="AG116" i="552" s="1"/>
  <c r="AG131" i="552" s="1"/>
  <c r="AG146" i="552" s="1"/>
  <c r="AG169" i="552" s="1"/>
  <c r="AG193" i="552" s="1"/>
  <c r="AG206" i="552" s="1"/>
  <c r="AG232" i="552" s="1"/>
  <c r="AG249" i="552" s="1"/>
  <c r="AG265" i="552" s="1"/>
  <c r="AG290" i="552" s="1"/>
  <c r="AG308" i="552" s="1"/>
  <c r="AG321" i="552" s="1"/>
  <c r="AG333" i="552" s="1"/>
  <c r="AG349" i="552" s="1"/>
  <c r="AG372" i="552" s="1"/>
  <c r="AG394" i="552" s="1"/>
  <c r="AG409" i="552" s="1"/>
  <c r="AG431" i="552" s="1"/>
  <c r="AG450" i="552" s="1"/>
  <c r="AG463" i="552" s="1"/>
  <c r="AE389" i="551"/>
  <c r="AE399" i="551" s="1"/>
  <c r="AE411" i="551" s="1"/>
  <c r="AE424" i="551" s="1"/>
  <c r="AE437" i="551" s="1"/>
  <c r="AE454" i="551"/>
  <c r="AE2" i="552" s="1"/>
  <c r="AE17" i="552" s="1"/>
  <c r="AE42" i="552" s="1"/>
  <c r="AE57" i="552" s="1"/>
  <c r="AE69" i="552" s="1"/>
  <c r="AE93" i="552" s="1"/>
  <c r="AE116" i="552" s="1"/>
  <c r="AE131" i="552" s="1"/>
  <c r="AE146" i="552" s="1"/>
  <c r="AE169" i="552" s="1"/>
  <c r="AE193" i="552" s="1"/>
  <c r="AE206" i="552" s="1"/>
  <c r="AE232" i="552" s="1"/>
  <c r="AE249" i="552" s="1"/>
  <c r="AE265" i="552" s="1"/>
  <c r="AE290" i="552" s="1"/>
  <c r="AE308" i="552" s="1"/>
  <c r="AE321" i="552" s="1"/>
  <c r="AE333" i="552" s="1"/>
  <c r="AE349" i="552" s="1"/>
  <c r="AE372" i="552" s="1"/>
  <c r="AE394" i="552" s="1"/>
  <c r="AE409" i="552" s="1"/>
  <c r="AE431" i="552" s="1"/>
  <c r="AE450" i="552" s="1"/>
  <c r="AE463" i="552" s="1"/>
  <c r="AF482" i="552"/>
  <c r="AF503" i="552" s="1"/>
  <c r="AF523" i="552" s="1"/>
  <c r="AF539" i="552" s="1"/>
  <c r="AF559" i="552" s="1"/>
  <c r="AF578" i="552"/>
  <c r="AF2" i="554" s="1"/>
  <c r="AF14" i="554" s="1"/>
  <c r="AF32" i="554" s="1"/>
  <c r="AF50" i="554" s="1"/>
  <c r="AF64" i="554" s="1"/>
  <c r="AF80" i="554" s="1"/>
  <c r="AF97" i="554" s="1"/>
  <c r="AF109" i="554" s="1"/>
  <c r="AF121" i="554" s="1"/>
  <c r="AF135" i="554" s="1"/>
  <c r="AF156" i="554" s="1"/>
  <c r="AF173" i="554" s="1"/>
  <c r="AF187" i="554" s="1"/>
  <c r="AF202" i="554" s="1"/>
  <c r="AF214" i="554" s="1"/>
  <c r="AF226" i="554" s="1"/>
  <c r="AF238" i="554" s="1"/>
  <c r="AF250" i="554" s="1"/>
  <c r="AF270" i="554" s="1"/>
  <c r="AF284" i="554" s="1"/>
  <c r="AF303" i="554" s="1"/>
  <c r="AF315" i="554" s="1"/>
  <c r="AF327" i="554" s="1"/>
  <c r="AF340" i="554" s="1"/>
  <c r="AF354" i="554" s="1"/>
  <c r="AF371" i="554" s="1"/>
  <c r="N384" i="532"/>
  <c r="E257" i="532"/>
  <c r="L87" i="532"/>
  <c r="M105" i="532" s="1"/>
  <c r="Z578" i="552"/>
  <c r="Z2" i="554" s="1"/>
  <c r="Z14" i="554" s="1"/>
  <c r="Z32" i="554" s="1"/>
  <c r="Z50" i="554" s="1"/>
  <c r="Z64" i="554" s="1"/>
  <c r="Z80" i="554" s="1"/>
  <c r="Z97" i="554" s="1"/>
  <c r="Z109" i="554" s="1"/>
  <c r="Z121" i="554" s="1"/>
  <c r="Z135" i="554" s="1"/>
  <c r="Z156" i="554" s="1"/>
  <c r="Z173" i="554" s="1"/>
  <c r="Z187" i="554" s="1"/>
  <c r="Z202" i="554" s="1"/>
  <c r="Z214" i="554" s="1"/>
  <c r="Z226" i="554" s="1"/>
  <c r="Z238" i="554" s="1"/>
  <c r="Z250" i="554" s="1"/>
  <c r="Z270" i="554" s="1"/>
  <c r="Z284" i="554" s="1"/>
  <c r="Z303" i="554" s="1"/>
  <c r="Z315" i="554" s="1"/>
  <c r="Z327" i="554" s="1"/>
  <c r="Z340" i="554" s="1"/>
  <c r="Z354" i="554" s="1"/>
  <c r="Z371" i="554" s="1"/>
  <c r="M223" i="574" l="1"/>
  <c r="L206" i="574"/>
  <c r="P206" i="574"/>
  <c r="O189" i="574"/>
  <c r="AR188" i="574"/>
  <c r="T189" i="574"/>
  <c r="C188" i="574"/>
  <c r="AR189" i="574"/>
  <c r="C189" i="574" s="1"/>
  <c r="D206" i="574"/>
  <c r="S206" i="574"/>
  <c r="R189" i="574"/>
  <c r="S206" i="573"/>
  <c r="R189" i="573"/>
  <c r="T206" i="573"/>
  <c r="AR205" i="573"/>
  <c r="D206" i="573"/>
  <c r="AR189" i="573"/>
  <c r="C189" i="573" s="1"/>
  <c r="C188" i="573"/>
  <c r="M223" i="573"/>
  <c r="L206" i="573"/>
  <c r="P206" i="573"/>
  <c r="O189" i="573"/>
  <c r="M206" i="572"/>
  <c r="C205" i="572" s="1"/>
  <c r="L189" i="572"/>
  <c r="C188" i="572"/>
  <c r="AR222" i="572"/>
  <c r="T223" i="572"/>
  <c r="P223" i="572"/>
  <c r="O206" i="572"/>
  <c r="AR206" i="572"/>
  <c r="C206" i="572" s="1"/>
  <c r="D223" i="572"/>
  <c r="AR189" i="572"/>
  <c r="C189" i="572" s="1"/>
  <c r="S223" i="572"/>
  <c r="R206" i="572"/>
  <c r="AR188" i="571"/>
  <c r="T189" i="571"/>
  <c r="S206" i="571"/>
  <c r="R189" i="571"/>
  <c r="AR172" i="571"/>
  <c r="C172" i="571" s="1"/>
  <c r="O189" i="571"/>
  <c r="P206" i="571"/>
  <c r="M206" i="571"/>
  <c r="L189" i="571"/>
  <c r="AR189" i="571"/>
  <c r="C189" i="571" s="1"/>
  <c r="D206" i="571"/>
  <c r="C188" i="571"/>
  <c r="S223" i="570"/>
  <c r="R206" i="570"/>
  <c r="AR222" i="570"/>
  <c r="T223" i="570"/>
  <c r="D223" i="570"/>
  <c r="M206" i="570"/>
  <c r="C205" i="570" s="1"/>
  <c r="L189" i="570"/>
  <c r="AR189" i="570"/>
  <c r="C189" i="570" s="1"/>
  <c r="P223" i="570"/>
  <c r="O206" i="570"/>
  <c r="M206" i="569"/>
  <c r="L189" i="569"/>
  <c r="AR189" i="569"/>
  <c r="C189" i="569" s="1"/>
  <c r="D206" i="569"/>
  <c r="C188" i="569"/>
  <c r="T206" i="569"/>
  <c r="AR205" i="569"/>
  <c r="P206" i="569"/>
  <c r="O189" i="569"/>
  <c r="S206" i="569"/>
  <c r="R189" i="569"/>
  <c r="AR189" i="568"/>
  <c r="C189" i="568" s="1"/>
  <c r="D206" i="568"/>
  <c r="C188" i="568"/>
  <c r="T189" i="568"/>
  <c r="AR188" i="568"/>
  <c r="S206" i="568"/>
  <c r="R189" i="568"/>
  <c r="P206" i="568"/>
  <c r="O189" i="568"/>
  <c r="M206" i="568"/>
  <c r="L189" i="568"/>
  <c r="T206" i="566"/>
  <c r="AR205" i="566"/>
  <c r="D189" i="566"/>
  <c r="D172" i="565"/>
  <c r="T189" i="565"/>
  <c r="AR188" i="565"/>
  <c r="S138" i="557"/>
  <c r="R121" i="557"/>
  <c r="A136" i="560"/>
  <c r="AR133" i="560"/>
  <c r="R97" i="560"/>
  <c r="S109" i="560"/>
  <c r="I148" i="532"/>
  <c r="I159" i="532"/>
  <c r="AL482" i="552"/>
  <c r="AL503" i="552" s="1"/>
  <c r="AL523" i="552" s="1"/>
  <c r="AL539" i="552" s="1"/>
  <c r="AL559" i="552" s="1"/>
  <c r="AL578" i="552"/>
  <c r="AL2" i="554" s="1"/>
  <c r="AL14" i="554" s="1"/>
  <c r="AL32" i="554" s="1"/>
  <c r="AL50" i="554" s="1"/>
  <c r="AL64" i="554" s="1"/>
  <c r="AL80" i="554" s="1"/>
  <c r="AL97" i="554" s="1"/>
  <c r="AL109" i="554" s="1"/>
  <c r="AL121" i="554" s="1"/>
  <c r="AL135" i="554" s="1"/>
  <c r="AL156" i="554" s="1"/>
  <c r="AL173" i="554" s="1"/>
  <c r="AL187" i="554" s="1"/>
  <c r="AL202" i="554" s="1"/>
  <c r="AL214" i="554" s="1"/>
  <c r="AL226" i="554" s="1"/>
  <c r="AL238" i="554" s="1"/>
  <c r="AL250" i="554" s="1"/>
  <c r="AL270" i="554" s="1"/>
  <c r="AL284" i="554" s="1"/>
  <c r="AL303" i="554" s="1"/>
  <c r="AL315" i="554" s="1"/>
  <c r="AL327" i="554" s="1"/>
  <c r="AL340" i="554" s="1"/>
  <c r="AL354" i="554" s="1"/>
  <c r="AL371" i="554" s="1"/>
  <c r="AO326" i="532"/>
  <c r="A329" i="532"/>
  <c r="AN482" i="552"/>
  <c r="AN503" i="552" s="1"/>
  <c r="AN523" i="552" s="1"/>
  <c r="AN539" i="552" s="1"/>
  <c r="AN559" i="552" s="1"/>
  <c r="Y482" i="552"/>
  <c r="Y503" i="552" s="1"/>
  <c r="Y523" i="552" s="1"/>
  <c r="Y539" i="552" s="1"/>
  <c r="Y559" i="552" s="1"/>
  <c r="AJ389" i="551"/>
  <c r="AJ399" i="551" s="1"/>
  <c r="AJ411" i="551" s="1"/>
  <c r="AJ424" i="551" s="1"/>
  <c r="AJ437" i="551" s="1"/>
  <c r="AJ454" i="551"/>
  <c r="AJ2" i="552" s="1"/>
  <c r="AJ17" i="552" s="1"/>
  <c r="AJ42" i="552" s="1"/>
  <c r="AJ57" i="552" s="1"/>
  <c r="AJ69" i="552" s="1"/>
  <c r="AJ93" i="552" s="1"/>
  <c r="AJ116" i="552" s="1"/>
  <c r="AJ131" i="552" s="1"/>
  <c r="AJ146" i="552" s="1"/>
  <c r="AJ169" i="552" s="1"/>
  <c r="AJ193" i="552" s="1"/>
  <c r="AJ206" i="552" s="1"/>
  <c r="AJ232" i="552" s="1"/>
  <c r="AJ249" i="552" s="1"/>
  <c r="AJ265" i="552" s="1"/>
  <c r="AJ290" i="552" s="1"/>
  <c r="AJ308" i="552" s="1"/>
  <c r="AJ321" i="552" s="1"/>
  <c r="AJ333" i="552" s="1"/>
  <c r="AJ349" i="552" s="1"/>
  <c r="AJ372" i="552" s="1"/>
  <c r="AJ394" i="552" s="1"/>
  <c r="AJ409" i="552" s="1"/>
  <c r="AJ431" i="552" s="1"/>
  <c r="AJ450" i="552" s="1"/>
  <c r="AJ463" i="552" s="1"/>
  <c r="AM454" i="551"/>
  <c r="AM2" i="552" s="1"/>
  <c r="AM17" i="552" s="1"/>
  <c r="AM42" i="552" s="1"/>
  <c r="AM57" i="552" s="1"/>
  <c r="AM69" i="552" s="1"/>
  <c r="AM93" i="552" s="1"/>
  <c r="AM116" i="552" s="1"/>
  <c r="AM131" i="552" s="1"/>
  <c r="AM146" i="552" s="1"/>
  <c r="AM169" i="552" s="1"/>
  <c r="AM193" i="552" s="1"/>
  <c r="AM206" i="552" s="1"/>
  <c r="AM232" i="552" s="1"/>
  <c r="AM249" i="552" s="1"/>
  <c r="AM265" i="552" s="1"/>
  <c r="AM290" i="552" s="1"/>
  <c r="AM308" i="552" s="1"/>
  <c r="AM321" i="552" s="1"/>
  <c r="AM333" i="552" s="1"/>
  <c r="AM349" i="552" s="1"/>
  <c r="AM372" i="552" s="1"/>
  <c r="AM394" i="552" s="1"/>
  <c r="AM409" i="552" s="1"/>
  <c r="AM431" i="552" s="1"/>
  <c r="AM450" i="552" s="1"/>
  <c r="AM463" i="552" s="1"/>
  <c r="AM389" i="551"/>
  <c r="AM399" i="551" s="1"/>
  <c r="AM411" i="551" s="1"/>
  <c r="AM424" i="551" s="1"/>
  <c r="AM437" i="551" s="1"/>
  <c r="A176" i="549"/>
  <c r="AO173" i="549"/>
  <c r="K81" i="549"/>
  <c r="AO157" i="532"/>
  <c r="A160" i="532"/>
  <c r="AO168" i="532" s="1"/>
  <c r="AO282" i="554"/>
  <c r="A285" i="554"/>
  <c r="A133" i="551"/>
  <c r="AO130" i="551"/>
  <c r="Q458" i="532"/>
  <c r="Q2" i="549" s="1"/>
  <c r="Z386" i="554"/>
  <c r="Z408" i="554" s="1"/>
  <c r="Z420" i="554" s="1"/>
  <c r="Z434" i="554" s="1"/>
  <c r="Z452" i="554" s="1"/>
  <c r="AG578" i="552"/>
  <c r="AG2" i="554" s="1"/>
  <c r="AG14" i="554" s="1"/>
  <c r="AG32" i="554" s="1"/>
  <c r="AG50" i="554" s="1"/>
  <c r="AG64" i="554" s="1"/>
  <c r="AG80" i="554" s="1"/>
  <c r="AG97" i="554" s="1"/>
  <c r="AG109" i="554" s="1"/>
  <c r="AG121" i="554" s="1"/>
  <c r="AG135" i="554" s="1"/>
  <c r="AG156" i="554" s="1"/>
  <c r="AG173" i="554" s="1"/>
  <c r="AG187" i="554" s="1"/>
  <c r="AG202" i="554" s="1"/>
  <c r="AG214" i="554" s="1"/>
  <c r="AG226" i="554" s="1"/>
  <c r="AG238" i="554" s="1"/>
  <c r="AG250" i="554" s="1"/>
  <c r="AG270" i="554" s="1"/>
  <c r="AG284" i="554" s="1"/>
  <c r="AG303" i="554" s="1"/>
  <c r="AG315" i="554" s="1"/>
  <c r="AG327" i="554" s="1"/>
  <c r="AG340" i="554" s="1"/>
  <c r="AG354" i="554" s="1"/>
  <c r="AG371" i="554" s="1"/>
  <c r="AG482" i="552"/>
  <c r="AG503" i="552" s="1"/>
  <c r="AG523" i="552" s="1"/>
  <c r="AG539" i="552" s="1"/>
  <c r="AG559" i="552" s="1"/>
  <c r="AD482" i="552"/>
  <c r="AD503" i="552" s="1"/>
  <c r="AD523" i="552" s="1"/>
  <c r="AD539" i="552" s="1"/>
  <c r="AD559" i="552" s="1"/>
  <c r="R328" i="532"/>
  <c r="AO327" i="532"/>
  <c r="AH386" i="554"/>
  <c r="AH408" i="554" s="1"/>
  <c r="AH420" i="554" s="1"/>
  <c r="AH434" i="554" s="1"/>
  <c r="AH452" i="554" s="1"/>
  <c r="O146" i="532"/>
  <c r="P156" i="532" s="1"/>
  <c r="P159" i="532"/>
  <c r="AE482" i="552"/>
  <c r="AE503" i="552" s="1"/>
  <c r="AE523" i="552" s="1"/>
  <c r="AE539" i="552" s="1"/>
  <c r="AE559" i="552" s="1"/>
  <c r="AK386" i="554"/>
  <c r="AK408" i="554" s="1"/>
  <c r="AK420" i="554" s="1"/>
  <c r="AK434" i="554" s="1"/>
  <c r="AK452" i="554" s="1"/>
  <c r="AK469" i="554"/>
  <c r="AN2" i="557" s="1"/>
  <c r="AN19" i="557" s="1"/>
  <c r="AN36" i="557" s="1"/>
  <c r="N403" i="532"/>
  <c r="AF386" i="554"/>
  <c r="AF408" i="554" s="1"/>
  <c r="AF420" i="554" s="1"/>
  <c r="AF434" i="554" s="1"/>
  <c r="AF452" i="554" s="1"/>
  <c r="A147" i="552"/>
  <c r="AO144" i="552"/>
  <c r="X482" i="552"/>
  <c r="X503" i="552" s="1"/>
  <c r="X523" i="552" s="1"/>
  <c r="X539" i="552" s="1"/>
  <c r="X559" i="552" s="1"/>
  <c r="D328" i="532"/>
  <c r="A201" i="550"/>
  <c r="AO198" i="550"/>
  <c r="M108" i="532"/>
  <c r="E282" i="532"/>
  <c r="W454" i="551"/>
  <c r="W2" i="552" s="1"/>
  <c r="W17" i="552" s="1"/>
  <c r="W42" i="552" s="1"/>
  <c r="W57" i="552" s="1"/>
  <c r="W69" i="552" s="1"/>
  <c r="W93" i="552" s="1"/>
  <c r="W116" i="552" s="1"/>
  <c r="W131" i="552" s="1"/>
  <c r="W146" i="552" s="1"/>
  <c r="W169" i="552" s="1"/>
  <c r="W193" i="552" s="1"/>
  <c r="W206" i="552" s="1"/>
  <c r="W232" i="552" s="1"/>
  <c r="W249" i="552" s="1"/>
  <c r="W265" i="552" s="1"/>
  <c r="W290" i="552" s="1"/>
  <c r="W308" i="552" s="1"/>
  <c r="W321" i="552" s="1"/>
  <c r="W333" i="552" s="1"/>
  <c r="W349" i="552" s="1"/>
  <c r="W372" i="552" s="1"/>
  <c r="W394" i="552" s="1"/>
  <c r="W409" i="552" s="1"/>
  <c r="W431" i="552" s="1"/>
  <c r="W450" i="552" s="1"/>
  <c r="W463" i="552" s="1"/>
  <c r="AC578" i="552"/>
  <c r="AC2" i="554" s="1"/>
  <c r="AC14" i="554" s="1"/>
  <c r="AC32" i="554" s="1"/>
  <c r="AC50" i="554" s="1"/>
  <c r="AC64" i="554" s="1"/>
  <c r="AC80" i="554" s="1"/>
  <c r="AC97" i="554" s="1"/>
  <c r="AC109" i="554" s="1"/>
  <c r="AC121" i="554" s="1"/>
  <c r="AC135" i="554" s="1"/>
  <c r="AC156" i="554" s="1"/>
  <c r="AC173" i="554" s="1"/>
  <c r="AC187" i="554" s="1"/>
  <c r="AC202" i="554" s="1"/>
  <c r="AC214" i="554" s="1"/>
  <c r="AC226" i="554" s="1"/>
  <c r="AC238" i="554" s="1"/>
  <c r="AC250" i="554" s="1"/>
  <c r="AC270" i="554" s="1"/>
  <c r="AC284" i="554" s="1"/>
  <c r="AC303" i="554" s="1"/>
  <c r="AC315" i="554" s="1"/>
  <c r="AC327" i="554" s="1"/>
  <c r="AC340" i="554" s="1"/>
  <c r="AC354" i="554" s="1"/>
  <c r="AC371" i="554" s="1"/>
  <c r="AA578" i="552"/>
  <c r="AA2" i="554" s="1"/>
  <c r="AA14" i="554" s="1"/>
  <c r="AA32" i="554" s="1"/>
  <c r="AA50" i="554" s="1"/>
  <c r="AA64" i="554" s="1"/>
  <c r="AA80" i="554" s="1"/>
  <c r="AA97" i="554" s="1"/>
  <c r="AA109" i="554" s="1"/>
  <c r="AA121" i="554" s="1"/>
  <c r="AA135" i="554" s="1"/>
  <c r="AA156" i="554" s="1"/>
  <c r="AA173" i="554" s="1"/>
  <c r="AA187" i="554" s="1"/>
  <c r="AA202" i="554" s="1"/>
  <c r="AA214" i="554" s="1"/>
  <c r="AA226" i="554" s="1"/>
  <c r="AA238" i="554" s="1"/>
  <c r="AA250" i="554" s="1"/>
  <c r="AA270" i="554" s="1"/>
  <c r="AA284" i="554" s="1"/>
  <c r="AA303" i="554" s="1"/>
  <c r="AA315" i="554" s="1"/>
  <c r="AA327" i="554" s="1"/>
  <c r="AA340" i="554" s="1"/>
  <c r="AA354" i="554" s="1"/>
  <c r="AA371" i="554" s="1"/>
  <c r="H146" i="532"/>
  <c r="AB578" i="552"/>
  <c r="AB2" i="554" s="1"/>
  <c r="AB14" i="554" s="1"/>
  <c r="AB32" i="554" s="1"/>
  <c r="AB50" i="554" s="1"/>
  <c r="AB64" i="554" s="1"/>
  <c r="AB80" i="554" s="1"/>
  <c r="AB97" i="554" s="1"/>
  <c r="AB109" i="554" s="1"/>
  <c r="AB121" i="554" s="1"/>
  <c r="AB135" i="554" s="1"/>
  <c r="AB156" i="554" s="1"/>
  <c r="AB173" i="554" s="1"/>
  <c r="AB187" i="554" s="1"/>
  <c r="AB202" i="554" s="1"/>
  <c r="AB214" i="554" s="1"/>
  <c r="AB226" i="554" s="1"/>
  <c r="AB238" i="554" s="1"/>
  <c r="AB250" i="554" s="1"/>
  <c r="AB270" i="554" s="1"/>
  <c r="AB284" i="554" s="1"/>
  <c r="AB303" i="554" s="1"/>
  <c r="AB315" i="554" s="1"/>
  <c r="AB327" i="554" s="1"/>
  <c r="AB340" i="554" s="1"/>
  <c r="AB354" i="554" s="1"/>
  <c r="AB371" i="554" s="1"/>
  <c r="P223" i="574" l="1"/>
  <c r="O206" i="574"/>
  <c r="S223" i="574"/>
  <c r="R206" i="574"/>
  <c r="AR205" i="574"/>
  <c r="T206" i="574"/>
  <c r="D223" i="574"/>
  <c r="C205" i="574"/>
  <c r="AR206" i="574"/>
  <c r="C206" i="574" s="1"/>
  <c r="M240" i="574"/>
  <c r="L223" i="574"/>
  <c r="AR206" i="573"/>
  <c r="C206" i="573" s="1"/>
  <c r="D223" i="573"/>
  <c r="C205" i="573"/>
  <c r="M240" i="573"/>
  <c r="L223" i="573"/>
  <c r="T223" i="573"/>
  <c r="AR222" i="573"/>
  <c r="P223" i="573"/>
  <c r="O206" i="573"/>
  <c r="S223" i="573"/>
  <c r="R206" i="573"/>
  <c r="AR239" i="572"/>
  <c r="T240" i="572"/>
  <c r="S240" i="572"/>
  <c r="R223" i="572"/>
  <c r="D240" i="572"/>
  <c r="P240" i="572"/>
  <c r="O223" i="572"/>
  <c r="M223" i="572"/>
  <c r="C222" i="572" s="1"/>
  <c r="L206" i="572"/>
  <c r="M223" i="571"/>
  <c r="L206" i="571"/>
  <c r="D223" i="571"/>
  <c r="C205" i="571"/>
  <c r="AR206" i="571"/>
  <c r="C206" i="571" s="1"/>
  <c r="P223" i="571"/>
  <c r="O206" i="571"/>
  <c r="S223" i="571"/>
  <c r="R206" i="571"/>
  <c r="AR205" i="571"/>
  <c r="T206" i="571"/>
  <c r="M223" i="570"/>
  <c r="C222" i="570" s="1"/>
  <c r="L206" i="570"/>
  <c r="T240" i="570"/>
  <c r="AR239" i="570"/>
  <c r="P240" i="570"/>
  <c r="O223" i="570"/>
  <c r="D240" i="570"/>
  <c r="AR223" i="570"/>
  <c r="C223" i="570" s="1"/>
  <c r="AR206" i="570"/>
  <c r="C206" i="570" s="1"/>
  <c r="S240" i="570"/>
  <c r="R223" i="570"/>
  <c r="P223" i="569"/>
  <c r="O206" i="569"/>
  <c r="C205" i="569"/>
  <c r="AR206" i="569"/>
  <c r="C206" i="569" s="1"/>
  <c r="D223" i="569"/>
  <c r="S223" i="569"/>
  <c r="R206" i="569"/>
  <c r="AR222" i="569"/>
  <c r="T223" i="569"/>
  <c r="M223" i="569"/>
  <c r="L206" i="569"/>
  <c r="P223" i="568"/>
  <c r="O206" i="568"/>
  <c r="T206" i="568"/>
  <c r="AR205" i="568"/>
  <c r="M223" i="568"/>
  <c r="L206" i="568"/>
  <c r="S223" i="568"/>
  <c r="R206" i="568"/>
  <c r="C205" i="568"/>
  <c r="D223" i="568"/>
  <c r="D206" i="566"/>
  <c r="T223" i="566"/>
  <c r="AR222" i="566"/>
  <c r="T206" i="565"/>
  <c r="AR205" i="565"/>
  <c r="D189" i="565"/>
  <c r="AN53" i="557"/>
  <c r="AN70" i="557" s="1"/>
  <c r="AN87" i="557" s="1"/>
  <c r="AN104" i="557" s="1"/>
  <c r="AN121" i="557" s="1"/>
  <c r="AN138" i="557" s="1"/>
  <c r="AN155" i="557" s="1"/>
  <c r="AN172" i="557" s="1"/>
  <c r="AN189" i="557" s="1"/>
  <c r="AN206" i="557" s="1"/>
  <c r="AN223" i="557" s="1"/>
  <c r="AN240" i="557" s="1"/>
  <c r="AN257" i="557" s="1"/>
  <c r="AN274" i="557" s="1"/>
  <c r="AN291" i="557" s="1"/>
  <c r="AN308" i="557" s="1"/>
  <c r="AN325" i="557" s="1"/>
  <c r="AN342" i="557" s="1"/>
  <c r="AN359" i="557" s="1"/>
  <c r="AN376" i="557" s="1"/>
  <c r="AN393" i="557" s="1"/>
  <c r="AN410" i="557" s="1"/>
  <c r="AN427" i="557" s="1"/>
  <c r="AN444" i="557" s="1"/>
  <c r="AN461" i="557" s="1"/>
  <c r="AN478" i="557" s="1"/>
  <c r="AN495" i="557" s="1"/>
  <c r="AN512" i="557" s="1"/>
  <c r="S155" i="557"/>
  <c r="R138" i="557"/>
  <c r="R109" i="560"/>
  <c r="S121" i="560"/>
  <c r="A158" i="560"/>
  <c r="AR155" i="560"/>
  <c r="AC386" i="554"/>
  <c r="AC408" i="554" s="1"/>
  <c r="AC420" i="554" s="1"/>
  <c r="AC434" i="554" s="1"/>
  <c r="AC452" i="554" s="1"/>
  <c r="AC469" i="554"/>
  <c r="AF2" i="557" s="1"/>
  <c r="AF19" i="557" s="1"/>
  <c r="AF36" i="557" s="1"/>
  <c r="E292" i="532"/>
  <c r="N413" i="532"/>
  <c r="AJ482" i="552"/>
  <c r="AJ503" i="552" s="1"/>
  <c r="AJ523" i="552" s="1"/>
  <c r="AJ539" i="552" s="1"/>
  <c r="AJ559" i="552" s="1"/>
  <c r="W482" i="552"/>
  <c r="W503" i="552" s="1"/>
  <c r="W523" i="552" s="1"/>
  <c r="W539" i="552" s="1"/>
  <c r="W559" i="552" s="1"/>
  <c r="L108" i="532"/>
  <c r="M120" i="532" s="1"/>
  <c r="C107" i="532"/>
  <c r="AO108" i="532"/>
  <c r="C108" i="532" s="1"/>
  <c r="O159" i="532"/>
  <c r="P167" i="532" s="1"/>
  <c r="P170" i="532"/>
  <c r="Q18" i="549"/>
  <c r="AO301" i="554"/>
  <c r="A304" i="554"/>
  <c r="A316" i="554" s="1"/>
  <c r="AO184" i="549"/>
  <c r="A187" i="549"/>
  <c r="AN578" i="552"/>
  <c r="AN2" i="554" s="1"/>
  <c r="AN14" i="554" s="1"/>
  <c r="AN32" i="554" s="1"/>
  <c r="AN50" i="554" s="1"/>
  <c r="AN64" i="554" s="1"/>
  <c r="AN80" i="554" s="1"/>
  <c r="AN97" i="554" s="1"/>
  <c r="AN109" i="554" s="1"/>
  <c r="AN121" i="554" s="1"/>
  <c r="AN135" i="554" s="1"/>
  <c r="AN156" i="554" s="1"/>
  <c r="AN173" i="554" s="1"/>
  <c r="AN187" i="554" s="1"/>
  <c r="AN202" i="554" s="1"/>
  <c r="AN214" i="554" s="1"/>
  <c r="AN226" i="554" s="1"/>
  <c r="AN238" i="554" s="1"/>
  <c r="AN250" i="554" s="1"/>
  <c r="AN270" i="554" s="1"/>
  <c r="AN284" i="554" s="1"/>
  <c r="AN303" i="554" s="1"/>
  <c r="AN315" i="554" s="1"/>
  <c r="AN327" i="554" s="1"/>
  <c r="AN340" i="554" s="1"/>
  <c r="AN354" i="554" s="1"/>
  <c r="AN371" i="554" s="1"/>
  <c r="H159" i="532"/>
  <c r="D349" i="532"/>
  <c r="A170" i="552"/>
  <c r="AO167" i="552"/>
  <c r="AF469" i="554"/>
  <c r="AI2" i="557" s="1"/>
  <c r="AI19" i="557" s="1"/>
  <c r="AI36" i="557" s="1"/>
  <c r="AD578" i="552"/>
  <c r="AD2" i="554" s="1"/>
  <c r="AD14" i="554" s="1"/>
  <c r="AD32" i="554" s="1"/>
  <c r="AD50" i="554" s="1"/>
  <c r="AD64" i="554" s="1"/>
  <c r="AD80" i="554" s="1"/>
  <c r="AD97" i="554" s="1"/>
  <c r="AD109" i="554" s="1"/>
  <c r="AD121" i="554" s="1"/>
  <c r="AD135" i="554" s="1"/>
  <c r="AD156" i="554" s="1"/>
  <c r="AD173" i="554" s="1"/>
  <c r="AD187" i="554" s="1"/>
  <c r="AD202" i="554" s="1"/>
  <c r="AD214" i="554" s="1"/>
  <c r="AD226" i="554" s="1"/>
  <c r="AD238" i="554" s="1"/>
  <c r="AD250" i="554" s="1"/>
  <c r="AD270" i="554" s="1"/>
  <c r="AD284" i="554" s="1"/>
  <c r="AD303" i="554" s="1"/>
  <c r="AD315" i="554" s="1"/>
  <c r="AD327" i="554" s="1"/>
  <c r="AD340" i="554" s="1"/>
  <c r="AD354" i="554" s="1"/>
  <c r="AD371" i="554" s="1"/>
  <c r="Z469" i="554"/>
  <c r="AC2" i="557" s="1"/>
  <c r="AC19" i="557" s="1"/>
  <c r="AC36" i="557" s="1"/>
  <c r="Y578" i="552"/>
  <c r="Y2" i="554" s="1"/>
  <c r="Y14" i="554" s="1"/>
  <c r="Y32" i="554" s="1"/>
  <c r="Y50" i="554" s="1"/>
  <c r="Y64" i="554" s="1"/>
  <c r="Y80" i="554" s="1"/>
  <c r="Y97" i="554" s="1"/>
  <c r="Y109" i="554" s="1"/>
  <c r="Y121" i="554" s="1"/>
  <c r="Y135" i="554" s="1"/>
  <c r="Y156" i="554" s="1"/>
  <c r="Y173" i="554" s="1"/>
  <c r="Y187" i="554" s="1"/>
  <c r="Y202" i="554" s="1"/>
  <c r="Y214" i="554" s="1"/>
  <c r="Y226" i="554" s="1"/>
  <c r="Y238" i="554" s="1"/>
  <c r="Y250" i="554" s="1"/>
  <c r="Y270" i="554" s="1"/>
  <c r="Y284" i="554" s="1"/>
  <c r="Y303" i="554" s="1"/>
  <c r="Y315" i="554" s="1"/>
  <c r="Y327" i="554" s="1"/>
  <c r="Y340" i="554" s="1"/>
  <c r="Y354" i="554" s="1"/>
  <c r="Y371" i="554" s="1"/>
  <c r="A350" i="532"/>
  <c r="AO347" i="532"/>
  <c r="I161" i="532"/>
  <c r="I170" i="532"/>
  <c r="AO348" i="532"/>
  <c r="R349" i="532"/>
  <c r="AG386" i="554"/>
  <c r="AG408" i="554" s="1"/>
  <c r="AG420" i="554" s="1"/>
  <c r="AG434" i="554" s="1"/>
  <c r="AG452" i="554" s="1"/>
  <c r="A148" i="551"/>
  <c r="AO145" i="551"/>
  <c r="AL386" i="554"/>
  <c r="AL408" i="554" s="1"/>
  <c r="AL420" i="554" s="1"/>
  <c r="AL434" i="554" s="1"/>
  <c r="AL452" i="554" s="1"/>
  <c r="AL469" i="554"/>
  <c r="AO2" i="557" s="1"/>
  <c r="AO19" i="557" s="1"/>
  <c r="AO36" i="557" s="1"/>
  <c r="AB386" i="554"/>
  <c r="AB408" i="554" s="1"/>
  <c r="AB420" i="554" s="1"/>
  <c r="AB434" i="554" s="1"/>
  <c r="AB452" i="554" s="1"/>
  <c r="AA386" i="554"/>
  <c r="AA408" i="554" s="1"/>
  <c r="AA420" i="554" s="1"/>
  <c r="AA434" i="554" s="1"/>
  <c r="AA452" i="554" s="1"/>
  <c r="AA469" i="554"/>
  <c r="AD2" i="557" s="1"/>
  <c r="AD19" i="557" s="1"/>
  <c r="AD36" i="557" s="1"/>
  <c r="AO215" i="550"/>
  <c r="A218" i="550"/>
  <c r="X578" i="552"/>
  <c r="X2" i="554" s="1"/>
  <c r="X14" i="554" s="1"/>
  <c r="X32" i="554" s="1"/>
  <c r="X50" i="554" s="1"/>
  <c r="X64" i="554" s="1"/>
  <c r="X80" i="554" s="1"/>
  <c r="X97" i="554" s="1"/>
  <c r="X109" i="554" s="1"/>
  <c r="X121" i="554" s="1"/>
  <c r="X135" i="554" s="1"/>
  <c r="X156" i="554" s="1"/>
  <c r="X173" i="554" s="1"/>
  <c r="X187" i="554" s="1"/>
  <c r="X202" i="554" s="1"/>
  <c r="X214" i="554" s="1"/>
  <c r="X226" i="554" s="1"/>
  <c r="X238" i="554" s="1"/>
  <c r="X250" i="554" s="1"/>
  <c r="X270" i="554" s="1"/>
  <c r="X284" i="554" s="1"/>
  <c r="X303" i="554" s="1"/>
  <c r="X315" i="554" s="1"/>
  <c r="X327" i="554" s="1"/>
  <c r="X340" i="554" s="1"/>
  <c r="X354" i="554" s="1"/>
  <c r="X371" i="554" s="1"/>
  <c r="AE578" i="552"/>
  <c r="AE2" i="554" s="1"/>
  <c r="AE14" i="554" s="1"/>
  <c r="AE32" i="554" s="1"/>
  <c r="AE50" i="554" s="1"/>
  <c r="AE64" i="554" s="1"/>
  <c r="AE80" i="554" s="1"/>
  <c r="AE97" i="554" s="1"/>
  <c r="AE109" i="554" s="1"/>
  <c r="AE121" i="554" s="1"/>
  <c r="AE135" i="554" s="1"/>
  <c r="AE156" i="554" s="1"/>
  <c r="AE173" i="554" s="1"/>
  <c r="AE187" i="554" s="1"/>
  <c r="AE202" i="554" s="1"/>
  <c r="AE214" i="554" s="1"/>
  <c r="AE226" i="554" s="1"/>
  <c r="AE238" i="554" s="1"/>
  <c r="AE250" i="554" s="1"/>
  <c r="AE270" i="554" s="1"/>
  <c r="AE284" i="554" s="1"/>
  <c r="AE303" i="554" s="1"/>
  <c r="AE315" i="554" s="1"/>
  <c r="AE327" i="554" s="1"/>
  <c r="AE340" i="554" s="1"/>
  <c r="AE354" i="554" s="1"/>
  <c r="AE371" i="554" s="1"/>
  <c r="AH469" i="554"/>
  <c r="AK2" i="557" s="1"/>
  <c r="AK19" i="557" s="1"/>
  <c r="AK36" i="557" s="1"/>
  <c r="K97" i="549"/>
  <c r="AM482" i="552"/>
  <c r="AM503" i="552" s="1"/>
  <c r="AM523" i="552" s="1"/>
  <c r="AM539" i="552" s="1"/>
  <c r="AM559" i="552" s="1"/>
  <c r="S240" i="574" l="1"/>
  <c r="R223" i="574"/>
  <c r="AR223" i="574"/>
  <c r="C223" i="574" s="1"/>
  <c r="D240" i="574"/>
  <c r="C222" i="574"/>
  <c r="M257" i="574"/>
  <c r="L240" i="574"/>
  <c r="T223" i="574"/>
  <c r="AR222" i="574"/>
  <c r="P240" i="574"/>
  <c r="O223" i="574"/>
  <c r="P240" i="573"/>
  <c r="O223" i="573"/>
  <c r="M257" i="573"/>
  <c r="L240" i="573"/>
  <c r="S240" i="573"/>
  <c r="R223" i="573"/>
  <c r="T240" i="573"/>
  <c r="AR239" i="573"/>
  <c r="C222" i="573"/>
  <c r="AR223" i="573"/>
  <c r="C223" i="573" s="1"/>
  <c r="D240" i="573"/>
  <c r="P257" i="572"/>
  <c r="O240" i="572"/>
  <c r="D257" i="572"/>
  <c r="AR240" i="572"/>
  <c r="C240" i="572" s="1"/>
  <c r="S257" i="572"/>
  <c r="R240" i="572"/>
  <c r="M240" i="572"/>
  <c r="L223" i="572"/>
  <c r="AR223" i="572"/>
  <c r="C223" i="572" s="1"/>
  <c r="T257" i="572"/>
  <c r="AR256" i="572"/>
  <c r="S240" i="571"/>
  <c r="R223" i="571"/>
  <c r="T223" i="571"/>
  <c r="AR222" i="571"/>
  <c r="AR223" i="571"/>
  <c r="C223" i="571" s="1"/>
  <c r="D240" i="571"/>
  <c r="C222" i="571"/>
  <c r="P240" i="571"/>
  <c r="O223" i="571"/>
  <c r="M240" i="571"/>
  <c r="L223" i="571"/>
  <c r="P257" i="570"/>
  <c r="O240" i="570"/>
  <c r="T257" i="570"/>
  <c r="AR256" i="570"/>
  <c r="S257" i="570"/>
  <c r="R240" i="570"/>
  <c r="D257" i="570"/>
  <c r="M240" i="570"/>
  <c r="C239" i="570" s="1"/>
  <c r="L223" i="570"/>
  <c r="AR239" i="569"/>
  <c r="T240" i="569"/>
  <c r="C222" i="569"/>
  <c r="AR223" i="569"/>
  <c r="C223" i="569" s="1"/>
  <c r="D240" i="569"/>
  <c r="M240" i="569"/>
  <c r="L223" i="569"/>
  <c r="S240" i="569"/>
  <c r="R223" i="569"/>
  <c r="P240" i="569"/>
  <c r="O223" i="569"/>
  <c r="M240" i="568"/>
  <c r="L223" i="568"/>
  <c r="S240" i="568"/>
  <c r="R223" i="568"/>
  <c r="AR222" i="568"/>
  <c r="T223" i="568"/>
  <c r="C222" i="568"/>
  <c r="AR223" i="568"/>
  <c r="C223" i="568" s="1"/>
  <c r="D240" i="568"/>
  <c r="AR206" i="568"/>
  <c r="C206" i="568" s="1"/>
  <c r="P240" i="568"/>
  <c r="O223" i="568"/>
  <c r="D223" i="566"/>
  <c r="T240" i="566"/>
  <c r="AR239" i="566"/>
  <c r="D206" i="565"/>
  <c r="T223" i="565"/>
  <c r="AR222" i="565"/>
  <c r="AK53" i="557"/>
  <c r="AK70" i="557" s="1"/>
  <c r="AK87" i="557" s="1"/>
  <c r="AK104" i="557" s="1"/>
  <c r="AK121" i="557" s="1"/>
  <c r="AK138" i="557" s="1"/>
  <c r="AK155" i="557" s="1"/>
  <c r="AK172" i="557" s="1"/>
  <c r="AK189" i="557" s="1"/>
  <c r="AK206" i="557" s="1"/>
  <c r="AK223" i="557" s="1"/>
  <c r="AK240" i="557" s="1"/>
  <c r="AK257" i="557" s="1"/>
  <c r="AK274" i="557" s="1"/>
  <c r="AK291" i="557" s="1"/>
  <c r="AK308" i="557" s="1"/>
  <c r="AK325" i="557" s="1"/>
  <c r="AK342" i="557" s="1"/>
  <c r="AK359" i="557" s="1"/>
  <c r="AK376" i="557" s="1"/>
  <c r="AK393" i="557" s="1"/>
  <c r="AK410" i="557" s="1"/>
  <c r="AK427" i="557" s="1"/>
  <c r="AK444" i="557" s="1"/>
  <c r="AK461" i="557" s="1"/>
  <c r="AK478" i="557" s="1"/>
  <c r="AK495" i="557" s="1"/>
  <c r="AK512" i="557" s="1"/>
  <c r="AD53" i="557"/>
  <c r="AD70" i="557" s="1"/>
  <c r="AD87" i="557" s="1"/>
  <c r="AD104" i="557" s="1"/>
  <c r="AD121" i="557" s="1"/>
  <c r="AD138" i="557" s="1"/>
  <c r="AD155" i="557" s="1"/>
  <c r="AD172" i="557" s="1"/>
  <c r="AD189" i="557" s="1"/>
  <c r="AD206" i="557" s="1"/>
  <c r="AD223" i="557" s="1"/>
  <c r="AD240" i="557" s="1"/>
  <c r="AD257" i="557" s="1"/>
  <c r="AD274" i="557" s="1"/>
  <c r="AD291" i="557" s="1"/>
  <c r="AD308" i="557" s="1"/>
  <c r="AD325" i="557" s="1"/>
  <c r="AD342" i="557" s="1"/>
  <c r="AD359" i="557" s="1"/>
  <c r="AD376" i="557" s="1"/>
  <c r="AD393" i="557" s="1"/>
  <c r="AD410" i="557" s="1"/>
  <c r="AD427" i="557" s="1"/>
  <c r="AD444" i="557" s="1"/>
  <c r="AD461" i="557" s="1"/>
  <c r="AD478" i="557" s="1"/>
  <c r="AD495" i="557" s="1"/>
  <c r="AD512" i="557" s="1"/>
  <c r="AO53" i="557"/>
  <c r="AO70" i="557" s="1"/>
  <c r="AO87" i="557" s="1"/>
  <c r="AO104" i="557" s="1"/>
  <c r="AO121" i="557" s="1"/>
  <c r="AO138" i="557" s="1"/>
  <c r="AO155" i="557" s="1"/>
  <c r="AO172" i="557" s="1"/>
  <c r="AO189" i="557" s="1"/>
  <c r="AO206" i="557" s="1"/>
  <c r="AO223" i="557" s="1"/>
  <c r="AO240" i="557" s="1"/>
  <c r="AO257" i="557" s="1"/>
  <c r="AO274" i="557" s="1"/>
  <c r="AO291" i="557" s="1"/>
  <c r="AO308" i="557" s="1"/>
  <c r="AO325" i="557" s="1"/>
  <c r="AO342" i="557" s="1"/>
  <c r="AO359" i="557" s="1"/>
  <c r="AO376" i="557" s="1"/>
  <c r="AO393" i="557" s="1"/>
  <c r="AO410" i="557" s="1"/>
  <c r="AO427" i="557" s="1"/>
  <c r="AO444" i="557" s="1"/>
  <c r="AO461" i="557" s="1"/>
  <c r="AO478" i="557" s="1"/>
  <c r="AO495" i="557" s="1"/>
  <c r="AO512" i="557" s="1"/>
  <c r="AI53" i="557"/>
  <c r="AI70" i="557" s="1"/>
  <c r="AI87" i="557" s="1"/>
  <c r="AI104" i="557" s="1"/>
  <c r="AI121" i="557" s="1"/>
  <c r="AI138" i="557" s="1"/>
  <c r="AI155" i="557" s="1"/>
  <c r="AI172" i="557" s="1"/>
  <c r="AI189" i="557" s="1"/>
  <c r="AI206" i="557" s="1"/>
  <c r="AI223" i="557" s="1"/>
  <c r="AI240" i="557" s="1"/>
  <c r="AI257" i="557" s="1"/>
  <c r="AI274" i="557" s="1"/>
  <c r="AI291" i="557" s="1"/>
  <c r="AI308" i="557" s="1"/>
  <c r="AI325" i="557" s="1"/>
  <c r="AI342" i="557" s="1"/>
  <c r="AI359" i="557" s="1"/>
  <c r="AI376" i="557" s="1"/>
  <c r="AI393" i="557" s="1"/>
  <c r="AI410" i="557" s="1"/>
  <c r="AI427" i="557" s="1"/>
  <c r="AI444" i="557" s="1"/>
  <c r="AI461" i="557" s="1"/>
  <c r="AI478" i="557" s="1"/>
  <c r="AI495" i="557" s="1"/>
  <c r="AI512" i="557" s="1"/>
  <c r="AC53" i="557"/>
  <c r="AC70" i="557" s="1"/>
  <c r="AC87" i="557" s="1"/>
  <c r="AC104" i="557" s="1"/>
  <c r="AC121" i="557" s="1"/>
  <c r="AC138" i="557" s="1"/>
  <c r="AC155" i="557" s="1"/>
  <c r="AC172" i="557" s="1"/>
  <c r="AC189" i="557" s="1"/>
  <c r="AC206" i="557" s="1"/>
  <c r="AC223" i="557" s="1"/>
  <c r="AC240" i="557" s="1"/>
  <c r="AC257" i="557" s="1"/>
  <c r="AC274" i="557" s="1"/>
  <c r="AC291" i="557" s="1"/>
  <c r="AC308" i="557" s="1"/>
  <c r="AC325" i="557" s="1"/>
  <c r="AC342" i="557" s="1"/>
  <c r="AC359" i="557" s="1"/>
  <c r="AC376" i="557" s="1"/>
  <c r="AC393" i="557" s="1"/>
  <c r="AC410" i="557" s="1"/>
  <c r="AC427" i="557" s="1"/>
  <c r="AC444" i="557" s="1"/>
  <c r="AC461" i="557" s="1"/>
  <c r="AC478" i="557" s="1"/>
  <c r="AC495" i="557" s="1"/>
  <c r="AC512" i="557" s="1"/>
  <c r="AF53" i="557"/>
  <c r="AF70" i="557" s="1"/>
  <c r="AF87" i="557" s="1"/>
  <c r="AF104" i="557" s="1"/>
  <c r="AF121" i="557" s="1"/>
  <c r="AF138" i="557" s="1"/>
  <c r="AF155" i="557" s="1"/>
  <c r="AF172" i="557" s="1"/>
  <c r="AF189" i="557" s="1"/>
  <c r="AF206" i="557" s="1"/>
  <c r="AF223" i="557" s="1"/>
  <c r="AF240" i="557" s="1"/>
  <c r="AF257" i="557" s="1"/>
  <c r="AF274" i="557" s="1"/>
  <c r="AF291" i="557" s="1"/>
  <c r="AF308" i="557" s="1"/>
  <c r="AF325" i="557" s="1"/>
  <c r="AF342" i="557" s="1"/>
  <c r="AF359" i="557" s="1"/>
  <c r="AF376" i="557" s="1"/>
  <c r="AF393" i="557" s="1"/>
  <c r="AF410" i="557" s="1"/>
  <c r="AF427" i="557" s="1"/>
  <c r="AF444" i="557" s="1"/>
  <c r="AF461" i="557" s="1"/>
  <c r="AF478" i="557" s="1"/>
  <c r="AF495" i="557" s="1"/>
  <c r="AF512" i="557" s="1"/>
  <c r="S172" i="557"/>
  <c r="R155" i="557"/>
  <c r="S135" i="560"/>
  <c r="R121" i="560"/>
  <c r="A174" i="560"/>
  <c r="AR171" i="560"/>
  <c r="Y386" i="554"/>
  <c r="Y408" i="554" s="1"/>
  <c r="Y420" i="554" s="1"/>
  <c r="Y434" i="554" s="1"/>
  <c r="Y452" i="554" s="1"/>
  <c r="D365" i="532"/>
  <c r="A194" i="552"/>
  <c r="AO191" i="552"/>
  <c r="AO199" i="549"/>
  <c r="A202" i="549"/>
  <c r="Q38" i="549"/>
  <c r="P199" i="532"/>
  <c r="O170" i="532"/>
  <c r="P196" i="532" s="1"/>
  <c r="E302" i="532"/>
  <c r="AN386" i="554"/>
  <c r="AN408" i="554" s="1"/>
  <c r="AN420" i="554" s="1"/>
  <c r="AN434" i="554" s="1"/>
  <c r="AN452" i="554" s="1"/>
  <c r="AB469" i="554"/>
  <c r="AE2" i="557" s="1"/>
  <c r="AE19" i="557" s="1"/>
  <c r="AE36" i="557" s="1"/>
  <c r="AO163" i="551"/>
  <c r="A166" i="551"/>
  <c r="AG469" i="554"/>
  <c r="AJ2" i="557" s="1"/>
  <c r="AJ19" i="557" s="1"/>
  <c r="AJ36" i="557" s="1"/>
  <c r="R365" i="532"/>
  <c r="AO364" i="532"/>
  <c r="AD386" i="554"/>
  <c r="AD408" i="554" s="1"/>
  <c r="AD420" i="554" s="1"/>
  <c r="AD434" i="554" s="1"/>
  <c r="AD452" i="554" s="1"/>
  <c r="W578" i="552"/>
  <c r="W2" i="554" s="1"/>
  <c r="W14" i="554" s="1"/>
  <c r="W32" i="554" s="1"/>
  <c r="W50" i="554" s="1"/>
  <c r="W64" i="554" s="1"/>
  <c r="W80" i="554" s="1"/>
  <c r="W97" i="554" s="1"/>
  <c r="W109" i="554" s="1"/>
  <c r="W121" i="554" s="1"/>
  <c r="W135" i="554" s="1"/>
  <c r="W156" i="554" s="1"/>
  <c r="W173" i="554" s="1"/>
  <c r="W187" i="554" s="1"/>
  <c r="W202" i="554" s="1"/>
  <c r="W214" i="554" s="1"/>
  <c r="W226" i="554" s="1"/>
  <c r="W238" i="554" s="1"/>
  <c r="W250" i="554" s="1"/>
  <c r="W270" i="554" s="1"/>
  <c r="W284" i="554" s="1"/>
  <c r="W303" i="554" s="1"/>
  <c r="W315" i="554" s="1"/>
  <c r="W327" i="554" s="1"/>
  <c r="W340" i="554" s="1"/>
  <c r="W354" i="554" s="1"/>
  <c r="W371" i="554" s="1"/>
  <c r="N423" i="532"/>
  <c r="AE386" i="554"/>
  <c r="AE408" i="554" s="1"/>
  <c r="AE420" i="554" s="1"/>
  <c r="AE434" i="554" s="1"/>
  <c r="AE452" i="554" s="1"/>
  <c r="AO226" i="550"/>
  <c r="A229" i="550"/>
  <c r="I185" i="532"/>
  <c r="K109" i="549"/>
  <c r="AM578" i="552"/>
  <c r="AM2" i="554" s="1"/>
  <c r="AM14" i="554" s="1"/>
  <c r="AM32" i="554" s="1"/>
  <c r="AM50" i="554" s="1"/>
  <c r="AM64" i="554" s="1"/>
  <c r="AM80" i="554" s="1"/>
  <c r="AM97" i="554" s="1"/>
  <c r="AM109" i="554" s="1"/>
  <c r="AM121" i="554" s="1"/>
  <c r="AM135" i="554" s="1"/>
  <c r="AM156" i="554" s="1"/>
  <c r="AM173" i="554" s="1"/>
  <c r="AM187" i="554" s="1"/>
  <c r="AM202" i="554" s="1"/>
  <c r="AM214" i="554" s="1"/>
  <c r="AM226" i="554" s="1"/>
  <c r="AM238" i="554" s="1"/>
  <c r="AM250" i="554" s="1"/>
  <c r="AM270" i="554" s="1"/>
  <c r="AM284" i="554" s="1"/>
  <c r="AM303" i="554" s="1"/>
  <c r="AM315" i="554" s="1"/>
  <c r="AM327" i="554" s="1"/>
  <c r="AM340" i="554" s="1"/>
  <c r="AM354" i="554" s="1"/>
  <c r="AM371" i="554" s="1"/>
  <c r="X386" i="554"/>
  <c r="X408" i="554" s="1"/>
  <c r="X420" i="554" s="1"/>
  <c r="X434" i="554" s="1"/>
  <c r="X452" i="554" s="1"/>
  <c r="AO363" i="532"/>
  <c r="A366" i="532"/>
  <c r="A385" i="532" s="1"/>
  <c r="H170" i="532"/>
  <c r="AO325" i="554"/>
  <c r="A328" i="554"/>
  <c r="AN529" i="557"/>
  <c r="M123" i="532"/>
  <c r="AJ578" i="552"/>
  <c r="AJ2" i="554" s="1"/>
  <c r="AJ14" i="554" s="1"/>
  <c r="AJ32" i="554" s="1"/>
  <c r="AJ50" i="554" s="1"/>
  <c r="AJ64" i="554" s="1"/>
  <c r="AJ80" i="554" s="1"/>
  <c r="AJ97" i="554" s="1"/>
  <c r="AJ109" i="554" s="1"/>
  <c r="AJ121" i="554" s="1"/>
  <c r="AJ135" i="554" s="1"/>
  <c r="AJ156" i="554" s="1"/>
  <c r="AJ173" i="554" s="1"/>
  <c r="AJ187" i="554" s="1"/>
  <c r="AJ202" i="554" s="1"/>
  <c r="AJ214" i="554" s="1"/>
  <c r="AJ226" i="554" s="1"/>
  <c r="AJ238" i="554" s="1"/>
  <c r="AJ250" i="554" s="1"/>
  <c r="AJ270" i="554" s="1"/>
  <c r="AJ284" i="554" s="1"/>
  <c r="AJ303" i="554" s="1"/>
  <c r="AJ315" i="554" s="1"/>
  <c r="AJ327" i="554" s="1"/>
  <c r="AJ340" i="554" s="1"/>
  <c r="AJ354" i="554" s="1"/>
  <c r="AJ371" i="554" s="1"/>
  <c r="T240" i="574" l="1"/>
  <c r="AR240" i="574" s="1"/>
  <c r="C240" i="574" s="1"/>
  <c r="AR239" i="574"/>
  <c r="C239" i="574"/>
  <c r="D257" i="574"/>
  <c r="P257" i="574"/>
  <c r="O240" i="574"/>
  <c r="M274" i="574"/>
  <c r="L257" i="574"/>
  <c r="S257" i="574"/>
  <c r="R240" i="574"/>
  <c r="S257" i="573"/>
  <c r="R240" i="573"/>
  <c r="AR240" i="573"/>
  <c r="C240" i="573" s="1"/>
  <c r="D257" i="573"/>
  <c r="C239" i="573"/>
  <c r="M274" i="573"/>
  <c r="L257" i="573"/>
  <c r="T257" i="573"/>
  <c r="AR256" i="573"/>
  <c r="P257" i="573"/>
  <c r="O240" i="573"/>
  <c r="M257" i="572"/>
  <c r="L240" i="572"/>
  <c r="C239" i="572"/>
  <c r="T274" i="572"/>
  <c r="AR273" i="572"/>
  <c r="D274" i="572"/>
  <c r="S274" i="572"/>
  <c r="R257" i="572"/>
  <c r="P274" i="572"/>
  <c r="O257" i="572"/>
  <c r="P257" i="571"/>
  <c r="O240" i="571"/>
  <c r="T240" i="571"/>
  <c r="AR240" i="571" s="1"/>
  <c r="C240" i="571" s="1"/>
  <c r="AR239" i="571"/>
  <c r="M257" i="571"/>
  <c r="L240" i="571"/>
  <c r="C239" i="571"/>
  <c r="D257" i="571"/>
  <c r="S257" i="571"/>
  <c r="R240" i="571"/>
  <c r="AR240" i="570"/>
  <c r="C240" i="570" s="1"/>
  <c r="P274" i="570"/>
  <c r="O257" i="570"/>
  <c r="D274" i="570"/>
  <c r="AR273" i="570"/>
  <c r="T274" i="570"/>
  <c r="M257" i="570"/>
  <c r="C256" i="570" s="1"/>
  <c r="L240" i="570"/>
  <c r="S274" i="570"/>
  <c r="R257" i="570"/>
  <c r="D257" i="569"/>
  <c r="C239" i="569"/>
  <c r="AR240" i="569"/>
  <c r="C240" i="569" s="1"/>
  <c r="S257" i="569"/>
  <c r="R240" i="569"/>
  <c r="P257" i="569"/>
  <c r="O240" i="569"/>
  <c r="M257" i="569"/>
  <c r="L240" i="569"/>
  <c r="T257" i="569"/>
  <c r="AR256" i="569"/>
  <c r="D257" i="568"/>
  <c r="C239" i="568"/>
  <c r="M257" i="568"/>
  <c r="L240" i="568"/>
  <c r="P257" i="568"/>
  <c r="O240" i="568"/>
  <c r="S257" i="568"/>
  <c r="R240" i="568"/>
  <c r="AR239" i="568"/>
  <c r="T240" i="568"/>
  <c r="AR240" i="568" s="1"/>
  <c r="C240" i="568" s="1"/>
  <c r="D240" i="566"/>
  <c r="T257" i="566"/>
  <c r="AR256" i="566"/>
  <c r="T240" i="565"/>
  <c r="AR239" i="565"/>
  <c r="D223" i="565"/>
  <c r="AE53" i="557"/>
  <c r="AE70" i="557" s="1"/>
  <c r="AE87" i="557" s="1"/>
  <c r="AE104" i="557" s="1"/>
  <c r="AE121" i="557" s="1"/>
  <c r="AE138" i="557" s="1"/>
  <c r="AE155" i="557" s="1"/>
  <c r="AE172" i="557" s="1"/>
  <c r="AE189" i="557" s="1"/>
  <c r="AE206" i="557" s="1"/>
  <c r="AE223" i="557" s="1"/>
  <c r="AE240" i="557" s="1"/>
  <c r="AE257" i="557" s="1"/>
  <c r="AE274" i="557" s="1"/>
  <c r="AE291" i="557" s="1"/>
  <c r="AE308" i="557" s="1"/>
  <c r="AE325" i="557" s="1"/>
  <c r="AE342" i="557" s="1"/>
  <c r="AE359" i="557" s="1"/>
  <c r="AE376" i="557" s="1"/>
  <c r="AE393" i="557" s="1"/>
  <c r="AE410" i="557" s="1"/>
  <c r="AE427" i="557" s="1"/>
  <c r="AE444" i="557" s="1"/>
  <c r="AE461" i="557" s="1"/>
  <c r="AE478" i="557" s="1"/>
  <c r="AE495" i="557" s="1"/>
  <c r="AE512" i="557" s="1"/>
  <c r="AJ53" i="557"/>
  <c r="AJ70" i="557" s="1"/>
  <c r="AJ87" i="557" s="1"/>
  <c r="AJ104" i="557" s="1"/>
  <c r="AJ121" i="557" s="1"/>
  <c r="AJ138" i="557" s="1"/>
  <c r="AJ155" i="557" s="1"/>
  <c r="AJ172" i="557" s="1"/>
  <c r="AJ189" i="557" s="1"/>
  <c r="AJ206" i="557" s="1"/>
  <c r="AJ223" i="557" s="1"/>
  <c r="AJ240" i="557" s="1"/>
  <c r="AJ257" i="557" s="1"/>
  <c r="AJ274" i="557" s="1"/>
  <c r="AJ291" i="557" s="1"/>
  <c r="AJ308" i="557" s="1"/>
  <c r="AJ325" i="557" s="1"/>
  <c r="AJ342" i="557" s="1"/>
  <c r="AJ359" i="557" s="1"/>
  <c r="AJ376" i="557" s="1"/>
  <c r="AJ393" i="557" s="1"/>
  <c r="AJ410" i="557" s="1"/>
  <c r="AJ427" i="557" s="1"/>
  <c r="AJ444" i="557" s="1"/>
  <c r="AJ461" i="557" s="1"/>
  <c r="AJ478" i="557" s="1"/>
  <c r="AJ495" i="557" s="1"/>
  <c r="AJ512" i="557" s="1"/>
  <c r="S189" i="557"/>
  <c r="R172" i="557"/>
  <c r="AN2" i="560"/>
  <c r="AN14" i="560" s="1"/>
  <c r="AN30" i="560" s="1"/>
  <c r="AN48" i="560" s="1"/>
  <c r="AN62" i="560" s="1"/>
  <c r="AN78" i="560" s="1"/>
  <c r="AN97" i="560" s="1"/>
  <c r="AN109" i="560" s="1"/>
  <c r="AN121" i="560" s="1"/>
  <c r="AN135" i="560" s="1"/>
  <c r="AN157" i="560" s="1"/>
  <c r="AN173" i="560" s="1"/>
  <c r="AN187" i="560" s="1"/>
  <c r="AN201" i="560" s="1"/>
  <c r="AN214" i="560" s="1"/>
  <c r="AN226" i="560" s="1"/>
  <c r="AN238" i="560" s="1"/>
  <c r="AN252" i="560" s="1"/>
  <c r="AN272" i="560" s="1"/>
  <c r="AN286" i="560" s="1"/>
  <c r="AN305" i="560" s="1"/>
  <c r="AN317" i="560" s="1"/>
  <c r="AN329" i="560" s="1"/>
  <c r="AN343" i="560" s="1"/>
  <c r="AN359" i="560" s="1"/>
  <c r="AN374" i="560" s="1"/>
  <c r="S157" i="560"/>
  <c r="R135" i="560"/>
  <c r="A188" i="560"/>
  <c r="AR185" i="560"/>
  <c r="AI529" i="557"/>
  <c r="AF529" i="557"/>
  <c r="AO529" i="557"/>
  <c r="L123" i="532"/>
  <c r="M143" i="532" s="1"/>
  <c r="M146" i="532"/>
  <c r="AO123" i="532"/>
  <c r="C123" i="532" s="1"/>
  <c r="C122" i="532"/>
  <c r="A341" i="554"/>
  <c r="AO338" i="554"/>
  <c r="H199" i="532"/>
  <c r="A239" i="550"/>
  <c r="AO236" i="550"/>
  <c r="X469" i="554"/>
  <c r="AA2" i="557" s="1"/>
  <c r="AA19" i="557" s="1"/>
  <c r="AA36" i="557" s="1"/>
  <c r="I199" i="532"/>
  <c r="I218" i="532" s="1"/>
  <c r="AE469" i="554"/>
  <c r="AH2" i="557" s="1"/>
  <c r="AH19" i="557" s="1"/>
  <c r="AH36" i="557" s="1"/>
  <c r="AD469" i="554"/>
  <c r="AG2" i="557" s="1"/>
  <c r="AG19" i="557" s="1"/>
  <c r="AG36" i="557" s="1"/>
  <c r="AD529" i="557"/>
  <c r="P218" i="532"/>
  <c r="O199" i="532"/>
  <c r="P215" i="532" s="1"/>
  <c r="W386" i="554"/>
  <c r="W408" i="554" s="1"/>
  <c r="W420" i="554" s="1"/>
  <c r="W434" i="554" s="1"/>
  <c r="W452" i="554" s="1"/>
  <c r="W469" i="554"/>
  <c r="Z2" i="557" s="1"/>
  <c r="Z19" i="557" s="1"/>
  <c r="Z36" i="557" s="1"/>
  <c r="AJ386" i="554"/>
  <c r="AJ408" i="554" s="1"/>
  <c r="AJ420" i="554" s="1"/>
  <c r="AJ434" i="554" s="1"/>
  <c r="AJ452" i="554" s="1"/>
  <c r="AO401" i="532"/>
  <c r="A404" i="532"/>
  <c r="AK529" i="557"/>
  <c r="N440" i="532"/>
  <c r="Q57" i="549"/>
  <c r="Y469" i="554"/>
  <c r="AB2" i="557" s="1"/>
  <c r="AB19" i="557" s="1"/>
  <c r="AB36" i="557" s="1"/>
  <c r="AN469" i="554"/>
  <c r="AQ2" i="557" s="1"/>
  <c r="AQ19" i="557" s="1"/>
  <c r="AQ36" i="557" s="1"/>
  <c r="E328" i="532"/>
  <c r="A207" i="552"/>
  <c r="AO204" i="552"/>
  <c r="AM386" i="554"/>
  <c r="AM408" i="554" s="1"/>
  <c r="AM420" i="554" s="1"/>
  <c r="AM434" i="554" s="1"/>
  <c r="AM452" i="554" s="1"/>
  <c r="K122" i="549"/>
  <c r="R384" i="532"/>
  <c r="AO383" i="532"/>
  <c r="A180" i="551"/>
  <c r="AO177" i="551"/>
  <c r="AO213" i="549"/>
  <c r="A216" i="549"/>
  <c r="AC529" i="557"/>
  <c r="D384" i="532"/>
  <c r="M291" i="574" l="1"/>
  <c r="L274" i="574"/>
  <c r="S274" i="574"/>
  <c r="R257" i="574"/>
  <c r="P274" i="574"/>
  <c r="O257" i="574"/>
  <c r="C256" i="574"/>
  <c r="D274" i="574"/>
  <c r="AR256" i="574"/>
  <c r="T257" i="574"/>
  <c r="AR257" i="574" s="1"/>
  <c r="C257" i="574" s="1"/>
  <c r="S274" i="573"/>
  <c r="R257" i="573"/>
  <c r="AR273" i="573"/>
  <c r="T274" i="573"/>
  <c r="C256" i="573"/>
  <c r="AR257" i="573"/>
  <c r="C257" i="573" s="1"/>
  <c r="D274" i="573"/>
  <c r="P274" i="573"/>
  <c r="O257" i="573"/>
  <c r="M291" i="573"/>
  <c r="L274" i="573"/>
  <c r="S291" i="572"/>
  <c r="R274" i="572"/>
  <c r="M274" i="572"/>
  <c r="L257" i="572"/>
  <c r="C256" i="572"/>
  <c r="AR290" i="572"/>
  <c r="T291" i="572"/>
  <c r="P291" i="572"/>
  <c r="O274" i="572"/>
  <c r="D291" i="572"/>
  <c r="AR257" i="572"/>
  <c r="C257" i="572" s="1"/>
  <c r="C256" i="571"/>
  <c r="D274" i="571"/>
  <c r="P274" i="571"/>
  <c r="O257" i="571"/>
  <c r="AR256" i="571"/>
  <c r="T257" i="571"/>
  <c r="S274" i="571"/>
  <c r="R257" i="571"/>
  <c r="M274" i="571"/>
  <c r="L257" i="571"/>
  <c r="P291" i="570"/>
  <c r="O274" i="570"/>
  <c r="M274" i="570"/>
  <c r="L257" i="570"/>
  <c r="AR257" i="570"/>
  <c r="C257" i="570" s="1"/>
  <c r="AR290" i="570"/>
  <c r="T291" i="570"/>
  <c r="S291" i="570"/>
  <c r="R274" i="570"/>
  <c r="AR274" i="570"/>
  <c r="C274" i="570" s="1"/>
  <c r="D291" i="570"/>
  <c r="AR257" i="569"/>
  <c r="C257" i="569" s="1"/>
  <c r="D274" i="569"/>
  <c r="C256" i="569"/>
  <c r="M274" i="569"/>
  <c r="L257" i="569"/>
  <c r="S274" i="569"/>
  <c r="R257" i="569"/>
  <c r="AR273" i="569"/>
  <c r="T274" i="569"/>
  <c r="O257" i="569"/>
  <c r="P274" i="569"/>
  <c r="D274" i="568"/>
  <c r="C256" i="568"/>
  <c r="S274" i="568"/>
  <c r="R257" i="568"/>
  <c r="M274" i="568"/>
  <c r="L257" i="568"/>
  <c r="T257" i="568"/>
  <c r="AR256" i="568"/>
  <c r="P274" i="568"/>
  <c r="O257" i="568"/>
  <c r="T274" i="566"/>
  <c r="AR273" i="566"/>
  <c r="D257" i="566"/>
  <c r="T257" i="565"/>
  <c r="AR256" i="565"/>
  <c r="D240" i="565"/>
  <c r="AB53" i="557"/>
  <c r="AB70" i="557" s="1"/>
  <c r="AB87" i="557" s="1"/>
  <c r="AB104" i="557" s="1"/>
  <c r="AB121" i="557" s="1"/>
  <c r="AB138" i="557" s="1"/>
  <c r="AB155" i="557" s="1"/>
  <c r="AB172" i="557" s="1"/>
  <c r="AB189" i="557" s="1"/>
  <c r="AB206" i="557" s="1"/>
  <c r="AB223" i="557" s="1"/>
  <c r="AB240" i="557" s="1"/>
  <c r="AB257" i="557" s="1"/>
  <c r="AB274" i="557" s="1"/>
  <c r="AB291" i="557" s="1"/>
  <c r="AB308" i="557" s="1"/>
  <c r="AB325" i="557" s="1"/>
  <c r="AB342" i="557" s="1"/>
  <c r="AB359" i="557" s="1"/>
  <c r="AB376" i="557" s="1"/>
  <c r="AB393" i="557" s="1"/>
  <c r="AB410" i="557" s="1"/>
  <c r="AB427" i="557" s="1"/>
  <c r="AB444" i="557" s="1"/>
  <c r="AB461" i="557" s="1"/>
  <c r="AB478" i="557" s="1"/>
  <c r="AB495" i="557" s="1"/>
  <c r="AB512" i="557" s="1"/>
  <c r="AA53" i="557"/>
  <c r="AA70" i="557" s="1"/>
  <c r="AA87" i="557" s="1"/>
  <c r="AA104" i="557" s="1"/>
  <c r="AA121" i="557" s="1"/>
  <c r="AA138" i="557" s="1"/>
  <c r="AA155" i="557" s="1"/>
  <c r="AA172" i="557" s="1"/>
  <c r="AA189" i="557" s="1"/>
  <c r="AA206" i="557" s="1"/>
  <c r="AA223" i="557" s="1"/>
  <c r="AA240" i="557" s="1"/>
  <c r="AA257" i="557" s="1"/>
  <c r="AA274" i="557" s="1"/>
  <c r="AA291" i="557" s="1"/>
  <c r="AA308" i="557" s="1"/>
  <c r="AA325" i="557" s="1"/>
  <c r="AA342" i="557" s="1"/>
  <c r="AA359" i="557" s="1"/>
  <c r="AA376" i="557" s="1"/>
  <c r="AA393" i="557" s="1"/>
  <c r="AA410" i="557" s="1"/>
  <c r="AA427" i="557" s="1"/>
  <c r="AA444" i="557" s="1"/>
  <c r="AA461" i="557" s="1"/>
  <c r="AA478" i="557" s="1"/>
  <c r="AA495" i="557" s="1"/>
  <c r="AA512" i="557" s="1"/>
  <c r="AG53" i="557"/>
  <c r="AG70" i="557" s="1"/>
  <c r="AG87" i="557" s="1"/>
  <c r="AG104" i="557" s="1"/>
  <c r="AG121" i="557" s="1"/>
  <c r="AG138" i="557" s="1"/>
  <c r="AG155" i="557" s="1"/>
  <c r="AG172" i="557" s="1"/>
  <c r="AG189" i="557" s="1"/>
  <c r="AG206" i="557" s="1"/>
  <c r="AG223" i="557" s="1"/>
  <c r="AG240" i="557" s="1"/>
  <c r="AG257" i="557" s="1"/>
  <c r="AG274" i="557" s="1"/>
  <c r="AG291" i="557" s="1"/>
  <c r="AG308" i="557" s="1"/>
  <c r="AG325" i="557" s="1"/>
  <c r="AG342" i="557" s="1"/>
  <c r="AG359" i="557" s="1"/>
  <c r="AG376" i="557" s="1"/>
  <c r="AG393" i="557" s="1"/>
  <c r="AG410" i="557" s="1"/>
  <c r="AG427" i="557" s="1"/>
  <c r="AG444" i="557" s="1"/>
  <c r="AG461" i="557" s="1"/>
  <c r="AG478" i="557" s="1"/>
  <c r="AG495" i="557" s="1"/>
  <c r="AG512" i="557" s="1"/>
  <c r="Z53" i="557"/>
  <c r="Z70" i="557" s="1"/>
  <c r="Z87" i="557" s="1"/>
  <c r="Z104" i="557" s="1"/>
  <c r="Z121" i="557" s="1"/>
  <c r="Z138" i="557" s="1"/>
  <c r="Z155" i="557" s="1"/>
  <c r="Z172" i="557" s="1"/>
  <c r="Z189" i="557" s="1"/>
  <c r="Z206" i="557" s="1"/>
  <c r="Z223" i="557" s="1"/>
  <c r="Z240" i="557" s="1"/>
  <c r="Z257" i="557" s="1"/>
  <c r="Z274" i="557" s="1"/>
  <c r="Z291" i="557" s="1"/>
  <c r="Z308" i="557" s="1"/>
  <c r="Z325" i="557" s="1"/>
  <c r="Z342" i="557" s="1"/>
  <c r="Z359" i="557" s="1"/>
  <c r="Z376" i="557" s="1"/>
  <c r="Z393" i="557" s="1"/>
  <c r="Z410" i="557" s="1"/>
  <c r="Z427" i="557" s="1"/>
  <c r="Z444" i="557" s="1"/>
  <c r="Z461" i="557" s="1"/>
  <c r="Z478" i="557" s="1"/>
  <c r="Z495" i="557" s="1"/>
  <c r="Z512" i="557" s="1"/>
  <c r="AQ53" i="557"/>
  <c r="AQ70" i="557" s="1"/>
  <c r="AQ87" i="557" s="1"/>
  <c r="AQ104" i="557" s="1"/>
  <c r="AQ121" i="557" s="1"/>
  <c r="AQ138" i="557" s="1"/>
  <c r="AQ155" i="557" s="1"/>
  <c r="AQ172" i="557" s="1"/>
  <c r="AQ189" i="557" s="1"/>
  <c r="AQ206" i="557" s="1"/>
  <c r="AQ223" i="557" s="1"/>
  <c r="AQ240" i="557" s="1"/>
  <c r="AQ257" i="557" s="1"/>
  <c r="AQ274" i="557" s="1"/>
  <c r="AQ291" i="557" s="1"/>
  <c r="AQ308" i="557" s="1"/>
  <c r="AQ325" i="557" s="1"/>
  <c r="AQ342" i="557" s="1"/>
  <c r="AQ359" i="557" s="1"/>
  <c r="AQ376" i="557" s="1"/>
  <c r="AQ393" i="557" s="1"/>
  <c r="AQ410" i="557" s="1"/>
  <c r="AQ427" i="557" s="1"/>
  <c r="AQ444" i="557" s="1"/>
  <c r="AQ461" i="557" s="1"/>
  <c r="AQ478" i="557" s="1"/>
  <c r="AQ495" i="557" s="1"/>
  <c r="AQ512" i="557" s="1"/>
  <c r="AH53" i="557"/>
  <c r="AH70" i="557" s="1"/>
  <c r="AH87" i="557" s="1"/>
  <c r="AH104" i="557" s="1"/>
  <c r="AH121" i="557" s="1"/>
  <c r="AH138" i="557" s="1"/>
  <c r="AH155" i="557" s="1"/>
  <c r="AH172" i="557" s="1"/>
  <c r="AH189" i="557" s="1"/>
  <c r="AH206" i="557" s="1"/>
  <c r="AH223" i="557" s="1"/>
  <c r="AH240" i="557" s="1"/>
  <c r="AH257" i="557" s="1"/>
  <c r="AH274" i="557" s="1"/>
  <c r="AH291" i="557" s="1"/>
  <c r="AH308" i="557" s="1"/>
  <c r="AH325" i="557" s="1"/>
  <c r="AH342" i="557" s="1"/>
  <c r="AH359" i="557" s="1"/>
  <c r="AH376" i="557" s="1"/>
  <c r="AH393" i="557" s="1"/>
  <c r="AH410" i="557" s="1"/>
  <c r="AH427" i="557" s="1"/>
  <c r="AH444" i="557" s="1"/>
  <c r="AH461" i="557" s="1"/>
  <c r="AH478" i="557" s="1"/>
  <c r="AH495" i="557" s="1"/>
  <c r="AH512" i="557" s="1"/>
  <c r="S206" i="557"/>
  <c r="R189" i="557"/>
  <c r="AC2" i="560"/>
  <c r="AC14" i="560" s="1"/>
  <c r="AC30" i="560" s="1"/>
  <c r="AC48" i="560" s="1"/>
  <c r="AC62" i="560" s="1"/>
  <c r="AC78" i="560" s="1"/>
  <c r="AC97" i="560" s="1"/>
  <c r="AC109" i="560" s="1"/>
  <c r="AC121" i="560" s="1"/>
  <c r="AC135" i="560" s="1"/>
  <c r="AC157" i="560" s="1"/>
  <c r="AC173" i="560" s="1"/>
  <c r="AC187" i="560" s="1"/>
  <c r="AC201" i="560" s="1"/>
  <c r="AC214" i="560" s="1"/>
  <c r="AC226" i="560" s="1"/>
  <c r="AC238" i="560" s="1"/>
  <c r="AC252" i="560" s="1"/>
  <c r="AC272" i="560" s="1"/>
  <c r="AC286" i="560" s="1"/>
  <c r="AC305" i="560" s="1"/>
  <c r="AC317" i="560" s="1"/>
  <c r="AC329" i="560" s="1"/>
  <c r="AC343" i="560" s="1"/>
  <c r="AC359" i="560" s="1"/>
  <c r="AC374" i="560" s="1"/>
  <c r="AD2" i="560"/>
  <c r="AD14" i="560" s="1"/>
  <c r="AD30" i="560" s="1"/>
  <c r="AD48" i="560" s="1"/>
  <c r="AD62" i="560" s="1"/>
  <c r="AD78" i="560" s="1"/>
  <c r="AD97" i="560" s="1"/>
  <c r="AD109" i="560" s="1"/>
  <c r="AD121" i="560" s="1"/>
  <c r="AD135" i="560" s="1"/>
  <c r="AD157" i="560" s="1"/>
  <c r="AD173" i="560" s="1"/>
  <c r="AD187" i="560" s="1"/>
  <c r="AD201" i="560" s="1"/>
  <c r="AD214" i="560" s="1"/>
  <c r="AD226" i="560" s="1"/>
  <c r="AD238" i="560" s="1"/>
  <c r="AD252" i="560" s="1"/>
  <c r="AD272" i="560" s="1"/>
  <c r="AD286" i="560" s="1"/>
  <c r="AD305" i="560" s="1"/>
  <c r="AD317" i="560" s="1"/>
  <c r="AD329" i="560" s="1"/>
  <c r="AD343" i="560" s="1"/>
  <c r="AD359" i="560" s="1"/>
  <c r="AD374" i="560" s="1"/>
  <c r="AI2" i="560"/>
  <c r="AI14" i="560" s="1"/>
  <c r="AI30" i="560" s="1"/>
  <c r="AI48" i="560" s="1"/>
  <c r="AI62" i="560" s="1"/>
  <c r="AI78" i="560" s="1"/>
  <c r="AI97" i="560" s="1"/>
  <c r="AI109" i="560" s="1"/>
  <c r="AI121" i="560" s="1"/>
  <c r="AI135" i="560" s="1"/>
  <c r="AI157" i="560" s="1"/>
  <c r="AI173" i="560" s="1"/>
  <c r="AI187" i="560" s="1"/>
  <c r="AI201" i="560" s="1"/>
  <c r="AI214" i="560" s="1"/>
  <c r="AI226" i="560" s="1"/>
  <c r="AI238" i="560" s="1"/>
  <c r="AI252" i="560" s="1"/>
  <c r="AI272" i="560" s="1"/>
  <c r="AI286" i="560" s="1"/>
  <c r="AI305" i="560" s="1"/>
  <c r="AI317" i="560" s="1"/>
  <c r="AI329" i="560" s="1"/>
  <c r="AI343" i="560" s="1"/>
  <c r="AI359" i="560" s="1"/>
  <c r="AI374" i="560" s="1"/>
  <c r="AF2" i="560"/>
  <c r="AF14" i="560" s="1"/>
  <c r="AF30" i="560" s="1"/>
  <c r="AF48" i="560" s="1"/>
  <c r="AF62" i="560" s="1"/>
  <c r="AF78" i="560" s="1"/>
  <c r="AF97" i="560" s="1"/>
  <c r="AF109" i="560" s="1"/>
  <c r="AF121" i="560" s="1"/>
  <c r="AF135" i="560" s="1"/>
  <c r="AF157" i="560" s="1"/>
  <c r="AF173" i="560" s="1"/>
  <c r="AF187" i="560" s="1"/>
  <c r="AF201" i="560" s="1"/>
  <c r="AF214" i="560" s="1"/>
  <c r="AF226" i="560" s="1"/>
  <c r="AF238" i="560" s="1"/>
  <c r="AF252" i="560" s="1"/>
  <c r="AF272" i="560" s="1"/>
  <c r="AF286" i="560" s="1"/>
  <c r="AF305" i="560" s="1"/>
  <c r="AF317" i="560" s="1"/>
  <c r="AF329" i="560" s="1"/>
  <c r="AF343" i="560" s="1"/>
  <c r="AF359" i="560" s="1"/>
  <c r="AF374" i="560" s="1"/>
  <c r="AK2" i="560"/>
  <c r="AK14" i="560" s="1"/>
  <c r="AK30" i="560" s="1"/>
  <c r="AK48" i="560" s="1"/>
  <c r="AK62" i="560" s="1"/>
  <c r="AK78" i="560" s="1"/>
  <c r="AK97" i="560" s="1"/>
  <c r="AK109" i="560" s="1"/>
  <c r="AK121" i="560" s="1"/>
  <c r="AK135" i="560" s="1"/>
  <c r="AK157" i="560" s="1"/>
  <c r="AK173" i="560" s="1"/>
  <c r="AK187" i="560" s="1"/>
  <c r="AK201" i="560" s="1"/>
  <c r="AK214" i="560" s="1"/>
  <c r="AK226" i="560" s="1"/>
  <c r="AK238" i="560" s="1"/>
  <c r="AK252" i="560" s="1"/>
  <c r="AK272" i="560" s="1"/>
  <c r="AK286" i="560" s="1"/>
  <c r="AK305" i="560" s="1"/>
  <c r="AK317" i="560" s="1"/>
  <c r="AK329" i="560" s="1"/>
  <c r="AK343" i="560" s="1"/>
  <c r="AK359" i="560" s="1"/>
  <c r="AK374" i="560" s="1"/>
  <c r="AN389" i="560"/>
  <c r="AN410" i="560" s="1"/>
  <c r="AN422" i="560" s="1"/>
  <c r="AN437" i="560" s="1"/>
  <c r="AN455" i="560" s="1"/>
  <c r="AO2" i="560"/>
  <c r="AO14" i="560" s="1"/>
  <c r="AO30" i="560" s="1"/>
  <c r="AO48" i="560" s="1"/>
  <c r="AO62" i="560" s="1"/>
  <c r="AO78" i="560" s="1"/>
  <c r="AO97" i="560" s="1"/>
  <c r="AO109" i="560" s="1"/>
  <c r="AO121" i="560" s="1"/>
  <c r="AO135" i="560" s="1"/>
  <c r="AO157" i="560" s="1"/>
  <c r="AO173" i="560" s="1"/>
  <c r="AO187" i="560" s="1"/>
  <c r="AO201" i="560" s="1"/>
  <c r="AO214" i="560" s="1"/>
  <c r="AO226" i="560" s="1"/>
  <c r="AO238" i="560" s="1"/>
  <c r="AO252" i="560" s="1"/>
  <c r="AO272" i="560" s="1"/>
  <c r="AO286" i="560" s="1"/>
  <c r="AO305" i="560" s="1"/>
  <c r="AO317" i="560" s="1"/>
  <c r="AO329" i="560" s="1"/>
  <c r="AO343" i="560" s="1"/>
  <c r="AO359" i="560" s="1"/>
  <c r="AO374" i="560" s="1"/>
  <c r="A202" i="560"/>
  <c r="AR199" i="560"/>
  <c r="S173" i="560"/>
  <c r="R157" i="560"/>
  <c r="AE529" i="557"/>
  <c r="R403" i="532"/>
  <c r="AO402" i="532"/>
  <c r="I220" i="532"/>
  <c r="I231" i="532"/>
  <c r="D403" i="532"/>
  <c r="Q68" i="549"/>
  <c r="AO256" i="550"/>
  <c r="A259" i="550"/>
  <c r="M159" i="532"/>
  <c r="L146" i="532"/>
  <c r="M156" i="532" s="1"/>
  <c r="C145" i="532"/>
  <c r="AO146" i="532"/>
  <c r="C146" i="532" s="1"/>
  <c r="A233" i="552"/>
  <c r="AO230" i="552"/>
  <c r="O218" i="532"/>
  <c r="P228" i="532" s="1"/>
  <c r="P231" i="532" s="1"/>
  <c r="H218" i="532"/>
  <c r="AO352" i="554"/>
  <c r="A355" i="554"/>
  <c r="A195" i="551"/>
  <c r="AO192" i="551"/>
  <c r="K141" i="549"/>
  <c r="AJ529" i="557"/>
  <c r="A241" i="549"/>
  <c r="AO238" i="549"/>
  <c r="AM469" i="554"/>
  <c r="AP2" i="557" s="1"/>
  <c r="AP19" i="557" s="1"/>
  <c r="AP36" i="557" s="1"/>
  <c r="E349" i="532"/>
  <c r="N458" i="532"/>
  <c r="AO411" i="532"/>
  <c r="A414" i="532"/>
  <c r="AJ469" i="554"/>
  <c r="AM2" i="557" s="1"/>
  <c r="AM19" i="557" s="1"/>
  <c r="AM36" i="557" s="1"/>
  <c r="P291" i="574" l="1"/>
  <c r="O274" i="574"/>
  <c r="AR273" i="574"/>
  <c r="T274" i="574"/>
  <c r="S291" i="574"/>
  <c r="R274" i="574"/>
  <c r="D291" i="574"/>
  <c r="C273" i="574"/>
  <c r="AR274" i="574"/>
  <c r="C274" i="574" s="1"/>
  <c r="M308" i="574"/>
  <c r="L291" i="574"/>
  <c r="P291" i="573"/>
  <c r="O274" i="573"/>
  <c r="AR290" i="573"/>
  <c r="T291" i="573"/>
  <c r="C273" i="573"/>
  <c r="AR274" i="573"/>
  <c r="C274" i="573" s="1"/>
  <c r="D291" i="573"/>
  <c r="M308" i="573"/>
  <c r="L291" i="573"/>
  <c r="S291" i="573"/>
  <c r="R274" i="573"/>
  <c r="D308" i="572"/>
  <c r="P308" i="572"/>
  <c r="O291" i="572"/>
  <c r="M291" i="572"/>
  <c r="C290" i="572" s="1"/>
  <c r="L274" i="572"/>
  <c r="AR274" i="572"/>
  <c r="C274" i="572" s="1"/>
  <c r="T308" i="572"/>
  <c r="AR307" i="572"/>
  <c r="C273" i="572"/>
  <c r="S308" i="572"/>
  <c r="R291" i="572"/>
  <c r="S291" i="571"/>
  <c r="R274" i="571"/>
  <c r="P291" i="571"/>
  <c r="O274" i="571"/>
  <c r="AR273" i="571"/>
  <c r="T274" i="571"/>
  <c r="D291" i="571"/>
  <c r="C273" i="571"/>
  <c r="AR274" i="571"/>
  <c r="C274" i="571" s="1"/>
  <c r="M291" i="571"/>
  <c r="L274" i="571"/>
  <c r="AR257" i="571"/>
  <c r="C257" i="571" s="1"/>
  <c r="D308" i="570"/>
  <c r="C290" i="570"/>
  <c r="S308" i="570"/>
  <c r="R291" i="570"/>
  <c r="M291" i="570"/>
  <c r="L274" i="570"/>
  <c r="AR307" i="570"/>
  <c r="T308" i="570"/>
  <c r="C273" i="570"/>
  <c r="P308" i="570"/>
  <c r="O291" i="570"/>
  <c r="AR290" i="569"/>
  <c r="T291" i="569"/>
  <c r="M291" i="569"/>
  <c r="L274" i="569"/>
  <c r="P291" i="569"/>
  <c r="O274" i="569"/>
  <c r="S291" i="569"/>
  <c r="R274" i="569"/>
  <c r="C273" i="569"/>
  <c r="D291" i="569"/>
  <c r="AR274" i="569"/>
  <c r="C274" i="569" s="1"/>
  <c r="T274" i="568"/>
  <c r="AR273" i="568"/>
  <c r="S291" i="568"/>
  <c r="R274" i="568"/>
  <c r="P291" i="568"/>
  <c r="O274" i="568"/>
  <c r="M291" i="568"/>
  <c r="L274" i="568"/>
  <c r="C273" i="568"/>
  <c r="D291" i="568"/>
  <c r="AR257" i="568"/>
  <c r="C257" i="568" s="1"/>
  <c r="D274" i="566"/>
  <c r="T291" i="566"/>
  <c r="AR290" i="566"/>
  <c r="D257" i="565"/>
  <c r="T274" i="565"/>
  <c r="AR273" i="565"/>
  <c r="AM53" i="557"/>
  <c r="AM70" i="557" s="1"/>
  <c r="AM87" i="557" s="1"/>
  <c r="AM104" i="557" s="1"/>
  <c r="AM121" i="557" s="1"/>
  <c r="AM138" i="557" s="1"/>
  <c r="AM155" i="557" s="1"/>
  <c r="AM172" i="557" s="1"/>
  <c r="AM189" i="557" s="1"/>
  <c r="AM206" i="557" s="1"/>
  <c r="AM223" i="557" s="1"/>
  <c r="AM240" i="557" s="1"/>
  <c r="AM257" i="557" s="1"/>
  <c r="AM274" i="557" s="1"/>
  <c r="AM291" i="557" s="1"/>
  <c r="AM308" i="557" s="1"/>
  <c r="AM325" i="557" s="1"/>
  <c r="AM342" i="557" s="1"/>
  <c r="AM359" i="557" s="1"/>
  <c r="AM376" i="557" s="1"/>
  <c r="AM393" i="557" s="1"/>
  <c r="AM410" i="557" s="1"/>
  <c r="AM427" i="557" s="1"/>
  <c r="AM444" i="557" s="1"/>
  <c r="AM461" i="557" s="1"/>
  <c r="AM478" i="557" s="1"/>
  <c r="AM495" i="557" s="1"/>
  <c r="AM512" i="557" s="1"/>
  <c r="AP53" i="557"/>
  <c r="AP70" i="557" s="1"/>
  <c r="AP87" i="557" s="1"/>
  <c r="AP104" i="557" s="1"/>
  <c r="AP121" i="557" s="1"/>
  <c r="AP138" i="557" s="1"/>
  <c r="AP155" i="557" s="1"/>
  <c r="AP172" i="557" s="1"/>
  <c r="AP189" i="557" s="1"/>
  <c r="AP206" i="557" s="1"/>
  <c r="AP223" i="557" s="1"/>
  <c r="AP240" i="557" s="1"/>
  <c r="AP257" i="557" s="1"/>
  <c r="AP274" i="557" s="1"/>
  <c r="AP291" i="557" s="1"/>
  <c r="AP308" i="557" s="1"/>
  <c r="AP325" i="557" s="1"/>
  <c r="AP342" i="557" s="1"/>
  <c r="AP359" i="557" s="1"/>
  <c r="AP376" i="557" s="1"/>
  <c r="AP393" i="557" s="1"/>
  <c r="AP410" i="557" s="1"/>
  <c r="AP427" i="557" s="1"/>
  <c r="AP444" i="557" s="1"/>
  <c r="AP461" i="557" s="1"/>
  <c r="AP478" i="557" s="1"/>
  <c r="AP495" i="557" s="1"/>
  <c r="AP512" i="557" s="1"/>
  <c r="S223" i="557"/>
  <c r="R206" i="557"/>
  <c r="AE2" i="560"/>
  <c r="AE14" i="560" s="1"/>
  <c r="AE30" i="560" s="1"/>
  <c r="AE48" i="560" s="1"/>
  <c r="AE62" i="560" s="1"/>
  <c r="AE78" i="560" s="1"/>
  <c r="AE97" i="560" s="1"/>
  <c r="AE109" i="560" s="1"/>
  <c r="AE121" i="560" s="1"/>
  <c r="AE135" i="560" s="1"/>
  <c r="AE157" i="560" s="1"/>
  <c r="AE173" i="560" s="1"/>
  <c r="AE187" i="560" s="1"/>
  <c r="AE201" i="560" s="1"/>
  <c r="AE214" i="560" s="1"/>
  <c r="AE226" i="560" s="1"/>
  <c r="AE238" i="560" s="1"/>
  <c r="AE252" i="560" s="1"/>
  <c r="AE272" i="560" s="1"/>
  <c r="AE286" i="560" s="1"/>
  <c r="AE305" i="560" s="1"/>
  <c r="AE317" i="560" s="1"/>
  <c r="AE329" i="560" s="1"/>
  <c r="AE343" i="560" s="1"/>
  <c r="AE359" i="560" s="1"/>
  <c r="AE374" i="560" s="1"/>
  <c r="AF389" i="560"/>
  <c r="AF410" i="560" s="1"/>
  <c r="AF422" i="560" s="1"/>
  <c r="AF437" i="560" s="1"/>
  <c r="AF455" i="560" s="1"/>
  <c r="AJ2" i="560"/>
  <c r="AJ14" i="560" s="1"/>
  <c r="AJ30" i="560" s="1"/>
  <c r="AJ48" i="560" s="1"/>
  <c r="AJ62" i="560" s="1"/>
  <c r="AJ78" i="560" s="1"/>
  <c r="AJ97" i="560" s="1"/>
  <c r="AJ109" i="560" s="1"/>
  <c r="AJ121" i="560" s="1"/>
  <c r="AJ135" i="560" s="1"/>
  <c r="AJ157" i="560" s="1"/>
  <c r="AJ173" i="560" s="1"/>
  <c r="AJ187" i="560" s="1"/>
  <c r="AJ201" i="560" s="1"/>
  <c r="AJ214" i="560" s="1"/>
  <c r="AJ226" i="560" s="1"/>
  <c r="AJ238" i="560" s="1"/>
  <c r="AJ252" i="560" s="1"/>
  <c r="AJ272" i="560" s="1"/>
  <c r="AJ286" i="560" s="1"/>
  <c r="AJ305" i="560" s="1"/>
  <c r="AJ317" i="560" s="1"/>
  <c r="AJ329" i="560" s="1"/>
  <c r="AJ343" i="560" s="1"/>
  <c r="AJ359" i="560" s="1"/>
  <c r="AJ374" i="560" s="1"/>
  <c r="AN472" i="560"/>
  <c r="AD389" i="560"/>
  <c r="AD410" i="560" s="1"/>
  <c r="AD422" i="560" s="1"/>
  <c r="AD437" i="560" s="1"/>
  <c r="AD455" i="560" s="1"/>
  <c r="AO389" i="560"/>
  <c r="AO410" i="560" s="1"/>
  <c r="AO422" i="560" s="1"/>
  <c r="AO437" i="560" s="1"/>
  <c r="AO455" i="560" s="1"/>
  <c r="AK389" i="560"/>
  <c r="AK410" i="560" s="1"/>
  <c r="AK422" i="560" s="1"/>
  <c r="AK437" i="560" s="1"/>
  <c r="AK455" i="560" s="1"/>
  <c r="AI389" i="560"/>
  <c r="AI410" i="560" s="1"/>
  <c r="AI422" i="560" s="1"/>
  <c r="AI437" i="560" s="1"/>
  <c r="AI455" i="560" s="1"/>
  <c r="AC389" i="560"/>
  <c r="AC410" i="560" s="1"/>
  <c r="AC422" i="560" s="1"/>
  <c r="AC437" i="560" s="1"/>
  <c r="AC455" i="560" s="1"/>
  <c r="A215" i="560"/>
  <c r="AR212" i="560"/>
  <c r="R173" i="560"/>
  <c r="S187" i="560"/>
  <c r="Z529" i="557"/>
  <c r="O231" i="532"/>
  <c r="P254" i="532" s="1"/>
  <c r="I233" i="532"/>
  <c r="I257" i="532"/>
  <c r="AG529" i="557"/>
  <c r="A273" i="550"/>
  <c r="AO270" i="550"/>
  <c r="L159" i="532"/>
  <c r="M167" i="532" s="1"/>
  <c r="M170" i="532"/>
  <c r="AO159" i="532"/>
  <c r="C159" i="532" s="1"/>
  <c r="C158" i="532"/>
  <c r="N2" i="549"/>
  <c r="N18" i="549" s="1"/>
  <c r="AO252" i="549"/>
  <c r="A255" i="549"/>
  <c r="K164" i="549"/>
  <c r="AO369" i="554"/>
  <c r="A372" i="554"/>
  <c r="AO203" i="551"/>
  <c r="A206" i="551"/>
  <c r="H231" i="532"/>
  <c r="AO247" i="552"/>
  <c r="A250" i="552"/>
  <c r="AH529" i="557"/>
  <c r="A424" i="532"/>
  <c r="AO421" i="532"/>
  <c r="AB529" i="557"/>
  <c r="E365" i="532"/>
  <c r="AQ529" i="557"/>
  <c r="AA529" i="557"/>
  <c r="Q81" i="549"/>
  <c r="D413" i="532"/>
  <c r="R413" i="532"/>
  <c r="AO412" i="532"/>
  <c r="T291" i="574" l="1"/>
  <c r="AR290" i="574"/>
  <c r="AR291" i="574"/>
  <c r="C291" i="574" s="1"/>
  <c r="D308" i="574"/>
  <c r="C290" i="574"/>
  <c r="M325" i="574"/>
  <c r="L308" i="574"/>
  <c r="S308" i="574"/>
  <c r="R291" i="574"/>
  <c r="P308" i="574"/>
  <c r="O291" i="574"/>
  <c r="M325" i="573"/>
  <c r="L308" i="573"/>
  <c r="T308" i="573"/>
  <c r="AR307" i="573"/>
  <c r="D308" i="573"/>
  <c r="C290" i="573"/>
  <c r="AR291" i="573"/>
  <c r="C291" i="573" s="1"/>
  <c r="S308" i="573"/>
  <c r="R291" i="573"/>
  <c r="P308" i="573"/>
  <c r="O291" i="573"/>
  <c r="AR291" i="572"/>
  <c r="C291" i="572" s="1"/>
  <c r="S325" i="572"/>
  <c r="R308" i="572"/>
  <c r="P325" i="572"/>
  <c r="O308" i="572"/>
  <c r="M308" i="572"/>
  <c r="AR308" i="572" s="1"/>
  <c r="C308" i="572" s="1"/>
  <c r="L291" i="572"/>
  <c r="D325" i="572"/>
  <c r="AR324" i="572"/>
  <c r="T325" i="572"/>
  <c r="P308" i="571"/>
  <c r="O291" i="571"/>
  <c r="D308" i="571"/>
  <c r="C290" i="571"/>
  <c r="L291" i="571"/>
  <c r="M308" i="571"/>
  <c r="T291" i="571"/>
  <c r="AR290" i="571"/>
  <c r="S308" i="571"/>
  <c r="R291" i="571"/>
  <c r="AR324" i="570"/>
  <c r="T325" i="570"/>
  <c r="D325" i="570"/>
  <c r="S325" i="570"/>
  <c r="R308" i="570"/>
  <c r="P325" i="570"/>
  <c r="O308" i="570"/>
  <c r="M308" i="570"/>
  <c r="C307" i="570" s="1"/>
  <c r="L291" i="570"/>
  <c r="AR291" i="570"/>
  <c r="C291" i="570" s="1"/>
  <c r="P308" i="569"/>
  <c r="O291" i="569"/>
  <c r="R291" i="569"/>
  <c r="S308" i="569"/>
  <c r="M308" i="569"/>
  <c r="L291" i="569"/>
  <c r="D308" i="569"/>
  <c r="AR291" i="569"/>
  <c r="C291" i="569" s="1"/>
  <c r="C290" i="569"/>
  <c r="AR307" i="569"/>
  <c r="T308" i="569"/>
  <c r="P308" i="568"/>
  <c r="O291" i="568"/>
  <c r="AR290" i="568"/>
  <c r="T291" i="568"/>
  <c r="M308" i="568"/>
  <c r="L291" i="568"/>
  <c r="C290" i="568"/>
  <c r="AR291" i="568"/>
  <c r="C291" i="568" s="1"/>
  <c r="D308" i="568"/>
  <c r="S308" i="568"/>
  <c r="R291" i="568"/>
  <c r="AR274" i="568"/>
  <c r="C274" i="568" s="1"/>
  <c r="AR307" i="566"/>
  <c r="T308" i="566"/>
  <c r="D291" i="566"/>
  <c r="D274" i="565"/>
  <c r="T291" i="565"/>
  <c r="AR290" i="565"/>
  <c r="S240" i="557"/>
  <c r="R223" i="557"/>
  <c r="AD472" i="560"/>
  <c r="AP529" i="557"/>
  <c r="AK472" i="560"/>
  <c r="AG2" i="560"/>
  <c r="AG14" i="560" s="1"/>
  <c r="AG30" i="560" s="1"/>
  <c r="AG48" i="560" s="1"/>
  <c r="AG62" i="560" s="1"/>
  <c r="AG78" i="560" s="1"/>
  <c r="AG97" i="560" s="1"/>
  <c r="AG109" i="560" s="1"/>
  <c r="AG121" i="560" s="1"/>
  <c r="AG135" i="560" s="1"/>
  <c r="AG157" i="560" s="1"/>
  <c r="AG173" i="560" s="1"/>
  <c r="AG187" i="560" s="1"/>
  <c r="AG201" i="560" s="1"/>
  <c r="AG214" i="560" s="1"/>
  <c r="AG226" i="560" s="1"/>
  <c r="AG238" i="560" s="1"/>
  <c r="AG252" i="560" s="1"/>
  <c r="AG272" i="560" s="1"/>
  <c r="AG286" i="560" s="1"/>
  <c r="AG305" i="560" s="1"/>
  <c r="AG317" i="560" s="1"/>
  <c r="AG329" i="560" s="1"/>
  <c r="AG343" i="560" s="1"/>
  <c r="AG359" i="560" s="1"/>
  <c r="AG374" i="560" s="1"/>
  <c r="AA2" i="560"/>
  <c r="AA14" i="560" s="1"/>
  <c r="AA30" i="560" s="1"/>
  <c r="AA48" i="560" s="1"/>
  <c r="AA62" i="560" s="1"/>
  <c r="AA78" i="560" s="1"/>
  <c r="AA97" i="560" s="1"/>
  <c r="AA109" i="560" s="1"/>
  <c r="AA121" i="560" s="1"/>
  <c r="AA135" i="560" s="1"/>
  <c r="AA157" i="560" s="1"/>
  <c r="AA173" i="560" s="1"/>
  <c r="AA187" i="560" s="1"/>
  <c r="AA201" i="560" s="1"/>
  <c r="AA214" i="560" s="1"/>
  <c r="AA226" i="560" s="1"/>
  <c r="AA238" i="560" s="1"/>
  <c r="AA252" i="560" s="1"/>
  <c r="AA272" i="560" s="1"/>
  <c r="AA286" i="560" s="1"/>
  <c r="AA305" i="560" s="1"/>
  <c r="AA317" i="560" s="1"/>
  <c r="AA329" i="560" s="1"/>
  <c r="AA343" i="560" s="1"/>
  <c r="AA359" i="560" s="1"/>
  <c r="AA374" i="560" s="1"/>
  <c r="AI472" i="560"/>
  <c r="AF472" i="560"/>
  <c r="Z2" i="560"/>
  <c r="Z14" i="560" s="1"/>
  <c r="Z30" i="560" s="1"/>
  <c r="Z48" i="560" s="1"/>
  <c r="Z62" i="560" s="1"/>
  <c r="Z78" i="560" s="1"/>
  <c r="Z97" i="560" s="1"/>
  <c r="Z109" i="560" s="1"/>
  <c r="Z121" i="560" s="1"/>
  <c r="Z135" i="560" s="1"/>
  <c r="Z157" i="560" s="1"/>
  <c r="Z173" i="560" s="1"/>
  <c r="Z187" i="560" s="1"/>
  <c r="Z201" i="560" s="1"/>
  <c r="Z214" i="560" s="1"/>
  <c r="Z226" i="560" s="1"/>
  <c r="Z238" i="560" s="1"/>
  <c r="Z252" i="560" s="1"/>
  <c r="Z272" i="560" s="1"/>
  <c r="Z286" i="560" s="1"/>
  <c r="Z305" i="560" s="1"/>
  <c r="Z317" i="560" s="1"/>
  <c r="Z329" i="560" s="1"/>
  <c r="Z343" i="560" s="1"/>
  <c r="Z359" i="560" s="1"/>
  <c r="Z374" i="560" s="1"/>
  <c r="AQ2" i="560"/>
  <c r="AQ14" i="560" s="1"/>
  <c r="AQ30" i="560" s="1"/>
  <c r="AQ48" i="560" s="1"/>
  <c r="AQ62" i="560" s="1"/>
  <c r="AQ78" i="560" s="1"/>
  <c r="AQ97" i="560" s="1"/>
  <c r="AQ109" i="560" s="1"/>
  <c r="AQ121" i="560" s="1"/>
  <c r="AQ135" i="560" s="1"/>
  <c r="AQ157" i="560" s="1"/>
  <c r="AQ173" i="560" s="1"/>
  <c r="AQ187" i="560" s="1"/>
  <c r="AQ201" i="560" s="1"/>
  <c r="AQ214" i="560" s="1"/>
  <c r="AQ226" i="560" s="1"/>
  <c r="AQ238" i="560" s="1"/>
  <c r="AQ252" i="560" s="1"/>
  <c r="AQ272" i="560" s="1"/>
  <c r="AQ286" i="560" s="1"/>
  <c r="AQ305" i="560" s="1"/>
  <c r="AQ317" i="560" s="1"/>
  <c r="AQ329" i="560" s="1"/>
  <c r="AQ343" i="560" s="1"/>
  <c r="AQ359" i="560" s="1"/>
  <c r="AQ374" i="560" s="1"/>
  <c r="AO472" i="560"/>
  <c r="AH2" i="560"/>
  <c r="AH14" i="560" s="1"/>
  <c r="AH30" i="560" s="1"/>
  <c r="AH48" i="560" s="1"/>
  <c r="AH62" i="560" s="1"/>
  <c r="AH78" i="560" s="1"/>
  <c r="AH97" i="560" s="1"/>
  <c r="AH109" i="560" s="1"/>
  <c r="AH121" i="560" s="1"/>
  <c r="AH135" i="560" s="1"/>
  <c r="AH157" i="560" s="1"/>
  <c r="AH173" i="560" s="1"/>
  <c r="AH187" i="560" s="1"/>
  <c r="AH201" i="560" s="1"/>
  <c r="AH214" i="560" s="1"/>
  <c r="AH226" i="560" s="1"/>
  <c r="AH238" i="560" s="1"/>
  <c r="AH252" i="560" s="1"/>
  <c r="AH272" i="560" s="1"/>
  <c r="AH286" i="560" s="1"/>
  <c r="AH305" i="560" s="1"/>
  <c r="AH317" i="560" s="1"/>
  <c r="AH329" i="560" s="1"/>
  <c r="AH343" i="560" s="1"/>
  <c r="AH359" i="560" s="1"/>
  <c r="AH374" i="560" s="1"/>
  <c r="AC472" i="560"/>
  <c r="AE389" i="560"/>
  <c r="AE410" i="560" s="1"/>
  <c r="AE422" i="560" s="1"/>
  <c r="AE437" i="560" s="1"/>
  <c r="AE455" i="560" s="1"/>
  <c r="AB2" i="560"/>
  <c r="AB14" i="560" s="1"/>
  <c r="AB30" i="560" s="1"/>
  <c r="AB48" i="560" s="1"/>
  <c r="AB62" i="560" s="1"/>
  <c r="AB78" i="560" s="1"/>
  <c r="AB97" i="560" s="1"/>
  <c r="AB109" i="560" s="1"/>
  <c r="AB121" i="560" s="1"/>
  <c r="AB135" i="560" s="1"/>
  <c r="AB157" i="560" s="1"/>
  <c r="AB173" i="560" s="1"/>
  <c r="AB187" i="560" s="1"/>
  <c r="AB201" i="560" s="1"/>
  <c r="AB214" i="560" s="1"/>
  <c r="AB226" i="560" s="1"/>
  <c r="AB238" i="560" s="1"/>
  <c r="AB252" i="560" s="1"/>
  <c r="AB272" i="560" s="1"/>
  <c r="AB286" i="560" s="1"/>
  <c r="AB305" i="560" s="1"/>
  <c r="AB317" i="560" s="1"/>
  <c r="AB329" i="560" s="1"/>
  <c r="AB343" i="560" s="1"/>
  <c r="AB359" i="560" s="1"/>
  <c r="AB374" i="560" s="1"/>
  <c r="AJ389" i="560"/>
  <c r="AJ410" i="560" s="1"/>
  <c r="AJ422" i="560" s="1"/>
  <c r="AJ437" i="560" s="1"/>
  <c r="AJ455" i="560" s="1"/>
  <c r="R187" i="560"/>
  <c r="S201" i="560"/>
  <c r="A227" i="560"/>
  <c r="AR224" i="560"/>
  <c r="N38" i="549"/>
  <c r="AO438" i="532"/>
  <c r="A441" i="532"/>
  <c r="AO456" i="532" s="1"/>
  <c r="E384" i="532"/>
  <c r="AO214" i="551"/>
  <c r="A217" i="551"/>
  <c r="AO384" i="554"/>
  <c r="A387" i="554"/>
  <c r="AO263" i="549"/>
  <c r="A266" i="549"/>
  <c r="L170" i="532"/>
  <c r="M196" i="532"/>
  <c r="M199" i="532"/>
  <c r="C169" i="532"/>
  <c r="AO170" i="532"/>
  <c r="C170" i="532" s="1"/>
  <c r="D423" i="532"/>
  <c r="K175" i="549"/>
  <c r="AO285" i="550"/>
  <c r="A288" i="550"/>
  <c r="I259" i="532"/>
  <c r="R423" i="532"/>
  <c r="AO422" i="532"/>
  <c r="Q97" i="549"/>
  <c r="A266" i="552"/>
  <c r="AO263" i="552"/>
  <c r="H257" i="532"/>
  <c r="AM529" i="557"/>
  <c r="P257" i="532"/>
  <c r="S325" i="574" l="1"/>
  <c r="R308" i="574"/>
  <c r="D325" i="574"/>
  <c r="C307" i="574"/>
  <c r="AR308" i="574"/>
  <c r="C308" i="574" s="1"/>
  <c r="P325" i="574"/>
  <c r="O308" i="574"/>
  <c r="M342" i="574"/>
  <c r="L325" i="574"/>
  <c r="T308" i="574"/>
  <c r="AR307" i="574"/>
  <c r="AR308" i="573"/>
  <c r="C308" i="573" s="1"/>
  <c r="D325" i="573"/>
  <c r="C307" i="573"/>
  <c r="S325" i="573"/>
  <c r="R308" i="573"/>
  <c r="T325" i="573"/>
  <c r="AR324" i="573"/>
  <c r="P325" i="573"/>
  <c r="O308" i="573"/>
  <c r="M342" i="573"/>
  <c r="L325" i="573"/>
  <c r="C307" i="572"/>
  <c r="S342" i="572"/>
  <c r="R325" i="572"/>
  <c r="D342" i="572"/>
  <c r="AR341" i="572"/>
  <c r="T342" i="572"/>
  <c r="P342" i="572"/>
  <c r="O325" i="572"/>
  <c r="M325" i="572"/>
  <c r="C324" i="572" s="1"/>
  <c r="L308" i="572"/>
  <c r="AR307" i="571"/>
  <c r="T308" i="571"/>
  <c r="AR291" i="571"/>
  <c r="C291" i="571" s="1"/>
  <c r="M325" i="571"/>
  <c r="L308" i="571"/>
  <c r="AR308" i="571"/>
  <c r="C308" i="571" s="1"/>
  <c r="D325" i="571"/>
  <c r="C307" i="571"/>
  <c r="S325" i="571"/>
  <c r="R308" i="571"/>
  <c r="O308" i="571"/>
  <c r="P325" i="571"/>
  <c r="AR308" i="570"/>
  <c r="C308" i="570" s="1"/>
  <c r="P342" i="570"/>
  <c r="O325" i="570"/>
  <c r="D342" i="570"/>
  <c r="M325" i="570"/>
  <c r="C324" i="570" s="1"/>
  <c r="L308" i="570"/>
  <c r="S342" i="570"/>
  <c r="R325" i="570"/>
  <c r="T342" i="570"/>
  <c r="AR341" i="570"/>
  <c r="M325" i="569"/>
  <c r="L308" i="569"/>
  <c r="S325" i="569"/>
  <c r="R308" i="569"/>
  <c r="T325" i="569"/>
  <c r="AR324" i="569"/>
  <c r="D325" i="569"/>
  <c r="AR308" i="569"/>
  <c r="C308" i="569" s="1"/>
  <c r="C307" i="569"/>
  <c r="P325" i="569"/>
  <c r="O308" i="569"/>
  <c r="D325" i="568"/>
  <c r="C307" i="568"/>
  <c r="P325" i="568"/>
  <c r="O308" i="568"/>
  <c r="AR307" i="568"/>
  <c r="T308" i="568"/>
  <c r="R308" i="568"/>
  <c r="S325" i="568"/>
  <c r="M325" i="568"/>
  <c r="L308" i="568"/>
  <c r="T325" i="566"/>
  <c r="AR324" i="566"/>
  <c r="D308" i="566"/>
  <c r="D291" i="565"/>
  <c r="T308" i="565"/>
  <c r="AR307" i="565"/>
  <c r="AP2" i="560"/>
  <c r="AP14" i="560" s="1"/>
  <c r="AP30" i="560" s="1"/>
  <c r="AP48" i="560" s="1"/>
  <c r="AP62" i="560" s="1"/>
  <c r="AP78" i="560" s="1"/>
  <c r="AP97" i="560" s="1"/>
  <c r="AP109" i="560" s="1"/>
  <c r="AP121" i="560" s="1"/>
  <c r="AP135" i="560" s="1"/>
  <c r="AP157" i="560" s="1"/>
  <c r="AP173" i="560" s="1"/>
  <c r="AP187" i="560" s="1"/>
  <c r="AP201" i="560" s="1"/>
  <c r="AP214" i="560" s="1"/>
  <c r="AP226" i="560" s="1"/>
  <c r="AP238" i="560" s="1"/>
  <c r="AP252" i="560" s="1"/>
  <c r="AP272" i="560" s="1"/>
  <c r="AP286" i="560" s="1"/>
  <c r="AP305" i="560" s="1"/>
  <c r="AP317" i="560" s="1"/>
  <c r="AP329" i="560" s="1"/>
  <c r="AP343" i="560" s="1"/>
  <c r="AP359" i="560" s="1"/>
  <c r="AP374" i="560" s="1"/>
  <c r="AP389" i="560" s="1"/>
  <c r="AP410" i="560" s="1"/>
  <c r="AP422" i="560" s="1"/>
  <c r="AP437" i="560" s="1"/>
  <c r="AP455" i="560" s="1"/>
  <c r="S257" i="557"/>
  <c r="R240" i="557"/>
  <c r="AJ472" i="560"/>
  <c r="AM2" i="560"/>
  <c r="AM14" i="560" s="1"/>
  <c r="AM30" i="560" s="1"/>
  <c r="AM48" i="560" s="1"/>
  <c r="AM62" i="560" s="1"/>
  <c r="AM78" i="560" s="1"/>
  <c r="AM97" i="560" s="1"/>
  <c r="AM109" i="560" s="1"/>
  <c r="AM121" i="560" s="1"/>
  <c r="AM135" i="560" s="1"/>
  <c r="AM157" i="560" s="1"/>
  <c r="AM173" i="560" s="1"/>
  <c r="AM187" i="560" s="1"/>
  <c r="AM201" i="560" s="1"/>
  <c r="AM214" i="560" s="1"/>
  <c r="AM226" i="560" s="1"/>
  <c r="AM238" i="560" s="1"/>
  <c r="AM252" i="560" s="1"/>
  <c r="AM272" i="560" s="1"/>
  <c r="AM286" i="560" s="1"/>
  <c r="AM305" i="560" s="1"/>
  <c r="AM317" i="560" s="1"/>
  <c r="AM329" i="560" s="1"/>
  <c r="AM343" i="560" s="1"/>
  <c r="AM359" i="560" s="1"/>
  <c r="AM374" i="560" s="1"/>
  <c r="AE472" i="560"/>
  <c r="AH389" i="560"/>
  <c r="AH410" i="560" s="1"/>
  <c r="AH422" i="560" s="1"/>
  <c r="AH437" i="560" s="1"/>
  <c r="AH455" i="560" s="1"/>
  <c r="Z389" i="560"/>
  <c r="Z410" i="560" s="1"/>
  <c r="Z422" i="560" s="1"/>
  <c r="Z437" i="560" s="1"/>
  <c r="Z455" i="560" s="1"/>
  <c r="AA389" i="560"/>
  <c r="AA410" i="560" s="1"/>
  <c r="AA422" i="560" s="1"/>
  <c r="AA437" i="560" s="1"/>
  <c r="AA455" i="560" s="1"/>
  <c r="AQ389" i="560"/>
  <c r="AQ410" i="560" s="1"/>
  <c r="AQ422" i="560" s="1"/>
  <c r="AQ437" i="560" s="1"/>
  <c r="AQ455" i="560" s="1"/>
  <c r="AB389" i="560"/>
  <c r="AB410" i="560" s="1"/>
  <c r="AB422" i="560" s="1"/>
  <c r="AB437" i="560" s="1"/>
  <c r="AB455" i="560" s="1"/>
  <c r="AG389" i="560"/>
  <c r="AG410" i="560" s="1"/>
  <c r="AG422" i="560" s="1"/>
  <c r="AG437" i="560" s="1"/>
  <c r="AG455" i="560" s="1"/>
  <c r="AR236" i="560"/>
  <c r="A239" i="560"/>
  <c r="R201" i="560"/>
  <c r="S214" i="560"/>
  <c r="A291" i="552"/>
  <c r="AO288" i="552"/>
  <c r="AO297" i="550"/>
  <c r="A300" i="550"/>
  <c r="A317" i="550" s="1"/>
  <c r="L199" i="532"/>
  <c r="M215" i="532" s="1"/>
  <c r="M218" i="532"/>
  <c r="C198" i="532"/>
  <c r="AO199" i="532"/>
  <c r="C199" i="532" s="1"/>
  <c r="O257" i="532"/>
  <c r="P279" i="532"/>
  <c r="Q109" i="549"/>
  <c r="K186" i="549"/>
  <c r="AO406" i="554"/>
  <c r="A409" i="554"/>
  <c r="AO418" i="554" s="1"/>
  <c r="E403" i="532"/>
  <c r="N57" i="549"/>
  <c r="H282" i="532"/>
  <c r="R440" i="532"/>
  <c r="AO439" i="532"/>
  <c r="I282" i="532"/>
  <c r="D440" i="532"/>
  <c r="AO274" i="549"/>
  <c r="A277" i="549"/>
  <c r="A231" i="551"/>
  <c r="AO228" i="551"/>
  <c r="S342" i="574" l="1"/>
  <c r="R325" i="574"/>
  <c r="M359" i="574"/>
  <c r="L342" i="574"/>
  <c r="AR325" i="574"/>
  <c r="C325" i="574" s="1"/>
  <c r="D342" i="574"/>
  <c r="C324" i="574"/>
  <c r="T325" i="574"/>
  <c r="AR324" i="574"/>
  <c r="P342" i="574"/>
  <c r="O325" i="574"/>
  <c r="P342" i="573"/>
  <c r="O325" i="573"/>
  <c r="S342" i="573"/>
  <c r="R325" i="573"/>
  <c r="M359" i="573"/>
  <c r="L342" i="573"/>
  <c r="T342" i="573"/>
  <c r="AR341" i="573"/>
  <c r="D342" i="573"/>
  <c r="C324" i="573"/>
  <c r="AR325" i="573"/>
  <c r="C325" i="573" s="1"/>
  <c r="T359" i="572"/>
  <c r="AR358" i="572"/>
  <c r="M342" i="572"/>
  <c r="L325" i="572"/>
  <c r="D359" i="572"/>
  <c r="AR342" i="572"/>
  <c r="C342" i="572" s="1"/>
  <c r="S359" i="572"/>
  <c r="R342" i="572"/>
  <c r="P359" i="572"/>
  <c r="O342" i="572"/>
  <c r="AR325" i="572"/>
  <c r="C325" i="572" s="1"/>
  <c r="P342" i="571"/>
  <c r="O325" i="571"/>
  <c r="M342" i="571"/>
  <c r="L325" i="571"/>
  <c r="D342" i="571"/>
  <c r="C324" i="571"/>
  <c r="T325" i="571"/>
  <c r="AR325" i="571" s="1"/>
  <c r="C325" i="571" s="1"/>
  <c r="AR324" i="571"/>
  <c r="S342" i="571"/>
  <c r="R325" i="571"/>
  <c r="AR325" i="570"/>
  <c r="C325" i="570" s="1"/>
  <c r="P359" i="570"/>
  <c r="O342" i="570"/>
  <c r="S359" i="570"/>
  <c r="R342" i="570"/>
  <c r="AR342" i="570"/>
  <c r="C342" i="570" s="1"/>
  <c r="D359" i="570"/>
  <c r="C341" i="570"/>
  <c r="T359" i="570"/>
  <c r="AR358" i="570"/>
  <c r="M342" i="570"/>
  <c r="L325" i="570"/>
  <c r="T342" i="569"/>
  <c r="AR341" i="569"/>
  <c r="S342" i="569"/>
  <c r="R325" i="569"/>
  <c r="D342" i="569"/>
  <c r="AR325" i="569"/>
  <c r="C325" i="569" s="1"/>
  <c r="C324" i="569"/>
  <c r="P342" i="569"/>
  <c r="O325" i="569"/>
  <c r="M342" i="569"/>
  <c r="L325" i="569"/>
  <c r="S342" i="568"/>
  <c r="R325" i="568"/>
  <c r="C324" i="568"/>
  <c r="D342" i="568"/>
  <c r="P342" i="568"/>
  <c r="O325" i="568"/>
  <c r="AR324" i="568"/>
  <c r="T325" i="568"/>
  <c r="AR308" i="568"/>
  <c r="C308" i="568" s="1"/>
  <c r="M342" i="568"/>
  <c r="L325" i="568"/>
  <c r="D325" i="566"/>
  <c r="T342" i="566"/>
  <c r="AR341" i="566"/>
  <c r="T325" i="565"/>
  <c r="AR324" i="565"/>
  <c r="D308" i="565"/>
  <c r="R257" i="557"/>
  <c r="S274" i="557"/>
  <c r="AP472" i="560"/>
  <c r="AB472" i="560"/>
  <c r="AG472" i="560"/>
  <c r="AQ472" i="560"/>
  <c r="AA472" i="560"/>
  <c r="AH472" i="560"/>
  <c r="Z472" i="560"/>
  <c r="AM389" i="560"/>
  <c r="AM410" i="560" s="1"/>
  <c r="AM422" i="560" s="1"/>
  <c r="AM437" i="560" s="1"/>
  <c r="AM455" i="560" s="1"/>
  <c r="S226" i="560"/>
  <c r="R214" i="560"/>
  <c r="A253" i="560"/>
  <c r="AR250" i="560"/>
  <c r="L218" i="532"/>
  <c r="M228" i="532" s="1"/>
  <c r="M231" i="532" s="1"/>
  <c r="AO218" i="532"/>
  <c r="C218" i="532" s="1"/>
  <c r="C217" i="532"/>
  <c r="E413" i="532"/>
  <c r="K201" i="549"/>
  <c r="I284" i="532"/>
  <c r="I292" i="532"/>
  <c r="AO244" i="551"/>
  <c r="A247" i="551"/>
  <c r="R458" i="532"/>
  <c r="R2" i="549" s="1"/>
  <c r="AO457" i="532"/>
  <c r="N68" i="549"/>
  <c r="A327" i="550"/>
  <c r="AO324" i="550"/>
  <c r="H292" i="532"/>
  <c r="AO285" i="549"/>
  <c r="A288" i="549"/>
  <c r="D458" i="532"/>
  <c r="Q122" i="549"/>
  <c r="P282" i="532"/>
  <c r="AO306" i="552"/>
  <c r="A309" i="552"/>
  <c r="S359" i="574" l="1"/>
  <c r="R342" i="574"/>
  <c r="T342" i="574"/>
  <c r="AR341" i="574"/>
  <c r="M376" i="574"/>
  <c r="L359" i="574"/>
  <c r="P359" i="574"/>
  <c r="O342" i="574"/>
  <c r="C341" i="574"/>
  <c r="D359" i="574"/>
  <c r="AR342" i="573"/>
  <c r="C342" i="573" s="1"/>
  <c r="D359" i="573"/>
  <c r="C341" i="573"/>
  <c r="P359" i="573"/>
  <c r="O342" i="573"/>
  <c r="T359" i="573"/>
  <c r="AR358" i="573"/>
  <c r="S359" i="573"/>
  <c r="R342" i="573"/>
  <c r="M376" i="573"/>
  <c r="L359" i="573"/>
  <c r="S376" i="572"/>
  <c r="R359" i="572"/>
  <c r="M359" i="572"/>
  <c r="AR359" i="572" s="1"/>
  <c r="C359" i="572" s="1"/>
  <c r="L342" i="572"/>
  <c r="P376" i="572"/>
  <c r="O359" i="572"/>
  <c r="C341" i="572"/>
  <c r="D376" i="572"/>
  <c r="T376" i="572"/>
  <c r="AR375" i="572"/>
  <c r="AR342" i="571"/>
  <c r="C342" i="571" s="1"/>
  <c r="D359" i="571"/>
  <c r="C341" i="571"/>
  <c r="P359" i="571"/>
  <c r="O342" i="571"/>
  <c r="T342" i="571"/>
  <c r="AR341" i="571"/>
  <c r="M359" i="571"/>
  <c r="L342" i="571"/>
  <c r="S359" i="571"/>
  <c r="R342" i="571"/>
  <c r="P376" i="570"/>
  <c r="O359" i="570"/>
  <c r="AR375" i="570"/>
  <c r="T376" i="570"/>
  <c r="S376" i="570"/>
  <c r="R359" i="570"/>
  <c r="M359" i="570"/>
  <c r="C358" i="570" s="1"/>
  <c r="L342" i="570"/>
  <c r="D376" i="570"/>
  <c r="AR342" i="569"/>
  <c r="C342" i="569" s="1"/>
  <c r="D359" i="569"/>
  <c r="C341" i="569"/>
  <c r="T359" i="569"/>
  <c r="AR358" i="569"/>
  <c r="P359" i="569"/>
  <c r="O342" i="569"/>
  <c r="S359" i="569"/>
  <c r="R342" i="569"/>
  <c r="M359" i="569"/>
  <c r="L342" i="569"/>
  <c r="T342" i="568"/>
  <c r="AR341" i="568"/>
  <c r="S359" i="568"/>
  <c r="R342" i="568"/>
  <c r="M359" i="568"/>
  <c r="L342" i="568"/>
  <c r="AR325" i="568"/>
  <c r="C325" i="568" s="1"/>
  <c r="P359" i="568"/>
  <c r="O342" i="568"/>
  <c r="D359" i="568"/>
  <c r="C341" i="568"/>
  <c r="D342" i="566"/>
  <c r="T359" i="566"/>
  <c r="AR358" i="566"/>
  <c r="T342" i="565"/>
  <c r="AR341" i="565"/>
  <c r="D325" i="565"/>
  <c r="S291" i="557"/>
  <c r="R274" i="557"/>
  <c r="AM472" i="560"/>
  <c r="A273" i="560"/>
  <c r="AR270" i="560"/>
  <c r="R226" i="560"/>
  <c r="S238" i="560"/>
  <c r="L231" i="532"/>
  <c r="M254" i="532" s="1"/>
  <c r="AO231" i="532"/>
  <c r="C231" i="532" s="1"/>
  <c r="C230" i="532"/>
  <c r="H302" i="532"/>
  <c r="K215" i="549"/>
  <c r="I294" i="532"/>
  <c r="I302" i="532" s="1"/>
  <c r="A337" i="550"/>
  <c r="AO334" i="550"/>
  <c r="R18" i="549"/>
  <c r="AO17" i="549"/>
  <c r="A308" i="549"/>
  <c r="A327" i="549" s="1"/>
  <c r="AO305" i="549"/>
  <c r="N81" i="549"/>
  <c r="O282" i="532"/>
  <c r="P289" i="532" s="1"/>
  <c r="A322" i="552"/>
  <c r="AO319" i="552"/>
  <c r="Q141" i="549"/>
  <c r="D2" i="549"/>
  <c r="A259" i="551"/>
  <c r="AO256" i="551"/>
  <c r="E423" i="532"/>
  <c r="S376" i="574" l="1"/>
  <c r="R359" i="574"/>
  <c r="C358" i="574"/>
  <c r="D376" i="574"/>
  <c r="P376" i="574"/>
  <c r="O359" i="574"/>
  <c r="AR358" i="574"/>
  <c r="T359" i="574"/>
  <c r="AR342" i="574"/>
  <c r="C342" i="574" s="1"/>
  <c r="M393" i="574"/>
  <c r="L376" i="574"/>
  <c r="S376" i="573"/>
  <c r="R359" i="573"/>
  <c r="P376" i="573"/>
  <c r="O359" i="573"/>
  <c r="M393" i="573"/>
  <c r="L376" i="573"/>
  <c r="AR375" i="573"/>
  <c r="T376" i="573"/>
  <c r="C358" i="573"/>
  <c r="AR359" i="573"/>
  <c r="C359" i="573" s="1"/>
  <c r="D376" i="573"/>
  <c r="P393" i="572"/>
  <c r="O376" i="572"/>
  <c r="S393" i="572"/>
  <c r="R376" i="572"/>
  <c r="AR392" i="572"/>
  <c r="T393" i="572"/>
  <c r="M376" i="572"/>
  <c r="L359" i="572"/>
  <c r="C358" i="572"/>
  <c r="D393" i="572"/>
  <c r="M376" i="571"/>
  <c r="L359" i="571"/>
  <c r="P376" i="571"/>
  <c r="O359" i="571"/>
  <c r="S376" i="571"/>
  <c r="R359" i="571"/>
  <c r="AR358" i="571"/>
  <c r="T359" i="571"/>
  <c r="AR359" i="571" s="1"/>
  <c r="C359" i="571" s="1"/>
  <c r="C358" i="571"/>
  <c r="D376" i="571"/>
  <c r="S393" i="570"/>
  <c r="R376" i="570"/>
  <c r="AR392" i="570"/>
  <c r="T393" i="570"/>
  <c r="D393" i="570"/>
  <c r="M376" i="570"/>
  <c r="C375" i="570" s="1"/>
  <c r="L359" i="570"/>
  <c r="AR359" i="570"/>
  <c r="C359" i="570" s="1"/>
  <c r="P393" i="570"/>
  <c r="O376" i="570"/>
  <c r="S376" i="569"/>
  <c r="R359" i="569"/>
  <c r="AR375" i="569"/>
  <c r="T376" i="569"/>
  <c r="L359" i="569"/>
  <c r="M376" i="569"/>
  <c r="P376" i="569"/>
  <c r="O359" i="569"/>
  <c r="C358" i="569"/>
  <c r="D376" i="569"/>
  <c r="AR359" i="569"/>
  <c r="C359" i="569" s="1"/>
  <c r="C358" i="568"/>
  <c r="D376" i="568"/>
  <c r="M376" i="568"/>
  <c r="L359" i="568"/>
  <c r="T359" i="568"/>
  <c r="AR358" i="568"/>
  <c r="P376" i="568"/>
  <c r="O359" i="568"/>
  <c r="S376" i="568"/>
  <c r="R359" i="568"/>
  <c r="AR342" i="568"/>
  <c r="C342" i="568" s="1"/>
  <c r="D359" i="566"/>
  <c r="T376" i="566"/>
  <c r="AR375" i="566"/>
  <c r="T359" i="565"/>
  <c r="AR358" i="565"/>
  <c r="D342" i="565"/>
  <c r="S308" i="557"/>
  <c r="R291" i="557"/>
  <c r="A287" i="560"/>
  <c r="AR284" i="560"/>
  <c r="R238" i="560"/>
  <c r="S252" i="560"/>
  <c r="I304" i="532"/>
  <c r="I328" i="532"/>
  <c r="A274" i="551"/>
  <c r="AO271" i="551"/>
  <c r="R38" i="549"/>
  <c r="AO37" i="549"/>
  <c r="Q164" i="549"/>
  <c r="A340" i="549"/>
  <c r="AO337" i="549"/>
  <c r="A354" i="550"/>
  <c r="AO351" i="550"/>
  <c r="K240" i="549"/>
  <c r="E440" i="532"/>
  <c r="D18" i="549"/>
  <c r="AO331" i="552"/>
  <c r="A334" i="552"/>
  <c r="P292" i="532"/>
  <c r="N97" i="549"/>
  <c r="H328" i="532"/>
  <c r="M257" i="532"/>
  <c r="AR375" i="574" l="1"/>
  <c r="T376" i="574"/>
  <c r="S393" i="574"/>
  <c r="R376" i="574"/>
  <c r="AR359" i="574"/>
  <c r="C359" i="574" s="1"/>
  <c r="M410" i="574"/>
  <c r="L393" i="574"/>
  <c r="P393" i="574"/>
  <c r="O376" i="574"/>
  <c r="D393" i="574"/>
  <c r="C375" i="574"/>
  <c r="AR376" i="574"/>
  <c r="C376" i="574" s="1"/>
  <c r="M410" i="573"/>
  <c r="L393" i="573"/>
  <c r="S393" i="573"/>
  <c r="R376" i="573"/>
  <c r="AR392" i="573"/>
  <c r="T393" i="573"/>
  <c r="C375" i="573"/>
  <c r="AR376" i="573"/>
  <c r="C376" i="573" s="1"/>
  <c r="D393" i="573"/>
  <c r="P393" i="573"/>
  <c r="O376" i="573"/>
  <c r="P410" i="572"/>
  <c r="O393" i="572"/>
  <c r="D410" i="572"/>
  <c r="M393" i="572"/>
  <c r="AR393" i="572" s="1"/>
  <c r="C393" i="572" s="1"/>
  <c r="L376" i="572"/>
  <c r="AR376" i="572"/>
  <c r="C376" i="572" s="1"/>
  <c r="S410" i="572"/>
  <c r="R393" i="572"/>
  <c r="C375" i="572"/>
  <c r="AR409" i="572"/>
  <c r="T410" i="572"/>
  <c r="S393" i="571"/>
  <c r="R376" i="571"/>
  <c r="M393" i="571"/>
  <c r="L376" i="571"/>
  <c r="AR375" i="571"/>
  <c r="T376" i="571"/>
  <c r="D393" i="571"/>
  <c r="C375" i="571"/>
  <c r="AR376" i="571"/>
  <c r="C376" i="571" s="1"/>
  <c r="P393" i="571"/>
  <c r="O376" i="571"/>
  <c r="S410" i="570"/>
  <c r="R393" i="570"/>
  <c r="M393" i="570"/>
  <c r="L376" i="570"/>
  <c r="T410" i="570"/>
  <c r="AR409" i="570"/>
  <c r="P410" i="570"/>
  <c r="O393" i="570"/>
  <c r="D410" i="570"/>
  <c r="AR393" i="570"/>
  <c r="C393" i="570" s="1"/>
  <c r="AR376" i="570"/>
  <c r="C376" i="570" s="1"/>
  <c r="S393" i="569"/>
  <c r="R376" i="569"/>
  <c r="AR392" i="569"/>
  <c r="T393" i="569"/>
  <c r="P393" i="569"/>
  <c r="O376" i="569"/>
  <c r="AR376" i="569"/>
  <c r="C376" i="569" s="1"/>
  <c r="C375" i="569"/>
  <c r="D393" i="569"/>
  <c r="M393" i="569"/>
  <c r="L376" i="569"/>
  <c r="P393" i="568"/>
  <c r="O376" i="568"/>
  <c r="M393" i="568"/>
  <c r="L376" i="568"/>
  <c r="C375" i="568"/>
  <c r="D393" i="568"/>
  <c r="S393" i="568"/>
  <c r="R376" i="568"/>
  <c r="AR375" i="568"/>
  <c r="T376" i="568"/>
  <c r="AR359" i="568"/>
  <c r="C359" i="568" s="1"/>
  <c r="D376" i="566"/>
  <c r="T393" i="566"/>
  <c r="AR392" i="566"/>
  <c r="T376" i="565"/>
  <c r="AR375" i="565"/>
  <c r="D359" i="565"/>
  <c r="S325" i="557"/>
  <c r="R308" i="557"/>
  <c r="AR303" i="560"/>
  <c r="A306" i="560"/>
  <c r="A318" i="560" s="1"/>
  <c r="S272" i="560"/>
  <c r="R252" i="560"/>
  <c r="A360" i="549"/>
  <c r="AO357" i="549"/>
  <c r="I330" i="532"/>
  <c r="I349" i="532"/>
  <c r="H349" i="532"/>
  <c r="A350" i="552"/>
  <c r="AO347" i="552"/>
  <c r="D38" i="549"/>
  <c r="E458" i="532"/>
  <c r="M282" i="532"/>
  <c r="L257" i="532"/>
  <c r="M279" i="532" s="1"/>
  <c r="C256" i="532"/>
  <c r="AO257" i="532"/>
  <c r="C257" i="532" s="1"/>
  <c r="N109" i="549"/>
  <c r="AO366" i="550"/>
  <c r="A369" i="550"/>
  <c r="Q175" i="549"/>
  <c r="A292" i="551"/>
  <c r="AO289" i="551"/>
  <c r="K254" i="549"/>
  <c r="O292" i="532"/>
  <c r="P299" i="532" s="1"/>
  <c r="R57" i="549"/>
  <c r="AO56" i="549"/>
  <c r="P410" i="574" l="1"/>
  <c r="O393" i="574"/>
  <c r="S410" i="574"/>
  <c r="R393" i="574"/>
  <c r="AR393" i="574"/>
  <c r="C393" i="574" s="1"/>
  <c r="D410" i="574"/>
  <c r="C392" i="574"/>
  <c r="M427" i="574"/>
  <c r="L410" i="574"/>
  <c r="T393" i="574"/>
  <c r="AR392" i="574"/>
  <c r="L410" i="573"/>
  <c r="M427" i="573"/>
  <c r="S410" i="573"/>
  <c r="R393" i="573"/>
  <c r="P410" i="573"/>
  <c r="O393" i="573"/>
  <c r="T410" i="573"/>
  <c r="AR409" i="573"/>
  <c r="D410" i="573"/>
  <c r="C392" i="573"/>
  <c r="AR393" i="573"/>
  <c r="C393" i="573" s="1"/>
  <c r="C392" i="572"/>
  <c r="AR426" i="572"/>
  <c r="T427" i="572"/>
  <c r="D427" i="572"/>
  <c r="O410" i="572"/>
  <c r="P427" i="572"/>
  <c r="M410" i="572"/>
  <c r="L393" i="572"/>
  <c r="S427" i="572"/>
  <c r="R410" i="572"/>
  <c r="S410" i="571"/>
  <c r="R393" i="571"/>
  <c r="D410" i="571"/>
  <c r="C392" i="571"/>
  <c r="M410" i="571"/>
  <c r="L393" i="571"/>
  <c r="P410" i="571"/>
  <c r="O393" i="571"/>
  <c r="T393" i="571"/>
  <c r="AR393" i="571" s="1"/>
  <c r="C393" i="571" s="1"/>
  <c r="AR392" i="571"/>
  <c r="D427" i="570"/>
  <c r="S427" i="570"/>
  <c r="R410" i="570"/>
  <c r="P427" i="570"/>
  <c r="O410" i="570"/>
  <c r="M410" i="570"/>
  <c r="C409" i="570" s="1"/>
  <c r="L393" i="570"/>
  <c r="C392" i="570"/>
  <c r="T427" i="570"/>
  <c r="AR426" i="570"/>
  <c r="P410" i="569"/>
  <c r="O393" i="569"/>
  <c r="R393" i="569"/>
  <c r="S410" i="569"/>
  <c r="T410" i="569"/>
  <c r="AR409" i="569"/>
  <c r="M410" i="569"/>
  <c r="L393" i="569"/>
  <c r="D410" i="569"/>
  <c r="C392" i="569"/>
  <c r="AR393" i="569"/>
  <c r="C393" i="569" s="1"/>
  <c r="P410" i="568"/>
  <c r="O393" i="568"/>
  <c r="S410" i="568"/>
  <c r="R393" i="568"/>
  <c r="AR392" i="568"/>
  <c r="T393" i="568"/>
  <c r="D410" i="568"/>
  <c r="C392" i="568"/>
  <c r="AR393" i="568"/>
  <c r="C393" i="568" s="1"/>
  <c r="M410" i="568"/>
  <c r="L393" i="568"/>
  <c r="AR376" i="568"/>
  <c r="C376" i="568" s="1"/>
  <c r="T410" i="566"/>
  <c r="AR409" i="566"/>
  <c r="D393" i="566"/>
  <c r="T393" i="565"/>
  <c r="AR392" i="565"/>
  <c r="D376" i="565"/>
  <c r="S342" i="557"/>
  <c r="R325" i="557"/>
  <c r="S286" i="560"/>
  <c r="R272" i="560"/>
  <c r="AR327" i="560"/>
  <c r="A330" i="560"/>
  <c r="L282" i="532"/>
  <c r="M289" i="532" s="1"/>
  <c r="M292" i="532"/>
  <c r="C281" i="532"/>
  <c r="AO282" i="532"/>
  <c r="C282" i="532" s="1"/>
  <c r="A373" i="552"/>
  <c r="A395" i="552" s="1"/>
  <c r="AO370" i="552"/>
  <c r="I351" i="532"/>
  <c r="I365" i="532"/>
  <c r="K265" i="549"/>
  <c r="Q186" i="549"/>
  <c r="D57" i="549"/>
  <c r="R68" i="549"/>
  <c r="AO67" i="549"/>
  <c r="AO301" i="551"/>
  <c r="A304" i="551"/>
  <c r="A315" i="551" s="1"/>
  <c r="N122" i="549"/>
  <c r="P302" i="532"/>
  <c r="A383" i="550"/>
  <c r="AO380" i="550"/>
  <c r="E2" i="549"/>
  <c r="H365" i="532"/>
  <c r="AO373" i="549"/>
  <c r="A376" i="549"/>
  <c r="P427" i="574" l="1"/>
  <c r="O410" i="574"/>
  <c r="M444" i="574"/>
  <c r="L427" i="574"/>
  <c r="S427" i="574"/>
  <c r="R410" i="574"/>
  <c r="T410" i="574"/>
  <c r="AR409" i="574"/>
  <c r="D427" i="574"/>
  <c r="C409" i="574"/>
  <c r="AR410" i="574"/>
  <c r="C410" i="574" s="1"/>
  <c r="P427" i="573"/>
  <c r="O410" i="573"/>
  <c r="R410" i="573"/>
  <c r="S427" i="573"/>
  <c r="T427" i="573"/>
  <c r="AR426" i="573"/>
  <c r="M444" i="573"/>
  <c r="L427" i="573"/>
  <c r="D427" i="573"/>
  <c r="AR410" i="573"/>
  <c r="C410" i="573" s="1"/>
  <c r="C409" i="573"/>
  <c r="M427" i="572"/>
  <c r="L410" i="572"/>
  <c r="AR410" i="572"/>
  <c r="C410" i="572" s="1"/>
  <c r="P444" i="572"/>
  <c r="O427" i="572"/>
  <c r="D444" i="572"/>
  <c r="S444" i="572"/>
  <c r="R427" i="572"/>
  <c r="T444" i="572"/>
  <c r="AR443" i="572"/>
  <c r="C409" i="572"/>
  <c r="S427" i="571"/>
  <c r="R410" i="571"/>
  <c r="P427" i="571"/>
  <c r="O410" i="571"/>
  <c r="D427" i="571"/>
  <c r="C409" i="571"/>
  <c r="T410" i="571"/>
  <c r="AR410" i="571" s="1"/>
  <c r="C410" i="571" s="1"/>
  <c r="AR409" i="571"/>
  <c r="M427" i="571"/>
  <c r="L410" i="571"/>
  <c r="D444" i="570"/>
  <c r="L410" i="570"/>
  <c r="M427" i="570"/>
  <c r="S444" i="570"/>
  <c r="R427" i="570"/>
  <c r="AR443" i="570"/>
  <c r="T444" i="570"/>
  <c r="P444" i="570"/>
  <c r="O427" i="570"/>
  <c r="AR410" i="570"/>
  <c r="C410" i="570" s="1"/>
  <c r="R410" i="569"/>
  <c r="S427" i="569"/>
  <c r="M427" i="569"/>
  <c r="L410" i="569"/>
  <c r="AR410" i="569"/>
  <c r="C410" i="569" s="1"/>
  <c r="D427" i="569"/>
  <c r="C409" i="569"/>
  <c r="T427" i="569"/>
  <c r="AR426" i="569"/>
  <c r="P427" i="569"/>
  <c r="O410" i="569"/>
  <c r="P427" i="568"/>
  <c r="O410" i="568"/>
  <c r="D427" i="568"/>
  <c r="C409" i="568"/>
  <c r="S427" i="568"/>
  <c r="R410" i="568"/>
  <c r="L410" i="568"/>
  <c r="M427" i="568"/>
  <c r="T410" i="568"/>
  <c r="AR410" i="568" s="1"/>
  <c r="C410" i="568" s="1"/>
  <c r="AR409" i="568"/>
  <c r="D410" i="566"/>
  <c r="AR426" i="566"/>
  <c r="T427" i="566"/>
  <c r="T410" i="565"/>
  <c r="AR409" i="565"/>
  <c r="D393" i="565"/>
  <c r="S359" i="557"/>
  <c r="R342" i="557"/>
  <c r="A344" i="560"/>
  <c r="AR341" i="560"/>
  <c r="S305" i="560"/>
  <c r="R286" i="560"/>
  <c r="O302" i="532"/>
  <c r="P325" i="532" s="1"/>
  <c r="P328" i="532" s="1"/>
  <c r="D68" i="549"/>
  <c r="E18" i="549"/>
  <c r="K276" i="549"/>
  <c r="I367" i="532"/>
  <c r="H384" i="532"/>
  <c r="N141" i="549"/>
  <c r="L292" i="532"/>
  <c r="M299" i="532" s="1"/>
  <c r="M302" i="532" s="1"/>
  <c r="AO292" i="532"/>
  <c r="C292" i="532" s="1"/>
  <c r="C291" i="532"/>
  <c r="AO384" i="549"/>
  <c r="A387" i="549"/>
  <c r="R81" i="549"/>
  <c r="AO80" i="549"/>
  <c r="A396" i="550"/>
  <c r="AO393" i="550"/>
  <c r="A333" i="551"/>
  <c r="AO330" i="551"/>
  <c r="Q201" i="549"/>
  <c r="A410" i="552"/>
  <c r="AO407" i="552"/>
  <c r="S444" i="574" l="1"/>
  <c r="R427" i="574"/>
  <c r="P444" i="574"/>
  <c r="O427" i="574"/>
  <c r="T427" i="574"/>
  <c r="AR427" i="574" s="1"/>
  <c r="C427" i="574" s="1"/>
  <c r="AR426" i="574"/>
  <c r="M461" i="574"/>
  <c r="L444" i="574"/>
  <c r="D444" i="574"/>
  <c r="C426" i="574"/>
  <c r="T444" i="573"/>
  <c r="AR443" i="573"/>
  <c r="P444" i="573"/>
  <c r="O427" i="573"/>
  <c r="S444" i="573"/>
  <c r="R427" i="573"/>
  <c r="M461" i="573"/>
  <c r="L444" i="573"/>
  <c r="AR427" i="573"/>
  <c r="C427" i="573" s="1"/>
  <c r="C426" i="573"/>
  <c r="D444" i="573"/>
  <c r="S461" i="572"/>
  <c r="R444" i="572"/>
  <c r="M444" i="572"/>
  <c r="L427" i="572"/>
  <c r="C426" i="572"/>
  <c r="P461" i="572"/>
  <c r="O444" i="572"/>
  <c r="AR460" i="572"/>
  <c r="T461" i="572"/>
  <c r="AR444" i="572"/>
  <c r="C444" i="572" s="1"/>
  <c r="D461" i="572"/>
  <c r="AR427" i="572"/>
  <c r="C427" i="572" s="1"/>
  <c r="T427" i="571"/>
  <c r="AR426" i="571"/>
  <c r="P444" i="571"/>
  <c r="O427" i="571"/>
  <c r="M444" i="571"/>
  <c r="L427" i="571"/>
  <c r="C426" i="571"/>
  <c r="D444" i="571"/>
  <c r="S444" i="571"/>
  <c r="R427" i="571"/>
  <c r="M444" i="570"/>
  <c r="L427" i="570"/>
  <c r="AR427" i="570"/>
  <c r="C427" i="570" s="1"/>
  <c r="C426" i="570"/>
  <c r="P461" i="570"/>
  <c r="O444" i="570"/>
  <c r="S461" i="570"/>
  <c r="R444" i="570"/>
  <c r="C443" i="570"/>
  <c r="D461" i="570"/>
  <c r="AR460" i="570"/>
  <c r="T461" i="570"/>
  <c r="AR443" i="569"/>
  <c r="T444" i="569"/>
  <c r="M444" i="569"/>
  <c r="L427" i="569"/>
  <c r="P444" i="569"/>
  <c r="O427" i="569"/>
  <c r="C426" i="569"/>
  <c r="AR427" i="569"/>
  <c r="C427" i="569" s="1"/>
  <c r="D444" i="569"/>
  <c r="S444" i="569"/>
  <c r="R427" i="569"/>
  <c r="M444" i="568"/>
  <c r="L427" i="568"/>
  <c r="O427" i="568"/>
  <c r="P444" i="568"/>
  <c r="AR427" i="568"/>
  <c r="C427" i="568" s="1"/>
  <c r="D444" i="568"/>
  <c r="C426" i="568"/>
  <c r="T427" i="568"/>
  <c r="AR426" i="568"/>
  <c r="S444" i="568"/>
  <c r="R427" i="568"/>
  <c r="AR443" i="566"/>
  <c r="T444" i="566"/>
  <c r="D427" i="566"/>
  <c r="AR426" i="565"/>
  <c r="T427" i="565"/>
  <c r="D410" i="565"/>
  <c r="S376" i="557"/>
  <c r="R359" i="557"/>
  <c r="AR357" i="560"/>
  <c r="A360" i="560"/>
  <c r="S317" i="560"/>
  <c r="R305" i="560"/>
  <c r="L302" i="532"/>
  <c r="M325" i="532" s="1"/>
  <c r="M328" i="532" s="1"/>
  <c r="C301" i="532"/>
  <c r="AO302" i="532"/>
  <c r="C302" i="532" s="1"/>
  <c r="O328" i="532"/>
  <c r="P346" i="532" s="1"/>
  <c r="P349" i="532" s="1"/>
  <c r="D81" i="549"/>
  <c r="A352" i="551"/>
  <c r="AO349" i="551"/>
  <c r="K287" i="549"/>
  <c r="R97" i="549"/>
  <c r="AO96" i="549"/>
  <c r="Q215" i="549"/>
  <c r="AO395" i="549"/>
  <c r="A398" i="549"/>
  <c r="H403" i="532"/>
  <c r="E38" i="549"/>
  <c r="AO429" i="552"/>
  <c r="A432" i="552"/>
  <c r="A413" i="550"/>
  <c r="AO410" i="550"/>
  <c r="N164" i="549"/>
  <c r="I384" i="532"/>
  <c r="I403" i="532" s="1"/>
  <c r="AR443" i="574" l="1"/>
  <c r="T444" i="574"/>
  <c r="S461" i="574"/>
  <c r="R444" i="574"/>
  <c r="M478" i="574"/>
  <c r="L461" i="574"/>
  <c r="P461" i="574"/>
  <c r="O444" i="574"/>
  <c r="C443" i="574"/>
  <c r="AR444" i="574"/>
  <c r="C444" i="574" s="1"/>
  <c r="D461" i="574"/>
  <c r="S461" i="573"/>
  <c r="R444" i="573"/>
  <c r="AR460" i="573"/>
  <c r="T461" i="573"/>
  <c r="C443" i="573"/>
  <c r="AR444" i="573"/>
  <c r="C444" i="573" s="1"/>
  <c r="D461" i="573"/>
  <c r="M478" i="573"/>
  <c r="L461" i="573"/>
  <c r="P461" i="573"/>
  <c r="O444" i="573"/>
  <c r="S478" i="572"/>
  <c r="R461" i="572"/>
  <c r="D478" i="572"/>
  <c r="AR461" i="572"/>
  <c r="C461" i="572" s="1"/>
  <c r="M461" i="572"/>
  <c r="C460" i="572" s="1"/>
  <c r="L444" i="572"/>
  <c r="C443" i="572"/>
  <c r="P478" i="572"/>
  <c r="O461" i="572"/>
  <c r="T478" i="572"/>
  <c r="AR477" i="572"/>
  <c r="C443" i="571"/>
  <c r="D461" i="571"/>
  <c r="AR443" i="571"/>
  <c r="T444" i="571"/>
  <c r="AR444" i="571" s="1"/>
  <c r="C444" i="571" s="1"/>
  <c r="AR427" i="571"/>
  <c r="C427" i="571" s="1"/>
  <c r="P461" i="571"/>
  <c r="O444" i="571"/>
  <c r="S461" i="571"/>
  <c r="R444" i="571"/>
  <c r="M461" i="571"/>
  <c r="L444" i="571"/>
  <c r="T478" i="570"/>
  <c r="AR477" i="570"/>
  <c r="M461" i="570"/>
  <c r="L444" i="570"/>
  <c r="D478" i="570"/>
  <c r="AR461" i="570"/>
  <c r="C461" i="570" s="1"/>
  <c r="S478" i="570"/>
  <c r="R461" i="570"/>
  <c r="AR444" i="570"/>
  <c r="C444" i="570" s="1"/>
  <c r="P478" i="570"/>
  <c r="O461" i="570"/>
  <c r="C443" i="569"/>
  <c r="AR444" i="569"/>
  <c r="C444" i="569" s="1"/>
  <c r="D461" i="569"/>
  <c r="M461" i="569"/>
  <c r="L444" i="569"/>
  <c r="S461" i="569"/>
  <c r="R444" i="569"/>
  <c r="AR460" i="569"/>
  <c r="T461" i="569"/>
  <c r="P461" i="569"/>
  <c r="O444" i="569"/>
  <c r="M461" i="568"/>
  <c r="L444" i="568"/>
  <c r="T444" i="568"/>
  <c r="AR443" i="568"/>
  <c r="P461" i="568"/>
  <c r="O444" i="568"/>
  <c r="S461" i="568"/>
  <c r="R444" i="568"/>
  <c r="C443" i="568"/>
  <c r="D461" i="568"/>
  <c r="AR444" i="568"/>
  <c r="C444" i="568" s="1"/>
  <c r="AR460" i="566"/>
  <c r="T461" i="566"/>
  <c r="D444" i="566"/>
  <c r="D427" i="565"/>
  <c r="AR443" i="565"/>
  <c r="T444" i="565"/>
  <c r="S393" i="557"/>
  <c r="R376" i="557"/>
  <c r="S329" i="560"/>
  <c r="R317" i="560"/>
  <c r="A375" i="560"/>
  <c r="AR372" i="560"/>
  <c r="O349" i="532"/>
  <c r="P362" i="532" s="1"/>
  <c r="L328" i="532"/>
  <c r="M346" i="532" s="1"/>
  <c r="M349" i="532"/>
  <c r="AO328" i="532"/>
  <c r="C328" i="532" s="1"/>
  <c r="C327" i="532"/>
  <c r="A364" i="551"/>
  <c r="AO361" i="551"/>
  <c r="R109" i="549"/>
  <c r="AO108" i="549"/>
  <c r="E57" i="549"/>
  <c r="AO412" i="549"/>
  <c r="A415" i="549"/>
  <c r="Q240" i="549"/>
  <c r="K307" i="549"/>
  <c r="D97" i="549"/>
  <c r="I413" i="532"/>
  <c r="I405" i="532"/>
  <c r="A424" i="550"/>
  <c r="AO432" i="550" s="1"/>
  <c r="AO421" i="550"/>
  <c r="N175" i="549"/>
  <c r="A451" i="552"/>
  <c r="AO448" i="552"/>
  <c r="H413" i="532"/>
  <c r="M495" i="574" l="1"/>
  <c r="L478" i="574"/>
  <c r="D478" i="574"/>
  <c r="C460" i="574"/>
  <c r="AR461" i="574"/>
  <c r="C461" i="574" s="1"/>
  <c r="P478" i="574"/>
  <c r="O461" i="574"/>
  <c r="S478" i="574"/>
  <c r="R461" i="574"/>
  <c r="AR460" i="574"/>
  <c r="T461" i="574"/>
  <c r="S478" i="573"/>
  <c r="R461" i="573"/>
  <c r="M495" i="573"/>
  <c r="L478" i="573"/>
  <c r="T478" i="573"/>
  <c r="AR477" i="573"/>
  <c r="D478" i="573"/>
  <c r="C460" i="573"/>
  <c r="AR461" i="573"/>
  <c r="C461" i="573" s="1"/>
  <c r="P478" i="573"/>
  <c r="O461" i="573"/>
  <c r="P495" i="572"/>
  <c r="O478" i="572"/>
  <c r="S495" i="572"/>
  <c r="R478" i="572"/>
  <c r="T495" i="572"/>
  <c r="AR494" i="572"/>
  <c r="D495" i="572"/>
  <c r="M478" i="572"/>
  <c r="C477" i="572" s="1"/>
  <c r="L461" i="572"/>
  <c r="M478" i="571"/>
  <c r="L461" i="571"/>
  <c r="P478" i="571"/>
  <c r="O461" i="571"/>
  <c r="D478" i="571"/>
  <c r="C460" i="571"/>
  <c r="S478" i="571"/>
  <c r="R461" i="571"/>
  <c r="AR460" i="571"/>
  <c r="T461" i="571"/>
  <c r="AR461" i="571" s="1"/>
  <c r="C461" i="571" s="1"/>
  <c r="D495" i="570"/>
  <c r="T495" i="570"/>
  <c r="AR494" i="570"/>
  <c r="S495" i="570"/>
  <c r="R478" i="570"/>
  <c r="P495" i="570"/>
  <c r="O478" i="570"/>
  <c r="M478" i="570"/>
  <c r="AR478" i="570" s="1"/>
  <c r="C478" i="570" s="1"/>
  <c r="L461" i="570"/>
  <c r="C460" i="570"/>
  <c r="T478" i="569"/>
  <c r="AR477" i="569"/>
  <c r="M478" i="569"/>
  <c r="L461" i="569"/>
  <c r="D478" i="569"/>
  <c r="C460" i="569"/>
  <c r="AR461" i="569"/>
  <c r="C461" i="569" s="1"/>
  <c r="P478" i="569"/>
  <c r="O461" i="569"/>
  <c r="S478" i="569"/>
  <c r="R461" i="569"/>
  <c r="M478" i="568"/>
  <c r="L461" i="568"/>
  <c r="S478" i="568"/>
  <c r="R461" i="568"/>
  <c r="AR460" i="568"/>
  <c r="T461" i="568"/>
  <c r="D478" i="568"/>
  <c r="C460" i="568"/>
  <c r="AR461" i="568"/>
  <c r="C461" i="568" s="1"/>
  <c r="P478" i="568"/>
  <c r="O461" i="568"/>
  <c r="D461" i="566"/>
  <c r="AR477" i="566"/>
  <c r="T478" i="566"/>
  <c r="AR460" i="565"/>
  <c r="T461" i="565"/>
  <c r="D444" i="565"/>
  <c r="S410" i="557"/>
  <c r="R393" i="557"/>
  <c r="A390" i="560"/>
  <c r="AR387" i="560"/>
  <c r="R329" i="560"/>
  <c r="S343" i="560"/>
  <c r="K326" i="549"/>
  <c r="A376" i="551"/>
  <c r="AO373" i="551"/>
  <c r="N186" i="549"/>
  <c r="L349" i="532"/>
  <c r="M362" i="532" s="1"/>
  <c r="C348" i="532"/>
  <c r="AO349" i="532"/>
  <c r="C349" i="532" s="1"/>
  <c r="A464" i="552"/>
  <c r="AO461" i="552"/>
  <c r="AO429" i="549"/>
  <c r="A432" i="549"/>
  <c r="E68" i="549"/>
  <c r="R122" i="549"/>
  <c r="AO121" i="549"/>
  <c r="H423" i="532"/>
  <c r="I423" i="532"/>
  <c r="I415" i="532"/>
  <c r="D109" i="549"/>
  <c r="Q254" i="549"/>
  <c r="P365" i="532"/>
  <c r="M512" i="574" l="1"/>
  <c r="L495" i="574"/>
  <c r="S495" i="574"/>
  <c r="R478" i="574"/>
  <c r="T478" i="574"/>
  <c r="AR478" i="574" s="1"/>
  <c r="C478" i="574" s="1"/>
  <c r="AR477" i="574"/>
  <c r="D495" i="574"/>
  <c r="C477" i="574"/>
  <c r="P495" i="574"/>
  <c r="O478" i="574"/>
  <c r="T495" i="573"/>
  <c r="AR494" i="573"/>
  <c r="S495" i="573"/>
  <c r="R478" i="573"/>
  <c r="AR478" i="573"/>
  <c r="C478" i="573" s="1"/>
  <c r="D495" i="573"/>
  <c r="C477" i="573"/>
  <c r="M512" i="573"/>
  <c r="L495" i="573"/>
  <c r="P495" i="573"/>
  <c r="O478" i="573"/>
  <c r="AR478" i="572"/>
  <c r="C478" i="572" s="1"/>
  <c r="AR511" i="572"/>
  <c r="T512" i="572"/>
  <c r="P512" i="572"/>
  <c r="O495" i="572"/>
  <c r="D512" i="572"/>
  <c r="S512" i="572"/>
  <c r="R495" i="572"/>
  <c r="M495" i="572"/>
  <c r="C494" i="572" s="1"/>
  <c r="L478" i="572"/>
  <c r="S495" i="571"/>
  <c r="R478" i="571"/>
  <c r="P495" i="571"/>
  <c r="O478" i="571"/>
  <c r="T478" i="571"/>
  <c r="AR477" i="571"/>
  <c r="AR478" i="571"/>
  <c r="C478" i="571" s="1"/>
  <c r="D495" i="571"/>
  <c r="C477" i="571"/>
  <c r="M495" i="571"/>
  <c r="L478" i="571"/>
  <c r="C477" i="570"/>
  <c r="P512" i="570"/>
  <c r="O495" i="570"/>
  <c r="AR511" i="570"/>
  <c r="T512" i="570"/>
  <c r="M495" i="570"/>
  <c r="C494" i="570" s="1"/>
  <c r="L478" i="570"/>
  <c r="S512" i="570"/>
  <c r="R495" i="570"/>
  <c r="D512" i="570"/>
  <c r="AR478" i="569"/>
  <c r="C478" i="569" s="1"/>
  <c r="D495" i="569"/>
  <c r="C477" i="569"/>
  <c r="T495" i="569"/>
  <c r="AR494" i="569"/>
  <c r="P495" i="569"/>
  <c r="O478" i="569"/>
  <c r="M495" i="569"/>
  <c r="L478" i="569"/>
  <c r="S495" i="569"/>
  <c r="R478" i="569"/>
  <c r="M495" i="568"/>
  <c r="L478" i="568"/>
  <c r="D495" i="568"/>
  <c r="C477" i="568"/>
  <c r="S495" i="568"/>
  <c r="R478" i="568"/>
  <c r="P495" i="568"/>
  <c r="O478" i="568"/>
  <c r="T478" i="568"/>
  <c r="AR478" i="568" s="1"/>
  <c r="C478" i="568" s="1"/>
  <c r="AR477" i="568"/>
  <c r="AR494" i="566"/>
  <c r="T495" i="566"/>
  <c r="D478" i="566"/>
  <c r="D461" i="565"/>
  <c r="AR477" i="565"/>
  <c r="T478" i="565"/>
  <c r="S427" i="557"/>
  <c r="R410" i="557"/>
  <c r="R343" i="560"/>
  <c r="S359" i="560"/>
  <c r="A411" i="560"/>
  <c r="AR408" i="560"/>
  <c r="Q265" i="549"/>
  <c r="R141" i="549"/>
  <c r="AO140" i="549"/>
  <c r="A445" i="549"/>
  <c r="AO442" i="549"/>
  <c r="N201" i="549"/>
  <c r="AO387" i="551"/>
  <c r="A390" i="551"/>
  <c r="AO480" i="552"/>
  <c r="A483" i="552"/>
  <c r="H440" i="532"/>
  <c r="K339" i="549"/>
  <c r="E81" i="549"/>
  <c r="O365" i="532"/>
  <c r="P381" i="532" s="1"/>
  <c r="P384" i="532"/>
  <c r="D122" i="549"/>
  <c r="I425" i="532"/>
  <c r="M365" i="532"/>
  <c r="M529" i="574" l="1"/>
  <c r="L529" i="574" s="1"/>
  <c r="L512" i="574"/>
  <c r="C494" i="574"/>
  <c r="D512" i="574"/>
  <c r="S512" i="574"/>
  <c r="R495" i="574"/>
  <c r="P512" i="574"/>
  <c r="O495" i="574"/>
  <c r="T495" i="574"/>
  <c r="AR495" i="574" s="1"/>
  <c r="C495" i="574" s="1"/>
  <c r="AR494" i="574"/>
  <c r="M529" i="573"/>
  <c r="L529" i="573" s="1"/>
  <c r="L512" i="573"/>
  <c r="S512" i="573"/>
  <c r="R495" i="573"/>
  <c r="P512" i="573"/>
  <c r="O495" i="573"/>
  <c r="C494" i="573"/>
  <c r="AR495" i="573"/>
  <c r="C495" i="573" s="1"/>
  <c r="D512" i="573"/>
  <c r="AR511" i="573"/>
  <c r="T512" i="573"/>
  <c r="S529" i="572"/>
  <c r="R529" i="572" s="1"/>
  <c r="R512" i="572"/>
  <c r="D529" i="572"/>
  <c r="P529" i="572"/>
  <c r="O529" i="572" s="1"/>
  <c r="O512" i="572"/>
  <c r="M512" i="572"/>
  <c r="C511" i="572" s="1"/>
  <c r="L495" i="572"/>
  <c r="AR495" i="572"/>
  <c r="C495" i="572" s="1"/>
  <c r="AR528" i="572"/>
  <c r="T529" i="572"/>
  <c r="T495" i="571"/>
  <c r="AR494" i="571"/>
  <c r="S512" i="571"/>
  <c r="R495" i="571"/>
  <c r="C494" i="571"/>
  <c r="D512" i="571"/>
  <c r="P512" i="571"/>
  <c r="O495" i="571"/>
  <c r="M512" i="571"/>
  <c r="L495" i="571"/>
  <c r="M512" i="570"/>
  <c r="L495" i="570"/>
  <c r="P529" i="570"/>
  <c r="O529" i="570" s="1"/>
  <c r="O512" i="570"/>
  <c r="AR528" i="570"/>
  <c r="T529" i="570"/>
  <c r="C511" i="570"/>
  <c r="D529" i="570"/>
  <c r="S529" i="570"/>
  <c r="R529" i="570" s="1"/>
  <c r="R512" i="570"/>
  <c r="AR495" i="570"/>
  <c r="C495" i="570" s="1"/>
  <c r="M512" i="569"/>
  <c r="L495" i="569"/>
  <c r="AR511" i="569"/>
  <c r="T512" i="569"/>
  <c r="R495" i="569"/>
  <c r="S512" i="569"/>
  <c r="P512" i="569"/>
  <c r="O495" i="569"/>
  <c r="C494" i="569"/>
  <c r="AR495" i="569"/>
  <c r="C495" i="569" s="1"/>
  <c r="D512" i="569"/>
  <c r="M512" i="568"/>
  <c r="L495" i="568"/>
  <c r="P512" i="568"/>
  <c r="O495" i="568"/>
  <c r="C494" i="568"/>
  <c r="D512" i="568"/>
  <c r="T495" i="568"/>
  <c r="AR495" i="568" s="1"/>
  <c r="C495" i="568" s="1"/>
  <c r="AR494" i="568"/>
  <c r="S512" i="568"/>
  <c r="R495" i="568"/>
  <c r="D495" i="566"/>
  <c r="AR511" i="566"/>
  <c r="T512" i="566"/>
  <c r="D478" i="565"/>
  <c r="AR494" i="565"/>
  <c r="T495" i="565"/>
  <c r="S444" i="557"/>
  <c r="R427" i="557"/>
  <c r="R359" i="560"/>
  <c r="S374" i="560"/>
  <c r="AR420" i="560"/>
  <c r="A423" i="560"/>
  <c r="R164" i="549"/>
  <c r="AO163" i="549"/>
  <c r="I440" i="532"/>
  <c r="P403" i="532"/>
  <c r="O384" i="532"/>
  <c r="P400" i="532" s="1"/>
  <c r="E97" i="549"/>
  <c r="A400" i="551"/>
  <c r="AO397" i="551"/>
  <c r="Q276" i="549"/>
  <c r="H458" i="532"/>
  <c r="AO460" i="549"/>
  <c r="A463" i="549"/>
  <c r="AO484" i="549" s="1"/>
  <c r="L365" i="532"/>
  <c r="M381" i="532" s="1"/>
  <c r="C364" i="532"/>
  <c r="AO365" i="532"/>
  <c r="C365" i="532" s="1"/>
  <c r="D141" i="549"/>
  <c r="K359" i="549"/>
  <c r="A504" i="552"/>
  <c r="AO501" i="552"/>
  <c r="N215" i="549"/>
  <c r="P529" i="574" l="1"/>
  <c r="O529" i="574" s="1"/>
  <c r="O512" i="574"/>
  <c r="AR511" i="574"/>
  <c r="T512" i="574"/>
  <c r="S529" i="574"/>
  <c r="R529" i="574" s="1"/>
  <c r="R512" i="574"/>
  <c r="C511" i="574"/>
  <c r="AR512" i="574"/>
  <c r="C512" i="574" s="1"/>
  <c r="D529" i="574"/>
  <c r="AR528" i="573"/>
  <c r="T529" i="573"/>
  <c r="S529" i="573"/>
  <c r="R529" i="573" s="1"/>
  <c r="R512" i="573"/>
  <c r="C511" i="573"/>
  <c r="AR512" i="573"/>
  <c r="C512" i="573" s="1"/>
  <c r="D529" i="573"/>
  <c r="P529" i="573"/>
  <c r="O529" i="573" s="1"/>
  <c r="O512" i="573"/>
  <c r="M529" i="572"/>
  <c r="L529" i="572" s="1"/>
  <c r="L512" i="572"/>
  <c r="AR512" i="572"/>
  <c r="C512" i="572" s="1"/>
  <c r="AR511" i="571"/>
  <c r="T512" i="571"/>
  <c r="P529" i="571"/>
  <c r="O529" i="571" s="1"/>
  <c r="O512" i="571"/>
  <c r="C511" i="571"/>
  <c r="AR512" i="571"/>
  <c r="C512" i="571" s="1"/>
  <c r="D529" i="571"/>
  <c r="S529" i="571"/>
  <c r="R529" i="571" s="1"/>
  <c r="R512" i="571"/>
  <c r="M529" i="571"/>
  <c r="L529" i="571" s="1"/>
  <c r="L512" i="571"/>
  <c r="AR495" i="571"/>
  <c r="C495" i="571" s="1"/>
  <c r="M529" i="570"/>
  <c r="L529" i="570" s="1"/>
  <c r="L512" i="570"/>
  <c r="AR512" i="570"/>
  <c r="C512" i="570" s="1"/>
  <c r="O512" i="569"/>
  <c r="P529" i="569"/>
  <c r="O529" i="569" s="1"/>
  <c r="M529" i="569"/>
  <c r="L529" i="569" s="1"/>
  <c r="L512" i="569"/>
  <c r="AR528" i="569"/>
  <c r="T529" i="569"/>
  <c r="C511" i="569"/>
  <c r="AR512" i="569"/>
  <c r="C512" i="569" s="1"/>
  <c r="D529" i="569"/>
  <c r="S529" i="569"/>
  <c r="R529" i="569" s="1"/>
  <c r="R512" i="569"/>
  <c r="M529" i="568"/>
  <c r="L529" i="568" s="1"/>
  <c r="L512" i="568"/>
  <c r="AR511" i="568"/>
  <c r="T512" i="568"/>
  <c r="AR512" i="568" s="1"/>
  <c r="C512" i="568" s="1"/>
  <c r="C511" i="568"/>
  <c r="D529" i="568"/>
  <c r="P529" i="568"/>
  <c r="O529" i="568" s="1"/>
  <c r="O512" i="568"/>
  <c r="S529" i="568"/>
  <c r="R529" i="568" s="1"/>
  <c r="R512" i="568"/>
  <c r="D512" i="566"/>
  <c r="AR528" i="566"/>
  <c r="T529" i="566"/>
  <c r="AR511" i="565"/>
  <c r="T512" i="565"/>
  <c r="D495" i="565"/>
  <c r="R444" i="557"/>
  <c r="S533" i="557"/>
  <c r="A438" i="560"/>
  <c r="AR435" i="560"/>
  <c r="S389" i="560"/>
  <c r="R374" i="560"/>
  <c r="Q287" i="549"/>
  <c r="A524" i="552"/>
  <c r="AO521" i="552"/>
  <c r="E109" i="549"/>
  <c r="N240" i="549"/>
  <c r="I442" i="532"/>
  <c r="C461" i="532" s="1"/>
  <c r="D164" i="549"/>
  <c r="M384" i="532"/>
  <c r="A412" i="551"/>
  <c r="AO409" i="551"/>
  <c r="R175" i="549"/>
  <c r="AO174" i="549"/>
  <c r="K375" i="549"/>
  <c r="H2" i="549"/>
  <c r="O403" i="532"/>
  <c r="P410" i="532" s="1"/>
  <c r="AR528" i="574" l="1"/>
  <c r="T529" i="574"/>
  <c r="C528" i="574"/>
  <c r="AR529" i="574"/>
  <c r="C529" i="574" s="1"/>
  <c r="C542" i="574" s="1"/>
  <c r="E543" i="574" s="1"/>
  <c r="H543" i="574" s="1"/>
  <c r="C528" i="573"/>
  <c r="AR529" i="573"/>
  <c r="C529" i="573" s="1"/>
  <c r="C542" i="573" s="1"/>
  <c r="E543" i="573" s="1"/>
  <c r="H543" i="573" s="1"/>
  <c r="C528" i="572"/>
  <c r="AR529" i="572"/>
  <c r="C529" i="572" s="1"/>
  <c r="C542" i="572" s="1"/>
  <c r="E543" i="572" s="1"/>
  <c r="H543" i="572" s="1"/>
  <c r="C528" i="571"/>
  <c r="AR528" i="571"/>
  <c r="T529" i="571"/>
  <c r="AR529" i="571" s="1"/>
  <c r="C529" i="571" s="1"/>
  <c r="C542" i="571" s="1"/>
  <c r="E543" i="571" s="1"/>
  <c r="H543" i="571" s="1"/>
  <c r="C528" i="570"/>
  <c r="AR529" i="570"/>
  <c r="C529" i="570" s="1"/>
  <c r="C542" i="570" s="1"/>
  <c r="E543" i="570" s="1"/>
  <c r="H543" i="570" s="1"/>
  <c r="C528" i="569"/>
  <c r="AR529" i="569"/>
  <c r="C529" i="569" s="1"/>
  <c r="C542" i="569" s="1"/>
  <c r="E543" i="569" s="1"/>
  <c r="H543" i="569" s="1"/>
  <c r="AR528" i="568"/>
  <c r="T529" i="568"/>
  <c r="AR529" i="568" s="1"/>
  <c r="C529" i="568" s="1"/>
  <c r="C542" i="568" s="1"/>
  <c r="E543" i="568" s="1"/>
  <c r="H543" i="568" s="1"/>
  <c r="C528" i="568"/>
  <c r="D529" i="566"/>
  <c r="D512" i="565"/>
  <c r="AR528" i="565"/>
  <c r="T529" i="565"/>
  <c r="S461" i="557"/>
  <c r="A456" i="560"/>
  <c r="AR470" i="560" s="1"/>
  <c r="AR453" i="560"/>
  <c r="R389" i="560"/>
  <c r="S407" i="560"/>
  <c r="S476" i="560" s="1"/>
  <c r="R186" i="549"/>
  <c r="AO185" i="549"/>
  <c r="N254" i="549"/>
  <c r="E122" i="549"/>
  <c r="D175" i="549"/>
  <c r="H18" i="549"/>
  <c r="K386" i="549"/>
  <c r="Q307" i="549"/>
  <c r="AO537" i="552"/>
  <c r="A540" i="552"/>
  <c r="P413" i="532"/>
  <c r="A425" i="551"/>
  <c r="AO422" i="551"/>
  <c r="L384" i="532"/>
  <c r="M400" i="532" s="1"/>
  <c r="AO384" i="532"/>
  <c r="C384" i="532" s="1"/>
  <c r="C383" i="532"/>
  <c r="I458" i="532"/>
  <c r="D529" i="565" l="1"/>
  <c r="S478" i="557"/>
  <c r="R461" i="557"/>
  <c r="S410" i="560"/>
  <c r="K397" i="549"/>
  <c r="N265" i="549"/>
  <c r="AO435" i="551"/>
  <c r="A438" i="551"/>
  <c r="AO452" i="551" s="1"/>
  <c r="O413" i="532"/>
  <c r="P420" i="532" s="1"/>
  <c r="Q326" i="549"/>
  <c r="D186" i="549"/>
  <c r="E141" i="549"/>
  <c r="R201" i="549"/>
  <c r="AO200" i="549"/>
  <c r="H38" i="549"/>
  <c r="I2" i="549"/>
  <c r="M403" i="532"/>
  <c r="A560" i="552"/>
  <c r="AO576" i="552" s="1"/>
  <c r="AO557" i="552"/>
  <c r="S495" i="557" l="1"/>
  <c r="R478" i="557"/>
  <c r="S422" i="560"/>
  <c r="R410" i="560"/>
  <c r="H57" i="549"/>
  <c r="E164" i="549"/>
  <c r="N276" i="549"/>
  <c r="D201" i="549"/>
  <c r="R215" i="549"/>
  <c r="AO214" i="549"/>
  <c r="Q339" i="549"/>
  <c r="I4" i="549"/>
  <c r="L403" i="532"/>
  <c r="M410" i="532" s="1"/>
  <c r="M413" i="532" s="1"/>
  <c r="C402" i="532"/>
  <c r="AO403" i="532"/>
  <c r="C403" i="532" s="1"/>
  <c r="P423" i="532"/>
  <c r="K414" i="549"/>
  <c r="S512" i="557" l="1"/>
  <c r="R495" i="557"/>
  <c r="S437" i="560"/>
  <c r="R422" i="560"/>
  <c r="L413" i="532"/>
  <c r="M420" i="532" s="1"/>
  <c r="M423" i="532" s="1"/>
  <c r="AO413" i="532"/>
  <c r="C413" i="532" s="1"/>
  <c r="C412" i="532"/>
  <c r="N287" i="549"/>
  <c r="E175" i="549"/>
  <c r="K431" i="549"/>
  <c r="R240" i="549"/>
  <c r="AO239" i="549"/>
  <c r="Q359" i="549"/>
  <c r="D215" i="549"/>
  <c r="O423" i="532"/>
  <c r="P437" i="532" s="1"/>
  <c r="P440" i="532" s="1"/>
  <c r="I18" i="549"/>
  <c r="H68" i="549"/>
  <c r="S529" i="557" l="1"/>
  <c r="S2" i="565" s="1"/>
  <c r="S19" i="565" s="1"/>
  <c r="R512" i="557"/>
  <c r="S455" i="560"/>
  <c r="R437" i="560"/>
  <c r="O440" i="532"/>
  <c r="P455" i="532" s="1"/>
  <c r="P458" i="532" s="1"/>
  <c r="L423" i="532"/>
  <c r="M437" i="532" s="1"/>
  <c r="AO423" i="532"/>
  <c r="C423" i="532" s="1"/>
  <c r="C422" i="532"/>
  <c r="H81" i="549"/>
  <c r="R254" i="549"/>
  <c r="AO253" i="549"/>
  <c r="I38" i="549"/>
  <c r="I20" i="549"/>
  <c r="E186" i="549"/>
  <c r="Q375" i="549"/>
  <c r="D240" i="549"/>
  <c r="K444" i="549"/>
  <c r="P462" i="532"/>
  <c r="N307" i="549"/>
  <c r="R19" i="565" l="1"/>
  <c r="S36" i="565"/>
  <c r="R529" i="557"/>
  <c r="R2" i="565" s="1"/>
  <c r="S472" i="560"/>
  <c r="R472" i="560" s="1"/>
  <c r="R455" i="560"/>
  <c r="O458" i="532"/>
  <c r="O2" i="549" s="1"/>
  <c r="P2" i="549"/>
  <c r="N326" i="549"/>
  <c r="H97" i="549"/>
  <c r="M440" i="532"/>
  <c r="D254" i="549"/>
  <c r="R265" i="549"/>
  <c r="AO264" i="549"/>
  <c r="Q386" i="549"/>
  <c r="E201" i="549"/>
  <c r="I40" i="549"/>
  <c r="I57" i="549" s="1"/>
  <c r="K462" i="549"/>
  <c r="R36" i="565" l="1"/>
  <c r="S53" i="565"/>
  <c r="I68" i="549"/>
  <c r="I59" i="549"/>
  <c r="K486" i="549"/>
  <c r="Q397" i="549"/>
  <c r="H109" i="549"/>
  <c r="P18" i="549"/>
  <c r="P15" i="549"/>
  <c r="N339" i="549"/>
  <c r="D265" i="549"/>
  <c r="E215" i="549"/>
  <c r="R276" i="549"/>
  <c r="AO275" i="549"/>
  <c r="L440" i="532"/>
  <c r="M455" i="532" s="1"/>
  <c r="M462" i="532" s="1"/>
  <c r="N466" i="532" s="1"/>
  <c r="C460" i="532" s="1"/>
  <c r="C465" i="532" s="1"/>
  <c r="C467" i="532" s="1"/>
  <c r="C439" i="532"/>
  <c r="AO440" i="532"/>
  <c r="C440" i="532" s="1"/>
  <c r="R53" i="565" l="1"/>
  <c r="S70" i="565"/>
  <c r="E240" i="549"/>
  <c r="R287" i="549"/>
  <c r="AO286" i="549"/>
  <c r="Q414" i="549"/>
  <c r="N359" i="549"/>
  <c r="M458" i="532"/>
  <c r="D276" i="549"/>
  <c r="H122" i="549"/>
  <c r="O18" i="549"/>
  <c r="P35" i="549" s="1"/>
  <c r="K2" i="550"/>
  <c r="K15" i="550" s="1"/>
  <c r="I70" i="549"/>
  <c r="I81" i="549" s="1"/>
  <c r="R70" i="565" l="1"/>
  <c r="S87" i="565"/>
  <c r="I83" i="549"/>
  <c r="I97" i="549"/>
  <c r="D287" i="549"/>
  <c r="R307" i="549"/>
  <c r="AO306" i="549"/>
  <c r="P38" i="549"/>
  <c r="H141" i="549"/>
  <c r="Q431" i="549"/>
  <c r="K27" i="550"/>
  <c r="M2" i="549"/>
  <c r="L458" i="532"/>
  <c r="L2" i="549" s="1"/>
  <c r="C457" i="532"/>
  <c r="AO458" i="532"/>
  <c r="C458" i="532" s="1"/>
  <c r="C469" i="532" s="1"/>
  <c r="E469" i="532" s="1"/>
  <c r="N375" i="549"/>
  <c r="E254" i="549"/>
  <c r="R87" i="565" l="1"/>
  <c r="S104" i="565"/>
  <c r="N386" i="549"/>
  <c r="O38" i="549"/>
  <c r="P54" i="549" s="1"/>
  <c r="D307" i="549"/>
  <c r="I99" i="549"/>
  <c r="M18" i="549"/>
  <c r="C1" i="549"/>
  <c r="C2" i="549"/>
  <c r="AO2" i="549"/>
  <c r="H164" i="549"/>
  <c r="Q444" i="549"/>
  <c r="E265" i="549"/>
  <c r="K41" i="550"/>
  <c r="M15" i="549"/>
  <c r="R326" i="549"/>
  <c r="AO325" i="549"/>
  <c r="R104" i="565" l="1"/>
  <c r="S121" i="565"/>
  <c r="H175" i="549"/>
  <c r="Q462" i="549"/>
  <c r="P57" i="549"/>
  <c r="K55" i="550"/>
  <c r="L18" i="549"/>
  <c r="M35" i="549" s="1"/>
  <c r="M38" i="549" s="1"/>
  <c r="AO18" i="549"/>
  <c r="C18" i="549" s="1"/>
  <c r="C17" i="549"/>
  <c r="R339" i="549"/>
  <c r="AO338" i="549"/>
  <c r="D326" i="549"/>
  <c r="E276" i="549"/>
  <c r="I109" i="549"/>
  <c r="N397" i="549"/>
  <c r="S138" i="565" l="1"/>
  <c r="R121" i="565"/>
  <c r="L38" i="549"/>
  <c r="M54" i="549"/>
  <c r="AO38" i="549"/>
  <c r="C38" i="549" s="1"/>
  <c r="C37" i="549"/>
  <c r="I111" i="549"/>
  <c r="I122" i="549"/>
  <c r="K74" i="550"/>
  <c r="O57" i="549"/>
  <c r="P65" i="549" s="1"/>
  <c r="R359" i="549"/>
  <c r="AO358" i="549"/>
  <c r="N414" i="549"/>
  <c r="E287" i="549"/>
  <c r="D339" i="549"/>
  <c r="Q486" i="549"/>
  <c r="Q2" i="550" s="1"/>
  <c r="H186" i="549"/>
  <c r="S155" i="565" l="1"/>
  <c r="R138" i="565"/>
  <c r="I124" i="549"/>
  <c r="I141" i="549"/>
  <c r="Q15" i="550"/>
  <c r="D359" i="549"/>
  <c r="E307" i="549"/>
  <c r="R375" i="549"/>
  <c r="AO374" i="549"/>
  <c r="K88" i="550"/>
  <c r="M57" i="549"/>
  <c r="N431" i="549"/>
  <c r="H201" i="549"/>
  <c r="P68" i="549"/>
  <c r="S172" i="565" l="1"/>
  <c r="R155" i="565"/>
  <c r="R386" i="549"/>
  <c r="AO385" i="549"/>
  <c r="L57" i="549"/>
  <c r="M65" i="549" s="1"/>
  <c r="M68" i="549" s="1"/>
  <c r="C56" i="549"/>
  <c r="AO57" i="549"/>
  <c r="C57" i="549" s="1"/>
  <c r="H215" i="549"/>
  <c r="Q27" i="550"/>
  <c r="I164" i="549"/>
  <c r="I143" i="549"/>
  <c r="E326" i="549"/>
  <c r="O68" i="549"/>
  <c r="P78" i="549" s="1"/>
  <c r="P81" i="549"/>
  <c r="N444" i="549"/>
  <c r="K110" i="550"/>
  <c r="D375" i="549"/>
  <c r="S189" i="565" l="1"/>
  <c r="R172" i="565"/>
  <c r="L68" i="549"/>
  <c r="M78" i="549" s="1"/>
  <c r="M81" i="549" s="1"/>
  <c r="AO68" i="549"/>
  <c r="C68" i="549" s="1"/>
  <c r="C67" i="549"/>
  <c r="E339" i="549"/>
  <c r="Q41" i="550"/>
  <c r="H240" i="549"/>
  <c r="O81" i="549"/>
  <c r="P94" i="549"/>
  <c r="P97" i="549" s="1"/>
  <c r="I166" i="549"/>
  <c r="I175" i="549" s="1"/>
  <c r="K121" i="550"/>
  <c r="D386" i="549"/>
  <c r="N462" i="549"/>
  <c r="R397" i="549"/>
  <c r="AO396" i="549"/>
  <c r="R189" i="565" l="1"/>
  <c r="S206" i="565"/>
  <c r="I177" i="549"/>
  <c r="I186" i="549" s="1"/>
  <c r="O97" i="549"/>
  <c r="P106" i="549" s="1"/>
  <c r="P109" i="549" s="1"/>
  <c r="L81" i="549"/>
  <c r="M94" i="549" s="1"/>
  <c r="C80" i="549"/>
  <c r="AO81" i="549"/>
  <c r="C81" i="549" s="1"/>
  <c r="D397" i="549"/>
  <c r="H254" i="549"/>
  <c r="N486" i="549"/>
  <c r="R414" i="549"/>
  <c r="AO413" i="549"/>
  <c r="K133" i="550"/>
  <c r="Q55" i="550"/>
  <c r="E359" i="549"/>
  <c r="R206" i="565" l="1"/>
  <c r="S223" i="565"/>
  <c r="I188" i="549"/>
  <c r="O109" i="549"/>
  <c r="P119" i="549" s="1"/>
  <c r="P122" i="549"/>
  <c r="D414" i="549"/>
  <c r="M97" i="549"/>
  <c r="R431" i="549"/>
  <c r="AO430" i="549"/>
  <c r="E375" i="549"/>
  <c r="K158" i="550"/>
  <c r="N2" i="550"/>
  <c r="N15" i="550" s="1"/>
  <c r="H265" i="549"/>
  <c r="Q74" i="550"/>
  <c r="R223" i="565" l="1"/>
  <c r="S240" i="565"/>
  <c r="R444" i="549"/>
  <c r="AO443" i="549"/>
  <c r="L97" i="549"/>
  <c r="M106" i="549" s="1"/>
  <c r="M109" i="549" s="1"/>
  <c r="AO97" i="549"/>
  <c r="C97" i="549" s="1"/>
  <c r="C96" i="549"/>
  <c r="K171" i="550"/>
  <c r="E386" i="549"/>
  <c r="P141" i="549"/>
  <c r="O122" i="549"/>
  <c r="P138" i="549" s="1"/>
  <c r="D431" i="549"/>
  <c r="N27" i="550"/>
  <c r="Q88" i="550"/>
  <c r="H276" i="549"/>
  <c r="I201" i="549"/>
  <c r="S257" i="565" l="1"/>
  <c r="R240" i="565"/>
  <c r="L109" i="549"/>
  <c r="M119" i="549" s="1"/>
  <c r="M122" i="549" s="1"/>
  <c r="C108" i="549"/>
  <c r="AO109" i="549"/>
  <c r="C109" i="549" s="1"/>
  <c r="O141" i="549"/>
  <c r="P161" i="549" s="1"/>
  <c r="K185" i="550"/>
  <c r="D444" i="549"/>
  <c r="H287" i="549"/>
  <c r="N41" i="550"/>
  <c r="Q110" i="550"/>
  <c r="I203" i="549"/>
  <c r="E397" i="549"/>
  <c r="R462" i="549"/>
  <c r="AO461" i="549"/>
  <c r="S274" i="565" l="1"/>
  <c r="R257" i="565"/>
  <c r="L122" i="549"/>
  <c r="M138" i="549"/>
  <c r="C121" i="549"/>
  <c r="AO122" i="549"/>
  <c r="C122" i="549" s="1"/>
  <c r="N55" i="550"/>
  <c r="R486" i="549"/>
  <c r="R2" i="550" s="1"/>
  <c r="AO485" i="549"/>
  <c r="Q121" i="550"/>
  <c r="K200" i="550"/>
  <c r="E414" i="549"/>
  <c r="D462" i="549"/>
  <c r="I215" i="549"/>
  <c r="H307" i="549"/>
  <c r="P164" i="549"/>
  <c r="S291" i="565" l="1"/>
  <c r="R274" i="565"/>
  <c r="D486" i="549"/>
  <c r="N74" i="550"/>
  <c r="Q133" i="550"/>
  <c r="H326" i="549"/>
  <c r="P175" i="549"/>
  <c r="O164" i="549"/>
  <c r="P172" i="549" s="1"/>
  <c r="I217" i="549"/>
  <c r="I240" i="549"/>
  <c r="E431" i="549"/>
  <c r="K217" i="550"/>
  <c r="R15" i="550"/>
  <c r="AO14" i="550"/>
  <c r="M141" i="549"/>
  <c r="S308" i="565" l="1"/>
  <c r="R291" i="565"/>
  <c r="R27" i="550"/>
  <c r="AO26" i="550"/>
  <c r="I242" i="549"/>
  <c r="I254" i="549"/>
  <c r="Q158" i="550"/>
  <c r="O175" i="549"/>
  <c r="P183" i="549" s="1"/>
  <c r="P186" i="549" s="1"/>
  <c r="N88" i="550"/>
  <c r="E444" i="549"/>
  <c r="L141" i="549"/>
  <c r="M161" i="549" s="1"/>
  <c r="C140" i="549"/>
  <c r="AO141" i="549"/>
  <c r="C141" i="549" s="1"/>
  <c r="K228" i="550"/>
  <c r="H339" i="549"/>
  <c r="D2" i="550"/>
  <c r="R308" i="565" l="1"/>
  <c r="S325" i="565"/>
  <c r="O186" i="549"/>
  <c r="P198" i="549" s="1"/>
  <c r="H359" i="549"/>
  <c r="D15" i="550"/>
  <c r="Q171" i="550"/>
  <c r="N110" i="550"/>
  <c r="I256" i="549"/>
  <c r="I265" i="549"/>
  <c r="K238" i="550"/>
  <c r="M164" i="549"/>
  <c r="E462" i="549"/>
  <c r="R41" i="550"/>
  <c r="AO40" i="550"/>
  <c r="S342" i="565" l="1"/>
  <c r="R325" i="565"/>
  <c r="M175" i="549"/>
  <c r="L164" i="549"/>
  <c r="M172" i="549" s="1"/>
  <c r="C163" i="549"/>
  <c r="AO164" i="549"/>
  <c r="C164" i="549" s="1"/>
  <c r="N121" i="550"/>
  <c r="H375" i="549"/>
  <c r="R55" i="550"/>
  <c r="AO54" i="550"/>
  <c r="K258" i="550"/>
  <c r="I267" i="549"/>
  <c r="I276" i="549"/>
  <c r="D27" i="550"/>
  <c r="E486" i="549"/>
  <c r="Q185" i="550"/>
  <c r="P201" i="549"/>
  <c r="S359" i="565" l="1"/>
  <c r="R342" i="565"/>
  <c r="K272" i="550"/>
  <c r="D41" i="550"/>
  <c r="I278" i="549"/>
  <c r="I287" i="549"/>
  <c r="H386" i="549"/>
  <c r="Q200" i="550"/>
  <c r="E2" i="550"/>
  <c r="R74" i="550"/>
  <c r="AO73" i="550"/>
  <c r="P215" i="549"/>
  <c r="O201" i="549"/>
  <c r="P212" i="549" s="1"/>
  <c r="N133" i="550"/>
  <c r="M186" i="549"/>
  <c r="L175" i="549"/>
  <c r="M183" i="549" s="1"/>
  <c r="C174" i="549"/>
  <c r="AO175" i="549"/>
  <c r="C175" i="549" s="1"/>
  <c r="S376" i="565" l="1"/>
  <c r="R359" i="565"/>
  <c r="N158" i="550"/>
  <c r="D55" i="550"/>
  <c r="E15" i="550"/>
  <c r="I289" i="549"/>
  <c r="I307" i="549"/>
  <c r="R88" i="550"/>
  <c r="AO87" i="550"/>
  <c r="H397" i="549"/>
  <c r="L186" i="549"/>
  <c r="M198" i="549" s="1"/>
  <c r="AO186" i="549"/>
  <c r="C186" i="549" s="1"/>
  <c r="C185" i="549"/>
  <c r="O215" i="549"/>
  <c r="P237" i="549"/>
  <c r="Q217" i="550"/>
  <c r="K287" i="550"/>
  <c r="R376" i="565" l="1"/>
  <c r="S393" i="565"/>
  <c r="H414" i="549"/>
  <c r="D74" i="550"/>
  <c r="R110" i="550"/>
  <c r="AO109" i="550"/>
  <c r="I309" i="549"/>
  <c r="I326" i="549"/>
  <c r="E27" i="550"/>
  <c r="Q228" i="550"/>
  <c r="K299" i="550"/>
  <c r="P240" i="549"/>
  <c r="M201" i="549"/>
  <c r="N171" i="550"/>
  <c r="S410" i="565" l="1"/>
  <c r="R393" i="565"/>
  <c r="N185" i="550"/>
  <c r="I328" i="549"/>
  <c r="I339" i="549"/>
  <c r="K316" i="550"/>
  <c r="R121" i="550"/>
  <c r="AO120" i="550"/>
  <c r="Q238" i="550"/>
  <c r="O240" i="549"/>
  <c r="P251" i="549" s="1"/>
  <c r="E31" i="550"/>
  <c r="H31" i="550" s="1"/>
  <c r="H431" i="549"/>
  <c r="L201" i="549"/>
  <c r="M212" i="549" s="1"/>
  <c r="AO201" i="549"/>
  <c r="C201" i="549" s="1"/>
  <c r="C200" i="549"/>
  <c r="D88" i="550"/>
  <c r="R410" i="565" l="1"/>
  <c r="S427" i="565"/>
  <c r="D110" i="550"/>
  <c r="E41" i="550"/>
  <c r="Q258" i="550"/>
  <c r="K326" i="550"/>
  <c r="H444" i="549"/>
  <c r="I341" i="549"/>
  <c r="I359" i="549"/>
  <c r="M215" i="549"/>
  <c r="P254" i="549"/>
  <c r="R133" i="550"/>
  <c r="AO132" i="550"/>
  <c r="N200" i="550"/>
  <c r="R427" i="565" l="1"/>
  <c r="S444" i="565"/>
  <c r="R158" i="550"/>
  <c r="AO157" i="550"/>
  <c r="O254" i="549"/>
  <c r="P262" i="549" s="1"/>
  <c r="P265" i="549" s="1"/>
  <c r="I361" i="549"/>
  <c r="I375" i="549"/>
  <c r="H462" i="549"/>
  <c r="K336" i="550"/>
  <c r="E55" i="550"/>
  <c r="N217" i="550"/>
  <c r="L215" i="549"/>
  <c r="M237" i="549" s="1"/>
  <c r="M240" i="549"/>
  <c r="C214" i="549"/>
  <c r="AO215" i="549"/>
  <c r="C215" i="549" s="1"/>
  <c r="Q272" i="550"/>
  <c r="D121" i="550"/>
  <c r="R444" i="565" l="1"/>
  <c r="S461" i="565"/>
  <c r="O265" i="549"/>
  <c r="P273" i="549" s="1"/>
  <c r="P276" i="549" s="1"/>
  <c r="L240" i="549"/>
  <c r="M251" i="549" s="1"/>
  <c r="M254" i="549"/>
  <c r="AO240" i="549"/>
  <c r="C240" i="549" s="1"/>
  <c r="C239" i="549"/>
  <c r="D133" i="550"/>
  <c r="Q287" i="550"/>
  <c r="E74" i="550"/>
  <c r="I377" i="549"/>
  <c r="N228" i="550"/>
  <c r="K353" i="550"/>
  <c r="H486" i="549"/>
  <c r="R171" i="550"/>
  <c r="AO170" i="550"/>
  <c r="R461" i="565" l="1"/>
  <c r="S478" i="565"/>
  <c r="O276" i="549"/>
  <c r="P284" i="549" s="1"/>
  <c r="K368" i="550"/>
  <c r="Q299" i="550"/>
  <c r="D158" i="550"/>
  <c r="L254" i="549"/>
  <c r="M262" i="549" s="1"/>
  <c r="AO254" i="549"/>
  <c r="C254" i="549" s="1"/>
  <c r="C253" i="549"/>
  <c r="N238" i="550"/>
  <c r="R185" i="550"/>
  <c r="AO184" i="550"/>
  <c r="H2" i="550"/>
  <c r="I386" i="549"/>
  <c r="E88" i="550"/>
  <c r="E78" i="550"/>
  <c r="H78" i="550" s="1"/>
  <c r="S495" i="565" l="1"/>
  <c r="R478" i="565"/>
  <c r="I388" i="549"/>
  <c r="I397" i="549" s="1"/>
  <c r="D171" i="550"/>
  <c r="H15" i="550"/>
  <c r="R200" i="550"/>
  <c r="AO199" i="550"/>
  <c r="K382" i="550"/>
  <c r="P287" i="549"/>
  <c r="E110" i="550"/>
  <c r="E96" i="550"/>
  <c r="H96" i="550" s="1"/>
  <c r="N258" i="550"/>
  <c r="Q316" i="550"/>
  <c r="M265" i="549"/>
  <c r="S512" i="565" l="1"/>
  <c r="R495" i="565"/>
  <c r="I399" i="549"/>
  <c r="I414" i="549" s="1"/>
  <c r="N272" i="550"/>
  <c r="K395" i="550"/>
  <c r="Q326" i="550"/>
  <c r="L265" i="549"/>
  <c r="M273" i="549" s="1"/>
  <c r="M276" i="549"/>
  <c r="C264" i="549"/>
  <c r="AO265" i="549"/>
  <c r="C265" i="549" s="1"/>
  <c r="E121" i="550"/>
  <c r="H27" i="550"/>
  <c r="D185" i="550"/>
  <c r="P307" i="549"/>
  <c r="O287" i="549"/>
  <c r="P304" i="549"/>
  <c r="R217" i="550"/>
  <c r="AO216" i="550"/>
  <c r="R512" i="565" l="1"/>
  <c r="S529" i="565"/>
  <c r="I416" i="549"/>
  <c r="I431" i="549"/>
  <c r="L276" i="549"/>
  <c r="M284" i="549" s="1"/>
  <c r="M287" i="549" s="1"/>
  <c r="C275" i="549"/>
  <c r="AO276" i="549"/>
  <c r="C276" i="549" s="1"/>
  <c r="E133" i="550"/>
  <c r="H41" i="550"/>
  <c r="O307" i="549"/>
  <c r="P323" i="549"/>
  <c r="K412" i="550"/>
  <c r="R228" i="550"/>
  <c r="AO227" i="550"/>
  <c r="D200" i="550"/>
  <c r="Q336" i="550"/>
  <c r="N287" i="550"/>
  <c r="R529" i="565" l="1"/>
  <c r="R2" i="566" s="1"/>
  <c r="S2" i="566"/>
  <c r="S19" i="566" s="1"/>
  <c r="L287" i="549"/>
  <c r="M304" i="549" s="1"/>
  <c r="M307" i="549" s="1"/>
  <c r="C286" i="549"/>
  <c r="AO287" i="549"/>
  <c r="C287" i="549" s="1"/>
  <c r="D217" i="550"/>
  <c r="N299" i="550"/>
  <c r="R238" i="550"/>
  <c r="AO237" i="550"/>
  <c r="P326" i="549"/>
  <c r="H55" i="550"/>
  <c r="I444" i="549"/>
  <c r="I433" i="549"/>
  <c r="Q353" i="550"/>
  <c r="K423" i="550"/>
  <c r="E136" i="550"/>
  <c r="H136" i="550" s="1"/>
  <c r="S36" i="566" l="1"/>
  <c r="R19" i="566"/>
  <c r="L307" i="549"/>
  <c r="M323" i="549"/>
  <c r="M326" i="549" s="1"/>
  <c r="C306" i="549"/>
  <c r="AO307" i="549"/>
  <c r="C307" i="549" s="1"/>
  <c r="I446" i="549"/>
  <c r="I462" i="549"/>
  <c r="R258" i="550"/>
  <c r="AO257" i="550"/>
  <c r="Q368" i="550"/>
  <c r="K434" i="550"/>
  <c r="E158" i="550"/>
  <c r="H74" i="550"/>
  <c r="D228" i="550"/>
  <c r="O326" i="549"/>
  <c r="P336" i="549" s="1"/>
  <c r="N316" i="550"/>
  <c r="S53" i="566" l="1"/>
  <c r="R36" i="566"/>
  <c r="L326" i="549"/>
  <c r="M336" i="549" s="1"/>
  <c r="M339" i="549" s="1"/>
  <c r="C325" i="549"/>
  <c r="AO326" i="549"/>
  <c r="C326" i="549" s="1"/>
  <c r="Q382" i="550"/>
  <c r="I486" i="549"/>
  <c r="I464" i="549"/>
  <c r="C489" i="549" s="1"/>
  <c r="E161" i="550"/>
  <c r="H161" i="550" s="1"/>
  <c r="E171" i="550"/>
  <c r="P339" i="549"/>
  <c r="K443" i="550"/>
  <c r="K2" i="551" s="1"/>
  <c r="K20" i="551" s="1"/>
  <c r="R272" i="550"/>
  <c r="AO271" i="550"/>
  <c r="N326" i="550"/>
  <c r="D238" i="550"/>
  <c r="H88" i="550"/>
  <c r="R53" i="566" l="1"/>
  <c r="S70" i="566"/>
  <c r="L339" i="549"/>
  <c r="M356" i="549" s="1"/>
  <c r="M359" i="549" s="1"/>
  <c r="C338" i="549"/>
  <c r="AO339" i="549"/>
  <c r="C339" i="549" s="1"/>
  <c r="I2" i="550"/>
  <c r="R287" i="550"/>
  <c r="AO286" i="550"/>
  <c r="D258" i="550"/>
  <c r="O339" i="549"/>
  <c r="P356" i="549" s="1"/>
  <c r="P359" i="549" s="1"/>
  <c r="H110" i="550"/>
  <c r="N336" i="550"/>
  <c r="Q395" i="550"/>
  <c r="K41" i="551"/>
  <c r="E174" i="550"/>
  <c r="H174" i="550" s="1"/>
  <c r="S87" i="566" l="1"/>
  <c r="R70" i="566"/>
  <c r="O359" i="549"/>
  <c r="P372" i="549"/>
  <c r="P375" i="549" s="1"/>
  <c r="L359" i="549"/>
  <c r="M372" i="549"/>
  <c r="C358" i="549"/>
  <c r="AO359" i="549"/>
  <c r="C359" i="549" s="1"/>
  <c r="E185" i="550"/>
  <c r="H121" i="550"/>
  <c r="Q412" i="550"/>
  <c r="R299" i="550"/>
  <c r="AO298" i="550"/>
  <c r="K60" i="551"/>
  <c r="N353" i="550"/>
  <c r="D272" i="550"/>
  <c r="I4" i="550"/>
  <c r="S104" i="566" l="1"/>
  <c r="R87" i="566"/>
  <c r="O375" i="549"/>
  <c r="P383" i="549" s="1"/>
  <c r="P386" i="549" s="1"/>
  <c r="N368" i="550"/>
  <c r="R316" i="550"/>
  <c r="AO315" i="550"/>
  <c r="H133" i="550"/>
  <c r="K72" i="551"/>
  <c r="I15" i="550"/>
  <c r="D287" i="550"/>
  <c r="Q423" i="550"/>
  <c r="E188" i="550"/>
  <c r="H188" i="550" s="1"/>
  <c r="M375" i="549"/>
  <c r="S121" i="566" l="1"/>
  <c r="R104" i="566"/>
  <c r="P397" i="549"/>
  <c r="O386" i="549"/>
  <c r="P394" i="549" s="1"/>
  <c r="N382" i="550"/>
  <c r="L375" i="549"/>
  <c r="M383" i="549" s="1"/>
  <c r="M386" i="549" s="1"/>
  <c r="AO375" i="549"/>
  <c r="C375" i="549" s="1"/>
  <c r="C374" i="549"/>
  <c r="H158" i="550"/>
  <c r="Q434" i="550"/>
  <c r="I17" i="550"/>
  <c r="E200" i="550"/>
  <c r="D299" i="550"/>
  <c r="K92" i="551"/>
  <c r="R326" i="550"/>
  <c r="AO325" i="550"/>
  <c r="S138" i="566" l="1"/>
  <c r="R121" i="566"/>
  <c r="L386" i="549"/>
  <c r="M394" i="549" s="1"/>
  <c r="M397" i="549" s="1"/>
  <c r="C385" i="549"/>
  <c r="AO386" i="549"/>
  <c r="C386" i="549" s="1"/>
  <c r="R336" i="550"/>
  <c r="AO335" i="550"/>
  <c r="D316" i="550"/>
  <c r="N395" i="550"/>
  <c r="Q443" i="550"/>
  <c r="Q2" i="551" s="1"/>
  <c r="K104" i="551"/>
  <c r="E203" i="550"/>
  <c r="H203" i="550" s="1"/>
  <c r="E217" i="550"/>
  <c r="I27" i="550"/>
  <c r="H171" i="550"/>
  <c r="O397" i="549"/>
  <c r="P411" i="549" s="1"/>
  <c r="P414" i="549" s="1"/>
  <c r="S155" i="566" l="1"/>
  <c r="R138" i="566"/>
  <c r="O414" i="549"/>
  <c r="P428" i="549"/>
  <c r="P431" i="549" s="1"/>
  <c r="L397" i="549"/>
  <c r="M411" i="549" s="1"/>
  <c r="M414" i="549" s="1"/>
  <c r="C396" i="549"/>
  <c r="AO397" i="549"/>
  <c r="C397" i="549" s="1"/>
  <c r="D326" i="550"/>
  <c r="N412" i="550"/>
  <c r="H185" i="550"/>
  <c r="E228" i="550"/>
  <c r="Q20" i="551"/>
  <c r="K115" i="551"/>
  <c r="I29" i="550"/>
  <c r="I41" i="550" s="1"/>
  <c r="R353" i="550"/>
  <c r="AO352" i="550"/>
  <c r="S172" i="566" l="1"/>
  <c r="R155" i="566"/>
  <c r="L414" i="549"/>
  <c r="M428" i="549" s="1"/>
  <c r="M431" i="549" s="1"/>
  <c r="C413" i="549"/>
  <c r="AO414" i="549"/>
  <c r="C414" i="549" s="1"/>
  <c r="O431" i="549"/>
  <c r="P441" i="549"/>
  <c r="P444" i="549" s="1"/>
  <c r="I43" i="550"/>
  <c r="I55" i="550" s="1"/>
  <c r="Q41" i="551"/>
  <c r="N423" i="550"/>
  <c r="R368" i="550"/>
  <c r="AO367" i="550"/>
  <c r="E238" i="550"/>
  <c r="K132" i="551"/>
  <c r="H200" i="550"/>
  <c r="D336" i="550"/>
  <c r="S189" i="566" l="1"/>
  <c r="R172" i="566"/>
  <c r="I57" i="550"/>
  <c r="I74" i="550"/>
  <c r="O444" i="549"/>
  <c r="P459" i="549" s="1"/>
  <c r="P462" i="549" s="1"/>
  <c r="L431" i="549"/>
  <c r="M441" i="549" s="1"/>
  <c r="M444" i="549" s="1"/>
  <c r="AO431" i="549"/>
  <c r="C431" i="549" s="1"/>
  <c r="C430" i="549"/>
  <c r="N434" i="550"/>
  <c r="D353" i="550"/>
  <c r="E241" i="550"/>
  <c r="H241" i="550" s="1"/>
  <c r="E258" i="550"/>
  <c r="H217" i="550"/>
  <c r="K147" i="551"/>
  <c r="R382" i="550"/>
  <c r="AO381" i="550"/>
  <c r="Q60" i="551"/>
  <c r="S206" i="566" l="1"/>
  <c r="R189" i="566"/>
  <c r="L444" i="549"/>
  <c r="M459" i="549" s="1"/>
  <c r="M462" i="549" s="1"/>
  <c r="C443" i="549"/>
  <c r="AO444" i="549"/>
  <c r="C444" i="549" s="1"/>
  <c r="O462" i="549"/>
  <c r="P483" i="549" s="1"/>
  <c r="P490" i="549" s="1"/>
  <c r="Q72" i="551"/>
  <c r="H228" i="550"/>
  <c r="K165" i="551"/>
  <c r="D368" i="550"/>
  <c r="N443" i="550"/>
  <c r="N2" i="551" s="1"/>
  <c r="N20" i="551" s="1"/>
  <c r="R395" i="550"/>
  <c r="AO394" i="550"/>
  <c r="I88" i="550"/>
  <c r="I76" i="550"/>
  <c r="E272" i="550"/>
  <c r="E263" i="550"/>
  <c r="H263" i="550" s="1"/>
  <c r="S223" i="566" l="1"/>
  <c r="R206" i="566"/>
  <c r="L462" i="549"/>
  <c r="M483" i="549"/>
  <c r="M490" i="549" s="1"/>
  <c r="N494" i="549" s="1"/>
  <c r="C488" i="549" s="1"/>
  <c r="C493" i="549" s="1"/>
  <c r="C495" i="549" s="1"/>
  <c r="C461" i="549"/>
  <c r="AO462" i="549"/>
  <c r="C462" i="549" s="1"/>
  <c r="E275" i="550"/>
  <c r="H275" i="550" s="1"/>
  <c r="E287" i="550"/>
  <c r="K179" i="551"/>
  <c r="R412" i="550"/>
  <c r="AO411" i="550"/>
  <c r="Q92" i="551"/>
  <c r="I90" i="550"/>
  <c r="I110" i="550" s="1"/>
  <c r="D382" i="550"/>
  <c r="P486" i="549"/>
  <c r="N41" i="551"/>
  <c r="H238" i="550"/>
  <c r="R223" i="566" l="1"/>
  <c r="S240" i="566"/>
  <c r="I112" i="550"/>
  <c r="I121" i="550" s="1"/>
  <c r="N60" i="551"/>
  <c r="P2" i="550"/>
  <c r="O486" i="549"/>
  <c r="O2" i="550" s="1"/>
  <c r="R423" i="550"/>
  <c r="AO422" i="550"/>
  <c r="H258" i="550"/>
  <c r="Q104" i="551"/>
  <c r="E299" i="550"/>
  <c r="D395" i="550"/>
  <c r="K194" i="551"/>
  <c r="M486" i="549"/>
  <c r="R240" i="566" l="1"/>
  <c r="S257" i="566"/>
  <c r="I133" i="550"/>
  <c r="I123" i="550"/>
  <c r="K205" i="551"/>
  <c r="P12" i="550"/>
  <c r="L486" i="549"/>
  <c r="L2" i="550" s="1"/>
  <c r="M2" i="550"/>
  <c r="C485" i="549"/>
  <c r="AO486" i="549"/>
  <c r="D412" i="550"/>
  <c r="E302" i="550"/>
  <c r="H302" i="550" s="1"/>
  <c r="R434" i="550"/>
  <c r="AO433" i="550"/>
  <c r="N72" i="551"/>
  <c r="Q115" i="551"/>
  <c r="H272" i="550"/>
  <c r="S274" i="566" l="1"/>
  <c r="R257" i="566"/>
  <c r="R443" i="550"/>
  <c r="R2" i="551" s="1"/>
  <c r="AO442" i="550"/>
  <c r="AO2" i="550"/>
  <c r="C486" i="549"/>
  <c r="C497" i="549" s="1"/>
  <c r="E497" i="549" s="1"/>
  <c r="P15" i="550"/>
  <c r="Q132" i="551"/>
  <c r="E316" i="550"/>
  <c r="H287" i="550"/>
  <c r="N92" i="551"/>
  <c r="M12" i="550"/>
  <c r="C2" i="550"/>
  <c r="C1" i="550"/>
  <c r="D423" i="550"/>
  <c r="K216" i="551"/>
  <c r="I135" i="550"/>
  <c r="I158" i="550" s="1"/>
  <c r="R274" i="566" l="1"/>
  <c r="S291" i="566"/>
  <c r="I160" i="550"/>
  <c r="I171" i="550" s="1"/>
  <c r="D434" i="550"/>
  <c r="K230" i="551"/>
  <c r="M15" i="550"/>
  <c r="Q147" i="551"/>
  <c r="N104" i="551"/>
  <c r="H299" i="550"/>
  <c r="O15" i="550"/>
  <c r="P27" i="550"/>
  <c r="P24" i="550"/>
  <c r="E326" i="550"/>
  <c r="R20" i="551"/>
  <c r="AO19" i="551"/>
  <c r="S308" i="566" l="1"/>
  <c r="R291" i="566"/>
  <c r="I173" i="550"/>
  <c r="I185" i="550" s="1"/>
  <c r="L15" i="550"/>
  <c r="M24" i="550"/>
  <c r="C14" i="550"/>
  <c r="AO15" i="550"/>
  <c r="C15" i="550" s="1"/>
  <c r="N115" i="551"/>
  <c r="E336" i="550"/>
  <c r="R41" i="551"/>
  <c r="AO40" i="551"/>
  <c r="Q165" i="551"/>
  <c r="D443" i="550"/>
  <c r="O27" i="550"/>
  <c r="P38" i="550"/>
  <c r="H316" i="550"/>
  <c r="K246" i="551"/>
  <c r="S325" i="566" l="1"/>
  <c r="R308" i="566"/>
  <c r="I187" i="550"/>
  <c r="E339" i="550"/>
  <c r="H339" i="550" s="1"/>
  <c r="E353" i="550"/>
  <c r="Q179" i="551"/>
  <c r="R60" i="551"/>
  <c r="AO59" i="551"/>
  <c r="N132" i="551"/>
  <c r="D2" i="551"/>
  <c r="P41" i="550"/>
  <c r="H326" i="550"/>
  <c r="M27" i="550"/>
  <c r="K258" i="551"/>
  <c r="S342" i="566" l="1"/>
  <c r="R325" i="566"/>
  <c r="H336" i="550"/>
  <c r="R72" i="551"/>
  <c r="AO71" i="551"/>
  <c r="L27" i="550"/>
  <c r="M38" i="550"/>
  <c r="AO27" i="550"/>
  <c r="C27" i="550" s="1"/>
  <c r="C26" i="550"/>
  <c r="E356" i="550"/>
  <c r="H356" i="550" s="1"/>
  <c r="E368" i="550"/>
  <c r="P55" i="550"/>
  <c r="O41" i="550"/>
  <c r="P52" i="550"/>
  <c r="N147" i="551"/>
  <c r="Q194" i="551"/>
  <c r="I200" i="550"/>
  <c r="K273" i="551"/>
  <c r="D20" i="551"/>
  <c r="S359" i="566" l="1"/>
  <c r="R342" i="566"/>
  <c r="D41" i="551"/>
  <c r="N165" i="551"/>
  <c r="R92" i="551"/>
  <c r="AO91" i="551"/>
  <c r="P74" i="550"/>
  <c r="O55" i="550"/>
  <c r="P71" i="550"/>
  <c r="I202" i="550"/>
  <c r="I217" i="550"/>
  <c r="K291" i="551"/>
  <c r="E371" i="550"/>
  <c r="H371" i="550" s="1"/>
  <c r="E382" i="550"/>
  <c r="M41" i="550"/>
  <c r="Q205" i="551"/>
  <c r="H353" i="550"/>
  <c r="R359" i="566" l="1"/>
  <c r="S376" i="566"/>
  <c r="K303" i="551"/>
  <c r="L41" i="550"/>
  <c r="M52" i="550"/>
  <c r="M55" i="550" s="1"/>
  <c r="AO41" i="550"/>
  <c r="C41" i="550" s="1"/>
  <c r="C40" i="550"/>
  <c r="E385" i="550"/>
  <c r="H385" i="550" s="1"/>
  <c r="R104" i="551"/>
  <c r="AO103" i="551"/>
  <c r="Q216" i="551"/>
  <c r="H368" i="550"/>
  <c r="I219" i="550"/>
  <c r="I228" i="550" s="1"/>
  <c r="P88" i="550"/>
  <c r="O74" i="550"/>
  <c r="P85" i="550"/>
  <c r="N179" i="551"/>
  <c r="D60" i="551"/>
  <c r="S393" i="566" l="1"/>
  <c r="R376" i="566"/>
  <c r="I230" i="550"/>
  <c r="I238" i="550" s="1"/>
  <c r="L55" i="550"/>
  <c r="M74" i="550"/>
  <c r="M71" i="550"/>
  <c r="AO55" i="550"/>
  <c r="C55" i="550" s="1"/>
  <c r="C54" i="550"/>
  <c r="O88" i="550"/>
  <c r="P107" i="550"/>
  <c r="P110" i="550" s="1"/>
  <c r="R115" i="551"/>
  <c r="AO114" i="551"/>
  <c r="D72" i="551"/>
  <c r="N194" i="551"/>
  <c r="Q230" i="551"/>
  <c r="H382" i="550"/>
  <c r="E395" i="550"/>
  <c r="K314" i="551"/>
  <c r="S410" i="566" l="1"/>
  <c r="R393" i="566"/>
  <c r="P121" i="550"/>
  <c r="O110" i="550"/>
  <c r="P118" i="550"/>
  <c r="I240" i="550"/>
  <c r="I258" i="550" s="1"/>
  <c r="Q246" i="551"/>
  <c r="H395" i="550"/>
  <c r="N205" i="551"/>
  <c r="D92" i="551"/>
  <c r="E398" i="550"/>
  <c r="H398" i="550" s="1"/>
  <c r="R132" i="551"/>
  <c r="AO131" i="551"/>
  <c r="L74" i="550"/>
  <c r="M85" i="550"/>
  <c r="M88" i="550" s="1"/>
  <c r="AO74" i="550"/>
  <c r="C74" i="550" s="1"/>
  <c r="C73" i="550"/>
  <c r="K332" i="551"/>
  <c r="R410" i="566" l="1"/>
  <c r="S427" i="566"/>
  <c r="I260" i="550"/>
  <c r="I272" i="550" s="1"/>
  <c r="L88" i="550"/>
  <c r="M107" i="550"/>
  <c r="M110" i="550" s="1"/>
  <c r="C87" i="550"/>
  <c r="AO88" i="550"/>
  <c r="C88" i="550" s="1"/>
  <c r="K351" i="551"/>
  <c r="N216" i="551"/>
  <c r="Q258" i="551"/>
  <c r="E412" i="550"/>
  <c r="D104" i="551"/>
  <c r="R147" i="551"/>
  <c r="AO146" i="551"/>
  <c r="H412" i="550"/>
  <c r="H423" i="550" s="1"/>
  <c r="H434" i="550" s="1"/>
  <c r="H443" i="550" s="1"/>
  <c r="H2" i="551" s="1"/>
  <c r="O121" i="550"/>
  <c r="P130" i="550" s="1"/>
  <c r="P133" i="550"/>
  <c r="S444" i="566" l="1"/>
  <c r="R427" i="566"/>
  <c r="L110" i="550"/>
  <c r="M118" i="550"/>
  <c r="C109" i="550"/>
  <c r="AO110" i="550"/>
  <c r="C110" i="550" s="1"/>
  <c r="I274" i="550"/>
  <c r="Q273" i="551"/>
  <c r="K363" i="551"/>
  <c r="R165" i="551"/>
  <c r="AO164" i="551"/>
  <c r="O133" i="550"/>
  <c r="P155" i="550" s="1"/>
  <c r="D115" i="551"/>
  <c r="E423" i="550"/>
  <c r="N230" i="551"/>
  <c r="S461" i="566" l="1"/>
  <c r="R444" i="566"/>
  <c r="R179" i="551"/>
  <c r="AO178" i="551"/>
  <c r="Q291" i="551"/>
  <c r="D132" i="551"/>
  <c r="E434" i="550"/>
  <c r="P158" i="550"/>
  <c r="I287" i="550"/>
  <c r="N246" i="551"/>
  <c r="K375" i="551"/>
  <c r="M121" i="550"/>
  <c r="R461" i="566" l="1"/>
  <c r="S478" i="566"/>
  <c r="L121" i="550"/>
  <c r="M130" i="550"/>
  <c r="C120" i="550"/>
  <c r="AO121" i="550"/>
  <c r="C121" i="550" s="1"/>
  <c r="N258" i="551"/>
  <c r="D147" i="551"/>
  <c r="Q303" i="551"/>
  <c r="I299" i="550"/>
  <c r="I289" i="550"/>
  <c r="E443" i="550"/>
  <c r="R194" i="551"/>
  <c r="AO193" i="551"/>
  <c r="K389" i="551"/>
  <c r="O158" i="550"/>
  <c r="P168" i="550" s="1"/>
  <c r="R478" i="566" l="1"/>
  <c r="S495" i="566"/>
  <c r="R205" i="551"/>
  <c r="AO204" i="551"/>
  <c r="D165" i="551"/>
  <c r="P171" i="550"/>
  <c r="Q314" i="551"/>
  <c r="K399" i="551"/>
  <c r="N273" i="551"/>
  <c r="E2" i="551"/>
  <c r="I301" i="550"/>
  <c r="M133" i="550"/>
  <c r="S512" i="566" l="1"/>
  <c r="R495" i="566"/>
  <c r="I316" i="550"/>
  <c r="E20" i="551"/>
  <c r="E10" i="551"/>
  <c r="H10" i="551" s="1"/>
  <c r="H20" i="551" s="1"/>
  <c r="D179" i="551"/>
  <c r="L133" i="550"/>
  <c r="M155" i="550" s="1"/>
  <c r="M158" i="550"/>
  <c r="C132" i="550"/>
  <c r="AO133" i="550"/>
  <c r="C133" i="550" s="1"/>
  <c r="O171" i="550"/>
  <c r="P182" i="550"/>
  <c r="K411" i="551"/>
  <c r="N291" i="551"/>
  <c r="R216" i="551"/>
  <c r="AO215" i="551"/>
  <c r="Q332" i="551"/>
  <c r="S529" i="566" l="1"/>
  <c r="R529" i="566" s="1"/>
  <c r="R512" i="566"/>
  <c r="N303" i="551"/>
  <c r="L158" i="550"/>
  <c r="M168" i="550" s="1"/>
  <c r="M171" i="550" s="1"/>
  <c r="C157" i="550"/>
  <c r="AO158" i="550"/>
  <c r="C158" i="550" s="1"/>
  <c r="D194" i="551"/>
  <c r="E41" i="551"/>
  <c r="E23" i="551"/>
  <c r="H23" i="551" s="1"/>
  <c r="H41" i="551" s="1"/>
  <c r="P185" i="550"/>
  <c r="I318" i="550"/>
  <c r="I326" i="550"/>
  <c r="Q351" i="551"/>
  <c r="R230" i="551"/>
  <c r="AO229" i="551"/>
  <c r="K424" i="551"/>
  <c r="L171" i="550" l="1"/>
  <c r="M185" i="550"/>
  <c r="M182" i="550"/>
  <c r="AO171" i="550"/>
  <c r="C171" i="550" s="1"/>
  <c r="C170" i="550"/>
  <c r="R246" i="551"/>
  <c r="AO245" i="551"/>
  <c r="E46" i="551"/>
  <c r="H46" i="551" s="1"/>
  <c r="H60" i="551" s="1"/>
  <c r="H72" i="551" s="1"/>
  <c r="H92" i="551" s="1"/>
  <c r="H104" i="551" s="1"/>
  <c r="H115" i="551" s="1"/>
  <c r="E60" i="551"/>
  <c r="O185" i="550"/>
  <c r="P200" i="550"/>
  <c r="P197" i="550"/>
  <c r="Q363" i="551"/>
  <c r="I328" i="550"/>
  <c r="I336" i="550" s="1"/>
  <c r="N314" i="551"/>
  <c r="K437" i="551"/>
  <c r="D205" i="551"/>
  <c r="I338" i="550" l="1"/>
  <c r="I353" i="550" s="1"/>
  <c r="K454" i="551"/>
  <c r="Q375" i="551"/>
  <c r="D216" i="551"/>
  <c r="R258" i="551"/>
  <c r="AO257" i="551"/>
  <c r="N332" i="551"/>
  <c r="O200" i="550"/>
  <c r="P214" i="550"/>
  <c r="E72" i="551"/>
  <c r="M200" i="550"/>
  <c r="L185" i="550"/>
  <c r="M197" i="550"/>
  <c r="C184" i="550"/>
  <c r="AO185" i="550"/>
  <c r="C185" i="550" s="1"/>
  <c r="I368" i="550" l="1"/>
  <c r="I355" i="550"/>
  <c r="E92" i="551"/>
  <c r="R273" i="551"/>
  <c r="AO272" i="551"/>
  <c r="N351" i="551"/>
  <c r="D230" i="551"/>
  <c r="P217" i="550"/>
  <c r="K2" i="552"/>
  <c r="K17" i="552" s="1"/>
  <c r="L200" i="550"/>
  <c r="M217" i="550"/>
  <c r="M214" i="550"/>
  <c r="AO200" i="550"/>
  <c r="C200" i="550" s="1"/>
  <c r="C199" i="550"/>
  <c r="Q389" i="551"/>
  <c r="L217" i="550" l="1"/>
  <c r="M225" i="550" s="1"/>
  <c r="C216" i="550"/>
  <c r="AO217" i="550"/>
  <c r="C217" i="550" s="1"/>
  <c r="N363" i="551"/>
  <c r="Q399" i="551"/>
  <c r="E104" i="551"/>
  <c r="K42" i="552"/>
  <c r="D246" i="551"/>
  <c r="R291" i="551"/>
  <c r="AO290" i="551"/>
  <c r="I370" i="550"/>
  <c r="I382" i="550"/>
  <c r="P228" i="550"/>
  <c r="O217" i="550"/>
  <c r="P225" i="550"/>
  <c r="Q411" i="551" l="1"/>
  <c r="O228" i="550"/>
  <c r="P235" i="550" s="1"/>
  <c r="P238" i="550" s="1"/>
  <c r="D258" i="551"/>
  <c r="R303" i="551"/>
  <c r="AO302" i="551"/>
  <c r="K57" i="552"/>
  <c r="E115" i="551"/>
  <c r="N375" i="551"/>
  <c r="M228" i="550"/>
  <c r="I384" i="550"/>
  <c r="O238" i="550" l="1"/>
  <c r="P255" i="550"/>
  <c r="L228" i="550"/>
  <c r="M235" i="550" s="1"/>
  <c r="M238" i="550" s="1"/>
  <c r="AO228" i="550"/>
  <c r="C228" i="550" s="1"/>
  <c r="C227" i="550"/>
  <c r="Q424" i="551"/>
  <c r="N389" i="551"/>
  <c r="I395" i="550"/>
  <c r="K69" i="552"/>
  <c r="E122" i="551"/>
  <c r="H122" i="551" s="1"/>
  <c r="H132" i="551" s="1"/>
  <c r="E132" i="551"/>
  <c r="R314" i="551"/>
  <c r="AO313" i="551"/>
  <c r="D273" i="551"/>
  <c r="L238" i="550" l="1"/>
  <c r="M255" i="550"/>
  <c r="M258" i="550" s="1"/>
  <c r="AO238" i="550"/>
  <c r="C238" i="550" s="1"/>
  <c r="C237" i="550"/>
  <c r="R332" i="551"/>
  <c r="AO331" i="551"/>
  <c r="E137" i="551"/>
  <c r="H137" i="551" s="1"/>
  <c r="E147" i="551"/>
  <c r="N399" i="551"/>
  <c r="P258" i="550"/>
  <c r="H147" i="551"/>
  <c r="D291" i="551"/>
  <c r="K93" i="552"/>
  <c r="Q437" i="551"/>
  <c r="I397" i="550"/>
  <c r="L258" i="550" l="1"/>
  <c r="M269" i="550"/>
  <c r="C257" i="550"/>
  <c r="AO258" i="550"/>
  <c r="C258" i="550" s="1"/>
  <c r="Q454" i="551"/>
  <c r="Q2" i="552" s="1"/>
  <c r="O258" i="550"/>
  <c r="P269" i="550"/>
  <c r="E152" i="551"/>
  <c r="H152" i="551" s="1"/>
  <c r="H165" i="551" s="1"/>
  <c r="E165" i="551"/>
  <c r="R351" i="551"/>
  <c r="AO350" i="551"/>
  <c r="I412" i="550"/>
  <c r="K116" i="552"/>
  <c r="D303" i="551"/>
  <c r="N411" i="551"/>
  <c r="N424" i="551" l="1"/>
  <c r="K131" i="552"/>
  <c r="R363" i="551"/>
  <c r="AO362" i="551"/>
  <c r="Q17" i="552"/>
  <c r="I414" i="550"/>
  <c r="D314" i="551"/>
  <c r="P272" i="550"/>
  <c r="E179" i="551"/>
  <c r="E170" i="551"/>
  <c r="H170" i="551" s="1"/>
  <c r="H179" i="551" s="1"/>
  <c r="M272" i="550"/>
  <c r="K146" i="552" l="1"/>
  <c r="E185" i="551"/>
  <c r="H185" i="551" s="1"/>
  <c r="H194" i="551" s="1"/>
  <c r="H205" i="551" s="1"/>
  <c r="H216" i="551" s="1"/>
  <c r="N437" i="551"/>
  <c r="O272" i="550"/>
  <c r="P284" i="550"/>
  <c r="P287" i="550" s="1"/>
  <c r="R375" i="551"/>
  <c r="AO374" i="551"/>
  <c r="L272" i="550"/>
  <c r="M284" i="550"/>
  <c r="C271" i="550"/>
  <c r="AO272" i="550"/>
  <c r="C272" i="550" s="1"/>
  <c r="D332" i="551"/>
  <c r="I423" i="550"/>
  <c r="Q42" i="552"/>
  <c r="O287" i="550" l="1"/>
  <c r="P296" i="550"/>
  <c r="P299" i="550" s="1"/>
  <c r="I425" i="550"/>
  <c r="C446" i="550" s="1"/>
  <c r="K169" i="552"/>
  <c r="R389" i="551"/>
  <c r="AO388" i="551"/>
  <c r="Q57" i="552"/>
  <c r="D351" i="551"/>
  <c r="M287" i="550"/>
  <c r="N454" i="551"/>
  <c r="E194" i="551"/>
  <c r="O299" i="550" l="1"/>
  <c r="P313" i="550"/>
  <c r="D363" i="551"/>
  <c r="R399" i="551"/>
  <c r="AO398" i="551"/>
  <c r="E205" i="551"/>
  <c r="L287" i="550"/>
  <c r="M296" i="550" s="1"/>
  <c r="C286" i="550"/>
  <c r="AO287" i="550"/>
  <c r="C287" i="550" s="1"/>
  <c r="Q69" i="552"/>
  <c r="N2" i="552"/>
  <c r="N17" i="552" s="1"/>
  <c r="K193" i="552"/>
  <c r="I434" i="550"/>
  <c r="D375" i="551" l="1"/>
  <c r="K206" i="552"/>
  <c r="R411" i="551"/>
  <c r="AO410" i="551"/>
  <c r="N42" i="552"/>
  <c r="P316" i="550"/>
  <c r="I443" i="550"/>
  <c r="Q93" i="552"/>
  <c r="M299" i="550"/>
  <c r="E216" i="551"/>
  <c r="Q116" i="552" l="1"/>
  <c r="O316" i="550"/>
  <c r="P323" i="550" s="1"/>
  <c r="P326" i="550"/>
  <c r="E220" i="551"/>
  <c r="H220" i="551" s="1"/>
  <c r="H230" i="551" s="1"/>
  <c r="R424" i="551"/>
  <c r="AO423" i="551"/>
  <c r="M316" i="550"/>
  <c r="L299" i="550"/>
  <c r="M313" i="550"/>
  <c r="AO299" i="550"/>
  <c r="C299" i="550" s="1"/>
  <c r="C298" i="550"/>
  <c r="N57" i="552"/>
  <c r="D389" i="551"/>
  <c r="I2" i="551"/>
  <c r="K232" i="552"/>
  <c r="K249" i="552" l="1"/>
  <c r="O326" i="550"/>
  <c r="P333" i="550" s="1"/>
  <c r="P336" i="550"/>
  <c r="L316" i="550"/>
  <c r="M323" i="550" s="1"/>
  <c r="M326" i="550" s="1"/>
  <c r="AO316" i="550"/>
  <c r="C316" i="550" s="1"/>
  <c r="C315" i="550"/>
  <c r="Q131" i="552"/>
  <c r="D399" i="551"/>
  <c r="I4" i="551"/>
  <c r="N69" i="552"/>
  <c r="R437" i="551"/>
  <c r="AO436" i="551"/>
  <c r="E230" i="551"/>
  <c r="L326" i="550" l="1"/>
  <c r="M333" i="550" s="1"/>
  <c r="AO326" i="550"/>
  <c r="C326" i="550" s="1"/>
  <c r="C325" i="550"/>
  <c r="O336" i="550"/>
  <c r="P353" i="550"/>
  <c r="P350" i="550"/>
  <c r="N93" i="552"/>
  <c r="Q146" i="552"/>
  <c r="R454" i="551"/>
  <c r="R2" i="552" s="1"/>
  <c r="AO453" i="551"/>
  <c r="E235" i="551"/>
  <c r="H235" i="551" s="1"/>
  <c r="H246" i="551" s="1"/>
  <c r="I20" i="551"/>
  <c r="D411" i="551"/>
  <c r="K265" i="552"/>
  <c r="D424" i="551" l="1"/>
  <c r="E246" i="551"/>
  <c r="Q169" i="552"/>
  <c r="I41" i="551"/>
  <c r="I22" i="551"/>
  <c r="O353" i="550"/>
  <c r="P365" i="550"/>
  <c r="P368" i="550" s="1"/>
  <c r="K290" i="552"/>
  <c r="R17" i="552"/>
  <c r="AO16" i="552"/>
  <c r="N116" i="552"/>
  <c r="M336" i="550"/>
  <c r="O368" i="550" l="1"/>
  <c r="P379" i="550"/>
  <c r="P382" i="550" s="1"/>
  <c r="I43" i="551"/>
  <c r="I60" i="551" s="1"/>
  <c r="E250" i="551"/>
  <c r="H250" i="551" s="1"/>
  <c r="H258" i="551" s="1"/>
  <c r="R42" i="552"/>
  <c r="AO41" i="552"/>
  <c r="Q193" i="552"/>
  <c r="L336" i="550"/>
  <c r="M350" i="550"/>
  <c r="C335" i="550"/>
  <c r="AO336" i="550"/>
  <c r="C336" i="550" s="1"/>
  <c r="N131" i="552"/>
  <c r="K308" i="552"/>
  <c r="D437" i="551"/>
  <c r="O382" i="550" l="1"/>
  <c r="P392" i="550"/>
  <c r="I72" i="551"/>
  <c r="I62" i="551"/>
  <c r="K321" i="552"/>
  <c r="D454" i="551"/>
  <c r="N146" i="552"/>
  <c r="Q206" i="552"/>
  <c r="M353" i="550"/>
  <c r="R57" i="552"/>
  <c r="AO56" i="552"/>
  <c r="E258" i="551"/>
  <c r="L353" i="550" l="1"/>
  <c r="M365" i="550"/>
  <c r="C352" i="550"/>
  <c r="AO353" i="550"/>
  <c r="C353" i="550" s="1"/>
  <c r="R69" i="552"/>
  <c r="AO68" i="552"/>
  <c r="D2" i="552"/>
  <c r="I74" i="551"/>
  <c r="N169" i="552"/>
  <c r="E265" i="551"/>
  <c r="H265" i="551" s="1"/>
  <c r="H273" i="551" s="1"/>
  <c r="E273" i="551"/>
  <c r="Q232" i="552"/>
  <c r="K333" i="552"/>
  <c r="P395" i="550"/>
  <c r="K349" i="552" l="1"/>
  <c r="N193" i="552"/>
  <c r="I92" i="551"/>
  <c r="O395" i="550"/>
  <c r="P409" i="550"/>
  <c r="E291" i="551"/>
  <c r="E279" i="551"/>
  <c r="H279" i="551" s="1"/>
  <c r="H291" i="551"/>
  <c r="H303" i="551" s="1"/>
  <c r="H314" i="551" s="1"/>
  <c r="D17" i="552"/>
  <c r="R93" i="552"/>
  <c r="AO92" i="552"/>
  <c r="M368" i="550"/>
  <c r="Q249" i="552"/>
  <c r="D42" i="552" l="1"/>
  <c r="N206" i="552"/>
  <c r="E303" i="551"/>
  <c r="I94" i="551"/>
  <c r="K372" i="552"/>
  <c r="Q265" i="552"/>
  <c r="R116" i="552"/>
  <c r="AO115" i="552"/>
  <c r="L368" i="550"/>
  <c r="M379" i="550"/>
  <c r="C367" i="550"/>
  <c r="AO368" i="550"/>
  <c r="C368" i="550" s="1"/>
  <c r="P412" i="550"/>
  <c r="N232" i="552" l="1"/>
  <c r="R131" i="552"/>
  <c r="AO130" i="552"/>
  <c r="K394" i="552"/>
  <c r="I104" i="551"/>
  <c r="E314" i="551"/>
  <c r="Q290" i="552"/>
  <c r="O412" i="550"/>
  <c r="P420" i="550"/>
  <c r="P423" i="550" s="1"/>
  <c r="M382" i="550"/>
  <c r="D57" i="552"/>
  <c r="O423" i="550" l="1"/>
  <c r="P431" i="550"/>
  <c r="P434" i="550" s="1"/>
  <c r="D69" i="552"/>
  <c r="K409" i="552"/>
  <c r="N249" i="552"/>
  <c r="L382" i="550"/>
  <c r="M395" i="550"/>
  <c r="M392" i="550"/>
  <c r="C381" i="550"/>
  <c r="AO382" i="550"/>
  <c r="C382" i="550" s="1"/>
  <c r="Q308" i="552"/>
  <c r="E323" i="551"/>
  <c r="H323" i="551" s="1"/>
  <c r="H332" i="551" s="1"/>
  <c r="E332" i="551"/>
  <c r="I106" i="551"/>
  <c r="I115" i="551"/>
  <c r="R146" i="552"/>
  <c r="AO145" i="552"/>
  <c r="O434" i="550" l="1"/>
  <c r="P443" i="550"/>
  <c r="I117" i="551"/>
  <c r="I132" i="551" s="1"/>
  <c r="M412" i="550"/>
  <c r="L395" i="550"/>
  <c r="M409" i="550"/>
  <c r="AO395" i="550"/>
  <c r="C395" i="550" s="1"/>
  <c r="C394" i="550"/>
  <c r="R169" i="552"/>
  <c r="AO168" i="552"/>
  <c r="K431" i="552"/>
  <c r="P447" i="550"/>
  <c r="E335" i="551"/>
  <c r="H335" i="551" s="1"/>
  <c r="H351" i="551" s="1"/>
  <c r="E351" i="551"/>
  <c r="Q321" i="552"/>
  <c r="N265" i="552"/>
  <c r="D93" i="552"/>
  <c r="I134" i="551" l="1"/>
  <c r="I147" i="551"/>
  <c r="Q333" i="552"/>
  <c r="R193" i="552"/>
  <c r="AO192" i="552"/>
  <c r="D116" i="552"/>
  <c r="N290" i="552"/>
  <c r="L412" i="550"/>
  <c r="M420" i="550"/>
  <c r="M423" i="550" s="1"/>
  <c r="AO412" i="550"/>
  <c r="C412" i="550" s="1"/>
  <c r="C411" i="550"/>
  <c r="E354" i="551"/>
  <c r="H354" i="551" s="1"/>
  <c r="H363" i="551" s="1"/>
  <c r="H375" i="551" s="1"/>
  <c r="K450" i="552"/>
  <c r="P2" i="551"/>
  <c r="O443" i="550"/>
  <c r="O2" i="551" s="1"/>
  <c r="L423" i="550" l="1"/>
  <c r="M434" i="550"/>
  <c r="M431" i="550"/>
  <c r="C422" i="550"/>
  <c r="AO423" i="550"/>
  <c r="C423" i="550" s="1"/>
  <c r="R206" i="552"/>
  <c r="AO205" i="552"/>
  <c r="K463" i="552"/>
  <c r="Q349" i="552"/>
  <c r="I149" i="551"/>
  <c r="I165" i="551" s="1"/>
  <c r="E363" i="551"/>
  <c r="P17" i="551"/>
  <c r="D131" i="552"/>
  <c r="M447" i="550"/>
  <c r="N451" i="550" s="1"/>
  <c r="C445" i="550" s="1"/>
  <c r="C450" i="550" s="1"/>
  <c r="C452" i="550" s="1"/>
  <c r="N308" i="552"/>
  <c r="I167" i="551" l="1"/>
  <c r="D146" i="552"/>
  <c r="Q372" i="552"/>
  <c r="L434" i="550"/>
  <c r="M443" i="550"/>
  <c r="C433" i="550"/>
  <c r="AO434" i="550"/>
  <c r="C434" i="550" s="1"/>
  <c r="R232" i="552"/>
  <c r="AO231" i="552"/>
  <c r="P20" i="551"/>
  <c r="N321" i="552"/>
  <c r="E375" i="551"/>
  <c r="K482" i="552"/>
  <c r="K503" i="552" l="1"/>
  <c r="N333" i="552"/>
  <c r="R249" i="552"/>
  <c r="AO248" i="552"/>
  <c r="L443" i="550"/>
  <c r="L2" i="551" s="1"/>
  <c r="M17" i="551" s="1"/>
  <c r="M2" i="551"/>
  <c r="C442" i="550"/>
  <c r="AO443" i="550"/>
  <c r="Q394" i="552"/>
  <c r="O20" i="551"/>
  <c r="P38" i="551" s="1"/>
  <c r="E380" i="551"/>
  <c r="H380" i="551" s="1"/>
  <c r="H389" i="551" s="1"/>
  <c r="H399" i="551" s="1"/>
  <c r="H411" i="551" s="1"/>
  <c r="D169" i="552"/>
  <c r="I179" i="551"/>
  <c r="Q409" i="552" l="1"/>
  <c r="M20" i="551"/>
  <c r="C1" i="551"/>
  <c r="C2" i="551"/>
  <c r="N349" i="552"/>
  <c r="I181" i="551"/>
  <c r="I194" i="551"/>
  <c r="C443" i="550"/>
  <c r="C454" i="550" s="1"/>
  <c r="E454" i="550" s="1"/>
  <c r="H454" i="550" s="1"/>
  <c r="AO2" i="551"/>
  <c r="D193" i="552"/>
  <c r="P41" i="551"/>
  <c r="E389" i="551"/>
  <c r="R265" i="552"/>
  <c r="AO264" i="552"/>
  <c r="K523" i="552"/>
  <c r="K539" i="552" l="1"/>
  <c r="I196" i="551"/>
  <c r="L20" i="551"/>
  <c r="M38" i="551" s="1"/>
  <c r="M41" i="551"/>
  <c r="AO20" i="551"/>
  <c r="C20" i="551" s="1"/>
  <c r="C19" i="551"/>
  <c r="O41" i="551"/>
  <c r="P57" i="551"/>
  <c r="P60" i="551" s="1"/>
  <c r="Q431" i="552"/>
  <c r="R290" i="552"/>
  <c r="AO289" i="552"/>
  <c r="D206" i="552"/>
  <c r="E399" i="551"/>
  <c r="N372" i="552"/>
  <c r="O60" i="551" l="1"/>
  <c r="P69" i="551"/>
  <c r="P72" i="551" s="1"/>
  <c r="N394" i="552"/>
  <c r="R308" i="552"/>
  <c r="AO307" i="552"/>
  <c r="L41" i="551"/>
  <c r="M57" i="551"/>
  <c r="M60" i="551" s="1"/>
  <c r="C40" i="551"/>
  <c r="AO41" i="551"/>
  <c r="C41" i="551" s="1"/>
  <c r="E411" i="551"/>
  <c r="Q450" i="552"/>
  <c r="I205" i="551"/>
  <c r="D232" i="552"/>
  <c r="K559" i="552"/>
  <c r="O72" i="551" l="1"/>
  <c r="P89" i="551"/>
  <c r="L60" i="551"/>
  <c r="M69" i="551"/>
  <c r="M72" i="551" s="1"/>
  <c r="C59" i="551"/>
  <c r="AO60" i="551"/>
  <c r="C60" i="551" s="1"/>
  <c r="I207" i="551"/>
  <c r="I216" i="551"/>
  <c r="N409" i="552"/>
  <c r="D249" i="552"/>
  <c r="R321" i="552"/>
  <c r="AO320" i="552"/>
  <c r="K578" i="552"/>
  <c r="Q463" i="552"/>
  <c r="E414" i="551"/>
  <c r="H414" i="551" s="1"/>
  <c r="H424" i="551" s="1"/>
  <c r="L72" i="551" l="1"/>
  <c r="M89" i="551"/>
  <c r="M92" i="551" s="1"/>
  <c r="AO72" i="551"/>
  <c r="C72" i="551" s="1"/>
  <c r="C71" i="551"/>
  <c r="K2" i="554"/>
  <c r="K14" i="554" s="1"/>
  <c r="Q482" i="552"/>
  <c r="R333" i="552"/>
  <c r="AO332" i="552"/>
  <c r="I230" i="551"/>
  <c r="I218" i="551"/>
  <c r="E424" i="551"/>
  <c r="D265" i="552"/>
  <c r="N431" i="552"/>
  <c r="P92" i="551"/>
  <c r="L92" i="551" l="1"/>
  <c r="M104" i="551"/>
  <c r="M101" i="551"/>
  <c r="C91" i="551"/>
  <c r="AO92" i="551"/>
  <c r="C92" i="551" s="1"/>
  <c r="O92" i="551"/>
  <c r="P101" i="551"/>
  <c r="P104" i="551" s="1"/>
  <c r="D290" i="552"/>
  <c r="N450" i="552"/>
  <c r="K32" i="554"/>
  <c r="I232" i="551"/>
  <c r="I246" i="551"/>
  <c r="E427" i="551"/>
  <c r="H427" i="551" s="1"/>
  <c r="H437" i="551" s="1"/>
  <c r="E437" i="551"/>
  <c r="Q503" i="552"/>
  <c r="R349" i="552"/>
  <c r="AO348" i="552"/>
  <c r="O104" i="551" l="1"/>
  <c r="P112" i="551"/>
  <c r="P115" i="551" s="1"/>
  <c r="D308" i="552"/>
  <c r="Q523" i="552"/>
  <c r="R372" i="552"/>
  <c r="AO371" i="552"/>
  <c r="K50" i="554"/>
  <c r="E440" i="551"/>
  <c r="H440" i="551" s="1"/>
  <c r="H454" i="551" s="1"/>
  <c r="H2" i="552" s="1"/>
  <c r="H17" i="552" s="1"/>
  <c r="H42" i="552" s="1"/>
  <c r="H57" i="552" s="1"/>
  <c r="H69" i="552" s="1"/>
  <c r="H93" i="552" s="1"/>
  <c r="H116" i="552" s="1"/>
  <c r="H131" i="552" s="1"/>
  <c r="H146" i="552" s="1"/>
  <c r="H169" i="552" s="1"/>
  <c r="H193" i="552" s="1"/>
  <c r="H206" i="552" s="1"/>
  <c r="H232" i="552" s="1"/>
  <c r="H249" i="552" s="1"/>
  <c r="H265" i="552" s="1"/>
  <c r="H290" i="552" s="1"/>
  <c r="H308" i="552" s="1"/>
  <c r="H321" i="552" s="1"/>
  <c r="H333" i="552" s="1"/>
  <c r="H349" i="552" s="1"/>
  <c r="H372" i="552" s="1"/>
  <c r="H394" i="552" s="1"/>
  <c r="H409" i="552" s="1"/>
  <c r="H431" i="552" s="1"/>
  <c r="H450" i="552" s="1"/>
  <c r="H463" i="552" s="1"/>
  <c r="H482" i="552" s="1"/>
  <c r="H503" i="552" s="1"/>
  <c r="H523" i="552" s="1"/>
  <c r="H539" i="552" s="1"/>
  <c r="H559" i="552" s="1"/>
  <c r="H578" i="552" s="1"/>
  <c r="H2" i="554" s="1"/>
  <c r="H14" i="554" s="1"/>
  <c r="H32" i="554" s="1"/>
  <c r="H50" i="554" s="1"/>
  <c r="H64" i="554" s="1"/>
  <c r="H80" i="554" s="1"/>
  <c r="H97" i="554" s="1"/>
  <c r="H109" i="554" s="1"/>
  <c r="H121" i="554" s="1"/>
  <c r="H135" i="554" s="1"/>
  <c r="H156" i="554" s="1"/>
  <c r="H173" i="554" s="1"/>
  <c r="H187" i="554" s="1"/>
  <c r="H202" i="554" s="1"/>
  <c r="H214" i="554" s="1"/>
  <c r="H226" i="554" s="1"/>
  <c r="H238" i="554" s="1"/>
  <c r="H250" i="554" s="1"/>
  <c r="H270" i="554" s="1"/>
  <c r="H284" i="554" s="1"/>
  <c r="H303" i="554" s="1"/>
  <c r="H315" i="554" s="1"/>
  <c r="H327" i="554" s="1"/>
  <c r="H340" i="554" s="1"/>
  <c r="H354" i="554" s="1"/>
  <c r="H371" i="554" s="1"/>
  <c r="H386" i="554" s="1"/>
  <c r="H408" i="554" s="1"/>
  <c r="H420" i="554" s="1"/>
  <c r="H434" i="554" s="1"/>
  <c r="H452" i="554" s="1"/>
  <c r="H469" i="554" s="1"/>
  <c r="H2" i="557" s="1"/>
  <c r="H19" i="557" s="1"/>
  <c r="H36" i="557" s="1"/>
  <c r="I248" i="551"/>
  <c r="N463" i="552"/>
  <c r="L104" i="551"/>
  <c r="M112" i="551"/>
  <c r="C103" i="551"/>
  <c r="AO104" i="551"/>
  <c r="C104" i="551" s="1"/>
  <c r="H53" i="557" l="1"/>
  <c r="H70" i="557" s="1"/>
  <c r="H87" i="557" s="1"/>
  <c r="H104" i="557" s="1"/>
  <c r="H121" i="557" s="1"/>
  <c r="H138" i="557" s="1"/>
  <c r="H155" i="557" s="1"/>
  <c r="H172" i="557" s="1"/>
  <c r="H189" i="557" s="1"/>
  <c r="H206" i="557" s="1"/>
  <c r="H223" i="557" s="1"/>
  <c r="H240" i="557" s="1"/>
  <c r="H257" i="557" s="1"/>
  <c r="H274" i="557" s="1"/>
  <c r="H291" i="557" s="1"/>
  <c r="H308" i="557" s="1"/>
  <c r="H325" i="557" s="1"/>
  <c r="H342" i="557" s="1"/>
  <c r="H359" i="557" s="1"/>
  <c r="H376" i="557" s="1"/>
  <c r="H393" i="557" s="1"/>
  <c r="H410" i="557" s="1"/>
  <c r="H427" i="557" s="1"/>
  <c r="H444" i="557" s="1"/>
  <c r="H461" i="557" s="1"/>
  <c r="H478" i="557" s="1"/>
  <c r="H495" i="557" s="1"/>
  <c r="H512" i="557" s="1"/>
  <c r="H529" i="557" s="1"/>
  <c r="O115" i="551"/>
  <c r="P129" i="551"/>
  <c r="K64" i="554"/>
  <c r="N482" i="552"/>
  <c r="I258" i="551"/>
  <c r="E454" i="551"/>
  <c r="D321" i="552"/>
  <c r="M115" i="551"/>
  <c r="R394" i="552"/>
  <c r="AO393" i="552"/>
  <c r="Q539" i="552"/>
  <c r="H2" i="560" l="1"/>
  <c r="H14" i="560" s="1"/>
  <c r="H30" i="560" s="1"/>
  <c r="H48" i="560" s="1"/>
  <c r="H62" i="560" s="1"/>
  <c r="H78" i="560" s="1"/>
  <c r="H97" i="560" s="1"/>
  <c r="H109" i="560" s="1"/>
  <c r="H121" i="560" s="1"/>
  <c r="H135" i="560" s="1"/>
  <c r="H157" i="560" s="1"/>
  <c r="H173" i="560" s="1"/>
  <c r="H187" i="560" s="1"/>
  <c r="H201" i="560" s="1"/>
  <c r="H214" i="560" s="1"/>
  <c r="H226" i="560" s="1"/>
  <c r="H238" i="560" s="1"/>
  <c r="H252" i="560" s="1"/>
  <c r="H272" i="560" s="1"/>
  <c r="H286" i="560" s="1"/>
  <c r="H305" i="560" s="1"/>
  <c r="H317" i="560" s="1"/>
  <c r="H329" i="560" s="1"/>
  <c r="H343" i="560" s="1"/>
  <c r="H359" i="560" s="1"/>
  <c r="H374" i="560" s="1"/>
  <c r="H389" i="560" s="1"/>
  <c r="H410" i="560" s="1"/>
  <c r="H422" i="560" s="1"/>
  <c r="H437" i="560" s="1"/>
  <c r="H455" i="560" s="1"/>
  <c r="H472" i="560" s="1"/>
  <c r="Q559" i="552"/>
  <c r="R409" i="552"/>
  <c r="AO408" i="552"/>
  <c r="N503" i="552"/>
  <c r="L115" i="551"/>
  <c r="M129" i="551"/>
  <c r="M132" i="551" s="1"/>
  <c r="AO115" i="551"/>
  <c r="C115" i="551" s="1"/>
  <c r="C114" i="551"/>
  <c r="E2" i="552"/>
  <c r="D333" i="552"/>
  <c r="I260" i="551"/>
  <c r="I273" i="551"/>
  <c r="K80" i="554"/>
  <c r="P132" i="551"/>
  <c r="L132" i="551" l="1"/>
  <c r="M144" i="551"/>
  <c r="M147" i="551" s="1"/>
  <c r="C131" i="551"/>
  <c r="AO132" i="551"/>
  <c r="C132" i="551" s="1"/>
  <c r="I275" i="551"/>
  <c r="I291" i="551" s="1"/>
  <c r="D349" i="552"/>
  <c r="E17" i="552"/>
  <c r="K97" i="554"/>
  <c r="R431" i="552"/>
  <c r="AO430" i="552"/>
  <c r="O132" i="551"/>
  <c r="P144" i="551"/>
  <c r="N523" i="552"/>
  <c r="Q578" i="552"/>
  <c r="Q2" i="554" s="1"/>
  <c r="L147" i="551" l="1"/>
  <c r="M162" i="551"/>
  <c r="I293" i="551"/>
  <c r="I303" i="551"/>
  <c r="K109" i="554"/>
  <c r="Q14" i="554"/>
  <c r="R450" i="552"/>
  <c r="AO449" i="552"/>
  <c r="D372" i="552"/>
  <c r="N539" i="552"/>
  <c r="P147" i="551"/>
  <c r="C146" i="551" s="1"/>
  <c r="E42" i="552"/>
  <c r="E57" i="552" l="1"/>
  <c r="N559" i="552"/>
  <c r="D394" i="552"/>
  <c r="Q32" i="554"/>
  <c r="I305" i="551"/>
  <c r="I314" i="551" s="1"/>
  <c r="R463" i="552"/>
  <c r="AO462" i="552"/>
  <c r="O147" i="551"/>
  <c r="P162" i="551"/>
  <c r="P165" i="551" s="1"/>
  <c r="K121" i="554"/>
  <c r="AO147" i="551"/>
  <c r="C147" i="551" s="1"/>
  <c r="M165" i="551"/>
  <c r="O165" i="551" l="1"/>
  <c r="P176" i="551"/>
  <c r="P179" i="551" s="1"/>
  <c r="I316" i="551"/>
  <c r="I332" i="551" s="1"/>
  <c r="L165" i="551"/>
  <c r="M179" i="551"/>
  <c r="M176" i="551"/>
  <c r="AO165" i="551"/>
  <c r="C165" i="551" s="1"/>
  <c r="C164" i="551"/>
  <c r="R482" i="552"/>
  <c r="AO481" i="552"/>
  <c r="N578" i="552"/>
  <c r="K135" i="554"/>
  <c r="D409" i="552"/>
  <c r="Q50" i="554"/>
  <c r="E69" i="552"/>
  <c r="O179" i="551" l="1"/>
  <c r="P191" i="551"/>
  <c r="I334" i="551"/>
  <c r="I351" i="551" s="1"/>
  <c r="E93" i="552"/>
  <c r="K156" i="554"/>
  <c r="R503" i="552"/>
  <c r="AO502" i="552"/>
  <c r="Q64" i="554"/>
  <c r="N2" i="554"/>
  <c r="N14" i="554" s="1"/>
  <c r="D431" i="552"/>
  <c r="L179" i="551"/>
  <c r="M194" i="551"/>
  <c r="M191" i="551"/>
  <c r="C178" i="551"/>
  <c r="AO179" i="551"/>
  <c r="C179" i="551" s="1"/>
  <c r="I353" i="551" l="1"/>
  <c r="M205" i="551"/>
  <c r="L194" i="551"/>
  <c r="M202" i="551"/>
  <c r="E116" i="552"/>
  <c r="Q80" i="554"/>
  <c r="K173" i="554"/>
  <c r="N32" i="554"/>
  <c r="P194" i="551"/>
  <c r="D450" i="552"/>
  <c r="R523" i="552"/>
  <c r="AO522" i="552"/>
  <c r="R539" i="552" l="1"/>
  <c r="AO538" i="552"/>
  <c r="P205" i="551"/>
  <c r="O194" i="551"/>
  <c r="P202" i="551"/>
  <c r="C193" i="551"/>
  <c r="K187" i="554"/>
  <c r="N50" i="554"/>
  <c r="E131" i="552"/>
  <c r="D463" i="552"/>
  <c r="Q97" i="554"/>
  <c r="AO194" i="551"/>
  <c r="C194" i="551" s="1"/>
  <c r="L205" i="551"/>
  <c r="M213" i="551"/>
  <c r="C204" i="551"/>
  <c r="AO205" i="551"/>
  <c r="C205" i="551" s="1"/>
  <c r="I363" i="551"/>
  <c r="I365" i="551" l="1"/>
  <c r="Q109" i="554"/>
  <c r="E146" i="552"/>
  <c r="N64" i="554"/>
  <c r="K202" i="554"/>
  <c r="O205" i="551"/>
  <c r="P213" i="551"/>
  <c r="P216" i="551" s="1"/>
  <c r="M216" i="551"/>
  <c r="D482" i="552"/>
  <c r="R559" i="552"/>
  <c r="AO558" i="552"/>
  <c r="O216" i="551" l="1"/>
  <c r="P227" i="551"/>
  <c r="D503" i="552"/>
  <c r="E169" i="552"/>
  <c r="L216" i="551"/>
  <c r="M227" i="551"/>
  <c r="M230" i="551" s="1"/>
  <c r="C215" i="551"/>
  <c r="AO216" i="551"/>
  <c r="C216" i="551" s="1"/>
  <c r="Q121" i="554"/>
  <c r="I375" i="551"/>
  <c r="R578" i="552"/>
  <c r="R2" i="554" s="1"/>
  <c r="AO577" i="552"/>
  <c r="N80" i="554"/>
  <c r="K214" i="554"/>
  <c r="L230" i="551" l="1"/>
  <c r="M243" i="551"/>
  <c r="M246" i="551" s="1"/>
  <c r="R14" i="554"/>
  <c r="AO13" i="554"/>
  <c r="E193" i="552"/>
  <c r="N97" i="554"/>
  <c r="I377" i="551"/>
  <c r="I389" i="551"/>
  <c r="D523" i="552"/>
  <c r="K226" i="554"/>
  <c r="Q135" i="554"/>
  <c r="P230" i="551"/>
  <c r="C229" i="551" s="1"/>
  <c r="L246" i="551" l="1"/>
  <c r="M255" i="551"/>
  <c r="D539" i="552"/>
  <c r="N109" i="554"/>
  <c r="E206" i="552"/>
  <c r="Q156" i="554"/>
  <c r="I399" i="551"/>
  <c r="I391" i="551"/>
  <c r="R32" i="554"/>
  <c r="AO31" i="554"/>
  <c r="P246" i="551"/>
  <c r="AO246" i="551" s="1"/>
  <c r="C246" i="551" s="1"/>
  <c r="O230" i="551"/>
  <c r="P243" i="551"/>
  <c r="K238" i="554"/>
  <c r="AO230" i="551"/>
  <c r="C230" i="551" s="1"/>
  <c r="I401" i="551" l="1"/>
  <c r="I411" i="551" s="1"/>
  <c r="K250" i="554"/>
  <c r="E232" i="552"/>
  <c r="D559" i="552"/>
  <c r="O246" i="551"/>
  <c r="P255" i="551"/>
  <c r="P258" i="551" s="1"/>
  <c r="Q173" i="554"/>
  <c r="N121" i="554"/>
  <c r="R50" i="554"/>
  <c r="AO49" i="554"/>
  <c r="C245" i="551"/>
  <c r="M258" i="551"/>
  <c r="O258" i="551" l="1"/>
  <c r="P270" i="551"/>
  <c r="I413" i="551"/>
  <c r="I424" i="551" s="1"/>
  <c r="Q187" i="554"/>
  <c r="D578" i="552"/>
  <c r="E249" i="552"/>
  <c r="N135" i="554"/>
  <c r="R64" i="554"/>
  <c r="AO63" i="554"/>
  <c r="K270" i="554"/>
  <c r="L258" i="551"/>
  <c r="M270" i="551"/>
  <c r="C257" i="551"/>
  <c r="AO258" i="551"/>
  <c r="C258" i="551" s="1"/>
  <c r="C457" i="551"/>
  <c r="I437" i="551" l="1"/>
  <c r="K284" i="554"/>
  <c r="M273" i="551"/>
  <c r="R80" i="554"/>
  <c r="AO79" i="554"/>
  <c r="D2" i="554"/>
  <c r="N156" i="554"/>
  <c r="E265" i="552"/>
  <c r="Q202" i="554"/>
  <c r="P273" i="551"/>
  <c r="E290" i="552" l="1"/>
  <c r="M291" i="551"/>
  <c r="L273" i="551"/>
  <c r="M288" i="551"/>
  <c r="AO273" i="551"/>
  <c r="C273" i="551" s="1"/>
  <c r="C272" i="551"/>
  <c r="Q214" i="554"/>
  <c r="D14" i="554"/>
  <c r="N173" i="554"/>
  <c r="P291" i="551"/>
  <c r="O273" i="551"/>
  <c r="P288" i="551"/>
  <c r="R97" i="554"/>
  <c r="AO96" i="554"/>
  <c r="K303" i="554"/>
  <c r="I454" i="551"/>
  <c r="D32" i="554" l="1"/>
  <c r="L291" i="551"/>
  <c r="M303" i="551"/>
  <c r="M300" i="551"/>
  <c r="C290" i="551"/>
  <c r="AO291" i="551"/>
  <c r="C291" i="551" s="1"/>
  <c r="R109" i="554"/>
  <c r="AO108" i="554"/>
  <c r="N187" i="554"/>
  <c r="I2" i="552"/>
  <c r="O291" i="551"/>
  <c r="P300" i="551"/>
  <c r="P303" i="551" s="1"/>
  <c r="K315" i="554"/>
  <c r="Q226" i="554"/>
  <c r="E308" i="552"/>
  <c r="O303" i="551" l="1"/>
  <c r="P311" i="551"/>
  <c r="P314" i="551" s="1"/>
  <c r="E321" i="552"/>
  <c r="N202" i="554"/>
  <c r="Q238" i="554"/>
  <c r="K327" i="554"/>
  <c r="D50" i="554"/>
  <c r="I17" i="552"/>
  <c r="R121" i="554"/>
  <c r="AO120" i="554"/>
  <c r="L303" i="551"/>
  <c r="M311" i="551"/>
  <c r="C302" i="551"/>
  <c r="AO303" i="551"/>
  <c r="C303" i="551" s="1"/>
  <c r="O314" i="551" l="1"/>
  <c r="P329" i="551"/>
  <c r="R135" i="554"/>
  <c r="AO134" i="554"/>
  <c r="D64" i="554"/>
  <c r="Q250" i="554"/>
  <c r="M314" i="551"/>
  <c r="I42" i="552"/>
  <c r="K340" i="554"/>
  <c r="N214" i="554"/>
  <c r="E333" i="552"/>
  <c r="K354" i="554" l="1"/>
  <c r="E349" i="552"/>
  <c r="L314" i="551"/>
  <c r="M329" i="551"/>
  <c r="C313" i="551"/>
  <c r="AO314" i="551"/>
  <c r="C314" i="551" s="1"/>
  <c r="R156" i="554"/>
  <c r="AO155" i="554"/>
  <c r="N226" i="554"/>
  <c r="D80" i="554"/>
  <c r="P332" i="551"/>
  <c r="I57" i="552"/>
  <c r="I44" i="552"/>
  <c r="Q270" i="554"/>
  <c r="Q284" i="554" l="1"/>
  <c r="D97" i="554"/>
  <c r="R173" i="554"/>
  <c r="AO172" i="554"/>
  <c r="M332" i="551"/>
  <c r="E372" i="552"/>
  <c r="I59" i="552"/>
  <c r="I69" i="552" s="1"/>
  <c r="O332" i="551"/>
  <c r="P348" i="551"/>
  <c r="N238" i="554"/>
  <c r="K371" i="554"/>
  <c r="I93" i="552" l="1"/>
  <c r="I71" i="552"/>
  <c r="K386" i="554"/>
  <c r="R187" i="554"/>
  <c r="AO186" i="554"/>
  <c r="P351" i="551"/>
  <c r="E394" i="552"/>
  <c r="N250" i="554"/>
  <c r="M351" i="551"/>
  <c r="L332" i="551"/>
  <c r="M348" i="551"/>
  <c r="C331" i="551"/>
  <c r="AO332" i="551"/>
  <c r="C332" i="551" s="1"/>
  <c r="D109" i="554"/>
  <c r="Q303" i="554"/>
  <c r="N270" i="554" l="1"/>
  <c r="E409" i="552"/>
  <c r="R202" i="554"/>
  <c r="AO201" i="554"/>
  <c r="O351" i="551"/>
  <c r="P360" i="551"/>
  <c r="Q315" i="554"/>
  <c r="D121" i="554"/>
  <c r="L351" i="551"/>
  <c r="M360" i="551"/>
  <c r="M363" i="551" s="1"/>
  <c r="C350" i="551"/>
  <c r="AO351" i="551"/>
  <c r="C351" i="551" s="1"/>
  <c r="K408" i="554"/>
  <c r="I95" i="552"/>
  <c r="I116" i="552"/>
  <c r="L363" i="551" l="1"/>
  <c r="M372" i="551"/>
  <c r="M375" i="551" s="1"/>
  <c r="Q327" i="554"/>
  <c r="E431" i="552"/>
  <c r="K420" i="554"/>
  <c r="D135" i="554"/>
  <c r="R214" i="554"/>
  <c r="AO213" i="554"/>
  <c r="I131" i="552"/>
  <c r="I118" i="552"/>
  <c r="P363" i="551"/>
  <c r="C362" i="551" s="1"/>
  <c r="N284" i="554"/>
  <c r="L375" i="551" l="1"/>
  <c r="M386" i="551"/>
  <c r="M389" i="551" s="1"/>
  <c r="D156" i="554"/>
  <c r="R226" i="554"/>
  <c r="AO225" i="554"/>
  <c r="E450" i="552"/>
  <c r="Q340" i="554"/>
  <c r="N303" i="554"/>
  <c r="K434" i="554"/>
  <c r="K452" i="554" s="1"/>
  <c r="K469" i="554" s="1"/>
  <c r="K2" i="557" s="1"/>
  <c r="K19" i="557" s="1"/>
  <c r="O363" i="551"/>
  <c r="P372" i="551"/>
  <c r="P375" i="551" s="1"/>
  <c r="I146" i="552"/>
  <c r="I133" i="552"/>
  <c r="AO363" i="551"/>
  <c r="C363" i="551" s="1"/>
  <c r="O375" i="551" l="1"/>
  <c r="P386" i="551"/>
  <c r="P389" i="551" s="1"/>
  <c r="AO375" i="551"/>
  <c r="C375" i="551" s="1"/>
  <c r="C374" i="551"/>
  <c r="L389" i="551"/>
  <c r="M396" i="551"/>
  <c r="M399" i="551" s="1"/>
  <c r="I148" i="552"/>
  <c r="I169" i="552" s="1"/>
  <c r="E463" i="552"/>
  <c r="D173" i="554"/>
  <c r="K36" i="557"/>
  <c r="K53" i="557" s="1"/>
  <c r="Q354" i="554"/>
  <c r="N315" i="554"/>
  <c r="R238" i="554"/>
  <c r="AO237" i="554"/>
  <c r="I171" i="552" l="1"/>
  <c r="I193" i="552" s="1"/>
  <c r="O389" i="551"/>
  <c r="P396" i="551"/>
  <c r="P399" i="551" s="1"/>
  <c r="C388" i="551"/>
  <c r="AO389" i="551"/>
  <c r="C389" i="551" s="1"/>
  <c r="L399" i="551"/>
  <c r="M411" i="551"/>
  <c r="M408" i="551"/>
  <c r="R250" i="554"/>
  <c r="AO249" i="554"/>
  <c r="Q371" i="554"/>
  <c r="E482" i="552"/>
  <c r="N327" i="554"/>
  <c r="D187" i="554"/>
  <c r="O399" i="551" l="1"/>
  <c r="P408" i="551"/>
  <c r="P411" i="551" s="1"/>
  <c r="AO399" i="551"/>
  <c r="C399" i="551" s="1"/>
  <c r="C398" i="551"/>
  <c r="I195" i="552"/>
  <c r="I206" i="552"/>
  <c r="D202" i="554"/>
  <c r="L411" i="551"/>
  <c r="M421" i="551"/>
  <c r="M424" i="551" s="1"/>
  <c r="E503" i="552"/>
  <c r="R270" i="554"/>
  <c r="AO269" i="554"/>
  <c r="N340" i="554"/>
  <c r="K70" i="557"/>
  <c r="Q386" i="554"/>
  <c r="O411" i="551" l="1"/>
  <c r="P424" i="551"/>
  <c r="P421" i="551"/>
  <c r="AO411" i="551"/>
  <c r="C411" i="551" s="1"/>
  <c r="C410" i="551"/>
  <c r="L424" i="551"/>
  <c r="M434" i="551"/>
  <c r="M437" i="551" s="1"/>
  <c r="C423" i="551"/>
  <c r="N354" i="554"/>
  <c r="Q408" i="554"/>
  <c r="I208" i="552"/>
  <c r="I232" i="552"/>
  <c r="E523" i="552"/>
  <c r="D214" i="554"/>
  <c r="K87" i="557"/>
  <c r="R284" i="554"/>
  <c r="AO283" i="554"/>
  <c r="L437" i="551" l="1"/>
  <c r="M451" i="551"/>
  <c r="M458" i="551" s="1"/>
  <c r="I234" i="552"/>
  <c r="I249" i="552"/>
  <c r="N371" i="554"/>
  <c r="K104" i="557"/>
  <c r="R303" i="554"/>
  <c r="AO302" i="554"/>
  <c r="D226" i="554"/>
  <c r="E539" i="552"/>
  <c r="O424" i="551"/>
  <c r="P434" i="551"/>
  <c r="P437" i="551" s="1"/>
  <c r="Q420" i="554"/>
  <c r="AO424" i="551"/>
  <c r="C424" i="551" s="1"/>
  <c r="O437" i="551" l="1"/>
  <c r="P451" i="551"/>
  <c r="P458" i="551" s="1"/>
  <c r="N462" i="551" s="1"/>
  <c r="C456" i="551" s="1"/>
  <c r="C461" i="551" s="1"/>
  <c r="C463" i="551" s="1"/>
  <c r="C436" i="551"/>
  <c r="AO437" i="551"/>
  <c r="C437" i="551" s="1"/>
  <c r="D238" i="554"/>
  <c r="I251" i="552"/>
  <c r="I265" i="552" s="1"/>
  <c r="R315" i="554"/>
  <c r="AO314" i="554"/>
  <c r="N386" i="554"/>
  <c r="E559" i="552"/>
  <c r="Q434" i="554"/>
  <c r="K121" i="557"/>
  <c r="M454" i="551"/>
  <c r="I267" i="552" l="1"/>
  <c r="I290" i="552"/>
  <c r="D250" i="554"/>
  <c r="Q452" i="554"/>
  <c r="R327" i="554"/>
  <c r="AO326" i="554"/>
  <c r="P454" i="551"/>
  <c r="AO454" i="551" s="1"/>
  <c r="E578" i="552"/>
  <c r="M2" i="552"/>
  <c r="L454" i="551"/>
  <c r="L2" i="552" s="1"/>
  <c r="C453" i="551"/>
  <c r="K138" i="557"/>
  <c r="N408" i="554"/>
  <c r="C454" i="551" l="1"/>
  <c r="C467" i="551" s="1"/>
  <c r="E468" i="551" s="1"/>
  <c r="H468" i="551" s="1"/>
  <c r="AO2" i="552"/>
  <c r="K155" i="557"/>
  <c r="N420" i="554"/>
  <c r="R340" i="554"/>
  <c r="AO339" i="554"/>
  <c r="E2" i="554"/>
  <c r="D270" i="554"/>
  <c r="I292" i="552"/>
  <c r="I308" i="552"/>
  <c r="M14" i="552"/>
  <c r="O454" i="551"/>
  <c r="O2" i="552" s="1"/>
  <c r="P2" i="552"/>
  <c r="Q469" i="554"/>
  <c r="T2" i="557" s="1"/>
  <c r="I321" i="552" l="1"/>
  <c r="I310" i="552"/>
  <c r="M17" i="552"/>
  <c r="R354" i="554"/>
  <c r="AO353" i="554"/>
  <c r="K172" i="557"/>
  <c r="P14" i="552"/>
  <c r="T19" i="557"/>
  <c r="C2" i="552"/>
  <c r="C1" i="552"/>
  <c r="D284" i="554"/>
  <c r="E14" i="554"/>
  <c r="N434" i="554"/>
  <c r="N452" i="554" s="1"/>
  <c r="N469" i="554" s="1"/>
  <c r="N2" i="557" s="1"/>
  <c r="N19" i="557" s="1"/>
  <c r="E32" i="554" l="1"/>
  <c r="P17" i="552"/>
  <c r="AO17" i="552" s="1"/>
  <c r="C17" i="552" s="1"/>
  <c r="R371" i="554"/>
  <c r="AO370" i="554"/>
  <c r="L17" i="552"/>
  <c r="M39" i="552"/>
  <c r="C16" i="552"/>
  <c r="I323" i="552"/>
  <c r="I333" i="552"/>
  <c r="N36" i="557"/>
  <c r="N53" i="557" s="1"/>
  <c r="D303" i="554"/>
  <c r="T36" i="557"/>
  <c r="K189" i="557"/>
  <c r="T53" i="557" l="1"/>
  <c r="D315" i="554"/>
  <c r="I335" i="552"/>
  <c r="K206" i="557"/>
  <c r="M42" i="552"/>
  <c r="R386" i="554"/>
  <c r="AO385" i="554"/>
  <c r="P42" i="552"/>
  <c r="O17" i="552"/>
  <c r="P39" i="552"/>
  <c r="E50" i="554"/>
  <c r="L42" i="552" l="1"/>
  <c r="M54" i="552"/>
  <c r="C41" i="552"/>
  <c r="AO42" i="552"/>
  <c r="C42" i="552" s="1"/>
  <c r="N70" i="557"/>
  <c r="D327" i="554"/>
  <c r="O42" i="552"/>
  <c r="P54" i="552"/>
  <c r="P57" i="552" s="1"/>
  <c r="K223" i="557"/>
  <c r="T70" i="557"/>
  <c r="E64" i="554"/>
  <c r="R408" i="554"/>
  <c r="AO407" i="554"/>
  <c r="I349" i="552"/>
  <c r="O57" i="552" l="1"/>
  <c r="P66" i="552"/>
  <c r="N87" i="557"/>
  <c r="E80" i="554"/>
  <c r="K240" i="557"/>
  <c r="M57" i="552"/>
  <c r="R420" i="554"/>
  <c r="AO419" i="554"/>
  <c r="I351" i="552"/>
  <c r="I372" i="552" s="1"/>
  <c r="T87" i="557"/>
  <c r="D340" i="554"/>
  <c r="I374" i="552" l="1"/>
  <c r="I394" i="552" s="1"/>
  <c r="L57" i="552"/>
  <c r="M66" i="552"/>
  <c r="C56" i="552"/>
  <c r="AO57" i="552"/>
  <c r="C57" i="552" s="1"/>
  <c r="N104" i="557"/>
  <c r="K257" i="557"/>
  <c r="E97" i="554"/>
  <c r="T104" i="557"/>
  <c r="P69" i="552"/>
  <c r="D354" i="554"/>
  <c r="R434" i="554"/>
  <c r="AO433" i="554"/>
  <c r="I396" i="552" l="1"/>
  <c r="I409" i="552" s="1"/>
  <c r="R452" i="554"/>
  <c r="AO451" i="554"/>
  <c r="D371" i="554"/>
  <c r="O69" i="552"/>
  <c r="P90" i="552"/>
  <c r="K274" i="557"/>
  <c r="N121" i="557"/>
  <c r="T121" i="557"/>
  <c r="E109" i="554"/>
  <c r="M69" i="552"/>
  <c r="I411" i="552" l="1"/>
  <c r="I431" i="552" s="1"/>
  <c r="D386" i="554"/>
  <c r="L69" i="552"/>
  <c r="M90" i="552"/>
  <c r="AO69" i="552"/>
  <c r="C69" i="552" s="1"/>
  <c r="C68" i="552"/>
  <c r="P93" i="552"/>
  <c r="E121" i="554"/>
  <c r="N138" i="557"/>
  <c r="T138" i="557"/>
  <c r="K291" i="557"/>
  <c r="R469" i="554"/>
  <c r="U2" i="557" s="1"/>
  <c r="AO468" i="554"/>
  <c r="I433" i="552" l="1"/>
  <c r="I450" i="552"/>
  <c r="U19" i="557"/>
  <c r="AR18" i="557"/>
  <c r="K308" i="557"/>
  <c r="E135" i="554"/>
  <c r="N155" i="557"/>
  <c r="O93" i="552"/>
  <c r="P113" i="552"/>
  <c r="P116" i="552" s="1"/>
  <c r="M93" i="552"/>
  <c r="D408" i="554"/>
  <c r="T155" i="557"/>
  <c r="P131" i="552" l="1"/>
  <c r="O116" i="552"/>
  <c r="P128" i="552" s="1"/>
  <c r="T172" i="557"/>
  <c r="D420" i="554"/>
  <c r="K325" i="557"/>
  <c r="L93" i="552"/>
  <c r="M116" i="552"/>
  <c r="M113" i="552"/>
  <c r="AO93" i="552"/>
  <c r="C93" i="552" s="1"/>
  <c r="C92" i="552"/>
  <c r="I452" i="552"/>
  <c r="I463" i="552" s="1"/>
  <c r="N172" i="557"/>
  <c r="E156" i="554"/>
  <c r="U36" i="557"/>
  <c r="AR35" i="557"/>
  <c r="U53" i="557" l="1"/>
  <c r="AR52" i="557"/>
  <c r="I465" i="552"/>
  <c r="I482" i="552" s="1"/>
  <c r="L116" i="552"/>
  <c r="M128" i="552" s="1"/>
  <c r="AO116" i="552"/>
  <c r="C116" i="552" s="1"/>
  <c r="C115" i="552"/>
  <c r="T189" i="557"/>
  <c r="E173" i="554"/>
  <c r="N189" i="557"/>
  <c r="K342" i="557"/>
  <c r="D434" i="554"/>
  <c r="O131" i="552"/>
  <c r="P143" i="552" s="1"/>
  <c r="I484" i="552" l="1"/>
  <c r="I503" i="552"/>
  <c r="K359" i="557"/>
  <c r="T206" i="557"/>
  <c r="M131" i="552"/>
  <c r="E187" i="554"/>
  <c r="P146" i="552"/>
  <c r="D452" i="554"/>
  <c r="N206" i="557"/>
  <c r="U70" i="557"/>
  <c r="AR69" i="557"/>
  <c r="E202" i="554" l="1"/>
  <c r="K376" i="557"/>
  <c r="N223" i="557"/>
  <c r="L131" i="552"/>
  <c r="M143" i="552" s="1"/>
  <c r="C130" i="552"/>
  <c r="AO131" i="552"/>
  <c r="C131" i="552" s="1"/>
  <c r="I523" i="552"/>
  <c r="I505" i="552"/>
  <c r="D469" i="554"/>
  <c r="O146" i="552"/>
  <c r="P169" i="552"/>
  <c r="P166" i="552"/>
  <c r="U87" i="557"/>
  <c r="AR86" i="557"/>
  <c r="T223" i="557"/>
  <c r="O169" i="552" l="1"/>
  <c r="P190" i="552" s="1"/>
  <c r="P193" i="552" s="1"/>
  <c r="I525" i="552"/>
  <c r="I539" i="552" s="1"/>
  <c r="N240" i="557"/>
  <c r="U104" i="557"/>
  <c r="AR103" i="557"/>
  <c r="T240" i="557"/>
  <c r="D2" i="557"/>
  <c r="M146" i="552"/>
  <c r="K393" i="557"/>
  <c r="E214" i="554"/>
  <c r="O193" i="552" l="1"/>
  <c r="P203" i="552" s="1"/>
  <c r="I541" i="552"/>
  <c r="I559" i="552" s="1"/>
  <c r="K410" i="557"/>
  <c r="T257" i="557"/>
  <c r="N257" i="557"/>
  <c r="D19" i="557"/>
  <c r="M169" i="552"/>
  <c r="L146" i="552"/>
  <c r="M166" i="552"/>
  <c r="C145" i="552"/>
  <c r="AO146" i="552"/>
  <c r="C146" i="552" s="1"/>
  <c r="U121" i="557"/>
  <c r="AR120" i="557"/>
  <c r="E226" i="554"/>
  <c r="I561" i="552" l="1"/>
  <c r="C581" i="552" s="1"/>
  <c r="L169" i="552"/>
  <c r="M190" i="552" s="1"/>
  <c r="M193" i="552" s="1"/>
  <c r="AO169" i="552"/>
  <c r="C169" i="552" s="1"/>
  <c r="C168" i="552"/>
  <c r="K427" i="557"/>
  <c r="E238" i="554"/>
  <c r="N274" i="557"/>
  <c r="D36" i="557"/>
  <c r="D53" i="557" s="1"/>
  <c r="U138" i="557"/>
  <c r="AR137" i="557"/>
  <c r="T274" i="557"/>
  <c r="P206" i="552"/>
  <c r="L193" i="552" l="1"/>
  <c r="M203" i="552" s="1"/>
  <c r="M206" i="552" s="1"/>
  <c r="AO193" i="552"/>
  <c r="C193" i="552" s="1"/>
  <c r="C192" i="552"/>
  <c r="K444" i="557"/>
  <c r="E250" i="554"/>
  <c r="O206" i="552"/>
  <c r="P229" i="552" s="1"/>
  <c r="U155" i="557"/>
  <c r="AR154" i="557"/>
  <c r="T291" i="557"/>
  <c r="N291" i="557"/>
  <c r="I578" i="552"/>
  <c r="L206" i="552" l="1"/>
  <c r="M229" i="552" s="1"/>
  <c r="M232" i="552" s="1"/>
  <c r="AO206" i="552"/>
  <c r="C206" i="552" s="1"/>
  <c r="C205" i="552"/>
  <c r="T308" i="557"/>
  <c r="N308" i="557"/>
  <c r="U172" i="557"/>
  <c r="AR171" i="557"/>
  <c r="D70" i="557"/>
  <c r="E270" i="554"/>
  <c r="I2" i="554"/>
  <c r="P232" i="552"/>
  <c r="K461" i="557"/>
  <c r="L232" i="552" l="1"/>
  <c r="M246" i="552" s="1"/>
  <c r="M249" i="552" s="1"/>
  <c r="AO232" i="552"/>
  <c r="C232" i="552" s="1"/>
  <c r="C231" i="552"/>
  <c r="I4" i="554"/>
  <c r="I14" i="554" s="1"/>
  <c r="D87" i="557"/>
  <c r="K478" i="557"/>
  <c r="E284" i="554"/>
  <c r="N325" i="557"/>
  <c r="T325" i="557"/>
  <c r="O232" i="552"/>
  <c r="P246" i="552"/>
  <c r="U189" i="557"/>
  <c r="AR188" i="557"/>
  <c r="I16" i="554" l="1"/>
  <c r="I32" i="554" s="1"/>
  <c r="L249" i="552"/>
  <c r="M262" i="552" s="1"/>
  <c r="M265" i="552" s="1"/>
  <c r="U206" i="557"/>
  <c r="AR205" i="557"/>
  <c r="T342" i="557"/>
  <c r="P249" i="552"/>
  <c r="AO249" i="552" s="1"/>
  <c r="C249" i="552" s="1"/>
  <c r="N342" i="557"/>
  <c r="E303" i="554"/>
  <c r="K495" i="557"/>
  <c r="D104" i="557"/>
  <c r="L265" i="552" l="1"/>
  <c r="M287" i="552"/>
  <c r="M290" i="552" s="1"/>
  <c r="I34" i="554"/>
  <c r="I50" i="554"/>
  <c r="C248" i="552"/>
  <c r="K512" i="557"/>
  <c r="N359" i="557"/>
  <c r="T359" i="557"/>
  <c r="D121" i="557"/>
  <c r="O249" i="552"/>
  <c r="P262" i="552" s="1"/>
  <c r="E315" i="554"/>
  <c r="U223" i="557"/>
  <c r="AR222" i="557"/>
  <c r="L290" i="552" l="1"/>
  <c r="M305" i="552" s="1"/>
  <c r="M308" i="552" s="1"/>
  <c r="K529" i="557"/>
  <c r="T376" i="557"/>
  <c r="I52" i="554"/>
  <c r="I64" i="554"/>
  <c r="E327" i="554"/>
  <c r="N376" i="557"/>
  <c r="U240" i="557"/>
  <c r="AR239" i="557"/>
  <c r="P265" i="552"/>
  <c r="D138" i="557"/>
  <c r="K2" i="560" l="1"/>
  <c r="K14" i="560" s="1"/>
  <c r="L308" i="552"/>
  <c r="M318" i="552" s="1"/>
  <c r="M321" i="552" s="1"/>
  <c r="N393" i="557"/>
  <c r="U257" i="557"/>
  <c r="AR256" i="557"/>
  <c r="T393" i="557"/>
  <c r="I66" i="554"/>
  <c r="I80" i="554"/>
  <c r="D155" i="557"/>
  <c r="O265" i="552"/>
  <c r="P290" i="552"/>
  <c r="P287" i="552"/>
  <c r="AO265" i="552"/>
  <c r="C265" i="552" s="1"/>
  <c r="C264" i="552"/>
  <c r="E340" i="554"/>
  <c r="K30" i="560" l="1"/>
  <c r="L321" i="552"/>
  <c r="M330" i="552" s="1"/>
  <c r="M333" i="552" s="1"/>
  <c r="I82" i="554"/>
  <c r="I97" i="554" s="1"/>
  <c r="U274" i="557"/>
  <c r="AR273" i="557"/>
  <c r="T410" i="557"/>
  <c r="N410" i="557"/>
  <c r="E354" i="554"/>
  <c r="O290" i="552"/>
  <c r="P305" i="552" s="1"/>
  <c r="C289" i="552"/>
  <c r="AO290" i="552"/>
  <c r="C290" i="552" s="1"/>
  <c r="D172" i="557"/>
  <c r="K48" i="560" l="1"/>
  <c r="I99" i="554"/>
  <c r="I109" i="554"/>
  <c r="L333" i="552"/>
  <c r="M346" i="552" s="1"/>
  <c r="M349" i="552"/>
  <c r="N427" i="557"/>
  <c r="T427" i="557"/>
  <c r="U291" i="557"/>
  <c r="AR290" i="557"/>
  <c r="E371" i="554"/>
  <c r="D189" i="557"/>
  <c r="P308" i="552"/>
  <c r="K62" i="560" l="1"/>
  <c r="E386" i="554"/>
  <c r="L349" i="552"/>
  <c r="M369" i="552" s="1"/>
  <c r="I111" i="554"/>
  <c r="I121" i="554" s="1"/>
  <c r="D206" i="557"/>
  <c r="P321" i="552"/>
  <c r="O308" i="552"/>
  <c r="P318" i="552" s="1"/>
  <c r="AO308" i="552"/>
  <c r="C308" i="552" s="1"/>
  <c r="C307" i="552"/>
  <c r="U308" i="557"/>
  <c r="AR307" i="557"/>
  <c r="N444" i="557"/>
  <c r="T444" i="557"/>
  <c r="K78" i="560" l="1"/>
  <c r="I123" i="554"/>
  <c r="I135" i="554" s="1"/>
  <c r="T461" i="557"/>
  <c r="N461" i="557"/>
  <c r="D223" i="557"/>
  <c r="M372" i="552"/>
  <c r="U325" i="557"/>
  <c r="AR324" i="557"/>
  <c r="O321" i="552"/>
  <c r="P330" i="552" s="1"/>
  <c r="P333" i="552"/>
  <c r="C320" i="552"/>
  <c r="AO321" i="552"/>
  <c r="C321" i="552" s="1"/>
  <c r="E408" i="554"/>
  <c r="K97" i="560" l="1"/>
  <c r="I137" i="554"/>
  <c r="I156" i="554" s="1"/>
  <c r="L372" i="552"/>
  <c r="M391" i="552"/>
  <c r="E420" i="554"/>
  <c r="D240" i="557"/>
  <c r="N478" i="557"/>
  <c r="O333" i="552"/>
  <c r="P346" i="552"/>
  <c r="AO333" i="552"/>
  <c r="C333" i="552" s="1"/>
  <c r="C332" i="552"/>
  <c r="U342" i="557"/>
  <c r="AR341" i="557"/>
  <c r="T478" i="557"/>
  <c r="K109" i="560" l="1"/>
  <c r="K121" i="560" s="1"/>
  <c r="K135" i="560" s="1"/>
  <c r="I158" i="554"/>
  <c r="I173" i="554" s="1"/>
  <c r="T495" i="557"/>
  <c r="N495" i="557"/>
  <c r="E434" i="554"/>
  <c r="M394" i="552"/>
  <c r="U359" i="557"/>
  <c r="AR358" i="557"/>
  <c r="P349" i="552"/>
  <c r="D257" i="557"/>
  <c r="K157" i="560" l="1"/>
  <c r="K173" i="560" s="1"/>
  <c r="I175" i="554"/>
  <c r="I187" i="554" s="1"/>
  <c r="T512" i="557"/>
  <c r="D274" i="557"/>
  <c r="U376" i="557"/>
  <c r="AR375" i="557"/>
  <c r="E452" i="554"/>
  <c r="L394" i="552"/>
  <c r="M406" i="552" s="1"/>
  <c r="O349" i="552"/>
  <c r="P369" i="552"/>
  <c r="AO349" i="552"/>
  <c r="C349" i="552" s="1"/>
  <c r="C348" i="552"/>
  <c r="N512" i="557"/>
  <c r="K187" i="560" l="1"/>
  <c r="K201" i="560" s="1"/>
  <c r="I189" i="554"/>
  <c r="I202" i="554" s="1"/>
  <c r="E469" i="554"/>
  <c r="D291" i="557"/>
  <c r="N529" i="557"/>
  <c r="N2" i="565" s="1"/>
  <c r="N19" i="565" s="1"/>
  <c r="N36" i="565" s="1"/>
  <c r="N53" i="565" s="1"/>
  <c r="N70" i="565" s="1"/>
  <c r="N87" i="565" s="1"/>
  <c r="N104" i="565" s="1"/>
  <c r="N121" i="565" s="1"/>
  <c r="N138" i="565" s="1"/>
  <c r="N155" i="565" s="1"/>
  <c r="N172" i="565" s="1"/>
  <c r="N189" i="565" s="1"/>
  <c r="N206" i="565" s="1"/>
  <c r="N223" i="565" s="1"/>
  <c r="N240" i="565" s="1"/>
  <c r="N257" i="565" s="1"/>
  <c r="N274" i="565" s="1"/>
  <c r="N291" i="565" s="1"/>
  <c r="N308" i="565" s="1"/>
  <c r="N325" i="565" s="1"/>
  <c r="N342" i="565" s="1"/>
  <c r="N359" i="565" s="1"/>
  <c r="N376" i="565" s="1"/>
  <c r="N393" i="565" s="1"/>
  <c r="N410" i="565" s="1"/>
  <c r="N427" i="565" s="1"/>
  <c r="N444" i="565" s="1"/>
  <c r="N461" i="565" s="1"/>
  <c r="N478" i="565" s="1"/>
  <c r="N495" i="565" s="1"/>
  <c r="N512" i="565" s="1"/>
  <c r="N529" i="565" s="1"/>
  <c r="N2" i="566" s="1"/>
  <c r="N19" i="566" s="1"/>
  <c r="N36" i="566" s="1"/>
  <c r="N53" i="566" s="1"/>
  <c r="N70" i="566" s="1"/>
  <c r="N87" i="566" s="1"/>
  <c r="N104" i="566" s="1"/>
  <c r="N121" i="566" s="1"/>
  <c r="N138" i="566" s="1"/>
  <c r="N155" i="566" s="1"/>
  <c r="N172" i="566" s="1"/>
  <c r="N189" i="566" s="1"/>
  <c r="N206" i="566" s="1"/>
  <c r="N223" i="566" s="1"/>
  <c r="N240" i="566" s="1"/>
  <c r="N257" i="566" s="1"/>
  <c r="N274" i="566" s="1"/>
  <c r="N291" i="566" s="1"/>
  <c r="N308" i="566" s="1"/>
  <c r="N325" i="566" s="1"/>
  <c r="N342" i="566" s="1"/>
  <c r="N359" i="566" s="1"/>
  <c r="N376" i="566" s="1"/>
  <c r="N393" i="566" s="1"/>
  <c r="N410" i="566" s="1"/>
  <c r="N427" i="566" s="1"/>
  <c r="N444" i="566" s="1"/>
  <c r="N461" i="566" s="1"/>
  <c r="N478" i="566" s="1"/>
  <c r="N495" i="566" s="1"/>
  <c r="N512" i="566" s="1"/>
  <c r="N529" i="566" s="1"/>
  <c r="U393" i="557"/>
  <c r="AR392" i="557"/>
  <c r="P372" i="552"/>
  <c r="M409" i="552"/>
  <c r="T529" i="557"/>
  <c r="T2" i="560" l="1"/>
  <c r="N2" i="560"/>
  <c r="N14" i="560" s="1"/>
  <c r="K214" i="560"/>
  <c r="I214" i="554"/>
  <c r="I204" i="554"/>
  <c r="L409" i="552"/>
  <c r="M428" i="552"/>
  <c r="M431" i="552" s="1"/>
  <c r="O372" i="552"/>
  <c r="P391" i="552"/>
  <c r="C371" i="552"/>
  <c r="AO372" i="552"/>
  <c r="C372" i="552" s="1"/>
  <c r="U410" i="557"/>
  <c r="AR409" i="557"/>
  <c r="D308" i="557"/>
  <c r="E2" i="557"/>
  <c r="N30" i="560" l="1"/>
  <c r="T14" i="560"/>
  <c r="K226" i="560"/>
  <c r="L431" i="552"/>
  <c r="M447" i="552"/>
  <c r="M450" i="552" s="1"/>
  <c r="D325" i="557"/>
  <c r="E19" i="557"/>
  <c r="P394" i="552"/>
  <c r="U427" i="557"/>
  <c r="AR426" i="557"/>
  <c r="I216" i="554"/>
  <c r="K238" i="560" l="1"/>
  <c r="K252" i="560" s="1"/>
  <c r="N48" i="560"/>
  <c r="T30" i="560"/>
  <c r="L450" i="552"/>
  <c r="M460" i="552" s="1"/>
  <c r="D342" i="557"/>
  <c r="I226" i="554"/>
  <c r="U444" i="557"/>
  <c r="AR443" i="557"/>
  <c r="E36" i="557"/>
  <c r="E53" i="557" s="1"/>
  <c r="O394" i="552"/>
  <c r="P406" i="552" s="1"/>
  <c r="P409" i="552"/>
  <c r="AO394" i="552"/>
  <c r="C394" i="552" s="1"/>
  <c r="C393" i="552"/>
  <c r="K272" i="560" l="1"/>
  <c r="K286" i="560" s="1"/>
  <c r="T48" i="560"/>
  <c r="N62" i="560"/>
  <c r="O409" i="552"/>
  <c r="P431" i="552"/>
  <c r="P428" i="552"/>
  <c r="AO409" i="552"/>
  <c r="C409" i="552" s="1"/>
  <c r="C408" i="552"/>
  <c r="U461" i="557"/>
  <c r="AR460" i="557"/>
  <c r="I228" i="554"/>
  <c r="I238" i="554"/>
  <c r="D359" i="557"/>
  <c r="M463" i="552"/>
  <c r="N78" i="560" l="1"/>
  <c r="K305" i="560"/>
  <c r="K317" i="560" s="1"/>
  <c r="T62" i="560"/>
  <c r="I240" i="554"/>
  <c r="I250" i="554"/>
  <c r="U478" i="557"/>
  <c r="AR477" i="557"/>
  <c r="P450" i="552"/>
  <c r="O431" i="552"/>
  <c r="P447" i="552"/>
  <c r="AO431" i="552"/>
  <c r="C431" i="552" s="1"/>
  <c r="C430" i="552"/>
  <c r="L463" i="552"/>
  <c r="M479" i="552" s="1"/>
  <c r="M482" i="552" s="1"/>
  <c r="D376" i="557"/>
  <c r="E70" i="557"/>
  <c r="N97" i="560" l="1"/>
  <c r="K329" i="560"/>
  <c r="K343" i="560" s="1"/>
  <c r="T78" i="560"/>
  <c r="L482" i="552"/>
  <c r="M500" i="552" s="1"/>
  <c r="M503" i="552" s="1"/>
  <c r="E87" i="557"/>
  <c r="D393" i="557"/>
  <c r="O450" i="552"/>
  <c r="P460" i="552" s="1"/>
  <c r="P463" i="552"/>
  <c r="AO450" i="552"/>
  <c r="C450" i="552" s="1"/>
  <c r="C449" i="552"/>
  <c r="I252" i="554"/>
  <c r="I270" i="554"/>
  <c r="U495" i="557"/>
  <c r="AR494" i="557"/>
  <c r="T97" i="560" l="1"/>
  <c r="K359" i="560"/>
  <c r="N109" i="560"/>
  <c r="N121" i="560" s="1"/>
  <c r="N135" i="560" s="1"/>
  <c r="L503" i="552"/>
  <c r="M520" i="552" s="1"/>
  <c r="M523" i="552" s="1"/>
  <c r="I272" i="554"/>
  <c r="I284" i="554"/>
  <c r="U512" i="557"/>
  <c r="AR511" i="557"/>
  <c r="O463" i="552"/>
  <c r="P479" i="552" s="1"/>
  <c r="P482" i="552" s="1"/>
  <c r="AO463" i="552"/>
  <c r="C463" i="552" s="1"/>
  <c r="C462" i="552"/>
  <c r="D410" i="557"/>
  <c r="E104" i="557"/>
  <c r="N157" i="560" l="1"/>
  <c r="K374" i="560"/>
  <c r="T109" i="560"/>
  <c r="O482" i="552"/>
  <c r="P500" i="552"/>
  <c r="P503" i="552" s="1"/>
  <c r="C481" i="552"/>
  <c r="AO482" i="552"/>
  <c r="C482" i="552" s="1"/>
  <c r="M539" i="552"/>
  <c r="L523" i="552"/>
  <c r="M536" i="552" s="1"/>
  <c r="D427" i="557"/>
  <c r="I303" i="554"/>
  <c r="I286" i="554"/>
  <c r="E121" i="557"/>
  <c r="U529" i="557"/>
  <c r="AR528" i="557"/>
  <c r="K389" i="560" l="1"/>
  <c r="K410" i="560" s="1"/>
  <c r="U2" i="560"/>
  <c r="T121" i="560"/>
  <c r="N173" i="560"/>
  <c r="N187" i="560" s="1"/>
  <c r="N201" i="560" s="1"/>
  <c r="O503" i="552"/>
  <c r="P520" i="552"/>
  <c r="P523" i="552" s="1"/>
  <c r="C502" i="552"/>
  <c r="AO503" i="552"/>
  <c r="C503" i="552" s="1"/>
  <c r="E138" i="557"/>
  <c r="I305" i="554"/>
  <c r="I315" i="554"/>
  <c r="D444" i="557"/>
  <c r="M559" i="552"/>
  <c r="L539" i="552"/>
  <c r="M556" i="552" s="1"/>
  <c r="T135" i="560" l="1"/>
  <c r="U14" i="560"/>
  <c r="AR13" i="560"/>
  <c r="N214" i="560"/>
  <c r="K422" i="560"/>
  <c r="K437" i="560" s="1"/>
  <c r="K455" i="560" s="1"/>
  <c r="K472" i="560" s="1"/>
  <c r="P539" i="552"/>
  <c r="O523" i="552"/>
  <c r="P536" i="552"/>
  <c r="AO523" i="552"/>
  <c r="C523" i="552" s="1"/>
  <c r="C522" i="552"/>
  <c r="L559" i="552"/>
  <c r="M575" i="552"/>
  <c r="M582" i="552" s="1"/>
  <c r="D461" i="557"/>
  <c r="I317" i="554"/>
  <c r="E155" i="557"/>
  <c r="N226" i="560" l="1"/>
  <c r="T157" i="560"/>
  <c r="U30" i="560"/>
  <c r="AR29" i="560"/>
  <c r="D478" i="557"/>
  <c r="M578" i="552"/>
  <c r="E172" i="557"/>
  <c r="I327" i="554"/>
  <c r="O539" i="552"/>
  <c r="P556" i="552" s="1"/>
  <c r="P559" i="552" s="1"/>
  <c r="C538" i="552"/>
  <c r="AO539" i="552"/>
  <c r="C539" i="552" s="1"/>
  <c r="T173" i="560" l="1"/>
  <c r="U48" i="560"/>
  <c r="AR47" i="560"/>
  <c r="N238" i="560"/>
  <c r="N252" i="560" s="1"/>
  <c r="O559" i="552"/>
  <c r="P575" i="552"/>
  <c r="P582" i="552" s="1"/>
  <c r="N586" i="552" s="1"/>
  <c r="C580" i="552" s="1"/>
  <c r="C585" i="552" s="1"/>
  <c r="C587" i="552" s="1"/>
  <c r="AO559" i="552"/>
  <c r="C559" i="552" s="1"/>
  <c r="C558" i="552"/>
  <c r="M2" i="554"/>
  <c r="L578" i="552"/>
  <c r="L2" i="554" s="1"/>
  <c r="I329" i="554"/>
  <c r="I340" i="554"/>
  <c r="D495" i="557"/>
  <c r="E189" i="557"/>
  <c r="N272" i="560" l="1"/>
  <c r="U62" i="560"/>
  <c r="AR61" i="560"/>
  <c r="T187" i="560"/>
  <c r="D512" i="557"/>
  <c r="E206" i="557"/>
  <c r="I354" i="554"/>
  <c r="I342" i="554"/>
  <c r="M11" i="554"/>
  <c r="P578" i="552"/>
  <c r="N286" i="560" l="1"/>
  <c r="U78" i="560"/>
  <c r="AR77" i="560"/>
  <c r="T201" i="560"/>
  <c r="M14" i="554"/>
  <c r="O578" i="552"/>
  <c r="O2" i="554" s="1"/>
  <c r="P2" i="554"/>
  <c r="C577" i="552"/>
  <c r="AO578" i="552"/>
  <c r="E223" i="557"/>
  <c r="I356" i="554"/>
  <c r="I371" i="554"/>
  <c r="D529" i="557"/>
  <c r="U97" i="560" l="1"/>
  <c r="AR96" i="560"/>
  <c r="N305" i="560"/>
  <c r="D2" i="560"/>
  <c r="T214" i="560"/>
  <c r="C578" i="552"/>
  <c r="C591" i="552" s="1"/>
  <c r="E592" i="552" s="1"/>
  <c r="H592" i="552" s="1"/>
  <c r="AO2" i="554"/>
  <c r="P11" i="554"/>
  <c r="C1" i="554"/>
  <c r="C2" i="554"/>
  <c r="I386" i="554"/>
  <c r="I373" i="554"/>
  <c r="L14" i="554"/>
  <c r="M29" i="554"/>
  <c r="M32" i="554" s="1"/>
  <c r="E240" i="557"/>
  <c r="D14" i="560" l="1"/>
  <c r="U109" i="560"/>
  <c r="AR108" i="560"/>
  <c r="T226" i="560"/>
  <c r="N317" i="560"/>
  <c r="L32" i="554"/>
  <c r="M50" i="554"/>
  <c r="M47" i="554"/>
  <c r="I388" i="554"/>
  <c r="I408" i="554" s="1"/>
  <c r="E257" i="557"/>
  <c r="P14" i="554"/>
  <c r="N329" i="560" l="1"/>
  <c r="N343" i="560" s="1"/>
  <c r="U121" i="560"/>
  <c r="AR120" i="560"/>
  <c r="T238" i="560"/>
  <c r="D30" i="560"/>
  <c r="I410" i="554"/>
  <c r="C472" i="554" s="1"/>
  <c r="I420" i="554"/>
  <c r="E274" i="557"/>
  <c r="O14" i="554"/>
  <c r="P29" i="554"/>
  <c r="C13" i="554"/>
  <c r="AO14" i="554"/>
  <c r="C14" i="554" s="1"/>
  <c r="L50" i="554"/>
  <c r="M61" i="554"/>
  <c r="M64" i="554" s="1"/>
  <c r="D48" i="560" l="1"/>
  <c r="U135" i="560"/>
  <c r="AR134" i="560"/>
  <c r="T252" i="560"/>
  <c r="N359" i="560"/>
  <c r="L64" i="554"/>
  <c r="M80" i="554"/>
  <c r="M77" i="554"/>
  <c r="E291" i="557"/>
  <c r="P32" i="554"/>
  <c r="I434" i="554"/>
  <c r="N374" i="560" l="1"/>
  <c r="T272" i="560"/>
  <c r="U157" i="560"/>
  <c r="AR156" i="560"/>
  <c r="D62" i="560"/>
  <c r="I452" i="554"/>
  <c r="E308" i="557"/>
  <c r="O32" i="554"/>
  <c r="P47" i="554"/>
  <c r="C31" i="554"/>
  <c r="AO32" i="554"/>
  <c r="C32" i="554" s="1"/>
  <c r="L80" i="554"/>
  <c r="M97" i="554"/>
  <c r="M94" i="554"/>
  <c r="T286" i="560" l="1"/>
  <c r="D78" i="560"/>
  <c r="U173" i="560"/>
  <c r="AR172" i="560"/>
  <c r="N389" i="560"/>
  <c r="E325" i="557"/>
  <c r="I469" i="554"/>
  <c r="L97" i="554"/>
  <c r="M106" i="554" s="1"/>
  <c r="P50" i="554"/>
  <c r="T305" i="560" l="1"/>
  <c r="N410" i="560"/>
  <c r="U187" i="560"/>
  <c r="AR186" i="560"/>
  <c r="D97" i="560"/>
  <c r="O50" i="554"/>
  <c r="P61" i="554"/>
  <c r="P64" i="554" s="1"/>
  <c r="C49" i="554"/>
  <c r="AO50" i="554"/>
  <c r="C50" i="554" s="1"/>
  <c r="M109" i="554"/>
  <c r="E342" i="557"/>
  <c r="I2" i="557"/>
  <c r="T317" i="560" l="1"/>
  <c r="N422" i="560"/>
  <c r="D109" i="560"/>
  <c r="U201" i="560"/>
  <c r="AR200" i="560"/>
  <c r="P80" i="554"/>
  <c r="O64" i="554"/>
  <c r="P77" i="554"/>
  <c r="C63" i="554"/>
  <c r="AO64" i="554"/>
  <c r="C64" i="554" s="1"/>
  <c r="I19" i="557"/>
  <c r="E359" i="557"/>
  <c r="L109" i="554"/>
  <c r="M118" i="554" s="1"/>
  <c r="M121" i="554" s="1"/>
  <c r="T329" i="560" l="1"/>
  <c r="U214" i="560"/>
  <c r="AR213" i="560"/>
  <c r="D121" i="560"/>
  <c r="N437" i="560"/>
  <c r="L121" i="554"/>
  <c r="M132" i="554"/>
  <c r="M135" i="554" s="1"/>
  <c r="I36" i="557"/>
  <c r="I53" i="557" s="1"/>
  <c r="E376" i="557"/>
  <c r="O80" i="554"/>
  <c r="P94" i="554"/>
  <c r="P97" i="554" s="1"/>
  <c r="AO80" i="554"/>
  <c r="C80" i="554" s="1"/>
  <c r="C79" i="554"/>
  <c r="U226" i="560" l="1"/>
  <c r="AR225" i="560"/>
  <c r="N455" i="560"/>
  <c r="D135" i="560"/>
  <c r="T343" i="560"/>
  <c r="O97" i="554"/>
  <c r="P106" i="554" s="1"/>
  <c r="P109" i="554" s="1"/>
  <c r="C96" i="554"/>
  <c r="AO97" i="554"/>
  <c r="C97" i="554" s="1"/>
  <c r="L135" i="554"/>
  <c r="M153" i="554" s="1"/>
  <c r="M156" i="554" s="1"/>
  <c r="E393" i="557"/>
  <c r="T359" i="560" l="1"/>
  <c r="N472" i="560"/>
  <c r="U238" i="560"/>
  <c r="AR237" i="560"/>
  <c r="D157" i="560"/>
  <c r="L156" i="554"/>
  <c r="M170" i="554"/>
  <c r="M173" i="554" s="1"/>
  <c r="O109" i="554"/>
  <c r="P118" i="554" s="1"/>
  <c r="P121" i="554" s="1"/>
  <c r="AO109" i="554"/>
  <c r="C109" i="554" s="1"/>
  <c r="C108" i="554"/>
  <c r="I70" i="557"/>
  <c r="E410" i="557"/>
  <c r="U252" i="560" l="1"/>
  <c r="AR251" i="560"/>
  <c r="D173" i="560"/>
  <c r="T374" i="560"/>
  <c r="L173" i="554"/>
  <c r="M184" i="554" s="1"/>
  <c r="O121" i="554"/>
  <c r="P132" i="554"/>
  <c r="P135" i="554" s="1"/>
  <c r="AO121" i="554"/>
  <c r="C121" i="554" s="1"/>
  <c r="C120" i="554"/>
  <c r="E427" i="557"/>
  <c r="D187" i="560" l="1"/>
  <c r="U272" i="560"/>
  <c r="AR271" i="560"/>
  <c r="T389" i="560"/>
  <c r="O135" i="554"/>
  <c r="P153" i="554" s="1"/>
  <c r="P156" i="554" s="1"/>
  <c r="C134" i="554"/>
  <c r="AO135" i="554"/>
  <c r="C135" i="554" s="1"/>
  <c r="E444" i="557"/>
  <c r="I87" i="557"/>
  <c r="M187" i="554"/>
  <c r="D201" i="560" l="1"/>
  <c r="T410" i="560"/>
  <c r="U286" i="560"/>
  <c r="AR285" i="560"/>
  <c r="O156" i="554"/>
  <c r="P170" i="554" s="1"/>
  <c r="P173" i="554" s="1"/>
  <c r="C155" i="554"/>
  <c r="AO156" i="554"/>
  <c r="C156" i="554" s="1"/>
  <c r="L187" i="554"/>
  <c r="M199" i="554"/>
  <c r="M202" i="554" s="1"/>
  <c r="I104" i="557"/>
  <c r="E461" i="557"/>
  <c r="D214" i="560" l="1"/>
  <c r="U305" i="560"/>
  <c r="AR304" i="560"/>
  <c r="T422" i="560"/>
  <c r="L202" i="554"/>
  <c r="M211" i="554" s="1"/>
  <c r="M214" i="554"/>
  <c r="O173" i="554"/>
  <c r="P184" i="554" s="1"/>
  <c r="C172" i="554"/>
  <c r="AO173" i="554"/>
  <c r="C173" i="554" s="1"/>
  <c r="I121" i="557"/>
  <c r="E478" i="557"/>
  <c r="D226" i="560" l="1"/>
  <c r="T437" i="560"/>
  <c r="U317" i="560"/>
  <c r="AR316" i="560"/>
  <c r="E495" i="557"/>
  <c r="L214" i="554"/>
  <c r="M223" i="554"/>
  <c r="I138" i="557"/>
  <c r="P187" i="554"/>
  <c r="T455" i="560" l="1"/>
  <c r="U329" i="560"/>
  <c r="AR328" i="560"/>
  <c r="D238" i="560"/>
  <c r="I155" i="557"/>
  <c r="O187" i="554"/>
  <c r="P199" i="554"/>
  <c r="AO187" i="554"/>
  <c r="C187" i="554" s="1"/>
  <c r="C186" i="554"/>
  <c r="M226" i="554"/>
  <c r="E512" i="557"/>
  <c r="U343" i="560" l="1"/>
  <c r="AR342" i="560"/>
  <c r="D252" i="560"/>
  <c r="T472" i="560"/>
  <c r="L226" i="554"/>
  <c r="M235" i="554" s="1"/>
  <c r="M238" i="554"/>
  <c r="E529" i="557"/>
  <c r="P202" i="554"/>
  <c r="E2" i="560" l="1"/>
  <c r="U359" i="560"/>
  <c r="AR358" i="560"/>
  <c r="D272" i="560"/>
  <c r="I172" i="557"/>
  <c r="O202" i="554"/>
  <c r="P211" i="554" s="1"/>
  <c r="P214" i="554" s="1"/>
  <c r="AO202" i="554"/>
  <c r="C202" i="554" s="1"/>
  <c r="C201" i="554"/>
  <c r="L238" i="554"/>
  <c r="M247" i="554" s="1"/>
  <c r="M250" i="554" s="1"/>
  <c r="D286" i="560" l="1"/>
  <c r="U374" i="560"/>
  <c r="AR373" i="560"/>
  <c r="E14" i="560"/>
  <c r="L250" i="554"/>
  <c r="M267" i="554" s="1"/>
  <c r="M270" i="554" s="1"/>
  <c r="O214" i="554"/>
  <c r="P223" i="554"/>
  <c r="P226" i="554" s="1"/>
  <c r="AO214" i="554"/>
  <c r="C214" i="554" s="1"/>
  <c r="C213" i="554"/>
  <c r="I189" i="557"/>
  <c r="E30" i="560" l="1"/>
  <c r="D305" i="560"/>
  <c r="U389" i="560"/>
  <c r="AR388" i="560"/>
  <c r="O226" i="554"/>
  <c r="P235" i="554" s="1"/>
  <c r="C225" i="554"/>
  <c r="AO226" i="554"/>
  <c r="C226" i="554" s="1"/>
  <c r="L270" i="554"/>
  <c r="M281" i="554" s="1"/>
  <c r="M284" i="554" s="1"/>
  <c r="I206" i="557"/>
  <c r="D317" i="560" l="1"/>
  <c r="U410" i="560"/>
  <c r="AR409" i="560"/>
  <c r="E48" i="560"/>
  <c r="L284" i="554"/>
  <c r="M300" i="554" s="1"/>
  <c r="I223" i="557"/>
  <c r="P238" i="554"/>
  <c r="U422" i="560" l="1"/>
  <c r="AR421" i="560"/>
  <c r="D329" i="560"/>
  <c r="E62" i="560"/>
  <c r="I240" i="557"/>
  <c r="O238" i="554"/>
  <c r="P247" i="554" s="1"/>
  <c r="AO238" i="554"/>
  <c r="C238" i="554" s="1"/>
  <c r="C237" i="554"/>
  <c r="M303" i="554"/>
  <c r="E78" i="560" l="1"/>
  <c r="D343" i="560"/>
  <c r="U437" i="560"/>
  <c r="AR436" i="560"/>
  <c r="I257" i="557"/>
  <c r="P250" i="554"/>
  <c r="L303" i="554"/>
  <c r="M312" i="554"/>
  <c r="D359" i="560" l="1"/>
  <c r="U455" i="560"/>
  <c r="AR454" i="560"/>
  <c r="E97" i="560"/>
  <c r="I274" i="557"/>
  <c r="M315" i="554"/>
  <c r="O250" i="554"/>
  <c r="P267" i="554" s="1"/>
  <c r="P270" i="554"/>
  <c r="C249" i="554"/>
  <c r="AO250" i="554"/>
  <c r="C250" i="554" s="1"/>
  <c r="U472" i="560" l="1"/>
  <c r="AR471" i="560"/>
  <c r="E109" i="560"/>
  <c r="D374" i="560"/>
  <c r="O270" i="554"/>
  <c r="P281" i="554"/>
  <c r="P284" i="554" s="1"/>
  <c r="AO270" i="554"/>
  <c r="C270" i="554" s="1"/>
  <c r="C269" i="554"/>
  <c r="L315" i="554"/>
  <c r="M324" i="554" s="1"/>
  <c r="M327" i="554"/>
  <c r="E121" i="560" l="1"/>
  <c r="D389" i="560"/>
  <c r="O284" i="554"/>
  <c r="P300" i="554"/>
  <c r="AO284" i="554"/>
  <c r="C284" i="554" s="1"/>
  <c r="C283" i="554"/>
  <c r="L327" i="554"/>
  <c r="M337" i="554"/>
  <c r="M340" i="554" s="1"/>
  <c r="I291" i="557"/>
  <c r="E135" i="560" l="1"/>
  <c r="D410" i="560"/>
  <c r="L340" i="554"/>
  <c r="M351" i="554"/>
  <c r="M354" i="554" s="1"/>
  <c r="I308" i="557"/>
  <c r="P303" i="554"/>
  <c r="D422" i="560" l="1"/>
  <c r="E157" i="560"/>
  <c r="L354" i="554"/>
  <c r="M368" i="554"/>
  <c r="I325" i="557"/>
  <c r="O303" i="554"/>
  <c r="P312" i="554"/>
  <c r="P315" i="554" s="1"/>
  <c r="C302" i="554"/>
  <c r="AO303" i="554"/>
  <c r="C303" i="554" s="1"/>
  <c r="E173" i="560" l="1"/>
  <c r="D437" i="560"/>
  <c r="O315" i="554"/>
  <c r="P324" i="554" s="1"/>
  <c r="P327" i="554" s="1"/>
  <c r="C314" i="554"/>
  <c r="AO315" i="554"/>
  <c r="C315" i="554" s="1"/>
  <c r="I342" i="557"/>
  <c r="M371" i="554"/>
  <c r="E187" i="560" l="1"/>
  <c r="D455" i="560"/>
  <c r="O327" i="554"/>
  <c r="P337" i="554"/>
  <c r="C326" i="554"/>
  <c r="AO327" i="554"/>
  <c r="C327" i="554" s="1"/>
  <c r="L371" i="554"/>
  <c r="M383" i="554" s="1"/>
  <c r="D472" i="560" l="1"/>
  <c r="E201" i="560"/>
  <c r="I359" i="557"/>
  <c r="P340" i="554"/>
  <c r="M386" i="554"/>
  <c r="E214" i="560" l="1"/>
  <c r="O340" i="554"/>
  <c r="P351" i="554"/>
  <c r="P354" i="554" s="1"/>
  <c r="AO340" i="554"/>
  <c r="C340" i="554" s="1"/>
  <c r="C339" i="554"/>
  <c r="L386" i="554"/>
  <c r="M405" i="554"/>
  <c r="M408" i="554" s="1"/>
  <c r="E226" i="560" l="1"/>
  <c r="L408" i="554"/>
  <c r="M420" i="554" s="1"/>
  <c r="O354" i="554"/>
  <c r="P368" i="554"/>
  <c r="P371" i="554" s="1"/>
  <c r="C353" i="554"/>
  <c r="AO354" i="554"/>
  <c r="C354" i="554" s="1"/>
  <c r="M473" i="554"/>
  <c r="I376" i="557"/>
  <c r="E238" i="560" l="1"/>
  <c r="O371" i="554"/>
  <c r="P383" i="554" s="1"/>
  <c r="C370" i="554"/>
  <c r="AO371" i="554"/>
  <c r="C371" i="554" s="1"/>
  <c r="L420" i="554"/>
  <c r="M434" i="554"/>
  <c r="I393" i="557"/>
  <c r="E252" i="560" l="1"/>
  <c r="I410" i="557"/>
  <c r="M452" i="554"/>
  <c r="L434" i="554"/>
  <c r="P386" i="554"/>
  <c r="E272" i="560" l="1"/>
  <c r="O386" i="554"/>
  <c r="P408" i="554"/>
  <c r="P405" i="554"/>
  <c r="AO386" i="554"/>
  <c r="C386" i="554" s="1"/>
  <c r="C385" i="554"/>
  <c r="M469" i="554"/>
  <c r="L452" i="554"/>
  <c r="E286" i="560" l="1"/>
  <c r="O408" i="554"/>
  <c r="P417" i="554"/>
  <c r="P473" i="554" s="1"/>
  <c r="N477" i="554" s="1"/>
  <c r="C471" i="554" s="1"/>
  <c r="C476" i="554" s="1"/>
  <c r="C478" i="554" s="1"/>
  <c r="AO408" i="554"/>
  <c r="C408" i="554" s="1"/>
  <c r="C407" i="554"/>
  <c r="M2" i="557"/>
  <c r="L469" i="554"/>
  <c r="L2" i="557" s="1"/>
  <c r="I427" i="557"/>
  <c r="E305" i="560" l="1"/>
  <c r="P420" i="554"/>
  <c r="M19" i="557"/>
  <c r="E317" i="560" l="1"/>
  <c r="L19" i="557"/>
  <c r="P434" i="554"/>
  <c r="O420" i="554"/>
  <c r="C419" i="554"/>
  <c r="AO420" i="554"/>
  <c r="C420" i="554" s="1"/>
  <c r="I444" i="557"/>
  <c r="E329" i="560" l="1"/>
  <c r="O434" i="554"/>
  <c r="P452" i="554"/>
  <c r="C433" i="554"/>
  <c r="AO434" i="554"/>
  <c r="C434" i="554" s="1"/>
  <c r="M36" i="557"/>
  <c r="I461" i="557"/>
  <c r="M53" i="557" l="1"/>
  <c r="E343" i="560"/>
  <c r="I478" i="557"/>
  <c r="O452" i="554"/>
  <c r="P469" i="554"/>
  <c r="C451" i="554"/>
  <c r="AO452" i="554"/>
  <c r="C452" i="554" s="1"/>
  <c r="C532" i="557"/>
  <c r="L36" i="557"/>
  <c r="L53" i="557" l="1"/>
  <c r="E359" i="560"/>
  <c r="I495" i="557"/>
  <c r="P2" i="557"/>
  <c r="O469" i="554"/>
  <c r="O2" i="557" s="1"/>
  <c r="AO469" i="554"/>
  <c r="C468" i="554"/>
  <c r="E374" i="560" l="1"/>
  <c r="C469" i="554"/>
  <c r="C482" i="554" s="1"/>
  <c r="E483" i="554" s="1"/>
  <c r="H483" i="554" s="1"/>
  <c r="AR2" i="557"/>
  <c r="C2" i="557"/>
  <c r="C1" i="557"/>
  <c r="I512" i="557"/>
  <c r="E389" i="560" l="1"/>
  <c r="M70" i="557"/>
  <c r="I529" i="557"/>
  <c r="P19" i="557"/>
  <c r="C18" i="557" l="1"/>
  <c r="AR19" i="557"/>
  <c r="C19" i="557" s="1"/>
  <c r="I2" i="560"/>
  <c r="E410" i="560"/>
  <c r="L70" i="557"/>
  <c r="M87" i="557"/>
  <c r="O19" i="557"/>
  <c r="E422" i="560" l="1"/>
  <c r="I4" i="560"/>
  <c r="I14" i="560" s="1"/>
  <c r="L87" i="557"/>
  <c r="M104" i="557"/>
  <c r="P36" i="557"/>
  <c r="P53" i="557" l="1"/>
  <c r="AR53" i="557" s="1"/>
  <c r="C53" i="557" s="1"/>
  <c r="AR36" i="557"/>
  <c r="C36" i="557" s="1"/>
  <c r="C52" i="557"/>
  <c r="I16" i="560"/>
  <c r="I30" i="560" s="1"/>
  <c r="E437" i="560"/>
  <c r="L104" i="557"/>
  <c r="O36" i="557"/>
  <c r="C35" i="557"/>
  <c r="O53" i="557" l="1"/>
  <c r="E455" i="560"/>
  <c r="I32" i="560"/>
  <c r="I48" i="560" s="1"/>
  <c r="P70" i="557"/>
  <c r="AR70" i="557" s="1"/>
  <c r="M121" i="557"/>
  <c r="I50" i="560" l="1"/>
  <c r="I62" i="560" s="1"/>
  <c r="E472" i="560"/>
  <c r="O70" i="557"/>
  <c r="P87" i="557"/>
  <c r="AR87" i="557" s="1"/>
  <c r="C69" i="557"/>
  <c r="C70" i="557"/>
  <c r="L121" i="557"/>
  <c r="I64" i="560" l="1"/>
  <c r="I78" i="560" s="1"/>
  <c r="O87" i="557"/>
  <c r="C87" i="557"/>
  <c r="C86" i="557"/>
  <c r="M138" i="557"/>
  <c r="I80" i="560" l="1"/>
  <c r="I97" i="560" s="1"/>
  <c r="L138" i="557"/>
  <c r="P104" i="557"/>
  <c r="AR104" i="557" s="1"/>
  <c r="I99" i="560" l="1"/>
  <c r="I109" i="560" s="1"/>
  <c r="O104" i="557"/>
  <c r="P121" i="557" s="1"/>
  <c r="AR121" i="557" s="1"/>
  <c r="C103" i="557"/>
  <c r="C104" i="557"/>
  <c r="M155" i="557"/>
  <c r="I111" i="560" l="1"/>
  <c r="I121" i="560" s="1"/>
  <c r="L155" i="557"/>
  <c r="O121" i="557"/>
  <c r="C121" i="557"/>
  <c r="C120" i="557"/>
  <c r="I123" i="560" l="1"/>
  <c r="I135" i="560" s="1"/>
  <c r="P138" i="557"/>
  <c r="AR138" i="557" s="1"/>
  <c r="M172" i="557"/>
  <c r="I137" i="560" l="1"/>
  <c r="I157" i="560" s="1"/>
  <c r="O138" i="557"/>
  <c r="C137" i="557"/>
  <c r="C138" i="557"/>
  <c r="L172" i="557"/>
  <c r="M189" i="557"/>
  <c r="I159" i="560" l="1"/>
  <c r="I173" i="560" s="1"/>
  <c r="L189" i="557"/>
  <c r="M206" i="557" s="1"/>
  <c r="P155" i="557"/>
  <c r="AR155" i="557" s="1"/>
  <c r="I175" i="560" l="1"/>
  <c r="I187" i="560" s="1"/>
  <c r="O155" i="557"/>
  <c r="C154" i="557"/>
  <c r="C155" i="557"/>
  <c r="L206" i="557"/>
  <c r="M223" i="557"/>
  <c r="I189" i="560" l="1"/>
  <c r="I201" i="560" s="1"/>
  <c r="L223" i="557"/>
  <c r="M240" i="557"/>
  <c r="P172" i="557"/>
  <c r="AR172" i="557" s="1"/>
  <c r="I203" i="560" l="1"/>
  <c r="I214" i="560" s="1"/>
  <c r="L240" i="557"/>
  <c r="O172" i="557"/>
  <c r="P189" i="557" s="1"/>
  <c r="AR189" i="557" s="1"/>
  <c r="C171" i="557"/>
  <c r="C172" i="557"/>
  <c r="I216" i="560" l="1"/>
  <c r="I226" i="560" s="1"/>
  <c r="O189" i="557"/>
  <c r="P206" i="557" s="1"/>
  <c r="AR206" i="557" s="1"/>
  <c r="C188" i="557"/>
  <c r="C189" i="557"/>
  <c r="M257" i="557"/>
  <c r="I228" i="560" l="1"/>
  <c r="I238" i="560" s="1"/>
  <c r="O206" i="557"/>
  <c r="C205" i="557"/>
  <c r="C206" i="557"/>
  <c r="L257" i="557"/>
  <c r="I240" i="560" l="1"/>
  <c r="I252" i="560" s="1"/>
  <c r="M274" i="557"/>
  <c r="P223" i="557"/>
  <c r="AR223" i="557" s="1"/>
  <c r="I254" i="560" l="1"/>
  <c r="I272" i="560" s="1"/>
  <c r="L274" i="557"/>
  <c r="O223" i="557"/>
  <c r="C222" i="557"/>
  <c r="C223" i="557"/>
  <c r="I274" i="560" l="1"/>
  <c r="I286" i="560" s="1"/>
  <c r="P240" i="557"/>
  <c r="AR240" i="557" s="1"/>
  <c r="M291" i="557"/>
  <c r="I288" i="560" l="1"/>
  <c r="I305" i="560" s="1"/>
  <c r="L291" i="557"/>
  <c r="M308" i="557" s="1"/>
  <c r="O240" i="557"/>
  <c r="C240" i="557"/>
  <c r="C239" i="557"/>
  <c r="I307" i="560" l="1"/>
  <c r="I317" i="560" s="1"/>
  <c r="L308" i="557"/>
  <c r="M325" i="557"/>
  <c r="P257" i="557"/>
  <c r="AR257" i="557" s="1"/>
  <c r="I319" i="560" l="1"/>
  <c r="I329" i="560" s="1"/>
  <c r="L325" i="557"/>
  <c r="M342" i="557" s="1"/>
  <c r="O257" i="557"/>
  <c r="C256" i="557"/>
  <c r="C257" i="557"/>
  <c r="I331" i="560" l="1"/>
  <c r="I343" i="560" s="1"/>
  <c r="L342" i="557"/>
  <c r="M359" i="557"/>
  <c r="P274" i="557"/>
  <c r="AR274" i="557" s="1"/>
  <c r="I345" i="560" l="1"/>
  <c r="I359" i="560" s="1"/>
  <c r="L359" i="557"/>
  <c r="O274" i="557"/>
  <c r="P291" i="557" s="1"/>
  <c r="AR291" i="557" s="1"/>
  <c r="C273" i="557"/>
  <c r="C274" i="557"/>
  <c r="I361" i="560" l="1"/>
  <c r="I374" i="560" s="1"/>
  <c r="O291" i="557"/>
  <c r="P308" i="557"/>
  <c r="AR308" i="557" s="1"/>
  <c r="C290" i="557"/>
  <c r="C291" i="557"/>
  <c r="M376" i="557"/>
  <c r="I376" i="560" l="1"/>
  <c r="I389" i="560" s="1"/>
  <c r="O308" i="557"/>
  <c r="C307" i="557"/>
  <c r="C308" i="557"/>
  <c r="L376" i="557"/>
  <c r="M393" i="557"/>
  <c r="I391" i="560" l="1"/>
  <c r="I410" i="560" s="1"/>
  <c r="L393" i="557"/>
  <c r="M410" i="557"/>
  <c r="P325" i="557"/>
  <c r="AR325" i="557" s="1"/>
  <c r="I412" i="560" l="1"/>
  <c r="C475" i="560" s="1"/>
  <c r="O325" i="557"/>
  <c r="C325" i="557"/>
  <c r="C324" i="557"/>
  <c r="L410" i="557"/>
  <c r="M427" i="557"/>
  <c r="I422" i="560" l="1"/>
  <c r="I437" i="560" s="1"/>
  <c r="L427" i="557"/>
  <c r="M444" i="557" s="1"/>
  <c r="P342" i="557"/>
  <c r="AR342" i="557" s="1"/>
  <c r="I455" i="560" l="1"/>
  <c r="O342" i="557"/>
  <c r="P359" i="557"/>
  <c r="AR359" i="557" s="1"/>
  <c r="C341" i="557"/>
  <c r="C342" i="557"/>
  <c r="L444" i="557"/>
  <c r="M461" i="557"/>
  <c r="I472" i="560" l="1"/>
  <c r="L461" i="557"/>
  <c r="M478" i="557" s="1"/>
  <c r="O359" i="557"/>
  <c r="P376" i="557" s="1"/>
  <c r="AR376" i="557" s="1"/>
  <c r="C358" i="557"/>
  <c r="C359" i="557"/>
  <c r="O376" i="557" l="1"/>
  <c r="P393" i="557"/>
  <c r="AR393" i="557" s="1"/>
  <c r="C375" i="557"/>
  <c r="C376" i="557"/>
  <c r="L478" i="557"/>
  <c r="M495" i="557" s="1"/>
  <c r="L495" i="557" l="1"/>
  <c r="M512" i="557" s="1"/>
  <c r="O393" i="557"/>
  <c r="P410" i="557"/>
  <c r="AR410" i="557" s="1"/>
  <c r="C393" i="557"/>
  <c r="C392" i="557"/>
  <c r="L512" i="557" l="1"/>
  <c r="M533" i="557" s="1"/>
  <c r="O410" i="557"/>
  <c r="C410" i="557"/>
  <c r="C409" i="557"/>
  <c r="P427" i="557" l="1"/>
  <c r="AR427" i="557" s="1"/>
  <c r="M529" i="557"/>
  <c r="M2" i="565" l="1"/>
  <c r="M2" i="560"/>
  <c r="O427" i="557"/>
  <c r="P444" i="557"/>
  <c r="AR444" i="557" s="1"/>
  <c r="C427" i="557"/>
  <c r="C426" i="557"/>
  <c r="L529" i="557"/>
  <c r="L2" i="565" s="1"/>
  <c r="M19" i="565" l="1"/>
  <c r="L2" i="560"/>
  <c r="M11" i="560"/>
  <c r="M14" i="560" s="1"/>
  <c r="O444" i="557"/>
  <c r="P461" i="557"/>
  <c r="AR461" i="557" s="1"/>
  <c r="C444" i="557"/>
  <c r="C443" i="557"/>
  <c r="L19" i="565" l="1"/>
  <c r="M36" i="565"/>
  <c r="L14" i="560"/>
  <c r="M27" i="560"/>
  <c r="M30" i="560" s="1"/>
  <c r="O461" i="557"/>
  <c r="P478" i="557"/>
  <c r="AR478" i="557" s="1"/>
  <c r="C460" i="557"/>
  <c r="C461" i="557"/>
  <c r="L36" i="565" l="1"/>
  <c r="M53" i="565"/>
  <c r="L30" i="560"/>
  <c r="M45" i="560"/>
  <c r="M48" i="560" s="1"/>
  <c r="O478" i="557"/>
  <c r="P495" i="557"/>
  <c r="AR495" i="557" s="1"/>
  <c r="C477" i="557"/>
  <c r="C478" i="557"/>
  <c r="L53" i="565" l="1"/>
  <c r="M70" i="565"/>
  <c r="L48" i="560"/>
  <c r="M59" i="560"/>
  <c r="M62" i="560" s="1"/>
  <c r="O495" i="557"/>
  <c r="P512" i="557"/>
  <c r="AR512" i="557" s="1"/>
  <c r="C494" i="557"/>
  <c r="C495" i="557"/>
  <c r="M87" i="565" l="1"/>
  <c r="L70" i="565"/>
  <c r="L62" i="560"/>
  <c r="M75" i="560"/>
  <c r="M78" i="560" s="1"/>
  <c r="O512" i="557"/>
  <c r="P533" i="557"/>
  <c r="N537" i="557" s="1"/>
  <c r="C531" i="557" s="1"/>
  <c r="C536" i="557" s="1"/>
  <c r="C538" i="557" s="1"/>
  <c r="C512" i="557"/>
  <c r="C511" i="557"/>
  <c r="L87" i="565" l="1"/>
  <c r="M104" i="565"/>
  <c r="L78" i="560"/>
  <c r="M94" i="560"/>
  <c r="M97" i="560" s="1"/>
  <c r="P529" i="557"/>
  <c r="P2" i="565" l="1"/>
  <c r="AR529" i="557"/>
  <c r="AR2" i="565" s="1"/>
  <c r="L104" i="565"/>
  <c r="M121" i="565"/>
  <c r="L97" i="560"/>
  <c r="M106" i="560" s="1"/>
  <c r="M109" i="560" s="1"/>
  <c r="P2" i="560"/>
  <c r="O529" i="557"/>
  <c r="O2" i="565" s="1"/>
  <c r="C528" i="557"/>
  <c r="P19" i="565" l="1"/>
  <c r="C2" i="565"/>
  <c r="C1" i="565"/>
  <c r="M138" i="565"/>
  <c r="L121" i="565"/>
  <c r="AR2" i="560"/>
  <c r="O2" i="560"/>
  <c r="P11" i="560"/>
  <c r="P14" i="560" s="1"/>
  <c r="C2" i="560"/>
  <c r="C1" i="560"/>
  <c r="L109" i="560"/>
  <c r="M118" i="560" s="1"/>
  <c r="M121" i="560" s="1"/>
  <c r="C529" i="557"/>
  <c r="C542" i="557" s="1"/>
  <c r="E543" i="557" s="1"/>
  <c r="H543" i="557" s="1"/>
  <c r="L138" i="565" l="1"/>
  <c r="M155" i="565"/>
  <c r="P36" i="565"/>
  <c r="O19" i="565"/>
  <c r="AR19" i="565"/>
  <c r="C19" i="565" s="1"/>
  <c r="C18" i="565"/>
  <c r="L121" i="560"/>
  <c r="M132" i="560"/>
  <c r="M135" i="560" s="1"/>
  <c r="AR14" i="560"/>
  <c r="C14" i="560" s="1"/>
  <c r="O14" i="560"/>
  <c r="P27" i="560"/>
  <c r="P30" i="560" s="1"/>
  <c r="C13" i="560"/>
  <c r="L155" i="565" l="1"/>
  <c r="M172" i="565"/>
  <c r="P53" i="565"/>
  <c r="O36" i="565"/>
  <c r="AR36" i="565"/>
  <c r="C36" i="565" s="1"/>
  <c r="C35" i="565"/>
  <c r="O30" i="560"/>
  <c r="P45" i="560"/>
  <c r="P48" i="560" s="1"/>
  <c r="C29" i="560"/>
  <c r="AR30" i="560"/>
  <c r="C30" i="560" s="1"/>
  <c r="L135" i="560"/>
  <c r="M154" i="560" s="1"/>
  <c r="M157" i="560" s="1"/>
  <c r="P70" i="565" l="1"/>
  <c r="O53" i="565"/>
  <c r="C52" i="565"/>
  <c r="AR53" i="565"/>
  <c r="C53" i="565" s="1"/>
  <c r="M189" i="565"/>
  <c r="L172" i="565"/>
  <c r="L157" i="560"/>
  <c r="M170" i="560"/>
  <c r="M173" i="560" s="1"/>
  <c r="O48" i="560"/>
  <c r="P59" i="560"/>
  <c r="P62" i="560" s="1"/>
  <c r="AR48" i="560"/>
  <c r="C48" i="560" s="1"/>
  <c r="C47" i="560"/>
  <c r="M206" i="565" l="1"/>
  <c r="L189" i="565"/>
  <c r="P87" i="565"/>
  <c r="O70" i="565"/>
  <c r="AR70" i="565"/>
  <c r="C70" i="565" s="1"/>
  <c r="C69" i="565"/>
  <c r="L173" i="560"/>
  <c r="M184" i="560" s="1"/>
  <c r="M187" i="560" s="1"/>
  <c r="O62" i="560"/>
  <c r="P75" i="560"/>
  <c r="P78" i="560" s="1"/>
  <c r="AR62" i="560"/>
  <c r="C62" i="560" s="1"/>
  <c r="C61" i="560"/>
  <c r="O87" i="565" l="1"/>
  <c r="P104" i="565"/>
  <c r="AR87" i="565"/>
  <c r="C87" i="565" s="1"/>
  <c r="C86" i="565"/>
  <c r="M223" i="565"/>
  <c r="L206" i="565"/>
  <c r="L187" i="560"/>
  <c r="M198" i="560"/>
  <c r="M201" i="560" s="1"/>
  <c r="O78" i="560"/>
  <c r="P94" i="560"/>
  <c r="P97" i="560" s="1"/>
  <c r="AR78" i="560"/>
  <c r="C78" i="560" s="1"/>
  <c r="C77" i="560"/>
  <c r="L223" i="565" l="1"/>
  <c r="M240" i="565"/>
  <c r="O104" i="565"/>
  <c r="P121" i="565"/>
  <c r="AR104" i="565"/>
  <c r="C104" i="565" s="1"/>
  <c r="C103" i="565"/>
  <c r="L201" i="560"/>
  <c r="M211" i="560"/>
  <c r="M214" i="560" s="1"/>
  <c r="O97" i="560"/>
  <c r="P106" i="560" s="1"/>
  <c r="P109" i="560" s="1"/>
  <c r="AR97" i="560"/>
  <c r="C97" i="560" s="1"/>
  <c r="C96" i="560"/>
  <c r="P138" i="565" l="1"/>
  <c r="O121" i="565"/>
  <c r="C120" i="565"/>
  <c r="AR121" i="565"/>
  <c r="C121" i="565" s="1"/>
  <c r="L240" i="565"/>
  <c r="M257" i="565"/>
  <c r="L214" i="560"/>
  <c r="M223" i="560"/>
  <c r="M226" i="560" s="1"/>
  <c r="O109" i="560"/>
  <c r="P118" i="560" s="1"/>
  <c r="P121" i="560" s="1"/>
  <c r="AR109" i="560"/>
  <c r="C109" i="560" s="1"/>
  <c r="C108" i="560"/>
  <c r="M274" i="565" l="1"/>
  <c r="L257" i="565"/>
  <c r="O138" i="565"/>
  <c r="P155" i="565"/>
  <c r="AR138" i="565"/>
  <c r="C138" i="565" s="1"/>
  <c r="C137" i="565"/>
  <c r="C120" i="560"/>
  <c r="O121" i="560"/>
  <c r="P132" i="560"/>
  <c r="P135" i="560" s="1"/>
  <c r="AR121" i="560"/>
  <c r="C121" i="560" s="1"/>
  <c r="L226" i="560"/>
  <c r="M235" i="560" s="1"/>
  <c r="M238" i="560" s="1"/>
  <c r="P172" i="565" l="1"/>
  <c r="O155" i="565"/>
  <c r="AR155" i="565"/>
  <c r="C155" i="565" s="1"/>
  <c r="C154" i="565"/>
  <c r="L274" i="565"/>
  <c r="M291" i="565"/>
  <c r="L238" i="560"/>
  <c r="M249" i="560"/>
  <c r="M252" i="560" s="1"/>
  <c r="AR135" i="560"/>
  <c r="C135" i="560" s="1"/>
  <c r="O135" i="560"/>
  <c r="P154" i="560"/>
  <c r="P157" i="560" s="1"/>
  <c r="C134" i="560"/>
  <c r="M308" i="565" l="1"/>
  <c r="L291" i="565"/>
  <c r="O172" i="565"/>
  <c r="P189" i="565"/>
  <c r="AR172" i="565"/>
  <c r="C172" i="565" s="1"/>
  <c r="C171" i="565"/>
  <c r="O157" i="560"/>
  <c r="P170" i="560" s="1"/>
  <c r="P173" i="560" s="1"/>
  <c r="C156" i="560"/>
  <c r="AR157" i="560"/>
  <c r="C157" i="560" s="1"/>
  <c r="L252" i="560"/>
  <c r="M269" i="560" s="1"/>
  <c r="M272" i="560" s="1"/>
  <c r="M325" i="565" l="1"/>
  <c r="L308" i="565"/>
  <c r="P206" i="565"/>
  <c r="O189" i="565"/>
  <c r="AR189" i="565"/>
  <c r="C189" i="565" s="1"/>
  <c r="C188" i="565"/>
  <c r="C172" i="560"/>
  <c r="O173" i="560"/>
  <c r="P184" i="560" s="1"/>
  <c r="P187" i="560" s="1"/>
  <c r="AR173" i="560"/>
  <c r="C173" i="560" s="1"/>
  <c r="L272" i="560"/>
  <c r="M283" i="560"/>
  <c r="M286" i="560" s="1"/>
  <c r="O206" i="565" l="1"/>
  <c r="P223" i="565"/>
  <c r="C205" i="565"/>
  <c r="AR206" i="565"/>
  <c r="C206" i="565" s="1"/>
  <c r="L325" i="565"/>
  <c r="M342" i="565"/>
  <c r="O187" i="560"/>
  <c r="P198" i="560"/>
  <c r="P201" i="560" s="1"/>
  <c r="C186" i="560"/>
  <c r="AR187" i="560"/>
  <c r="C187" i="560" s="1"/>
  <c r="L286" i="560"/>
  <c r="M302" i="560" s="1"/>
  <c r="M305" i="560" s="1"/>
  <c r="M359" i="565" l="1"/>
  <c r="L342" i="565"/>
  <c r="P240" i="565"/>
  <c r="O223" i="565"/>
  <c r="C222" i="565"/>
  <c r="AR223" i="565"/>
  <c r="C223" i="565" s="1"/>
  <c r="L305" i="560"/>
  <c r="M314" i="560"/>
  <c r="M317" i="560" s="1"/>
  <c r="O201" i="560"/>
  <c r="P211" i="560"/>
  <c r="P214" i="560" s="1"/>
  <c r="AR201" i="560"/>
  <c r="C201" i="560" s="1"/>
  <c r="C200" i="560"/>
  <c r="O240" i="565" l="1"/>
  <c r="P257" i="565"/>
  <c r="C239" i="565"/>
  <c r="AR240" i="565"/>
  <c r="C240" i="565" s="1"/>
  <c r="M376" i="565"/>
  <c r="L359" i="565"/>
  <c r="L317" i="560"/>
  <c r="M326" i="560" s="1"/>
  <c r="M329" i="560" s="1"/>
  <c r="O214" i="560"/>
  <c r="P223" i="560"/>
  <c r="P226" i="560" s="1"/>
  <c r="C213" i="560"/>
  <c r="AR214" i="560"/>
  <c r="C214" i="560" s="1"/>
  <c r="P274" i="565" l="1"/>
  <c r="O257" i="565"/>
  <c r="C256" i="565"/>
  <c r="AR257" i="565"/>
  <c r="C257" i="565" s="1"/>
  <c r="L376" i="565"/>
  <c r="M393" i="565"/>
  <c r="L329" i="560"/>
  <c r="M340" i="560"/>
  <c r="M343" i="560" s="1"/>
  <c r="O226" i="560"/>
  <c r="P235" i="560" s="1"/>
  <c r="P238" i="560" s="1"/>
  <c r="C225" i="560"/>
  <c r="AR226" i="560"/>
  <c r="C226" i="560" s="1"/>
  <c r="L393" i="565" l="1"/>
  <c r="M410" i="565"/>
  <c r="P291" i="565"/>
  <c r="O274" i="565"/>
  <c r="AR274" i="565"/>
  <c r="C274" i="565" s="1"/>
  <c r="C273" i="565"/>
  <c r="L343" i="560"/>
  <c r="M356" i="560"/>
  <c r="M359" i="560" s="1"/>
  <c r="O238" i="560"/>
  <c r="P249" i="560"/>
  <c r="P252" i="560" s="1"/>
  <c r="C237" i="560"/>
  <c r="AR238" i="560"/>
  <c r="C238" i="560" s="1"/>
  <c r="O291" i="565" l="1"/>
  <c r="P308" i="565"/>
  <c r="C290" i="565"/>
  <c r="AR291" i="565"/>
  <c r="C291" i="565" s="1"/>
  <c r="M427" i="565"/>
  <c r="L410" i="565"/>
  <c r="L359" i="560"/>
  <c r="M371" i="560"/>
  <c r="M374" i="560" s="1"/>
  <c r="O252" i="560"/>
  <c r="P269" i="560"/>
  <c r="P272" i="560" s="1"/>
  <c r="C251" i="560"/>
  <c r="AR252" i="560"/>
  <c r="C252" i="560" s="1"/>
  <c r="P325" i="565" l="1"/>
  <c r="O308" i="565"/>
  <c r="C307" i="565"/>
  <c r="AR308" i="565"/>
  <c r="C308" i="565" s="1"/>
  <c r="L427" i="565"/>
  <c r="M444" i="565"/>
  <c r="AR272" i="560"/>
  <c r="C272" i="560" s="1"/>
  <c r="O272" i="560"/>
  <c r="P283" i="560"/>
  <c r="P286" i="560" s="1"/>
  <c r="C271" i="560"/>
  <c r="L374" i="560"/>
  <c r="M386" i="560" s="1"/>
  <c r="M389" i="560" s="1"/>
  <c r="P342" i="565" l="1"/>
  <c r="O325" i="565"/>
  <c r="AR325" i="565"/>
  <c r="C325" i="565" s="1"/>
  <c r="C324" i="565"/>
  <c r="M461" i="565"/>
  <c r="L444" i="565"/>
  <c r="L389" i="560"/>
  <c r="M407" i="560"/>
  <c r="M410" i="560" s="1"/>
  <c r="O286" i="560"/>
  <c r="P302" i="560"/>
  <c r="P305" i="560" s="1"/>
  <c r="AR286" i="560"/>
  <c r="C286" i="560" s="1"/>
  <c r="C285" i="560"/>
  <c r="L461" i="565" l="1"/>
  <c r="M478" i="565"/>
  <c r="P359" i="565"/>
  <c r="O342" i="565"/>
  <c r="AR342" i="565"/>
  <c r="C342" i="565" s="1"/>
  <c r="C341" i="565"/>
  <c r="L410" i="560"/>
  <c r="M419" i="560" s="1"/>
  <c r="M422" i="560" s="1"/>
  <c r="O305" i="560"/>
  <c r="P314" i="560"/>
  <c r="P317" i="560" s="1"/>
  <c r="C304" i="560"/>
  <c r="AR305" i="560"/>
  <c r="C305" i="560" s="1"/>
  <c r="M495" i="565" l="1"/>
  <c r="L478" i="565"/>
  <c r="P376" i="565"/>
  <c r="O359" i="565"/>
  <c r="AR359" i="565"/>
  <c r="C359" i="565" s="1"/>
  <c r="C358" i="565"/>
  <c r="C316" i="560"/>
  <c r="O317" i="560"/>
  <c r="P326" i="560" s="1"/>
  <c r="P329" i="560" s="1"/>
  <c r="AR317" i="560"/>
  <c r="C317" i="560" s="1"/>
  <c r="L422" i="560"/>
  <c r="M434" i="560" s="1"/>
  <c r="M437" i="560" s="1"/>
  <c r="O376" i="565" l="1"/>
  <c r="P393" i="565"/>
  <c r="C375" i="565"/>
  <c r="AR376" i="565"/>
  <c r="C376" i="565" s="1"/>
  <c r="M512" i="565"/>
  <c r="L495" i="565"/>
  <c r="L437" i="560"/>
  <c r="M452" i="560" s="1"/>
  <c r="M476" i="560" s="1"/>
  <c r="O329" i="560"/>
  <c r="P340" i="560"/>
  <c r="P343" i="560" s="1"/>
  <c r="C328" i="560"/>
  <c r="AR329" i="560"/>
  <c r="C329" i="560" s="1"/>
  <c r="M529" i="565" l="1"/>
  <c r="L512" i="565"/>
  <c r="P410" i="565"/>
  <c r="O393" i="565"/>
  <c r="AR393" i="565"/>
  <c r="C393" i="565" s="1"/>
  <c r="C392" i="565"/>
  <c r="O343" i="560"/>
  <c r="P356" i="560"/>
  <c r="P359" i="560" s="1"/>
  <c r="AR343" i="560"/>
  <c r="C343" i="560" s="1"/>
  <c r="C342" i="560"/>
  <c r="M455" i="560"/>
  <c r="P427" i="565" l="1"/>
  <c r="O410" i="565"/>
  <c r="AR410" i="565"/>
  <c r="C410" i="565" s="1"/>
  <c r="C409" i="565"/>
  <c r="L529" i="565"/>
  <c r="L2" i="566" s="1"/>
  <c r="M2" i="566"/>
  <c r="AR359" i="560"/>
  <c r="C359" i="560" s="1"/>
  <c r="O359" i="560"/>
  <c r="P371" i="560"/>
  <c r="P374" i="560" s="1"/>
  <c r="C358" i="560"/>
  <c r="M472" i="560"/>
  <c r="L455" i="560"/>
  <c r="P444" i="565" l="1"/>
  <c r="O427" i="565"/>
  <c r="AR427" i="565"/>
  <c r="C427" i="565" s="1"/>
  <c r="C426" i="565"/>
  <c r="M19" i="566"/>
  <c r="O374" i="560"/>
  <c r="P386" i="560"/>
  <c r="P389" i="560" s="1"/>
  <c r="C373" i="560"/>
  <c r="AR374" i="560"/>
  <c r="C374" i="560" s="1"/>
  <c r="L472" i="560"/>
  <c r="M36" i="566" l="1"/>
  <c r="L19" i="566"/>
  <c r="P461" i="565"/>
  <c r="O444" i="565"/>
  <c r="AR444" i="565"/>
  <c r="C444" i="565" s="1"/>
  <c r="C443" i="565"/>
  <c r="O389" i="560"/>
  <c r="P407" i="560"/>
  <c r="P410" i="560" s="1"/>
  <c r="C388" i="560"/>
  <c r="AR389" i="560"/>
  <c r="C389" i="560" s="1"/>
  <c r="P478" i="565" l="1"/>
  <c r="O461" i="565"/>
  <c r="AR461" i="565"/>
  <c r="C461" i="565" s="1"/>
  <c r="C460" i="565"/>
  <c r="M53" i="566"/>
  <c r="L36" i="566"/>
  <c r="O410" i="560"/>
  <c r="P419" i="560"/>
  <c r="P422" i="560" s="1"/>
  <c r="C409" i="560"/>
  <c r="AR410" i="560"/>
  <c r="C410" i="560" s="1"/>
  <c r="M70" i="566" l="1"/>
  <c r="L53" i="566"/>
  <c r="O478" i="565"/>
  <c r="P495" i="565"/>
  <c r="C477" i="565"/>
  <c r="AR478" i="565"/>
  <c r="C478" i="565" s="1"/>
  <c r="O422" i="560"/>
  <c r="P434" i="560"/>
  <c r="P437" i="560" s="1"/>
  <c r="AR422" i="560"/>
  <c r="C422" i="560" s="1"/>
  <c r="C421" i="560"/>
  <c r="O495" i="565" l="1"/>
  <c r="P512" i="565"/>
  <c r="C494" i="565"/>
  <c r="AR495" i="565"/>
  <c r="C495" i="565" s="1"/>
  <c r="L70" i="566"/>
  <c r="M87" i="566"/>
  <c r="O437" i="560"/>
  <c r="P452" i="560"/>
  <c r="P476" i="560" s="1"/>
  <c r="N480" i="560" s="1"/>
  <c r="C474" i="560" s="1"/>
  <c r="C479" i="560" s="1"/>
  <c r="C481" i="560" s="1"/>
  <c r="C436" i="560"/>
  <c r="AR437" i="560"/>
  <c r="C437" i="560" s="1"/>
  <c r="L87" i="566" l="1"/>
  <c r="M104" i="566"/>
  <c r="O512" i="565"/>
  <c r="P529" i="565"/>
  <c r="AR512" i="565"/>
  <c r="C512" i="565" s="1"/>
  <c r="C511" i="565"/>
  <c r="P455" i="560"/>
  <c r="O529" i="565" l="1"/>
  <c r="O2" i="566" s="1"/>
  <c r="P2" i="566"/>
  <c r="C528" i="565"/>
  <c r="AR529" i="565"/>
  <c r="L104" i="566"/>
  <c r="M121" i="566"/>
  <c r="O455" i="560"/>
  <c r="P472" i="560"/>
  <c r="AR455" i="560"/>
  <c r="C455" i="560" s="1"/>
  <c r="C454" i="560"/>
  <c r="M138" i="566" l="1"/>
  <c r="L121" i="566"/>
  <c r="P19" i="566"/>
  <c r="C1" i="566"/>
  <c r="C2" i="566"/>
  <c r="C529" i="565"/>
  <c r="C542" i="565" s="1"/>
  <c r="E543" i="565" s="1"/>
  <c r="H543" i="565" s="1"/>
  <c r="AR2" i="566"/>
  <c r="O472" i="560"/>
  <c r="C471" i="560"/>
  <c r="AR472" i="560"/>
  <c r="C472" i="560" s="1"/>
  <c r="C485" i="560" s="1"/>
  <c r="E486" i="560" s="1"/>
  <c r="H486" i="560" s="1"/>
  <c r="M155" i="566" l="1"/>
  <c r="L138" i="566"/>
  <c r="P36" i="566"/>
  <c r="O19" i="566"/>
  <c r="C18" i="566"/>
  <c r="AR19" i="566"/>
  <c r="C19" i="566" s="1"/>
  <c r="M172" i="566" l="1"/>
  <c r="L155" i="566"/>
  <c r="O36" i="566"/>
  <c r="P53" i="566"/>
  <c r="AR36" i="566"/>
  <c r="C36" i="566" s="1"/>
  <c r="C35" i="566"/>
  <c r="P70" i="566" l="1"/>
  <c r="O53" i="566"/>
  <c r="C52" i="566"/>
  <c r="AR53" i="566"/>
  <c r="C53" i="566" s="1"/>
  <c r="M189" i="566"/>
  <c r="L172" i="566"/>
  <c r="M206" i="566" l="1"/>
  <c r="L189" i="566"/>
  <c r="P87" i="566"/>
  <c r="O70" i="566"/>
  <c r="AR70" i="566"/>
  <c r="C70" i="566" s="1"/>
  <c r="C69" i="566"/>
  <c r="L206" i="566" l="1"/>
  <c r="M223" i="566"/>
  <c r="P104" i="566"/>
  <c r="O87" i="566"/>
  <c r="C86" i="566"/>
  <c r="AR87" i="566"/>
  <c r="C87" i="566" s="1"/>
  <c r="L223" i="566" l="1"/>
  <c r="M240" i="566"/>
  <c r="O104" i="566"/>
  <c r="P121" i="566"/>
  <c r="C103" i="566"/>
  <c r="AR104" i="566"/>
  <c r="C104" i="566" s="1"/>
  <c r="M257" i="566" l="1"/>
  <c r="L240" i="566"/>
  <c r="O121" i="566"/>
  <c r="P138" i="566"/>
  <c r="AR121" i="566"/>
  <c r="C121" i="566" s="1"/>
  <c r="C120" i="566"/>
  <c r="P155" i="566" l="1"/>
  <c r="O138" i="566"/>
  <c r="C137" i="566"/>
  <c r="AR138" i="566"/>
  <c r="C138" i="566" s="1"/>
  <c r="M274" i="566"/>
  <c r="L257" i="566"/>
  <c r="L274" i="566" l="1"/>
  <c r="M291" i="566"/>
  <c r="O155" i="566"/>
  <c r="P172" i="566"/>
  <c r="AR155" i="566"/>
  <c r="C155" i="566" s="1"/>
  <c r="C154" i="566"/>
  <c r="O172" i="566" l="1"/>
  <c r="P189" i="566"/>
  <c r="AR172" i="566"/>
  <c r="C172" i="566" s="1"/>
  <c r="C171" i="566"/>
  <c r="M308" i="566"/>
  <c r="L291" i="566"/>
  <c r="L308" i="566" l="1"/>
  <c r="M325" i="566"/>
  <c r="P206" i="566"/>
  <c r="O189" i="566"/>
  <c r="C188" i="566"/>
  <c r="AR189" i="566"/>
  <c r="C189" i="566" s="1"/>
  <c r="L325" i="566" l="1"/>
  <c r="M342" i="566"/>
  <c r="P223" i="566"/>
  <c r="O206" i="566"/>
  <c r="AR206" i="566"/>
  <c r="C206" i="566" s="1"/>
  <c r="C205" i="566"/>
  <c r="P240" i="566" l="1"/>
  <c r="O223" i="566"/>
  <c r="AR223" i="566"/>
  <c r="C223" i="566" s="1"/>
  <c r="C222" i="566"/>
  <c r="M359" i="566"/>
  <c r="L342" i="566"/>
  <c r="L359" i="566" l="1"/>
  <c r="M376" i="566"/>
  <c r="P257" i="566"/>
  <c r="O240" i="566"/>
  <c r="AR240" i="566"/>
  <c r="C240" i="566" s="1"/>
  <c r="C239" i="566"/>
  <c r="L376" i="566" l="1"/>
  <c r="M393" i="566"/>
  <c r="P274" i="566"/>
  <c r="O257" i="566"/>
  <c r="AR257" i="566"/>
  <c r="C257" i="566" s="1"/>
  <c r="C256" i="566"/>
  <c r="L393" i="566" l="1"/>
  <c r="M410" i="566"/>
  <c r="P291" i="566"/>
  <c r="O274" i="566"/>
  <c r="AR274" i="566"/>
  <c r="C274" i="566" s="1"/>
  <c r="C273" i="566"/>
  <c r="L410" i="566" l="1"/>
  <c r="M427" i="566"/>
  <c r="P308" i="566"/>
  <c r="O291" i="566"/>
  <c r="C290" i="566"/>
  <c r="AR291" i="566"/>
  <c r="C291" i="566" s="1"/>
  <c r="M444" i="566" l="1"/>
  <c r="L427" i="566"/>
  <c r="P325" i="566"/>
  <c r="O308" i="566"/>
  <c r="C307" i="566"/>
  <c r="AR308" i="566"/>
  <c r="C308" i="566" s="1"/>
  <c r="L444" i="566" l="1"/>
  <c r="M461" i="566"/>
  <c r="O325" i="566"/>
  <c r="P342" i="566"/>
  <c r="C324" i="566"/>
  <c r="AR325" i="566"/>
  <c r="C325" i="566" s="1"/>
  <c r="M478" i="566" l="1"/>
  <c r="L461" i="566"/>
  <c r="O342" i="566"/>
  <c r="P359" i="566"/>
  <c r="C341" i="566"/>
  <c r="AR342" i="566"/>
  <c r="C342" i="566" s="1"/>
  <c r="P376" i="566" l="1"/>
  <c r="O359" i="566"/>
  <c r="AR359" i="566"/>
  <c r="C359" i="566" s="1"/>
  <c r="C358" i="566"/>
  <c r="M495" i="566"/>
  <c r="L478" i="566"/>
  <c r="L495" i="566" l="1"/>
  <c r="M512" i="566"/>
  <c r="P393" i="566"/>
  <c r="O376" i="566"/>
  <c r="AR376" i="566"/>
  <c r="C376" i="566" s="1"/>
  <c r="C375" i="566"/>
  <c r="P410" i="566" l="1"/>
  <c r="O393" i="566"/>
  <c r="C392" i="566"/>
  <c r="AR393" i="566"/>
  <c r="C393" i="566" s="1"/>
  <c r="M529" i="566"/>
  <c r="L512" i="566"/>
  <c r="P427" i="566" l="1"/>
  <c r="O410" i="566"/>
  <c r="AR410" i="566"/>
  <c r="C410" i="566" s="1"/>
  <c r="C409" i="566"/>
  <c r="L529" i="566"/>
  <c r="O427" i="566" l="1"/>
  <c r="P444" i="566"/>
  <c r="AR427" i="566"/>
  <c r="C427" i="566" s="1"/>
  <c r="C426" i="566"/>
  <c r="O444" i="566" l="1"/>
  <c r="P461" i="566"/>
  <c r="C443" i="566"/>
  <c r="AR444" i="566"/>
  <c r="C444" i="566" s="1"/>
  <c r="O461" i="566" l="1"/>
  <c r="P478" i="566"/>
  <c r="C460" i="566"/>
  <c r="AR461" i="566"/>
  <c r="C461" i="566" s="1"/>
  <c r="P495" i="566" l="1"/>
  <c r="O478" i="566"/>
  <c r="AR478" i="566"/>
  <c r="C478" i="566" s="1"/>
  <c r="C477" i="566"/>
  <c r="O495" i="566" l="1"/>
  <c r="P512" i="566"/>
  <c r="C494" i="566"/>
  <c r="AR495" i="566"/>
  <c r="C495" i="566" s="1"/>
  <c r="O512" i="566" l="1"/>
  <c r="P529" i="566"/>
  <c r="AR512" i="566"/>
  <c r="C512" i="566" s="1"/>
  <c r="C511" i="566"/>
  <c r="O529" i="566" l="1"/>
  <c r="AR529" i="566"/>
  <c r="C529" i="566" s="1"/>
  <c r="C542" i="566" s="1"/>
  <c r="E543" i="566" s="1"/>
  <c r="H543" i="566" s="1"/>
  <c r="C528" i="566"/>
</calcChain>
</file>

<file path=xl/sharedStrings.xml><?xml version="1.0" encoding="utf-8"?>
<sst xmlns="http://schemas.openxmlformats.org/spreadsheetml/2006/main" count="10389" uniqueCount="493">
  <si>
    <t>Total</t>
  </si>
  <si>
    <t>Saldo Total</t>
  </si>
  <si>
    <t>Saldo Edson</t>
  </si>
  <si>
    <t>Saldo Master</t>
  </si>
  <si>
    <t>Saidas</t>
  </si>
  <si>
    <t>TERCEIROS</t>
  </si>
  <si>
    <t>SALDO C/C</t>
  </si>
  <si>
    <t>Saldo Inicial do dia</t>
  </si>
  <si>
    <t>SPOT</t>
  </si>
  <si>
    <t>ITAU</t>
  </si>
  <si>
    <t>ERALDO</t>
  </si>
  <si>
    <t>LUIZ F.</t>
  </si>
  <si>
    <t>Pix Lucila</t>
  </si>
  <si>
    <t>Pix e depósitos Banco Itaú</t>
  </si>
  <si>
    <t>Pix e depósitos Banco Itaú - Lucila</t>
  </si>
  <si>
    <t>Pag Pantoja &amp; Co</t>
  </si>
  <si>
    <t>DAAE</t>
  </si>
  <si>
    <t>Sindicato</t>
  </si>
  <si>
    <t>Pag Universo</t>
  </si>
  <si>
    <t>Pag IPVA+Licenciamento</t>
  </si>
  <si>
    <t>Juros limite conta</t>
  </si>
  <si>
    <t>Itau Seguro</t>
  </si>
  <si>
    <t>Da Claro Resid</t>
  </si>
  <si>
    <t>Transf. Elaine</t>
  </si>
  <si>
    <t>Transf Luiz Gustavo</t>
  </si>
  <si>
    <t>Albino Drogaria</t>
  </si>
  <si>
    <t>Higa Supermercado</t>
  </si>
  <si>
    <t>Dep. ATM</t>
  </si>
  <si>
    <t>Boleto Unimed</t>
  </si>
  <si>
    <t>Sindicato Trabalhadores</t>
  </si>
  <si>
    <t>Pix Mateus</t>
  </si>
  <si>
    <t>Pix Comitas</t>
  </si>
  <si>
    <t>Pix Talita</t>
  </si>
  <si>
    <t>Pag Sem Parar</t>
  </si>
  <si>
    <t xml:space="preserve">Transf. </t>
  </si>
  <si>
    <t>Boleto Pepsico</t>
  </si>
  <si>
    <t>Supermercado</t>
  </si>
  <si>
    <t>Joyce Carol</t>
  </si>
  <si>
    <t>ITAU VISA</t>
  </si>
  <si>
    <t>Dayana Azevedo</t>
  </si>
  <si>
    <t>Lucila</t>
  </si>
  <si>
    <t>Unimed</t>
  </si>
  <si>
    <t>Electron Maxxi</t>
  </si>
  <si>
    <t>Dep ATM</t>
  </si>
  <si>
    <t>Dep Noemia</t>
  </si>
  <si>
    <t>Telefonica</t>
  </si>
  <si>
    <t>Helena</t>
  </si>
  <si>
    <t>Drogaria</t>
  </si>
  <si>
    <t>Examine</t>
  </si>
  <si>
    <t>Pix J. Barbosa</t>
  </si>
  <si>
    <t>Pix Fest Aut</t>
  </si>
  <si>
    <t>Pix Aparecida</t>
  </si>
  <si>
    <t>Pix Luis Fernando</t>
  </si>
  <si>
    <t>DARF</t>
  </si>
  <si>
    <t xml:space="preserve">Osvaldo </t>
  </si>
  <si>
    <t>Armazem Rio Claro</t>
  </si>
  <si>
    <t>Pix Polyana</t>
  </si>
  <si>
    <t>Pix Auto Posto</t>
  </si>
  <si>
    <t>Jhonatas</t>
  </si>
  <si>
    <t>Rangel</t>
  </si>
  <si>
    <t>Pix EDL PIS</t>
  </si>
  <si>
    <t>Dep J. Barbosa</t>
  </si>
  <si>
    <t>Encerra Consórcio</t>
  </si>
  <si>
    <t>Helceb Pisc</t>
  </si>
  <si>
    <t>Credito Vendas Cartão</t>
  </si>
  <si>
    <t>Tarifa pix</t>
  </si>
  <si>
    <t>Pix Lucila (NUBANK)</t>
  </si>
  <si>
    <t>Tarifa pix enviado Petroriente</t>
  </si>
  <si>
    <t>Luiz Neto (BB)</t>
  </si>
  <si>
    <t>Tarifa pix Luiz Neto</t>
  </si>
  <si>
    <t>Pag boleto</t>
  </si>
  <si>
    <t>Tarifa pix 1,60+4,90</t>
  </si>
  <si>
    <t>Transf. Lucila Regina Ceregato Correa</t>
  </si>
  <si>
    <t>Pix America Ltda</t>
  </si>
  <si>
    <t xml:space="preserve">Dep. Lucila </t>
  </si>
  <si>
    <t>Pix Luiz Neto</t>
  </si>
  <si>
    <t>Transf. Lucila</t>
  </si>
  <si>
    <t>Neoenergia</t>
  </si>
  <si>
    <t>Transf. do Itaú para Spotbank</t>
  </si>
  <si>
    <t>Pix Eraldo Macedo</t>
  </si>
  <si>
    <t>Tarifa pix recebido 0,8%</t>
  </si>
  <si>
    <t>Rec. Lucila</t>
  </si>
  <si>
    <t>Elétrica Ma</t>
  </si>
  <si>
    <t>Transf. Luiz Neto</t>
  </si>
  <si>
    <t>Tarifa envio pix Luiz Neto</t>
  </si>
  <si>
    <t>Transf. do Banco Itaú para Spotbank</t>
  </si>
  <si>
    <t>DIVIDA</t>
  </si>
  <si>
    <t>GASOLINA</t>
  </si>
  <si>
    <t>ETANOL</t>
  </si>
  <si>
    <t>LUCILA</t>
  </si>
  <si>
    <t>VENDAS</t>
  </si>
  <si>
    <t>CARTAO</t>
  </si>
  <si>
    <t>WL</t>
  </si>
  <si>
    <t>Ajuste de saldo e valor estoque diário</t>
  </si>
  <si>
    <t>Venda de Gasolina</t>
  </si>
  <si>
    <t>Venda de Etanol</t>
  </si>
  <si>
    <t>Desconto taxas Cartão</t>
  </si>
  <si>
    <t>Separação Cartão/Outros</t>
  </si>
  <si>
    <t>Pag boleto WL NF 73289 3/3 VENC 01/08</t>
  </si>
  <si>
    <t>Crediario Emprestimo 1/6 parcelas 3.214,69</t>
  </si>
  <si>
    <t>Ajuste estoque e valor diário (lucro embutido)</t>
  </si>
  <si>
    <t>CAIXA</t>
  </si>
  <si>
    <t>Saldo Giro no dia</t>
  </si>
  <si>
    <t>Saldo Líquido do dia</t>
  </si>
  <si>
    <t>Pag boleto WL NF 74192 1/3 VENC 08/08</t>
  </si>
  <si>
    <t>Pag boleto WL NF 74192 2/3 VENC 11/08</t>
  </si>
  <si>
    <t>Pag boleto WL NF 74192 3/3 VENC 12/08</t>
  </si>
  <si>
    <t>NF 83745 WL 3x12.233,33</t>
  </si>
  <si>
    <t>Pag boleto WL NF 75167 3/4 VENC 15/08</t>
  </si>
  <si>
    <t>NF 83529 Petroriente 10x5,00 (Eraldo)</t>
  </si>
  <si>
    <t>Financiamento capital giro com cartão</t>
  </si>
  <si>
    <t>LUCILA2</t>
  </si>
  <si>
    <t>Pix Sirlei (Itau)</t>
  </si>
  <si>
    <t>Pix Lucila (Nubank)</t>
  </si>
  <si>
    <t>Pag boleto WL NF 75167 1/4 VENC 13/08</t>
  </si>
  <si>
    <t>Pag boleto WL NF 75167 2/4 VENC 14/08</t>
  </si>
  <si>
    <t>Pag boleto WL NF 75167 4/4 VENC 18/08</t>
  </si>
  <si>
    <t>Pag boleto WL NF 76738 1/3 VENC 20/08</t>
  </si>
  <si>
    <t>Pag boleto WL NF 76738 2/3 VENC 21/08</t>
  </si>
  <si>
    <t>Pag boleto Recap</t>
  </si>
  <si>
    <t>Pag boleto WL NF 78283 1/3 VENC 26/08</t>
  </si>
  <si>
    <t>Pag boleto WL NF 78283 2/3 VENC 27/08</t>
  </si>
  <si>
    <t>Pag boleto Spal</t>
  </si>
  <si>
    <t>Pag boleto WL NF 76738 3/3 VENC 21/08</t>
  </si>
  <si>
    <t>Transf. p/ Itau (Luiz F.)</t>
  </si>
  <si>
    <t>Pag boleto WL NF 78283 3/3 VENC 28/08</t>
  </si>
  <si>
    <t>Pag boleto WL NF 78381 1/3 VENC 03/09</t>
  </si>
  <si>
    <t>Pag boleto WL NF 78381 2/3 VENC 04/09</t>
  </si>
  <si>
    <t>Pag boleto WL NF 77835 1/3 VENC 29/08</t>
  </si>
  <si>
    <t>Pag boleto WL NF 77835 2/2 VENC 01/09</t>
  </si>
  <si>
    <t>Pag Lucila (PicPay)</t>
  </si>
  <si>
    <t>FGTS</t>
  </si>
  <si>
    <t>Linx Sistema</t>
  </si>
  <si>
    <t>Elektro (casa)</t>
  </si>
  <si>
    <t>DAAE (posto)</t>
  </si>
  <si>
    <t>NF 85355 Petroriente 10x4,88 GC (Eraldo)</t>
  </si>
  <si>
    <t>Pag boleto WL NF 78381 3/3 VENC 05/09</t>
  </si>
  <si>
    <t>Pag boleto WL NF 79282 1/3 VENC 10/09</t>
  </si>
  <si>
    <t>Pag boleto WL NF 79282 2/3 VENC 11/09</t>
  </si>
  <si>
    <t>Pix Cinira Ltda</t>
  </si>
  <si>
    <t>NF 86122 Petroriente 2x3,44 EH (Eraldo)</t>
  </si>
  <si>
    <t>Pag boleto WL NF 79282 3/3 VENC 11/09</t>
  </si>
  <si>
    <t>Compra WL 20x3,67 EH  6x12.233,33 NF 81639</t>
  </si>
  <si>
    <t>VENDA</t>
  </si>
  <si>
    <t>LUCRO</t>
  </si>
  <si>
    <t>AJUSTE</t>
  </si>
  <si>
    <t>TOTAL LITROS</t>
  </si>
  <si>
    <t>TOTAL LUCRO</t>
  </si>
  <si>
    <t>TOTAL AJUSTE (LT)</t>
  </si>
  <si>
    <t>RESULTADO LIQUIDO</t>
  </si>
  <si>
    <t>RESULTADO BRUTO</t>
  </si>
  <si>
    <t>TAXA CARTÃO</t>
  </si>
  <si>
    <t>Pix Pantoja &amp; Co</t>
  </si>
  <si>
    <t>Rec pix Luiz Neto para Spotbank</t>
  </si>
  <si>
    <t>Tiago F. 704,00+1687,88</t>
  </si>
  <si>
    <t>EMPRESTIMO ITAU 1/6</t>
  </si>
  <si>
    <t>JUROS LIMITE C/C</t>
  </si>
  <si>
    <t>TARIFA PIX ENVIADO</t>
  </si>
  <si>
    <t>TARIFA PIX RECEBIDO</t>
  </si>
  <si>
    <t>DESPESAS FINANCEIRAS</t>
  </si>
  <si>
    <t>DESPESAS DIVERSAS</t>
  </si>
  <si>
    <t>Cesta básica (dinheiro)</t>
  </si>
  <si>
    <t>Pag Pantoja &amp; Co (mercado)</t>
  </si>
  <si>
    <t>Vale refeição 5x767,00</t>
  </si>
  <si>
    <t>Pag boleto Elektro (postp)</t>
  </si>
  <si>
    <t xml:space="preserve">Pag boleto Sane </t>
  </si>
  <si>
    <t>INSS</t>
  </si>
  <si>
    <t>Pag Nubank Luiz Fernando</t>
  </si>
  <si>
    <t>Folha de pagamento (dinheiro)</t>
  </si>
  <si>
    <t>Aluguel (dinheiro)</t>
  </si>
  <si>
    <t>Horas extras (dinheiro)</t>
  </si>
  <si>
    <t>Feriado (dinheiro)</t>
  </si>
  <si>
    <t>Guarda Folga semanal (dinheiro)</t>
  </si>
  <si>
    <t>PERÍODO 01 á 31/OUT/25</t>
  </si>
  <si>
    <t>PERÍODO 05 á 14/SET/25</t>
  </si>
  <si>
    <t>Tarifa pacote Itaú</t>
  </si>
  <si>
    <t>IOF</t>
  </si>
  <si>
    <t>Pix EDL</t>
  </si>
  <si>
    <t>Pag Papirus</t>
  </si>
  <si>
    <t>Crediario Emprestimo 2/6 parcelas 3.214,69</t>
  </si>
  <si>
    <t>Encerra Consorcio</t>
  </si>
  <si>
    <t>Pix Posto Via</t>
  </si>
  <si>
    <t>Pag Unimed</t>
  </si>
  <si>
    <t>Itau Seguros</t>
  </si>
  <si>
    <t>PayPal</t>
  </si>
  <si>
    <t>Itau Visa</t>
  </si>
  <si>
    <t>Sem Parar</t>
  </si>
  <si>
    <t>PayPal / Pag Seguro</t>
  </si>
  <si>
    <t>PM Rio Claro</t>
  </si>
  <si>
    <t>Dep caixa automático (ATM)</t>
  </si>
  <si>
    <t>Pix Jonatas</t>
  </si>
  <si>
    <t>Unimed 510,76+574,07</t>
  </si>
  <si>
    <t>Transf. Luiz F.</t>
  </si>
  <si>
    <t>Pag boleto WL NF 93745 2/3 VENC 25/09</t>
  </si>
  <si>
    <t>Transf. Theo</t>
  </si>
  <si>
    <t>Pag boleto WL NF 99547 2/2 VENC 06/10</t>
  </si>
  <si>
    <t>Spal Ind. Bras. Bebidas</t>
  </si>
  <si>
    <t>NF 99547 WL 15x3,55 EH 2X26625,00</t>
  </si>
  <si>
    <t>NF 99547 WL 15x3,55 EH 1/2 26.625,00 (Eraldo)</t>
  </si>
  <si>
    <t>Pag Elektro (casa)</t>
  </si>
  <si>
    <t>Pag Elektro (posto)</t>
  </si>
  <si>
    <t>NF 97145 WL 10x3,55 EH (Eraldo) PAGO 26/09</t>
  </si>
  <si>
    <t>Recap</t>
  </si>
  <si>
    <t>Linx</t>
  </si>
  <si>
    <t>Pag boleto WL NF 101652 1/2 VENC 10/10</t>
  </si>
  <si>
    <t>Leandro Bastelli</t>
  </si>
  <si>
    <t>Robinho</t>
  </si>
  <si>
    <t>Pag boleto WL NF 101652 2/2 VENC 13/10</t>
  </si>
  <si>
    <t>NF 101652 WL 15x3,55 EH 2X26625,00</t>
  </si>
  <si>
    <t>Mensalidade POS</t>
  </si>
  <si>
    <t>Tarifa TED</t>
  </si>
  <si>
    <t>Tarifa TED envio Petroriente</t>
  </si>
  <si>
    <t>Estorno mensalidade POS</t>
  </si>
  <si>
    <t>Pix Petroriente</t>
  </si>
  <si>
    <t>Tarifas pix 4,90+4,90</t>
  </si>
  <si>
    <t>Tarifas pix 4,90</t>
  </si>
  <si>
    <t>Pix Luiz F. Neto</t>
  </si>
  <si>
    <t>Pag FGTS</t>
  </si>
  <si>
    <t>Tarifa pix recebido Eraldo</t>
  </si>
  <si>
    <t>NF 87806 Petroriente 10x5,00 GC (pago pelo posto)</t>
  </si>
  <si>
    <t>NF 24446 Royal FIC 10x5,17 GC (pago pelo posto)</t>
  </si>
  <si>
    <t>Transf. Auto Posto p/ Itau Luiz Neto</t>
  </si>
  <si>
    <t>NF 90560 Petrorienrte 10x3,55 EH  (pago pelo posto)</t>
  </si>
  <si>
    <t>Pagseguro / Paypall</t>
  </si>
  <si>
    <t>Pix Petroquality 10x3,48 EH (pago pelo posto)</t>
  </si>
  <si>
    <t>NF 553472 Petroquality 5x3,48 EH  (pago pelo posto)</t>
  </si>
  <si>
    <t>NF 553205 Petroquality 5x3,48 EH  (pago pelo posto)</t>
  </si>
  <si>
    <t>Pix Eraldo (parte pagto 5m GC NF 137126)</t>
  </si>
  <si>
    <t>NF 137126 Petroexpress 5x5,12 GC (Eraldo/posto)</t>
  </si>
  <si>
    <t>Pix Eraldo (Pag 10x5,02 GC Petroriente NF 92528)</t>
  </si>
  <si>
    <t>Pag NF 92528 Petroriente 10x5,02 GC (Eraldo/posto)</t>
  </si>
  <si>
    <t>Recebimento produto NF 92528 Peetroriente</t>
  </si>
  <si>
    <t>NF 554106 Petroquality 10x3,47 EH  (pago pelo posto)</t>
  </si>
  <si>
    <t>Tarifa pix enviado Petroquality</t>
  </si>
  <si>
    <t>HADEN</t>
  </si>
  <si>
    <t>Pix Haden</t>
  </si>
  <si>
    <t>Tarifa pix recebido Haden</t>
  </si>
  <si>
    <t>NF 554759 Petroquality 10x3,49 EH  (pago pelo posto)</t>
  </si>
  <si>
    <t>AVANT</t>
  </si>
  <si>
    <t xml:space="preserve">NF 109841 Avant 10x3,51 EH  Venc 03/11 </t>
  </si>
  <si>
    <t>Transf. Itau para Spot</t>
  </si>
  <si>
    <t>NF 42537 Sim 10x5,04 GC (pago pelo posto)</t>
  </si>
  <si>
    <t>RESULTADO TOTAL</t>
  </si>
  <si>
    <t>EMPRESTIMO ITAU 2/6</t>
  </si>
  <si>
    <t>DESPESAS FUNCION.</t>
  </si>
  <si>
    <t>ALUGUEL</t>
  </si>
  <si>
    <t>PERÍODO 01 á 31/DEZ/25</t>
  </si>
  <si>
    <t xml:space="preserve">NF 42916 SIM GC 10x5,0879 </t>
  </si>
  <si>
    <t>NF 112692 Avant EH 10x3,70</t>
  </si>
  <si>
    <t>NF 43452 SIM GC 10x5,06</t>
  </si>
  <si>
    <t>NF 207204 All EH 10x3,525</t>
  </si>
  <si>
    <t>NF 208079 All 5x3,54 EH</t>
  </si>
  <si>
    <t>NF 10370 Nexta 3x5,06 GC</t>
  </si>
  <si>
    <t>Crediario Emprestimo 3/6 parcelas 3.214,69</t>
  </si>
  <si>
    <t>Pag Elektro</t>
  </si>
  <si>
    <t>Pag Sindicato</t>
  </si>
  <si>
    <t>Transf. Luiz Fernando</t>
  </si>
  <si>
    <t xml:space="preserve">Juros limite conta </t>
  </si>
  <si>
    <t>Itaú Seguros</t>
  </si>
  <si>
    <t>Da Claro</t>
  </si>
  <si>
    <t>Pag Linx Sistemas</t>
  </si>
  <si>
    <t>Pag Itau Uniclass</t>
  </si>
  <si>
    <t>CEF matriz</t>
  </si>
  <si>
    <t>Transf. p/ Eraldo</t>
  </si>
  <si>
    <t>Pix Arquivo Claro</t>
  </si>
  <si>
    <t>Tarifa pix Arquivo Claro</t>
  </si>
  <si>
    <t xml:space="preserve">Transf. Banco Itau </t>
  </si>
  <si>
    <t>Tarifa pix recebido 14000,00</t>
  </si>
  <si>
    <t>Tarifa pix recebido 5,00</t>
  </si>
  <si>
    <t>Tarifa pix recebido 6550,00</t>
  </si>
  <si>
    <t>Tarifa envio pix SIM</t>
  </si>
  <si>
    <t xml:space="preserve">Pag NF 109841 Avant 10x3,51 EH  Venc 03/11 </t>
  </si>
  <si>
    <t>Pag Sind C. V. Der Recap</t>
  </si>
  <si>
    <t>Pag NF 112692 Avant EH 10x3,70</t>
  </si>
  <si>
    <t>Transf. Itau p/ Spotbank</t>
  </si>
  <si>
    <t>Tarifa pix recebido 5000,00</t>
  </si>
  <si>
    <t>Tarifa pix enviado</t>
  </si>
  <si>
    <t>Estorno Mensalidade POS</t>
  </si>
  <si>
    <t>Transf. Itau para Spotbank</t>
  </si>
  <si>
    <t>Tarifa recebimento pix 300,00</t>
  </si>
  <si>
    <t>Tarifa pix envio</t>
  </si>
  <si>
    <t>Tarifa pix recebimento</t>
  </si>
  <si>
    <t>Tarifa pix enviado 4,90+4,90</t>
  </si>
  <si>
    <t>Pag NF 43677 Sim 5x5,06 GC</t>
  </si>
  <si>
    <t>Tarifa pix enviado 4,90</t>
  </si>
  <si>
    <t>NF 43677 Sim 5x5,06 GC (pago 19/11)</t>
  </si>
  <si>
    <t>Tarifa recebimento pix 8600,00</t>
  </si>
  <si>
    <t>Pag NF 81639 WL 1/6 12,233,33 (Eraldo)</t>
  </si>
  <si>
    <t>Pag NF 81639 WL 2/6 12,233,33 (Eraldo)</t>
  </si>
  <si>
    <t>Pag NF 81639 WL 3/6 12,233,33 (Eraldo)</t>
  </si>
  <si>
    <t>Pag NF 81639 WL 4/6 12,233,33 (Eraldo)</t>
  </si>
  <si>
    <t>Pag NF 81639 WL 5/6 12,233,33 (Eraldo)</t>
  </si>
  <si>
    <t>Pag NF 81639 WL 6/6 12,233,35 (Eraldo)</t>
  </si>
  <si>
    <t>Pag NF 93745 WL 1/3 12,233,33 (Eraldo)</t>
  </si>
  <si>
    <t>Pag boleto WL NF 93745 3/3 VENC 26/09</t>
  </si>
  <si>
    <t>Pix Eraldo</t>
  </si>
  <si>
    <t>Transf. Spotbank p/ Eraldo</t>
  </si>
  <si>
    <t>Transf. Eraldo Alves Macedo</t>
  </si>
  <si>
    <t>Transf. Luiz Neto p/ Auto Posto</t>
  </si>
  <si>
    <t>Pix Eraldo Alves Macedo</t>
  </si>
  <si>
    <t>TARIFA PACOTE</t>
  </si>
  <si>
    <t>Conselho Regional</t>
  </si>
  <si>
    <t>PERÍODO 01 á 30/NOV/25</t>
  </si>
  <si>
    <t xml:space="preserve">Tarifa recebimento pix </t>
  </si>
  <si>
    <t>Pag NF 98565 Petroriente 10x3,63 EH</t>
  </si>
  <si>
    <t>Pag Juliano Araujo</t>
  </si>
  <si>
    <t>Tarifa pix Juliano Araujo</t>
  </si>
  <si>
    <t>NF 44557 SIM 10x5,06 GC (pago pelo posto)</t>
  </si>
  <si>
    <t>Pix Jonatas Souza</t>
  </si>
  <si>
    <t>Tarifa pix recebido</t>
  </si>
  <si>
    <t>Pix Eraldo p/ pag NF 208079 All</t>
  </si>
  <si>
    <t>Pag Recap</t>
  </si>
  <si>
    <t>Pag DARF</t>
  </si>
  <si>
    <t>Tarifa pacote</t>
  </si>
  <si>
    <t>Pag DAAE</t>
  </si>
  <si>
    <t>PERÍODO 01 á 31/JAN/26</t>
  </si>
  <si>
    <t>Credito Vendas Cartão 30/12/25</t>
  </si>
  <si>
    <t>Credito Vendas Cartão 31/12/25</t>
  </si>
  <si>
    <t>Credito Vendas Cartão 01/01/26</t>
  </si>
  <si>
    <t>Credito Vendas Cartão 29/12/25</t>
  </si>
  <si>
    <t>NF 568584 EH 10x3,76</t>
  </si>
  <si>
    <t>NF 569964 EH 10x3,80</t>
  </si>
  <si>
    <t>NF 226190 EH 12x3,82</t>
  </si>
  <si>
    <t>NF 226930 EH 15x3,82</t>
  </si>
  <si>
    <t>NF 93084 EH 10x3,81</t>
  </si>
  <si>
    <t>PERÍODO 01 á 28/FEV/26</t>
  </si>
  <si>
    <t>Tarifa envio pix</t>
  </si>
  <si>
    <t>Pix recebido maquininha</t>
  </si>
  <si>
    <t>Tarifa pix recebido maquinha</t>
  </si>
  <si>
    <t>Tarifa recebimento pix</t>
  </si>
  <si>
    <t>Pag NF 571137 EH 10x3,86</t>
  </si>
  <si>
    <t>Pix recebido Luiz Neto (Itau)</t>
  </si>
  <si>
    <t>Tarifa pix recebido Luiz Neto (Itau)</t>
  </si>
  <si>
    <t>Pag NF 162963 EH 10x3,55</t>
  </si>
  <si>
    <t>Retirada Eraldo</t>
  </si>
  <si>
    <t>Retirada Luiz Fernando</t>
  </si>
  <si>
    <t>Transf. Eraldo</t>
  </si>
  <si>
    <t>Sem parar</t>
  </si>
  <si>
    <t>Fatura Itau Uniclass</t>
  </si>
  <si>
    <t>Sind. Com. Varejista</t>
  </si>
  <si>
    <t>DAAE Rio Claro</t>
  </si>
  <si>
    <t>CEF Matriz</t>
  </si>
  <si>
    <t>Pag Jonatas</t>
  </si>
  <si>
    <t>Sindicato Com. Varejista</t>
  </si>
  <si>
    <t>NF 557485 Petroquality EH 15x3,56 (Eraldo pag 11/11)</t>
  </si>
  <si>
    <t>Pag NF 44195 Sim 10x5,04 GC</t>
  </si>
  <si>
    <t>NF 98565 Petroriente 10x3,63 EH (WL VENC 01/12)</t>
  </si>
  <si>
    <t>Transf. p/ Eraldo (Iluminação Posto)</t>
  </si>
  <si>
    <t>NF 99643 SIM 10x3,66 EH (WL VENC 08/12)</t>
  </si>
  <si>
    <t>Pag NF 99643 SIM 10x3,66 EH (WL de 03/12)</t>
  </si>
  <si>
    <t>NF 563469 15x3,67 EH</t>
  </si>
  <si>
    <t>NF 45205 10x5,06 GC</t>
  </si>
  <si>
    <t>NF 45649 10x5,06 GC</t>
  </si>
  <si>
    <t>NF 565722 5x3,71 EH</t>
  </si>
  <si>
    <t>NF 565723 5x3,71 EH</t>
  </si>
  <si>
    <t>NF 566137 10x3,71 EH</t>
  </si>
  <si>
    <t>NF 12133 10x5,10 GC</t>
  </si>
  <si>
    <t>Pix enviado Luiz Neto</t>
  </si>
  <si>
    <t>Pix recebido Luiz Neto</t>
  </si>
  <si>
    <t>Pag NF 566137 10x3,71 EH</t>
  </si>
  <si>
    <t>Crediario Emprestimo 4/6 parcelas 3.214,69</t>
  </si>
  <si>
    <t>Crediario Emprestimo 5/6 parcelas 3.214,69</t>
  </si>
  <si>
    <t>Crediario Emprestimo 6/6 parcelas 3.214,69</t>
  </si>
  <si>
    <t>Pag boleto Juliano Albino</t>
  </si>
  <si>
    <t xml:space="preserve">Sindicato Comércio </t>
  </si>
  <si>
    <t>Selltech</t>
  </si>
  <si>
    <t>Pag boleto Linx</t>
  </si>
  <si>
    <t>Pag Elétrica Ma</t>
  </si>
  <si>
    <t>Pag fatura Itau Uniclass</t>
  </si>
  <si>
    <t>Transf. Alpfa Ma</t>
  </si>
  <si>
    <t>CEF</t>
  </si>
  <si>
    <t>Pag Linx</t>
  </si>
  <si>
    <t>Transf. Locaste</t>
  </si>
  <si>
    <t>Pix Jose Ju</t>
  </si>
  <si>
    <t>Transf. Auto Posto</t>
  </si>
  <si>
    <t>Selltech Consultoria</t>
  </si>
  <si>
    <t>Pag Sindicato Trabalhadores</t>
  </si>
  <si>
    <t>Transf. Jose Ju</t>
  </si>
  <si>
    <t>Pag boleto Instituto Brasileiro Meio Ambiente</t>
  </si>
  <si>
    <t>Prefeitura Municipal Rio Claro</t>
  </si>
  <si>
    <t>Pag boleto Bresser Conultoria Juridica</t>
  </si>
  <si>
    <t xml:space="preserve">Pag DMAIS </t>
  </si>
  <si>
    <t>Pix Eraldo Alves</t>
  </si>
  <si>
    <t>Pix Patricia Santos</t>
  </si>
  <si>
    <t>Pix Jose Silva</t>
  </si>
  <si>
    <t>Pag MDT</t>
  </si>
  <si>
    <t>EMPRESTIMO ITAU 4/6</t>
  </si>
  <si>
    <t>RETIRADA SOCIOS</t>
  </si>
  <si>
    <t>PAG NF 161496 GC 10x5,30</t>
  </si>
  <si>
    <t xml:space="preserve">Pix B. Ltda NF 90560 Petrorienrte 10x3,55 EH  </t>
  </si>
  <si>
    <t>Pag Nexta NF 10705</t>
  </si>
  <si>
    <t>Pag Nexta NF 10706</t>
  </si>
  <si>
    <t>Pag NF 20656 5x5,15 GC</t>
  </si>
  <si>
    <t>Pag DMAIS NF 716288 10x5,159 GC</t>
  </si>
  <si>
    <t>PLANILHA ERALDO</t>
  </si>
  <si>
    <t>DATA</t>
  </si>
  <si>
    <t>DESCRIÇÃO</t>
  </si>
  <si>
    <t>VALOR</t>
  </si>
  <si>
    <t>Pag. NF 81861 Petroriente 10x4,82 GC (Eraldo)</t>
  </si>
  <si>
    <t>Pag. NF 82199 Petroriente   5x5,00 GC (Eraldo)</t>
  </si>
  <si>
    <t>Pag NF 81861 Petroriente 10x4,82 GC</t>
  </si>
  <si>
    <t>Pag NF 82199 Petroriente   5x5,00 GC</t>
  </si>
  <si>
    <t>Pag NF 84617 Petroriente 10x3,44</t>
  </si>
  <si>
    <t>Pag NF 85355 Petroriente 10x4,88 GC</t>
  </si>
  <si>
    <t>Pag NF 84617 Petroriente 10x3,44 EH</t>
  </si>
  <si>
    <t>Pag NF 83529 Petroriente 10x5,00 GC</t>
  </si>
  <si>
    <t>Pag NF 97145 WL 10x3,55 EH (PAGO 26/09)</t>
  </si>
  <si>
    <t>Pag NF 86122 Petroriente 2x3,44 EH</t>
  </si>
  <si>
    <t>TOTAL SETEMBRO/2025</t>
  </si>
  <si>
    <t>Pag NF 99547 WL parc 1/2 26.625,00</t>
  </si>
  <si>
    <t>Pag NF 81639 WL parc 4/6 12.233,33</t>
  </si>
  <si>
    <t>Pag NF 81639 WL parc 1/6 12.233,33</t>
  </si>
  <si>
    <t>Pag NF 81639 WL parc 2/6 12.233,33</t>
  </si>
  <si>
    <t>Pag NF 81639 WL parc 3/6 12.233,33</t>
  </si>
  <si>
    <t>Pag NF 81639 WL parc 5/6 12,233,33</t>
  </si>
  <si>
    <t>Pag NF 81639 WL parc 6/6 12,233,35</t>
  </si>
  <si>
    <t>Parte pag NF 137126 5m GC</t>
  </si>
  <si>
    <t>Pag NF 93745 WL 1/3 12.233,33</t>
  </si>
  <si>
    <t>Pag NF 92528 Petroriente 10x5,02 GC</t>
  </si>
  <si>
    <t>TOTAL OUTUBRO/2025</t>
  </si>
  <si>
    <t>Devolução p/ Eraldo</t>
  </si>
  <si>
    <t>TOTAL NOVEMBRO/2025</t>
  </si>
  <si>
    <t xml:space="preserve">Pag NF 557485 Petroquality EH 15x3,56 </t>
  </si>
  <si>
    <t>Pix Eraldo p/ Spotbank</t>
  </si>
  <si>
    <t>Transf. Itaú p/ Eraldo</t>
  </si>
  <si>
    <t>ACUMULADO</t>
  </si>
  <si>
    <t>Parte pag NF 208079 All</t>
  </si>
  <si>
    <t>Devolução depósito 24/11</t>
  </si>
  <si>
    <t>NF 562278 10x3,64 EH  (reembolso 10/12)</t>
  </si>
  <si>
    <t>NF 561959 10x3,66 EH (reembolso 08/12)</t>
  </si>
  <si>
    <t>Pix Eraldo Alves Macedo (reembolso 22/12)</t>
  </si>
  <si>
    <t>Pix enviado Eraldo Alves (reembolso 05/12 NF 561959)</t>
  </si>
  <si>
    <t>Pix enviado Eraldo Alves (reembolso 05/12 NF 562278)</t>
  </si>
  <si>
    <t>Pix p/ Eraldo Alves Macedo (devolulçao 11/12)</t>
  </si>
  <si>
    <t>Pix p/ Eraldo (parte NF 565722/723/566137)</t>
  </si>
  <si>
    <t>Pix Eraldo Alves Macedo (reembolso)</t>
  </si>
  <si>
    <t>TOTAL DEZEMBRO/2025</t>
  </si>
  <si>
    <t>Pix Eraldo Alves Macedo p/ Spotbank</t>
  </si>
  <si>
    <t>Pag NF 563469 15x3,67 EH</t>
  </si>
  <si>
    <t>Pag NF 565722 5x3,71 EH</t>
  </si>
  <si>
    <t>Pag NF 565723 5x3,71 EH</t>
  </si>
  <si>
    <t>Pag NF 568584 EH 10x3,76</t>
  </si>
  <si>
    <t>Pag NF 569964 EH 10x3,80</t>
  </si>
  <si>
    <t>Pag NF 226190 EH 12x3,82</t>
  </si>
  <si>
    <t>TOTAL JANEIRO/2026</t>
  </si>
  <si>
    <t>Pag NF 230811 18x3,81 EH</t>
  </si>
  <si>
    <t>Pag NF 236768 5x3,64 EH</t>
  </si>
  <si>
    <t>Pag NF 714995 GC 7x4,9314285</t>
  </si>
  <si>
    <t>TOTAL FEVEREIRO/2026</t>
  </si>
  <si>
    <t>Pag NF 226930 EH 15x3,77</t>
  </si>
  <si>
    <t>Pag NF 93084 EH 10x3,77</t>
  </si>
  <si>
    <t>Pag NF 230811 18x3,768333 EH</t>
  </si>
  <si>
    <t>Pag boleto Bresser Consultoria Juridica (acordo)</t>
  </si>
  <si>
    <t>Pag boleto Itau (acordo judicial)</t>
  </si>
  <si>
    <t>ACORDO JUDICIAL</t>
  </si>
  <si>
    <t>Pag boleto Banco Itau (acordo judicial)</t>
  </si>
  <si>
    <t>RESULTADO OPERACIONAL</t>
  </si>
  <si>
    <t>(RESULTADO OPERACIONAL + DESPESAS FINANCEIRAS</t>
  </si>
  <si>
    <t>(RESULTADO OPERACIONAL + DESPESAS FINANCEIRAS + SÓCIOS</t>
  </si>
  <si>
    <t>VALORES IDENTIFICAR</t>
  </si>
  <si>
    <t>Transf. do Spotbank p/ Luiz Neto (BB)</t>
  </si>
  <si>
    <t>Cobrança cartão ITAU VISA</t>
  </si>
  <si>
    <t>Transf. Itaú para Luiz Fernando</t>
  </si>
  <si>
    <t>Transf. Spotbank p/ Itau</t>
  </si>
  <si>
    <t>Pix recebido Luiz Neto (Itaú)</t>
  </si>
  <si>
    <t>PERÍODO 01 á 30/ABR/26</t>
  </si>
  <si>
    <t>PERÍODO 01 á 31/MAR/26</t>
  </si>
  <si>
    <t xml:space="preserve">Pag NF 513717 10x5,5966 GC RUFF </t>
  </si>
  <si>
    <t>Pag NF 130791 5x3,63 EH PETROWORLD</t>
  </si>
  <si>
    <t>Pag NF 587490 5x3,64 EH PETROQUALITY</t>
  </si>
  <si>
    <t>Pag NF 587836 5x3,64 EH PETROQUALITY</t>
  </si>
  <si>
    <t>Pag NF 588375 5x3,54 EH PETROQUALITY</t>
  </si>
  <si>
    <t>Pag NF 11226 10x5,6599 GC ON PETRO</t>
  </si>
  <si>
    <t>Pag NF 589235 5x3,38 EH PETROQUALITY</t>
  </si>
  <si>
    <t xml:space="preserve">Pag NF 515304 8x5,4764 GC RUFF </t>
  </si>
  <si>
    <t>Pag NF 118325 10x3,08 EH ALL</t>
  </si>
  <si>
    <t>Pag NF 590992 5x3,18 EH PETROQUALITY</t>
  </si>
  <si>
    <t>Pag NF 590500 5x3,18 EH PETROQUALITY</t>
  </si>
  <si>
    <t>DIESEL</t>
  </si>
  <si>
    <t>Venda de Diesel</t>
  </si>
  <si>
    <t>BLOCO SPOT</t>
  </si>
  <si>
    <t>BLOCO ITAU</t>
  </si>
  <si>
    <t>BLOCO ESTOQUES</t>
  </si>
  <si>
    <t>Pix e depositos Vendas</t>
  </si>
  <si>
    <t>CONSOLIDADO</t>
  </si>
  <si>
    <t>PERÍODO 01 á 31/MAI/26</t>
  </si>
  <si>
    <t>PERÍODO 01 á 30/JUN/26</t>
  </si>
  <si>
    <t>PERÍODO 01 á 31/JUL/26</t>
  </si>
  <si>
    <t>PERÍODO 01 á 31/AGO/26</t>
  </si>
  <si>
    <t>PERÍODO 01 á 30/SET/26</t>
  </si>
  <si>
    <t>PERÍODO 01 á 31/OUT/26</t>
  </si>
  <si>
    <t>PERÍODO 01 á 30/NOV/26</t>
  </si>
  <si>
    <t>PERÍODO 01 á 31/DEZ/26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</si>
</sst>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R$&quot;\ #,##0.00;[Red]\-&quot;R$&quot;\ #,##0.00"/>
    <numFmt numFmtId="164" formatCode="_(* #,##0.00_);_(* \(#,##0.00\);_(* &quot;-&quot;??_);_(@_)"/>
    <numFmt numFmtId="165" formatCode="[$-416]d\-mmm;@"/>
    <numFmt numFmtId="166" formatCode="#,##0.00_ ;[Red]\-#,##0.00\ "/>
    <numFmt numFmtId="167" formatCode="#,##0.0000;[Red]\-#,##0.0000"/>
  </numFmts>
  <fonts count="17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15" fillId="0" borderId="0"/>
    <xf numFmtId="0" fontId="9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26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NumberFormat="1" applyFont="1"/>
    <xf numFmtId="0" fontId="5" fillId="0" borderId="0" xfId="0" applyFont="1"/>
    <xf numFmtId="0" fontId="5" fillId="0" borderId="0" xfId="0" applyNumberFormat="1" applyFont="1" applyFill="1"/>
    <xf numFmtId="0" fontId="5" fillId="0" borderId="0" xfId="1" applyNumberFormat="1" applyFont="1" applyFill="1"/>
    <xf numFmtId="0" fontId="4" fillId="2" borderId="1" xfId="0" applyNumberFormat="1" applyFont="1" applyFill="1" applyBorder="1" applyAlignment="1">
      <alignment horizontal="center"/>
    </xf>
    <xf numFmtId="0" fontId="4" fillId="2" borderId="1" xfId="1" applyNumberFormat="1" applyFont="1" applyFill="1" applyBorder="1" applyAlignment="1">
      <alignment horizontal="center"/>
    </xf>
    <xf numFmtId="166" fontId="4" fillId="2" borderId="1" xfId="0" applyNumberFormat="1" applyFont="1" applyFill="1" applyBorder="1"/>
    <xf numFmtId="166" fontId="4" fillId="2" borderId="1" xfId="1" applyNumberFormat="1" applyFont="1" applyFill="1" applyBorder="1"/>
    <xf numFmtId="166" fontId="5" fillId="0" borderId="1" xfId="0" applyNumberFormat="1" applyFont="1" applyBorder="1"/>
    <xf numFmtId="166" fontId="5" fillId="0" borderId="1" xfId="12" applyNumberFormat="1" applyFont="1" applyBorder="1"/>
    <xf numFmtId="166" fontId="5" fillId="0" borderId="1" xfId="12" applyNumberFormat="1" applyFont="1" applyFill="1" applyBorder="1"/>
    <xf numFmtId="40" fontId="4" fillId="0" borderId="2" xfId="5" applyNumberFormat="1" applyFont="1" applyFill="1" applyBorder="1" applyAlignment="1">
      <alignment horizontal="right" shrinkToFit="1"/>
    </xf>
    <xf numFmtId="40" fontId="5" fillId="0" borderId="3" xfId="5" applyNumberFormat="1" applyFont="1" applyFill="1" applyBorder="1" applyAlignment="1">
      <alignment horizontal="right" shrinkToFit="1"/>
    </xf>
    <xf numFmtId="40" fontId="5" fillId="0" borderId="4" xfId="5" applyNumberFormat="1" applyFont="1" applyFill="1" applyBorder="1" applyAlignment="1">
      <alignment horizontal="right" shrinkToFit="1"/>
    </xf>
    <xf numFmtId="40" fontId="5" fillId="0" borderId="1" xfId="5" applyNumberFormat="1" applyFont="1" applyFill="1" applyBorder="1" applyAlignment="1">
      <alignment horizontal="right" shrinkToFit="1"/>
    </xf>
    <xf numFmtId="40" fontId="5" fillId="0" borderId="5" xfId="5" applyNumberFormat="1" applyFont="1" applyFill="1" applyBorder="1" applyAlignment="1">
      <alignment horizontal="right" shrinkToFit="1"/>
    </xf>
    <xf numFmtId="40" fontId="5" fillId="0" borderId="2" xfId="5" applyNumberFormat="1" applyFont="1" applyFill="1" applyBorder="1" applyAlignment="1">
      <alignment horizontal="right" shrinkToFit="1"/>
    </xf>
    <xf numFmtId="40" fontId="5" fillId="0" borderId="6" xfId="5" applyNumberFormat="1" applyFont="1" applyFill="1" applyBorder="1" applyAlignment="1">
      <alignment horizontal="right" shrinkToFit="1"/>
    </xf>
    <xf numFmtId="40" fontId="5" fillId="3" borderId="1" xfId="5" applyNumberFormat="1" applyFont="1" applyFill="1" applyBorder="1" applyAlignment="1">
      <alignment horizontal="right" shrinkToFit="1"/>
    </xf>
    <xf numFmtId="164" fontId="5" fillId="0" borderId="0" xfId="5" applyFont="1" applyAlignment="1">
      <alignment shrinkToFit="1"/>
    </xf>
    <xf numFmtId="40" fontId="4" fillId="0" borderId="1" xfId="5" applyNumberFormat="1" applyFont="1" applyFill="1" applyBorder="1" applyAlignment="1">
      <alignment horizontal="right" shrinkToFit="1"/>
    </xf>
    <xf numFmtId="165" fontId="5" fillId="0" borderId="2" xfId="0" quotePrefix="1" applyNumberFormat="1" applyFont="1" applyFill="1" applyBorder="1" applyAlignment="1">
      <alignment horizontal="center" shrinkToFit="1"/>
    </xf>
    <xf numFmtId="165" fontId="5" fillId="0" borderId="1" xfId="0" quotePrefix="1" applyNumberFormat="1" applyFont="1" applyFill="1" applyBorder="1" applyAlignment="1">
      <alignment horizontal="center" shrinkToFit="1"/>
    </xf>
    <xf numFmtId="165" fontId="5" fillId="0" borderId="0" xfId="0" applyNumberFormat="1" applyFont="1" applyAlignment="1">
      <alignment horizontal="center" shrinkToFit="1"/>
    </xf>
    <xf numFmtId="40" fontId="4" fillId="0" borderId="5" xfId="5" applyNumberFormat="1" applyFont="1" applyFill="1" applyBorder="1" applyAlignment="1">
      <alignment horizontal="right" shrinkToFit="1"/>
    </xf>
    <xf numFmtId="166" fontId="5" fillId="0" borderId="0" xfId="12" applyNumberFormat="1" applyFont="1" applyBorder="1"/>
    <xf numFmtId="40" fontId="5" fillId="0" borderId="7" xfId="5" applyNumberFormat="1" applyFont="1" applyFill="1" applyBorder="1" applyAlignment="1">
      <alignment horizontal="right" shrinkToFit="1"/>
    </xf>
    <xf numFmtId="165" fontId="5" fillId="0" borderId="6" xfId="0" quotePrefix="1" applyNumberFormat="1" applyFont="1" applyFill="1" applyBorder="1" applyAlignment="1">
      <alignment horizontal="center" shrinkToFit="1"/>
    </xf>
    <xf numFmtId="166" fontId="5" fillId="0" borderId="0" xfId="12" applyNumberFormat="1" applyFont="1" applyFill="1" applyBorder="1"/>
    <xf numFmtId="165" fontId="4" fillId="0" borderId="2" xfId="5" applyNumberFormat="1" applyFont="1" applyFill="1" applyBorder="1" applyAlignment="1">
      <alignment horizontal="center" shrinkToFit="1"/>
    </xf>
    <xf numFmtId="165" fontId="5" fillId="0" borderId="8" xfId="0" quotePrefix="1" applyNumberFormat="1" applyFont="1" applyFill="1" applyBorder="1" applyAlignment="1">
      <alignment horizontal="center" shrinkToFit="1"/>
    </xf>
    <xf numFmtId="166" fontId="5" fillId="0" borderId="0" xfId="0" applyNumberFormat="1" applyFont="1" applyBorder="1"/>
    <xf numFmtId="165" fontId="5" fillId="0" borderId="1" xfId="5" applyNumberFormat="1" applyFont="1" applyFill="1" applyBorder="1" applyAlignment="1">
      <alignment horizontal="center" shrinkToFit="1"/>
    </xf>
    <xf numFmtId="165" fontId="5" fillId="0" borderId="5" xfId="5" applyNumberFormat="1" applyFont="1" applyFill="1" applyBorder="1" applyAlignment="1">
      <alignment horizontal="center" shrinkToFit="1"/>
    </xf>
    <xf numFmtId="40" fontId="5" fillId="0" borderId="9" xfId="5" applyNumberFormat="1" applyFont="1" applyFill="1" applyBorder="1" applyAlignment="1">
      <alignment horizontal="right" shrinkToFit="1"/>
    </xf>
    <xf numFmtId="40" fontId="5" fillId="0" borderId="10" xfId="5" applyNumberFormat="1" applyFont="1" applyFill="1" applyBorder="1" applyAlignment="1">
      <alignment horizontal="right" shrinkToFit="1"/>
    </xf>
    <xf numFmtId="40" fontId="5" fillId="0" borderId="11" xfId="5" applyNumberFormat="1" applyFont="1" applyFill="1" applyBorder="1" applyAlignment="1">
      <alignment horizontal="right" shrinkToFit="1"/>
    </xf>
    <xf numFmtId="40" fontId="5" fillId="4" borderId="1" xfId="5" applyNumberFormat="1" applyFont="1" applyFill="1" applyBorder="1" applyAlignment="1">
      <alignment horizontal="right" shrinkToFit="1"/>
    </xf>
    <xf numFmtId="40" fontId="5" fillId="4" borderId="4" xfId="5" applyNumberFormat="1" applyFont="1" applyFill="1" applyBorder="1" applyAlignment="1">
      <alignment horizontal="right" shrinkToFit="1"/>
    </xf>
    <xf numFmtId="4" fontId="16" fillId="0" borderId="5" xfId="5" applyNumberFormat="1" applyFont="1" applyFill="1" applyBorder="1" applyAlignment="1">
      <alignment horizontal="right" shrinkToFit="1"/>
    </xf>
    <xf numFmtId="40" fontId="5" fillId="3" borderId="7" xfId="5" applyNumberFormat="1" applyFont="1" applyFill="1" applyBorder="1" applyAlignment="1">
      <alignment horizontal="right" shrinkToFit="1"/>
    </xf>
    <xf numFmtId="165" fontId="5" fillId="0" borderId="1" xfId="5" applyNumberFormat="1" applyFont="1" applyFill="1" applyBorder="1" applyAlignment="1">
      <alignment horizontal="right" shrinkToFit="1"/>
    </xf>
    <xf numFmtId="0" fontId="5" fillId="0" borderId="1" xfId="0" applyNumberFormat="1" applyFont="1" applyFill="1" applyBorder="1"/>
    <xf numFmtId="40" fontId="5" fillId="4" borderId="2" xfId="5" applyNumberFormat="1" applyFont="1" applyFill="1" applyBorder="1" applyAlignment="1">
      <alignment horizontal="right" shrinkToFit="1"/>
    </xf>
    <xf numFmtId="40" fontId="5" fillId="4" borderId="5" xfId="5" applyNumberFormat="1" applyFont="1" applyFill="1" applyBorder="1" applyAlignment="1">
      <alignment horizontal="right" shrinkToFit="1"/>
    </xf>
    <xf numFmtId="40" fontId="5" fillId="4" borderId="12" xfId="5" applyNumberFormat="1" applyFont="1" applyFill="1" applyBorder="1" applyAlignment="1">
      <alignment horizontal="right" shrinkToFit="1"/>
    </xf>
    <xf numFmtId="40" fontId="5" fillId="4" borderId="13" xfId="5" applyNumberFormat="1" applyFont="1" applyFill="1" applyBorder="1" applyAlignment="1">
      <alignment horizontal="right" shrinkToFit="1"/>
    </xf>
    <xf numFmtId="49" fontId="4" fillId="4" borderId="4" xfId="0" applyNumberFormat="1" applyFont="1" applyFill="1" applyBorder="1" applyAlignment="1">
      <alignment horizontal="center" shrinkToFit="1"/>
    </xf>
    <xf numFmtId="40" fontId="5" fillId="4" borderId="4" xfId="14" applyNumberFormat="1" applyFont="1" applyFill="1" applyBorder="1" applyAlignment="1">
      <alignment horizontal="right" shrinkToFit="1"/>
    </xf>
    <xf numFmtId="40" fontId="5" fillId="4" borderId="7" xfId="5" applyNumberFormat="1" applyFont="1" applyFill="1" applyBorder="1" applyAlignment="1">
      <alignment horizontal="right" shrinkToFit="1"/>
    </xf>
    <xf numFmtId="0" fontId="5" fillId="0" borderId="6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wrapText="1"/>
    </xf>
    <xf numFmtId="165" fontId="5" fillId="0" borderId="7" xfId="0" quotePrefix="1" applyNumberFormat="1" applyFont="1" applyFill="1" applyBorder="1" applyAlignment="1">
      <alignment horizontal="center" shrinkToFit="1"/>
    </xf>
    <xf numFmtId="38" fontId="5" fillId="0" borderId="1" xfId="14" applyNumberFormat="1" applyFont="1" applyFill="1" applyBorder="1" applyAlignment="1">
      <alignment horizontal="right" shrinkToFit="1"/>
    </xf>
    <xf numFmtId="38" fontId="5" fillId="0" borderId="2" xfId="14" applyNumberFormat="1" applyFont="1" applyFill="1" applyBorder="1" applyAlignment="1">
      <alignment horizontal="right" shrinkToFit="1"/>
    </xf>
    <xf numFmtId="38" fontId="5" fillId="0" borderId="10" xfId="14" applyNumberFormat="1" applyFont="1" applyFill="1" applyBorder="1" applyAlignment="1">
      <alignment horizontal="right" shrinkToFit="1"/>
    </xf>
    <xf numFmtId="49" fontId="4" fillId="5" borderId="6" xfId="0" applyNumberFormat="1" applyFont="1" applyFill="1" applyBorder="1" applyAlignment="1">
      <alignment horizontal="center" shrinkToFit="1"/>
    </xf>
    <xf numFmtId="49" fontId="4" fillId="5" borderId="1" xfId="0" applyNumberFormat="1" applyFont="1" applyFill="1" applyBorder="1" applyAlignment="1">
      <alignment horizontal="center" shrinkToFit="1"/>
    </xf>
    <xf numFmtId="40" fontId="5" fillId="5" borderId="1" xfId="14" applyNumberFormat="1" applyFont="1" applyFill="1" applyBorder="1" applyAlignment="1">
      <alignment horizontal="right" shrinkToFit="1"/>
    </xf>
    <xf numFmtId="40" fontId="5" fillId="5" borderId="3" xfId="5" applyNumberFormat="1" applyFont="1" applyFill="1" applyBorder="1" applyAlignment="1">
      <alignment horizontal="right" shrinkToFit="1"/>
    </xf>
    <xf numFmtId="40" fontId="5" fillId="5" borderId="1" xfId="5" applyNumberFormat="1" applyFont="1" applyFill="1" applyBorder="1" applyAlignment="1">
      <alignment horizontal="right" shrinkToFit="1"/>
    </xf>
    <xf numFmtId="40" fontId="5" fillId="5" borderId="6" xfId="5" applyNumberFormat="1" applyFont="1" applyFill="1" applyBorder="1" applyAlignment="1">
      <alignment horizontal="right" shrinkToFit="1"/>
    </xf>
    <xf numFmtId="40" fontId="5" fillId="5" borderId="2" xfId="5" applyNumberFormat="1" applyFont="1" applyFill="1" applyBorder="1" applyAlignment="1">
      <alignment horizontal="right" shrinkToFit="1"/>
    </xf>
    <xf numFmtId="49" fontId="4" fillId="6" borderId="1" xfId="0" applyNumberFormat="1" applyFont="1" applyFill="1" applyBorder="1" applyAlignment="1">
      <alignment horizontal="center" shrinkToFit="1"/>
    </xf>
    <xf numFmtId="40" fontId="5" fillId="6" borderId="1" xfId="14" applyNumberFormat="1" applyFont="1" applyFill="1" applyBorder="1" applyAlignment="1">
      <alignment horizontal="right" shrinkToFit="1"/>
    </xf>
    <xf numFmtId="165" fontId="4" fillId="5" borderId="1" xfId="0" applyNumberFormat="1" applyFont="1" applyFill="1" applyBorder="1" applyAlignment="1">
      <alignment horizontal="center" shrinkToFit="1"/>
    </xf>
    <xf numFmtId="0" fontId="4" fillId="5" borderId="6" xfId="0" applyFont="1" applyFill="1" applyBorder="1" applyAlignment="1">
      <alignment horizontal="left"/>
    </xf>
    <xf numFmtId="166" fontId="4" fillId="5" borderId="4" xfId="0" applyNumberFormat="1" applyFont="1" applyFill="1" applyBorder="1" applyAlignment="1">
      <alignment horizontal="right"/>
    </xf>
    <xf numFmtId="49" fontId="4" fillId="5" borderId="6" xfId="0" applyNumberFormat="1" applyFont="1" applyFill="1" applyBorder="1" applyAlignment="1">
      <alignment horizontal="center" shrinkToFit="1"/>
    </xf>
    <xf numFmtId="40" fontId="5" fillId="5" borderId="2" xfId="14" applyNumberFormat="1" applyFont="1" applyFill="1" applyBorder="1" applyAlignment="1">
      <alignment horizontal="right" shrinkToFit="1"/>
    </xf>
    <xf numFmtId="40" fontId="5" fillId="5" borderId="4" xfId="5" applyNumberFormat="1" applyFont="1" applyFill="1" applyBorder="1" applyAlignment="1">
      <alignment horizontal="right" shrinkToFit="1"/>
    </xf>
    <xf numFmtId="49" fontId="4" fillId="5" borderId="4" xfId="0" applyNumberFormat="1" applyFont="1" applyFill="1" applyBorder="1" applyAlignment="1">
      <alignment horizontal="center" shrinkToFit="1"/>
    </xf>
    <xf numFmtId="40" fontId="5" fillId="5" borderId="4" xfId="14" applyNumberFormat="1" applyFont="1" applyFill="1" applyBorder="1" applyAlignment="1">
      <alignment horizontal="right" shrinkToFit="1"/>
    </xf>
    <xf numFmtId="49" fontId="4" fillId="6" borderId="4" xfId="0" applyNumberFormat="1" applyFont="1" applyFill="1" applyBorder="1" applyAlignment="1">
      <alignment horizontal="center" shrinkToFit="1"/>
    </xf>
    <xf numFmtId="164" fontId="4" fillId="6" borderId="4" xfId="5" applyFont="1" applyFill="1" applyBorder="1" applyAlignment="1">
      <alignment horizontal="center" shrinkToFit="1"/>
    </xf>
    <xf numFmtId="164" fontId="4" fillId="6" borderId="1" xfId="5" applyFont="1" applyFill="1" applyBorder="1" applyAlignment="1">
      <alignment horizontal="center" shrinkToFit="1"/>
    </xf>
    <xf numFmtId="40" fontId="5" fillId="6" borderId="4" xfId="14" applyNumberFormat="1" applyFont="1" applyFill="1" applyBorder="1" applyAlignment="1">
      <alignment horizontal="right" shrinkToFit="1"/>
    </xf>
    <xf numFmtId="40" fontId="5" fillId="5" borderId="10" xfId="5" applyNumberFormat="1" applyFont="1" applyFill="1" applyBorder="1" applyAlignment="1">
      <alignment horizontal="right" shrinkToFit="1"/>
    </xf>
    <xf numFmtId="166" fontId="4" fillId="5" borderId="12" xfId="0" applyNumberFormat="1" applyFont="1" applyFill="1" applyBorder="1" applyAlignment="1">
      <alignment horizontal="right"/>
    </xf>
    <xf numFmtId="40" fontId="5" fillId="5" borderId="14" xfId="5" applyNumberFormat="1" applyFont="1" applyFill="1" applyBorder="1" applyAlignment="1">
      <alignment horizontal="right" shrinkToFit="1"/>
    </xf>
    <xf numFmtId="40" fontId="5" fillId="5" borderId="15" xfId="5" applyNumberFormat="1" applyFont="1" applyFill="1" applyBorder="1" applyAlignment="1">
      <alignment horizontal="right" shrinkToFit="1"/>
    </xf>
    <xf numFmtId="40" fontId="5" fillId="5" borderId="7" xfId="5" applyNumberFormat="1" applyFont="1" applyFill="1" applyBorder="1" applyAlignment="1">
      <alignment horizontal="right" shrinkToFit="1"/>
    </xf>
    <xf numFmtId="40" fontId="4" fillId="4" borderId="1" xfId="5" applyNumberFormat="1" applyFont="1" applyFill="1" applyBorder="1" applyAlignment="1">
      <alignment horizontal="right" shrinkToFit="1"/>
    </xf>
    <xf numFmtId="40" fontId="4" fillId="4" borderId="7" xfId="5" applyNumberFormat="1" applyFont="1" applyFill="1" applyBorder="1" applyAlignment="1">
      <alignment horizontal="right" shrinkToFit="1"/>
    </xf>
    <xf numFmtId="167" fontId="5" fillId="0" borderId="1" xfId="14" applyNumberFormat="1" applyFont="1" applyFill="1" applyBorder="1" applyAlignment="1">
      <alignment horizontal="right" shrinkToFit="1"/>
    </xf>
    <xf numFmtId="167" fontId="5" fillId="0" borderId="2" xfId="14" applyNumberFormat="1" applyFont="1" applyFill="1" applyBorder="1" applyAlignment="1">
      <alignment horizontal="right" shrinkToFit="1"/>
    </xf>
    <xf numFmtId="167" fontId="5" fillId="0" borderId="10" xfId="14" applyNumberFormat="1" applyFont="1" applyFill="1" applyBorder="1" applyAlignment="1">
      <alignment horizontal="right" shrinkToFit="1"/>
    </xf>
    <xf numFmtId="167" fontId="5" fillId="0" borderId="2" xfId="5" applyNumberFormat="1" applyFont="1" applyFill="1" applyBorder="1" applyAlignment="1">
      <alignment horizontal="right" shrinkToFit="1"/>
    </xf>
    <xf numFmtId="167" fontId="5" fillId="0" borderId="1" xfId="5" applyNumberFormat="1" applyFont="1" applyFill="1" applyBorder="1" applyAlignment="1">
      <alignment horizontal="right" shrinkToFit="1"/>
    </xf>
    <xf numFmtId="167" fontId="5" fillId="0" borderId="10" xfId="5" applyNumberFormat="1" applyFont="1" applyFill="1" applyBorder="1" applyAlignment="1">
      <alignment horizontal="right" shrinkToFit="1"/>
    </xf>
    <xf numFmtId="40" fontId="5" fillId="0" borderId="10" xfId="14" applyNumberFormat="1" applyFont="1" applyFill="1" applyBorder="1" applyAlignment="1">
      <alignment horizontal="right" shrinkToFit="1"/>
    </xf>
    <xf numFmtId="0" fontId="4" fillId="5" borderId="0" xfId="0" applyFont="1" applyFill="1" applyAlignment="1">
      <alignment horizontal="center"/>
    </xf>
    <xf numFmtId="40" fontId="5" fillId="5" borderId="9" xfId="5" applyNumberFormat="1" applyFont="1" applyFill="1" applyBorder="1" applyAlignment="1">
      <alignment horizontal="right" shrinkToFit="1"/>
    </xf>
    <xf numFmtId="38" fontId="5" fillId="0" borderId="7" xfId="14" applyNumberFormat="1" applyFont="1" applyFill="1" applyBorder="1" applyAlignment="1">
      <alignment horizontal="right" shrinkToFit="1"/>
    </xf>
    <xf numFmtId="167" fontId="5" fillId="0" borderId="7" xfId="14" applyNumberFormat="1" applyFont="1" applyFill="1" applyBorder="1" applyAlignment="1">
      <alignment horizontal="right" shrinkToFit="1"/>
    </xf>
    <xf numFmtId="40" fontId="5" fillId="5" borderId="7" xfId="14" applyNumberFormat="1" applyFont="1" applyFill="1" applyBorder="1" applyAlignment="1">
      <alignment horizontal="right" shrinkToFit="1"/>
    </xf>
    <xf numFmtId="40" fontId="5" fillId="0" borderId="7" xfId="14" applyNumberFormat="1" applyFont="1" applyFill="1" applyBorder="1" applyAlignment="1">
      <alignment horizontal="right" shrinkToFit="1"/>
    </xf>
    <xf numFmtId="40" fontId="5" fillId="0" borderId="9" xfId="0" applyNumberFormat="1" applyFont="1" applyFill="1" applyBorder="1" applyAlignment="1">
      <alignment wrapText="1"/>
    </xf>
    <xf numFmtId="40" fontId="4" fillId="0" borderId="11" xfId="0" applyNumberFormat="1" applyFont="1" applyFill="1" applyBorder="1" applyAlignment="1">
      <alignment wrapText="1"/>
    </xf>
    <xf numFmtId="165" fontId="5" fillId="7" borderId="16" xfId="0" quotePrefix="1" applyNumberFormat="1" applyFont="1" applyFill="1" applyBorder="1" applyAlignment="1">
      <alignment horizontal="center" shrinkToFit="1"/>
    </xf>
    <xf numFmtId="0" fontId="4" fillId="7" borderId="17" xfId="0" applyFont="1" applyFill="1" applyBorder="1" applyAlignment="1">
      <alignment horizontal="left"/>
    </xf>
    <xf numFmtId="166" fontId="4" fillId="7" borderId="18" xfId="0" applyNumberFormat="1" applyFont="1" applyFill="1" applyBorder="1" applyAlignment="1">
      <alignment horizontal="right"/>
    </xf>
    <xf numFmtId="40" fontId="5" fillId="7" borderId="17" xfId="5" applyNumberFormat="1" applyFont="1" applyFill="1" applyBorder="1" applyAlignment="1">
      <alignment horizontal="right" shrinkToFit="1"/>
    </xf>
    <xf numFmtId="40" fontId="5" fillId="7" borderId="19" xfId="5" applyNumberFormat="1" applyFont="1" applyFill="1" applyBorder="1" applyAlignment="1">
      <alignment horizontal="right" shrinkToFit="1"/>
    </xf>
    <xf numFmtId="38" fontId="5" fillId="7" borderId="19" xfId="5" applyNumberFormat="1" applyFont="1" applyFill="1" applyBorder="1" applyAlignment="1">
      <alignment horizontal="right" shrinkToFit="1"/>
    </xf>
    <xf numFmtId="167" fontId="5" fillId="7" borderId="19" xfId="14" applyNumberFormat="1" applyFont="1" applyFill="1" applyBorder="1" applyAlignment="1">
      <alignment horizontal="right" shrinkToFit="1"/>
    </xf>
    <xf numFmtId="40" fontId="5" fillId="7" borderId="18" xfId="5" applyNumberFormat="1" applyFont="1" applyFill="1" applyBorder="1" applyAlignment="1">
      <alignment horizontal="right" shrinkToFit="1"/>
    </xf>
    <xf numFmtId="40" fontId="5" fillId="7" borderId="20" xfId="5" applyNumberFormat="1" applyFont="1" applyFill="1" applyBorder="1" applyAlignment="1">
      <alignment horizontal="right" shrinkToFit="1"/>
    </xf>
    <xf numFmtId="167" fontId="5" fillId="0" borderId="7" xfId="5" applyNumberFormat="1" applyFont="1" applyFill="1" applyBorder="1" applyAlignment="1">
      <alignment horizontal="right" shrinkToFit="1"/>
    </xf>
    <xf numFmtId="40" fontId="5" fillId="4" borderId="21" xfId="5" applyNumberFormat="1" applyFont="1" applyFill="1" applyBorder="1" applyAlignment="1">
      <alignment horizontal="right" shrinkToFit="1"/>
    </xf>
    <xf numFmtId="167" fontId="5" fillId="7" borderId="19" xfId="5" applyNumberFormat="1" applyFont="1" applyFill="1" applyBorder="1" applyAlignment="1">
      <alignment horizontal="right" shrinkToFit="1"/>
    </xf>
    <xf numFmtId="40" fontId="5" fillId="7" borderId="22" xfId="5" applyNumberFormat="1" applyFont="1" applyFill="1" applyBorder="1" applyAlignment="1">
      <alignment horizontal="right" shrinkToFit="1"/>
    </xf>
    <xf numFmtId="40" fontId="5" fillId="7" borderId="23" xfId="5" applyNumberFormat="1" applyFont="1" applyFill="1" applyBorder="1" applyAlignment="1">
      <alignment horizontal="right" shrinkToFit="1"/>
    </xf>
    <xf numFmtId="40" fontId="4" fillId="5" borderId="1" xfId="5" applyNumberFormat="1" applyFont="1" applyFill="1" applyBorder="1" applyAlignment="1">
      <alignment horizontal="right" shrinkToFit="1"/>
    </xf>
    <xf numFmtId="40" fontId="4" fillId="5" borderId="1" xfId="14" applyNumberFormat="1" applyFont="1" applyFill="1" applyBorder="1" applyAlignment="1">
      <alignment horizontal="right" shrinkToFit="1"/>
    </xf>
    <xf numFmtId="40" fontId="4" fillId="5" borderId="3" xfId="5" applyNumberFormat="1" applyFont="1" applyFill="1" applyBorder="1" applyAlignment="1">
      <alignment horizontal="right" shrinkToFit="1"/>
    </xf>
    <xf numFmtId="40" fontId="4" fillId="5" borderId="7" xfId="5" applyNumberFormat="1" applyFont="1" applyFill="1" applyBorder="1" applyAlignment="1">
      <alignment horizontal="right" shrinkToFit="1"/>
    </xf>
    <xf numFmtId="40" fontId="5" fillId="0" borderId="1" xfId="14" applyNumberFormat="1" applyFont="1" applyFill="1" applyBorder="1" applyAlignment="1">
      <alignment horizontal="right" shrinkToFit="1"/>
    </xf>
    <xf numFmtId="164" fontId="5" fillId="8" borderId="5" xfId="5" applyFont="1" applyFill="1" applyBorder="1" applyAlignment="1">
      <alignment shrinkToFit="1"/>
    </xf>
    <xf numFmtId="164" fontId="5" fillId="8" borderId="1" xfId="5" applyFont="1" applyFill="1" applyBorder="1" applyAlignment="1">
      <alignment shrinkToFit="1"/>
    </xf>
    <xf numFmtId="166" fontId="5" fillId="0" borderId="0" xfId="0" applyNumberFormat="1" applyFont="1"/>
    <xf numFmtId="0" fontId="4" fillId="0" borderId="0" xfId="0" applyFont="1"/>
    <xf numFmtId="8" fontId="4" fillId="0" borderId="0" xfId="0" applyNumberFormat="1" applyFont="1"/>
    <xf numFmtId="165" fontId="4" fillId="0" borderId="0" xfId="0" applyNumberFormat="1" applyFont="1" applyAlignment="1">
      <alignment horizontal="center" shrinkToFit="1"/>
    </xf>
    <xf numFmtId="164" fontId="4" fillId="0" borderId="0" xfId="5" applyFont="1" applyAlignment="1">
      <alignment shrinkToFit="1"/>
    </xf>
    <xf numFmtId="164" fontId="4" fillId="0" borderId="0" xfId="5" applyFont="1" applyBorder="1" applyAlignment="1">
      <alignment shrinkToFit="1"/>
    </xf>
    <xf numFmtId="166" fontId="4" fillId="0" borderId="0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5" applyFont="1" applyBorder="1" applyAlignment="1">
      <alignment horizontal="left" shrinkToFit="1"/>
    </xf>
    <xf numFmtId="166" fontId="4" fillId="0" borderId="13" xfId="0" applyNumberFormat="1" applyFont="1" applyBorder="1" applyAlignment="1"/>
    <xf numFmtId="40" fontId="5" fillId="5" borderId="11" xfId="5" applyNumberFormat="1" applyFont="1" applyFill="1" applyBorder="1" applyAlignment="1">
      <alignment horizontal="right" shrinkToFit="1"/>
    </xf>
    <xf numFmtId="40" fontId="4" fillId="5" borderId="2" xfId="5" applyNumberFormat="1" applyFont="1" applyFill="1" applyBorder="1" applyAlignment="1">
      <alignment horizontal="right" shrinkToFit="1"/>
    </xf>
    <xf numFmtId="40" fontId="5" fillId="5" borderId="10" xfId="14" applyNumberFormat="1" applyFont="1" applyFill="1" applyBorder="1" applyAlignment="1">
      <alignment horizontal="right" shrinkToFit="1"/>
    </xf>
    <xf numFmtId="0" fontId="4" fillId="2" borderId="6" xfId="0" applyFont="1" applyFill="1" applyBorder="1" applyAlignment="1">
      <alignment horizontal="left"/>
    </xf>
    <xf numFmtId="8" fontId="4" fillId="2" borderId="4" xfId="0" applyNumberFormat="1" applyFont="1" applyFill="1" applyBorder="1"/>
    <xf numFmtId="166" fontId="4" fillId="2" borderId="12" xfId="0" applyNumberFormat="1" applyFont="1" applyFill="1" applyBorder="1" applyAlignment="1">
      <alignment horizontal="right"/>
    </xf>
    <xf numFmtId="166" fontId="4" fillId="2" borderId="4" xfId="0" applyNumberFormat="1" applyFont="1" applyFill="1" applyBorder="1" applyAlignment="1">
      <alignment horizontal="right"/>
    </xf>
    <xf numFmtId="38" fontId="5" fillId="5" borderId="1" xfId="14" applyNumberFormat="1" applyFont="1" applyFill="1" applyBorder="1" applyAlignment="1">
      <alignment horizontal="right" shrinkToFit="1"/>
    </xf>
    <xf numFmtId="0" fontId="4" fillId="2" borderId="0" xfId="0" applyFont="1" applyFill="1" applyAlignment="1">
      <alignment horizontal="center"/>
    </xf>
    <xf numFmtId="49" fontId="4" fillId="2" borderId="6" xfId="0" applyNumberFormat="1" applyFont="1" applyFill="1" applyBorder="1" applyAlignment="1">
      <alignment horizontal="center" shrinkToFit="1"/>
    </xf>
    <xf numFmtId="49" fontId="4" fillId="2" borderId="1" xfId="0" applyNumberFormat="1" applyFont="1" applyFill="1" applyBorder="1" applyAlignment="1">
      <alignment horizontal="center" shrinkToFit="1"/>
    </xf>
    <xf numFmtId="49" fontId="4" fillId="2" borderId="4" xfId="0" applyNumberFormat="1" applyFont="1" applyFill="1" applyBorder="1" applyAlignment="1">
      <alignment horizontal="center" shrinkToFit="1"/>
    </xf>
    <xf numFmtId="165" fontId="4" fillId="2" borderId="1" xfId="0" applyNumberFormat="1" applyFont="1" applyFill="1" applyBorder="1" applyAlignment="1">
      <alignment horizontal="center" shrinkToFit="1"/>
    </xf>
    <xf numFmtId="40" fontId="5" fillId="2" borderId="1" xfId="14" applyNumberFormat="1" applyFont="1" applyFill="1" applyBorder="1" applyAlignment="1">
      <alignment horizontal="right" shrinkToFit="1"/>
    </xf>
    <xf numFmtId="40" fontId="5" fillId="2" borderId="4" xfId="14" applyNumberFormat="1" applyFont="1" applyFill="1" applyBorder="1" applyAlignment="1">
      <alignment horizontal="right" shrinkToFit="1"/>
    </xf>
    <xf numFmtId="38" fontId="5" fillId="2" borderId="1" xfId="14" applyNumberFormat="1" applyFont="1" applyFill="1" applyBorder="1" applyAlignment="1">
      <alignment horizontal="right" shrinkToFit="1"/>
    </xf>
    <xf numFmtId="167" fontId="5" fillId="2" borderId="1" xfId="14" applyNumberFormat="1" applyFont="1" applyFill="1" applyBorder="1" applyAlignment="1">
      <alignment horizontal="right" shrinkToFit="1"/>
    </xf>
    <xf numFmtId="164" fontId="4" fillId="2" borderId="4" xfId="5" applyFont="1" applyFill="1" applyBorder="1" applyAlignment="1">
      <alignment horizontal="center" shrinkToFit="1"/>
    </xf>
    <xf numFmtId="164" fontId="4" fillId="2" borderId="1" xfId="5" applyFont="1" applyFill="1" applyBorder="1" applyAlignment="1">
      <alignment horizontal="center" shrinkToFit="1"/>
    </xf>
    <xf numFmtId="166" fontId="4" fillId="2" borderId="12" xfId="0" applyNumberFormat="1" applyFont="1" applyFill="1" applyBorder="1" applyAlignment="1">
      <alignment horizontal="right"/>
    </xf>
    <xf numFmtId="166" fontId="4" fillId="2" borderId="4" xfId="0" applyNumberFormat="1" applyFont="1" applyFill="1" applyBorder="1" applyAlignment="1">
      <alignment horizontal="right"/>
    </xf>
    <xf numFmtId="49" fontId="4" fillId="2" borderId="6" xfId="0" applyNumberFormat="1" applyFont="1" applyFill="1" applyBorder="1" applyAlignment="1">
      <alignment horizontal="center" shrinkToFit="1"/>
    </xf>
    <xf numFmtId="49" fontId="4" fillId="2" borderId="4" xfId="0" applyNumberFormat="1" applyFont="1" applyFill="1" applyBorder="1" applyAlignment="1">
      <alignment horizontal="center" shrinkToFit="1"/>
    </xf>
    <xf numFmtId="0" fontId="4" fillId="6" borderId="6" xfId="0" applyFont="1" applyFill="1" applyBorder="1" applyAlignment="1">
      <alignment horizontal="left"/>
    </xf>
    <xf numFmtId="0" fontId="4" fillId="6" borderId="0" xfId="0" applyFont="1" applyFill="1" applyAlignment="1">
      <alignment horizontal="center"/>
    </xf>
    <xf numFmtId="166" fontId="4" fillId="6" borderId="12" xfId="0" applyNumberFormat="1" applyFont="1" applyFill="1" applyBorder="1" applyAlignment="1">
      <alignment horizontal="right"/>
    </xf>
    <xf numFmtId="49" fontId="4" fillId="6" borderId="6" xfId="0" applyNumberFormat="1" applyFont="1" applyFill="1" applyBorder="1" applyAlignment="1">
      <alignment horizontal="center" shrinkToFit="1"/>
    </xf>
    <xf numFmtId="49" fontId="4" fillId="6" borderId="6" xfId="0" applyNumberFormat="1" applyFont="1" applyFill="1" applyBorder="1" applyAlignment="1">
      <alignment horizontal="center" shrinkToFit="1"/>
    </xf>
    <xf numFmtId="49" fontId="4" fillId="6" borderId="4" xfId="0" applyNumberFormat="1" applyFont="1" applyFill="1" applyBorder="1" applyAlignment="1">
      <alignment horizontal="center" shrinkToFit="1"/>
    </xf>
    <xf numFmtId="165" fontId="4" fillId="6" borderId="1" xfId="0" applyNumberFormat="1" applyFont="1" applyFill="1" applyBorder="1" applyAlignment="1">
      <alignment horizontal="center" shrinkToFit="1"/>
    </xf>
    <xf numFmtId="166" fontId="4" fillId="6" borderId="4" xfId="0" applyNumberFormat="1" applyFont="1" applyFill="1" applyBorder="1" applyAlignment="1">
      <alignment horizontal="right"/>
    </xf>
    <xf numFmtId="38" fontId="5" fillId="6" borderId="1" xfId="14" applyNumberFormat="1" applyFont="1" applyFill="1" applyBorder="1" applyAlignment="1">
      <alignment horizontal="right" shrinkToFit="1"/>
    </xf>
    <xf numFmtId="167" fontId="5" fillId="6" borderId="1" xfId="14" applyNumberFormat="1" applyFont="1" applyFill="1" applyBorder="1" applyAlignment="1">
      <alignment horizontal="right" shrinkToFit="1"/>
    </xf>
    <xf numFmtId="38" fontId="5" fillId="0" borderId="1" xfId="5" applyNumberFormat="1" applyFont="1" applyFill="1" applyBorder="1" applyAlignment="1">
      <alignment horizontal="right" shrinkToFit="1"/>
    </xf>
    <xf numFmtId="40" fontId="5" fillId="5" borderId="0" xfId="0" applyNumberFormat="1" applyFont="1" applyFill="1" applyAlignment="1">
      <alignment shrinkToFit="1"/>
    </xf>
    <xf numFmtId="164" fontId="5" fillId="0" borderId="0" xfId="5" applyNumberFormat="1" applyFont="1" applyAlignment="1">
      <alignment shrinkToFit="1"/>
    </xf>
    <xf numFmtId="0" fontId="12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4" fontId="13" fillId="0" borderId="1" xfId="0" applyNumberFormat="1" applyFont="1" applyFill="1" applyBorder="1"/>
    <xf numFmtId="0" fontId="13" fillId="0" borderId="6" xfId="0" applyFont="1" applyFill="1" applyBorder="1" applyAlignment="1">
      <alignment horizontal="left" wrapText="1"/>
    </xf>
    <xf numFmtId="0" fontId="13" fillId="0" borderId="0" xfId="0" applyFont="1"/>
    <xf numFmtId="0" fontId="13" fillId="0" borderId="6" xfId="0" applyFont="1" applyFill="1" applyBorder="1" applyAlignment="1">
      <alignment wrapText="1"/>
    </xf>
    <xf numFmtId="0" fontId="13" fillId="0" borderId="1" xfId="0" applyFont="1" applyFill="1" applyBorder="1"/>
    <xf numFmtId="0" fontId="13" fillId="0" borderId="1" xfId="0" applyFont="1" applyBorder="1"/>
    <xf numFmtId="0" fontId="12" fillId="2" borderId="1" xfId="0" applyFont="1" applyFill="1" applyBorder="1"/>
    <xf numFmtId="14" fontId="12" fillId="2" borderId="1" xfId="0" applyNumberFormat="1" applyFont="1" applyFill="1" applyBorder="1"/>
    <xf numFmtId="14" fontId="13" fillId="0" borderId="1" xfId="0" applyNumberFormat="1" applyFont="1" applyBorder="1"/>
    <xf numFmtId="166" fontId="13" fillId="0" borderId="1" xfId="12" applyNumberFormat="1" applyFont="1" applyFill="1" applyBorder="1" applyAlignment="1">
      <alignment horizontal="right" shrinkToFit="1"/>
    </xf>
    <xf numFmtId="166" fontId="13" fillId="0" borderId="1" xfId="12" applyNumberFormat="1" applyFont="1" applyFill="1" applyBorder="1"/>
    <xf numFmtId="166" fontId="12" fillId="2" borderId="1" xfId="12" applyNumberFormat="1" applyFont="1" applyFill="1" applyBorder="1"/>
    <xf numFmtId="166" fontId="13" fillId="0" borderId="1" xfId="12" applyNumberFormat="1" applyFont="1" applyBorder="1"/>
    <xf numFmtId="166" fontId="12" fillId="0" borderId="1" xfId="12" applyNumberFormat="1" applyFont="1" applyBorder="1"/>
    <xf numFmtId="49" fontId="4" fillId="6" borderId="6" xfId="0" applyNumberFormat="1" applyFont="1" applyFill="1" applyBorder="1" applyAlignment="1">
      <alignment horizontal="center" shrinkToFit="1"/>
    </xf>
    <xf numFmtId="49" fontId="4" fillId="6" borderId="4" xfId="0" applyNumberFormat="1" applyFont="1" applyFill="1" applyBorder="1" applyAlignment="1">
      <alignment horizontal="center" shrinkToFit="1"/>
    </xf>
    <xf numFmtId="40" fontId="5" fillId="3" borderId="4" xfId="5" applyNumberFormat="1" applyFont="1" applyFill="1" applyBorder="1" applyAlignment="1">
      <alignment horizontal="right" shrinkToFit="1"/>
    </xf>
    <xf numFmtId="166" fontId="4" fillId="2" borderId="4" xfId="0" applyNumberFormat="1" applyFont="1" applyFill="1" applyBorder="1" applyAlignment="1"/>
    <xf numFmtId="164" fontId="4" fillId="2" borderId="6" xfId="5" applyFont="1" applyFill="1" applyBorder="1" applyAlignment="1">
      <alignment shrinkToFit="1"/>
    </xf>
    <xf numFmtId="2" fontId="12" fillId="2" borderId="1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49" fontId="4" fillId="6" borderId="6" xfId="0" applyNumberFormat="1" applyFont="1" applyFill="1" applyBorder="1" applyAlignment="1">
      <alignment horizontal="center" shrinkToFit="1"/>
    </xf>
    <xf numFmtId="49" fontId="4" fillId="6" borderId="4" xfId="0" applyNumberFormat="1" applyFont="1" applyFill="1" applyBorder="1" applyAlignment="1">
      <alignment horizontal="center" shrinkToFit="1"/>
    </xf>
    <xf numFmtId="49" fontId="4" fillId="6" borderId="6" xfId="0" applyNumberFormat="1" applyFont="1" applyFill="1" applyBorder="1" applyAlignment="1">
      <alignment horizontal="center" shrinkToFit="1"/>
    </xf>
    <xf numFmtId="49" fontId="4" fillId="6" borderId="4" xfId="0" applyNumberFormat="1" applyFont="1" applyFill="1" applyBorder="1" applyAlignment="1">
      <alignment horizontal="center" shrinkToFit="1"/>
    </xf>
    <xf numFmtId="49" fontId="4" fillId="6" borderId="6" xfId="0" applyNumberFormat="1" applyFont="1" applyFill="1" applyBorder="1" applyAlignment="1">
      <alignment horizontal="center" shrinkToFit="1"/>
    </xf>
    <xf numFmtId="49" fontId="4" fillId="6" borderId="4" xfId="0" applyNumberFormat="1" applyFont="1" applyFill="1" applyBorder="1" applyAlignment="1">
      <alignment horizontal="center" shrinkToFit="1"/>
    </xf>
    <xf numFmtId="0" fontId="5" fillId="0" borderId="6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wrapText="1"/>
    </xf>
    <xf numFmtId="0" fontId="5" fillId="3" borderId="6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166" fontId="4" fillId="0" borderId="0" xfId="0" applyNumberFormat="1" applyFont="1" applyBorder="1" applyAlignment="1">
      <alignment horizontal="right"/>
    </xf>
    <xf numFmtId="0" fontId="5" fillId="0" borderId="6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 wrapText="1"/>
    </xf>
    <xf numFmtId="0" fontId="5" fillId="0" borderId="14" xfId="0" applyFont="1" applyFill="1" applyBorder="1" applyAlignment="1">
      <alignment horizontal="left" wrapText="1"/>
    </xf>
    <xf numFmtId="0" fontId="5" fillId="0" borderId="24" xfId="0" applyFont="1" applyFill="1" applyBorder="1" applyAlignment="1">
      <alignment horizontal="left" wrapText="1"/>
    </xf>
    <xf numFmtId="164" fontId="4" fillId="0" borderId="0" xfId="5" applyFont="1" applyAlignment="1">
      <alignment horizontal="left" shrinkToFit="1"/>
    </xf>
    <xf numFmtId="0" fontId="4" fillId="0" borderId="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8" fontId="4" fillId="2" borderId="0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5" fillId="8" borderId="6" xfId="5" applyFont="1" applyFill="1" applyBorder="1" applyAlignment="1">
      <alignment horizontal="center" shrinkToFit="1"/>
    </xf>
    <xf numFmtId="164" fontId="5" fillId="8" borderId="4" xfId="5" applyFont="1" applyFill="1" applyBorder="1" applyAlignment="1">
      <alignment horizontal="center" shrinkToFit="1"/>
    </xf>
    <xf numFmtId="164" fontId="4" fillId="0" borderId="0" xfId="5" applyFont="1" applyBorder="1" applyAlignment="1">
      <alignment horizontal="left" shrinkToFit="1"/>
    </xf>
    <xf numFmtId="164" fontId="4" fillId="2" borderId="6" xfId="5" applyFont="1" applyFill="1" applyBorder="1" applyAlignment="1">
      <alignment horizontal="left" shrinkToFit="1"/>
    </xf>
    <xf numFmtId="164" fontId="4" fillId="2" borderId="12" xfId="5" applyFont="1" applyFill="1" applyBorder="1" applyAlignment="1">
      <alignment horizontal="left" shrinkToFit="1"/>
    </xf>
    <xf numFmtId="166" fontId="4" fillId="2" borderId="12" xfId="0" applyNumberFormat="1" applyFont="1" applyFill="1" applyBorder="1" applyAlignment="1">
      <alignment horizontal="right"/>
    </xf>
    <xf numFmtId="166" fontId="4" fillId="2" borderId="4" xfId="0" applyNumberFormat="1" applyFont="1" applyFill="1" applyBorder="1" applyAlignment="1">
      <alignment horizontal="right"/>
    </xf>
    <xf numFmtId="38" fontId="4" fillId="0" borderId="6" xfId="14" applyNumberFormat="1" applyFont="1" applyFill="1" applyBorder="1" applyAlignment="1">
      <alignment horizontal="center" shrinkToFit="1"/>
    </xf>
    <xf numFmtId="38" fontId="4" fillId="0" borderId="12" xfId="14" applyNumberFormat="1" applyFont="1" applyFill="1" applyBorder="1" applyAlignment="1">
      <alignment horizontal="center" shrinkToFit="1"/>
    </xf>
    <xf numFmtId="38" fontId="4" fillId="0" borderId="4" xfId="14" applyNumberFormat="1" applyFont="1" applyFill="1" applyBorder="1" applyAlignment="1">
      <alignment horizontal="center" shrinkToFit="1"/>
    </xf>
    <xf numFmtId="8" fontId="4" fillId="0" borderId="6" xfId="14" applyNumberFormat="1" applyFont="1" applyFill="1" applyBorder="1" applyAlignment="1">
      <alignment horizontal="center" shrinkToFit="1"/>
    </xf>
    <xf numFmtId="8" fontId="4" fillId="0" borderId="12" xfId="14" applyNumberFormat="1" applyFont="1" applyFill="1" applyBorder="1" applyAlignment="1">
      <alignment horizontal="center" shrinkToFit="1"/>
    </xf>
    <xf numFmtId="8" fontId="4" fillId="0" borderId="4" xfId="14" applyNumberFormat="1" applyFont="1" applyFill="1" applyBorder="1" applyAlignment="1">
      <alignment horizontal="center" shrinkToFit="1"/>
    </xf>
    <xf numFmtId="164" fontId="4" fillId="0" borderId="1" xfId="5" applyFont="1" applyBorder="1" applyAlignment="1">
      <alignment horizontal="center" shrinkToFit="1"/>
    </xf>
    <xf numFmtId="0" fontId="5" fillId="0" borderId="25" xfId="0" applyFont="1" applyFill="1" applyBorder="1" applyAlignment="1">
      <alignment horizontal="left" wrapText="1"/>
    </xf>
    <xf numFmtId="49" fontId="4" fillId="5" borderId="6" xfId="0" applyNumberFormat="1" applyFont="1" applyFill="1" applyBorder="1" applyAlignment="1">
      <alignment horizontal="center" shrinkToFit="1"/>
    </xf>
    <xf numFmtId="49" fontId="4" fillId="5" borderId="12" xfId="0" applyNumberFormat="1" applyFont="1" applyFill="1" applyBorder="1" applyAlignment="1">
      <alignment horizontal="center" shrinkToFit="1"/>
    </xf>
    <xf numFmtId="49" fontId="4" fillId="5" borderId="4" xfId="0" applyNumberFormat="1" applyFont="1" applyFill="1" applyBorder="1" applyAlignment="1">
      <alignment horizontal="center" shrinkToFit="1"/>
    </xf>
    <xf numFmtId="0" fontId="5" fillId="0" borderId="10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wrapText="1"/>
    </xf>
    <xf numFmtId="0" fontId="5" fillId="0" borderId="26" xfId="0" applyFont="1" applyFill="1" applyBorder="1" applyAlignment="1">
      <alignment horizontal="left" wrapText="1"/>
    </xf>
    <xf numFmtId="0" fontId="5" fillId="0" borderId="27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wrapText="1"/>
    </xf>
    <xf numFmtId="49" fontId="4" fillId="2" borderId="6" xfId="0" applyNumberFormat="1" applyFont="1" applyFill="1" applyBorder="1" applyAlignment="1">
      <alignment horizontal="center" shrinkToFit="1"/>
    </xf>
    <xf numFmtId="49" fontId="4" fillId="2" borderId="12" xfId="0" applyNumberFormat="1" applyFont="1" applyFill="1" applyBorder="1" applyAlignment="1">
      <alignment horizontal="center" shrinkToFit="1"/>
    </xf>
    <xf numFmtId="49" fontId="4" fillId="2" borderId="4" xfId="0" applyNumberFormat="1" applyFont="1" applyFill="1" applyBorder="1" applyAlignment="1">
      <alignment horizontal="center" shrinkToFit="1"/>
    </xf>
    <xf numFmtId="164" fontId="14" fillId="0" borderId="15" xfId="5" applyFont="1" applyBorder="1" applyAlignment="1">
      <alignment horizontal="left" shrinkToFit="1"/>
    </xf>
    <xf numFmtId="164" fontId="14" fillId="0" borderId="0" xfId="5" applyFont="1" applyAlignment="1">
      <alignment horizontal="left" shrinkToFit="1"/>
    </xf>
    <xf numFmtId="0" fontId="5" fillId="3" borderId="12" xfId="0" applyFont="1" applyFill="1" applyBorder="1" applyAlignment="1">
      <alignment horizontal="left" wrapText="1"/>
    </xf>
    <xf numFmtId="49" fontId="4" fillId="6" borderId="6" xfId="0" applyNumberFormat="1" applyFont="1" applyFill="1" applyBorder="1" applyAlignment="1">
      <alignment horizontal="center" shrinkToFit="1"/>
    </xf>
    <xf numFmtId="49" fontId="4" fillId="6" borderId="12" xfId="0" applyNumberFormat="1" applyFont="1" applyFill="1" applyBorder="1" applyAlignment="1">
      <alignment horizontal="center" shrinkToFit="1"/>
    </xf>
    <xf numFmtId="49" fontId="4" fillId="6" borderId="4" xfId="0" applyNumberFormat="1" applyFont="1" applyFill="1" applyBorder="1" applyAlignment="1">
      <alignment horizontal="center" shrinkToFit="1"/>
    </xf>
    <xf numFmtId="0" fontId="4" fillId="0" borderId="6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</cellXfs>
  <cellStyles count="16">
    <cellStyle name="Normal" xfId="0" builtinId="0"/>
    <cellStyle name="Normal 2" xfId="1"/>
    <cellStyle name="Normal 3" xfId="2"/>
    <cellStyle name="Normal 4" xfId="3"/>
    <cellStyle name="Separador de milhares 2" xfId="4"/>
    <cellStyle name="Separador de milhares 2 2" xfId="5"/>
    <cellStyle name="Separador de milhares 3" xfId="6"/>
    <cellStyle name="Separador de milhares 3 2" xfId="7"/>
    <cellStyle name="Separador de milhares 4" xfId="8"/>
    <cellStyle name="Separador de milhares 4 2" xfId="9"/>
    <cellStyle name="Separador de milhares 5" xfId="10"/>
    <cellStyle name="Separador de milhares 5 2" xfId="11"/>
    <cellStyle name="Vírgula" xfId="12" builtinId="3"/>
    <cellStyle name="Vírgula 2" xfId="13"/>
    <cellStyle name="Vírgula 3" xfId="14"/>
    <cellStyle name="Vírgula 4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693965</xdr:colOff>
      <xdr:row>27</xdr:row>
      <xdr:rowOff>190500</xdr:rowOff>
    </xdr:from>
    <xdr:to>
      <xdr:col>12</xdr:col>
      <xdr:colOff>340179</xdr:colOff>
      <xdr:row>47</xdr:row>
      <xdr:rowOff>204107</xdr:rowOff>
    </xdr:to>
    <xdr:cxnSp macro="">
      <xdr:nvCxnSpPr>
        <xdr:cNvPr id="3" name="Conector de seta reta 2"/>
        <xdr:cNvCxnSpPr/>
      </xdr:nvCxnSpPr>
      <xdr:spPr>
        <a:xfrm>
          <a:off x="4626429" y="6068786"/>
          <a:ext cx="5633357" cy="393246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69"/>
  <sheetViews>
    <sheetView showGridLines="0" showZeros="0" view="pageBreakPreview" zoomScale="70" zoomScaleNormal="75" zoomScaleSheetLayoutView="70" workbookViewId="0">
      <pane xSplit="16" ySplit="1" topLeftCell="Q439" activePane="bottomRight" state="frozenSplit"/>
      <selection pane="topRight" activeCell="F1" sqref="F1"/>
      <selection pane="bottomLeft" activeCell="A30" sqref="A30"/>
      <selection pane="bottomRight" activeCell="M463" sqref="M463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8" width="10.5703125" style="21" customWidth="1"/>
    <col min="19" max="19" width="10.5703125" style="21" hidden="1" customWidth="1"/>
    <col min="20" max="22" width="10.5703125" style="21" customWidth="1"/>
    <col min="23" max="39" width="10.5703125" style="21" hidden="1" customWidth="1"/>
    <col min="40" max="40" width="10.7109375" style="21" hidden="1" customWidth="1"/>
    <col min="41" max="41" width="11.7109375" style="21" customWidth="1"/>
    <col min="42" max="44" width="14.85546875" style="3" hidden="1" customWidth="1"/>
    <col min="45" max="45" width="9.140625" style="3"/>
    <col min="46" max="46" width="9.85546875" style="3" bestFit="1" customWidth="1"/>
    <col min="47" max="16384" width="9.140625" style="3"/>
  </cols>
  <sheetData>
    <row r="1" spans="1:44" s="1" customFormat="1" ht="17.25" customHeight="1" x14ac:dyDescent="0.25">
      <c r="A1" s="70" t="s">
        <v>174</v>
      </c>
      <c r="B1" s="95"/>
      <c r="C1" s="82">
        <f>D2+E2+F2+G2+H2+I2+J2+M2+P2</f>
        <v>-3986.4599999999937</v>
      </c>
      <c r="D1" s="60" t="s">
        <v>8</v>
      </c>
      <c r="E1" s="61" t="s">
        <v>9</v>
      </c>
      <c r="F1" s="75" t="s">
        <v>89</v>
      </c>
      <c r="G1" s="75" t="s">
        <v>111</v>
      </c>
      <c r="H1" s="61" t="s">
        <v>101</v>
      </c>
      <c r="I1" s="61" t="s">
        <v>91</v>
      </c>
      <c r="J1" s="61" t="s">
        <v>90</v>
      </c>
      <c r="K1" s="243" t="s">
        <v>87</v>
      </c>
      <c r="L1" s="244"/>
      <c r="M1" s="245"/>
      <c r="N1" s="243" t="s">
        <v>88</v>
      </c>
      <c r="O1" s="244"/>
      <c r="P1" s="245"/>
      <c r="Q1" s="49" t="s">
        <v>10</v>
      </c>
      <c r="R1" s="49" t="s">
        <v>11</v>
      </c>
      <c r="S1" s="49" t="s">
        <v>89</v>
      </c>
      <c r="T1" s="77" t="s">
        <v>86</v>
      </c>
      <c r="U1" s="77" t="s">
        <v>92</v>
      </c>
      <c r="V1" s="77" t="s">
        <v>92</v>
      </c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78"/>
      <c r="AO1" s="79" t="s">
        <v>0</v>
      </c>
      <c r="AP1" s="6" t="s">
        <v>1</v>
      </c>
      <c r="AQ1" s="7" t="s">
        <v>2</v>
      </c>
      <c r="AR1" s="7" t="s">
        <v>3</v>
      </c>
    </row>
    <row r="2" spans="1:44" s="1" customFormat="1" ht="17.25" customHeight="1" x14ac:dyDescent="0.25">
      <c r="A2" s="69"/>
      <c r="B2" s="70" t="s">
        <v>7</v>
      </c>
      <c r="C2" s="71">
        <f>D2+E2+F2+G2+H2+I2+J2+M2+P2+SUM(Q2:AN2)</f>
        <v>-296310.20000000007</v>
      </c>
      <c r="D2" s="62">
        <v>94.13</v>
      </c>
      <c r="E2" s="62">
        <v>-37907.129999999997</v>
      </c>
      <c r="F2" s="76">
        <v>6.19</v>
      </c>
      <c r="G2" s="76"/>
      <c r="H2" s="62"/>
      <c r="I2" s="62">
        <v>8907.15</v>
      </c>
      <c r="J2" s="62">
        <v>0</v>
      </c>
      <c r="K2" s="57">
        <v>2164</v>
      </c>
      <c r="L2" s="88">
        <v>5.2</v>
      </c>
      <c r="M2" s="62">
        <f>K2*L2</f>
        <v>11252.800000000001</v>
      </c>
      <c r="N2" s="57">
        <v>3848</v>
      </c>
      <c r="O2" s="88">
        <v>3.55</v>
      </c>
      <c r="P2" s="62">
        <f>N2*O2</f>
        <v>13660.4</v>
      </c>
      <c r="Q2" s="50">
        <v>0</v>
      </c>
      <c r="R2" s="50"/>
      <c r="S2" s="50">
        <v>0</v>
      </c>
      <c r="T2" s="80">
        <v>-19288.14</v>
      </c>
      <c r="U2" s="80">
        <f>-11335.6-11265.54-11265.54-11268.92-12900-12900-12900-12900-11669-11665.5-11665.5-11665.5-11665.5-11669-8825-8825-11798.82-11798.82-11802.36-17750-17750-17750</f>
        <v>-273035.60000000003</v>
      </c>
      <c r="V2" s="80">
        <v>0</v>
      </c>
      <c r="W2" s="80">
        <v>0</v>
      </c>
      <c r="X2" s="80">
        <v>0</v>
      </c>
      <c r="Y2" s="80">
        <v>0</v>
      </c>
      <c r="Z2" s="80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>
        <v>0</v>
      </c>
      <c r="AN2" s="68"/>
      <c r="AO2" s="68">
        <f>D2+E2+F2+G2+H2+I2+J2+M2+P2+SUM(Q2:AN2)</f>
        <v>-296310.20000000007</v>
      </c>
      <c r="AP2" s="8" t="e">
        <f>#REF!</f>
        <v>#REF!</v>
      </c>
      <c r="AQ2" s="9" t="e">
        <f>#REF!</f>
        <v>#REF!</v>
      </c>
      <c r="AR2" s="9" t="e">
        <f>AP2-AQ2</f>
        <v>#REF!</v>
      </c>
    </row>
    <row r="3" spans="1:44" s="2" customFormat="1" ht="17.25" customHeight="1" x14ac:dyDescent="0.25">
      <c r="A3" s="29">
        <v>45905</v>
      </c>
      <c r="B3" s="201" t="s">
        <v>64</v>
      </c>
      <c r="C3" s="202"/>
      <c r="D3" s="65">
        <v>8678.7199999999993</v>
      </c>
      <c r="E3" s="64"/>
      <c r="F3" s="64"/>
      <c r="G3" s="64"/>
      <c r="H3" s="64"/>
      <c r="I3" s="64">
        <f>-D3</f>
        <v>-8678.7199999999993</v>
      </c>
      <c r="J3" s="64"/>
      <c r="K3" s="57"/>
      <c r="L3" s="88"/>
      <c r="M3" s="62"/>
      <c r="N3" s="57"/>
      <c r="O3" s="88"/>
      <c r="P3" s="62"/>
      <c r="Q3" s="47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22"/>
      <c r="AQ3" s="10" t="s">
        <v>4</v>
      </c>
      <c r="AR3" s="11" t="e">
        <v>#REF!</v>
      </c>
    </row>
    <row r="4" spans="1:44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>
        <f>-I2-I3</f>
        <v>-228.43000000000029</v>
      </c>
      <c r="J4" s="64"/>
      <c r="K4" s="57"/>
      <c r="L4" s="88"/>
      <c r="M4" s="62"/>
      <c r="N4" s="57"/>
      <c r="O4" s="88"/>
      <c r="P4" s="62"/>
      <c r="Q4" s="47"/>
      <c r="R4" s="39"/>
      <c r="S4" s="39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22"/>
      <c r="AQ4" s="10" t="s">
        <v>4</v>
      </c>
      <c r="AR4" s="11" t="e">
        <v>#REF!</v>
      </c>
    </row>
    <row r="5" spans="1:44" s="2" customFormat="1" ht="17.25" customHeight="1" x14ac:dyDescent="0.25">
      <c r="A5" s="29"/>
      <c r="B5" s="201" t="s">
        <v>13</v>
      </c>
      <c r="C5" s="203"/>
      <c r="D5" s="63"/>
      <c r="E5" s="64">
        <f>50+20+10+320+395+1000+2000+10+100+5+50+700+20.7+20+20+50+100+170+30+50+50+25+50+70+20</f>
        <v>5335.7</v>
      </c>
      <c r="F5" s="64"/>
      <c r="G5" s="64"/>
      <c r="H5" s="64">
        <f>-E5</f>
        <v>-5335.7</v>
      </c>
      <c r="I5" s="64"/>
      <c r="J5" s="64"/>
      <c r="K5" s="57"/>
      <c r="L5" s="88"/>
      <c r="M5" s="62">
        <f>K5*L5</f>
        <v>0</v>
      </c>
      <c r="N5" s="57"/>
      <c r="O5" s="88"/>
      <c r="P5" s="62">
        <f t="shared" ref="P5:P27" si="0">N5*O5</f>
        <v>0</v>
      </c>
      <c r="Q5" s="46"/>
      <c r="R5" s="46"/>
      <c r="S5" s="3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2"/>
      <c r="AQ5" s="10" t="s">
        <v>4</v>
      </c>
      <c r="AR5" s="11" t="e">
        <v>#REF!</v>
      </c>
    </row>
    <row r="6" spans="1:44" s="2" customFormat="1" ht="17.25" customHeight="1" x14ac:dyDescent="0.25">
      <c r="A6" s="29"/>
      <c r="B6" s="201" t="s">
        <v>14</v>
      </c>
      <c r="C6" s="203"/>
      <c r="D6" s="63"/>
      <c r="E6" s="64">
        <f>7700+1000</f>
        <v>8700</v>
      </c>
      <c r="F6" s="64"/>
      <c r="G6" s="64">
        <f>-E6</f>
        <v>-8700</v>
      </c>
      <c r="H6" s="64"/>
      <c r="I6" s="64"/>
      <c r="J6" s="64"/>
      <c r="K6" s="57"/>
      <c r="L6" s="88"/>
      <c r="M6" s="62">
        <f>K6*L6</f>
        <v>0</v>
      </c>
      <c r="N6" s="57"/>
      <c r="O6" s="88"/>
      <c r="P6" s="62">
        <f t="shared" si="0"/>
        <v>0</v>
      </c>
      <c r="Q6" s="40"/>
      <c r="R6" s="46"/>
      <c r="S6" s="3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2"/>
      <c r="AQ6" s="10"/>
      <c r="AR6" s="11"/>
    </row>
    <row r="7" spans="1:44" s="2" customFormat="1" ht="17.25" customHeight="1" x14ac:dyDescent="0.25">
      <c r="A7" s="29"/>
      <c r="B7" s="205" t="s">
        <v>98</v>
      </c>
      <c r="C7" s="206"/>
      <c r="D7" s="63"/>
      <c r="E7" s="64">
        <v>-11335.6</v>
      </c>
      <c r="F7" s="64"/>
      <c r="G7" s="64"/>
      <c r="H7" s="64"/>
      <c r="I7" s="64"/>
      <c r="J7" s="64"/>
      <c r="K7" s="57"/>
      <c r="L7" s="88"/>
      <c r="M7" s="62">
        <f>K7*L7</f>
        <v>0</v>
      </c>
      <c r="N7" s="57"/>
      <c r="O7" s="88"/>
      <c r="P7" s="62">
        <f t="shared" si="0"/>
        <v>0</v>
      </c>
      <c r="Q7" s="47"/>
      <c r="R7" s="39"/>
      <c r="S7" s="39"/>
      <c r="T7" s="16"/>
      <c r="U7" s="20">
        <f>-E7</f>
        <v>11335.6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22"/>
      <c r="AQ7" s="10" t="s">
        <v>4</v>
      </c>
      <c r="AR7" s="11" t="e">
        <v>#REF!</v>
      </c>
    </row>
    <row r="8" spans="1:44" s="2" customFormat="1" ht="17.25" customHeight="1" x14ac:dyDescent="0.25">
      <c r="A8" s="29"/>
      <c r="B8" s="205" t="s">
        <v>99</v>
      </c>
      <c r="C8" s="250"/>
      <c r="D8" s="63"/>
      <c r="E8" s="64">
        <f>-1141.12-5-50-700-20.7-20-20-50-100-170-30-50-50-25-50-732.87</f>
        <v>-3214.6899999999996</v>
      </c>
      <c r="F8" s="64"/>
      <c r="G8" s="64"/>
      <c r="H8" s="64"/>
      <c r="I8" s="64"/>
      <c r="J8" s="64"/>
      <c r="K8" s="57"/>
      <c r="L8" s="88"/>
      <c r="M8" s="62">
        <f>K8*L8</f>
        <v>0</v>
      </c>
      <c r="N8" s="57"/>
      <c r="O8" s="88"/>
      <c r="P8" s="62">
        <f t="shared" si="0"/>
        <v>0</v>
      </c>
      <c r="Q8" s="47"/>
      <c r="R8" s="39"/>
      <c r="S8" s="39"/>
      <c r="T8" s="20">
        <f>-E8</f>
        <v>3214.6899999999996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22"/>
      <c r="AQ8" s="10" t="s">
        <v>4</v>
      </c>
      <c r="AR8" s="11" t="e">
        <v>#REF!</v>
      </c>
    </row>
    <row r="9" spans="1:44" s="2" customFormat="1" ht="17.25" customHeight="1" x14ac:dyDescent="0.25">
      <c r="A9" s="29"/>
      <c r="B9" s="201" t="s">
        <v>162</v>
      </c>
      <c r="C9" s="202"/>
      <c r="D9" s="63"/>
      <c r="E9" s="64">
        <v>-52.26</v>
      </c>
      <c r="F9" s="64"/>
      <c r="G9" s="64"/>
      <c r="H9" s="64"/>
      <c r="I9" s="64"/>
      <c r="J9" s="64"/>
      <c r="K9" s="57"/>
      <c r="L9" s="88"/>
      <c r="M9" s="62"/>
      <c r="N9" s="57"/>
      <c r="O9" s="88"/>
      <c r="P9" s="62">
        <f t="shared" si="0"/>
        <v>0</v>
      </c>
      <c r="Q9" s="47"/>
      <c r="R9" s="39"/>
      <c r="S9" s="39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22"/>
      <c r="AQ9" s="10" t="s">
        <v>4</v>
      </c>
      <c r="AR9" s="11" t="e">
        <v>#REF!</v>
      </c>
    </row>
    <row r="10" spans="1:44" s="2" customFormat="1" ht="17.25" customHeight="1" x14ac:dyDescent="0.25">
      <c r="A10" s="29"/>
      <c r="B10" s="201" t="s">
        <v>12</v>
      </c>
      <c r="C10" s="202"/>
      <c r="D10" s="63">
        <v>-300</v>
      </c>
      <c r="E10" s="64"/>
      <c r="F10" s="64"/>
      <c r="G10" s="64">
        <f>-D10</f>
        <v>300</v>
      </c>
      <c r="H10" s="64"/>
      <c r="I10" s="64"/>
      <c r="J10" s="64"/>
      <c r="K10" s="57"/>
      <c r="L10" s="88"/>
      <c r="M10" s="62"/>
      <c r="N10" s="57"/>
      <c r="O10" s="88"/>
      <c r="P10" s="62">
        <f t="shared" si="0"/>
        <v>0</v>
      </c>
      <c r="Q10" s="39"/>
      <c r="R10" s="46"/>
      <c r="S10" s="39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22"/>
      <c r="AQ10" s="10"/>
      <c r="AR10" s="11"/>
    </row>
    <row r="11" spans="1:44" s="2" customFormat="1" ht="17.25" customHeight="1" x14ac:dyDescent="0.25">
      <c r="A11" s="24"/>
      <c r="B11" s="201" t="s">
        <v>65</v>
      </c>
      <c r="C11" s="203"/>
      <c r="D11" s="64">
        <v>-4.9000000000000004</v>
      </c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>
        <f t="shared" si="0"/>
        <v>0</v>
      </c>
      <c r="Q11" s="46"/>
      <c r="R11" s="46"/>
      <c r="S11" s="3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22"/>
      <c r="AQ11" s="10"/>
      <c r="AR11" s="11"/>
    </row>
    <row r="12" spans="1:44" s="2" customFormat="1" ht="17.25" customHeight="1" x14ac:dyDescent="0.25">
      <c r="A12" s="24"/>
      <c r="B12" s="201" t="s">
        <v>79</v>
      </c>
      <c r="C12" s="203"/>
      <c r="D12" s="64">
        <v>48200</v>
      </c>
      <c r="E12" s="64"/>
      <c r="F12" s="64"/>
      <c r="G12" s="64"/>
      <c r="H12" s="64"/>
      <c r="I12" s="64"/>
      <c r="J12" s="64"/>
      <c r="K12" s="57"/>
      <c r="L12" s="88"/>
      <c r="M12" s="62"/>
      <c r="N12" s="57"/>
      <c r="O12" s="88"/>
      <c r="P12" s="62">
        <f t="shared" si="0"/>
        <v>0</v>
      </c>
      <c r="Q12" s="39">
        <f>-D12</f>
        <v>-48200</v>
      </c>
      <c r="R12" s="39"/>
      <c r="S12" s="39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22"/>
      <c r="AQ12" s="10"/>
      <c r="AR12" s="11"/>
    </row>
    <row r="13" spans="1:44" s="2" customFormat="1" ht="17.25" customHeight="1" x14ac:dyDescent="0.25">
      <c r="A13" s="24"/>
      <c r="B13" s="201" t="s">
        <v>80</v>
      </c>
      <c r="C13" s="203"/>
      <c r="D13" s="64">
        <v>-385.6</v>
      </c>
      <c r="E13" s="64"/>
      <c r="F13" s="64"/>
      <c r="G13" s="64"/>
      <c r="H13" s="64"/>
      <c r="I13" s="64"/>
      <c r="J13" s="64"/>
      <c r="K13" s="57"/>
      <c r="L13" s="88"/>
      <c r="M13" s="62"/>
      <c r="N13" s="57"/>
      <c r="O13" s="88"/>
      <c r="P13" s="62">
        <f t="shared" si="0"/>
        <v>0</v>
      </c>
      <c r="Q13" s="39"/>
      <c r="R13" s="39"/>
      <c r="S13" s="39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22"/>
      <c r="AQ13" s="10"/>
      <c r="AR13" s="11"/>
    </row>
    <row r="14" spans="1:44" s="2" customFormat="1" ht="17.25" customHeight="1" x14ac:dyDescent="0.25">
      <c r="A14" s="24"/>
      <c r="B14" s="205" t="s">
        <v>398</v>
      </c>
      <c r="C14" s="206"/>
      <c r="D14" s="64">
        <v>-48200</v>
      </c>
      <c r="E14" s="64"/>
      <c r="F14" s="64"/>
      <c r="G14" s="64"/>
      <c r="H14" s="64"/>
      <c r="I14" s="64"/>
      <c r="J14" s="64"/>
      <c r="K14" s="57">
        <v>10000</v>
      </c>
      <c r="L14" s="88">
        <v>4.82</v>
      </c>
      <c r="M14" s="62">
        <f>K14*L14</f>
        <v>48200</v>
      </c>
      <c r="N14" s="57"/>
      <c r="O14" s="88"/>
      <c r="P14" s="62">
        <f t="shared" si="0"/>
        <v>0</v>
      </c>
      <c r="Q14" s="39"/>
      <c r="R14" s="39"/>
      <c r="S14" s="39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22"/>
      <c r="AQ14" s="10"/>
      <c r="AR14" s="11"/>
    </row>
    <row r="15" spans="1:44" s="2" customFormat="1" ht="17.25" customHeight="1" x14ac:dyDescent="0.2">
      <c r="A15" s="24"/>
      <c r="B15" s="201" t="s">
        <v>67</v>
      </c>
      <c r="C15" s="203"/>
      <c r="D15" s="64">
        <v>-4.9000000000000004</v>
      </c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>
        <f t="shared" si="0"/>
        <v>0</v>
      </c>
      <c r="Q15" s="39"/>
      <c r="R15" s="39"/>
      <c r="S15" s="39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34"/>
      <c r="AQ15" s="10"/>
      <c r="AR15" s="11"/>
    </row>
    <row r="16" spans="1:44" s="2" customFormat="1" ht="17.25" customHeight="1" x14ac:dyDescent="0.2">
      <c r="A16" s="24"/>
      <c r="B16" s="201" t="s">
        <v>66</v>
      </c>
      <c r="C16" s="203"/>
      <c r="D16" s="64">
        <v>-8000</v>
      </c>
      <c r="E16" s="64"/>
      <c r="F16" s="64"/>
      <c r="G16" s="64">
        <f>-D16</f>
        <v>8000</v>
      </c>
      <c r="H16" s="64"/>
      <c r="I16" s="64"/>
      <c r="J16" s="64"/>
      <c r="K16" s="57"/>
      <c r="L16" s="88"/>
      <c r="M16" s="62"/>
      <c r="N16" s="57"/>
      <c r="O16" s="88"/>
      <c r="P16" s="62">
        <f t="shared" si="0"/>
        <v>0</v>
      </c>
      <c r="Q16" s="39"/>
      <c r="R16" s="39"/>
      <c r="S16" s="39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34"/>
      <c r="AQ16" s="10"/>
      <c r="AR16" s="11"/>
    </row>
    <row r="17" spans="1:46" s="2" customFormat="1" ht="17.25" customHeight="1" x14ac:dyDescent="0.2">
      <c r="A17" s="24"/>
      <c r="B17" s="201" t="s">
        <v>67</v>
      </c>
      <c r="C17" s="203"/>
      <c r="D17" s="64">
        <v>-4.9000000000000004</v>
      </c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39"/>
      <c r="R17" s="39"/>
      <c r="S17" s="39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34"/>
      <c r="AQ17" s="10"/>
      <c r="AR17" s="11"/>
    </row>
    <row r="18" spans="1:46" s="2" customFormat="1" ht="17.25" customHeight="1" x14ac:dyDescent="0.2">
      <c r="A18" s="24"/>
      <c r="B18" s="205" t="s">
        <v>142</v>
      </c>
      <c r="C18" s="206"/>
      <c r="D18" s="64"/>
      <c r="E18" s="64"/>
      <c r="F18" s="64"/>
      <c r="G18" s="64"/>
      <c r="H18" s="64"/>
      <c r="I18" s="64"/>
      <c r="J18" s="64"/>
      <c r="K18" s="57"/>
      <c r="L18" s="88"/>
      <c r="M18" s="62"/>
      <c r="N18" s="57">
        <v>20000</v>
      </c>
      <c r="O18" s="88">
        <v>3.67</v>
      </c>
      <c r="P18" s="62">
        <f>N18*O18</f>
        <v>73400</v>
      </c>
      <c r="Q18" s="39"/>
      <c r="R18" s="39"/>
      <c r="S18" s="39"/>
      <c r="T18" s="16"/>
      <c r="U18" s="16"/>
      <c r="V18" s="20">
        <f>-P18</f>
        <v>-73400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35"/>
      <c r="AQ18" s="10"/>
      <c r="AR18" s="11"/>
    </row>
    <row r="19" spans="1:46" s="2" customFormat="1" ht="17.25" customHeight="1" x14ac:dyDescent="0.2">
      <c r="A19" s="23"/>
      <c r="B19" s="201" t="s">
        <v>161</v>
      </c>
      <c r="C19" s="204"/>
      <c r="D19" s="63"/>
      <c r="E19" s="64"/>
      <c r="F19" s="74"/>
      <c r="G19" s="74"/>
      <c r="H19" s="64">
        <v>-791.28</v>
      </c>
      <c r="I19" s="64"/>
      <c r="J19" s="64"/>
      <c r="K19" s="16"/>
      <c r="L19" s="16"/>
      <c r="M19" s="64"/>
      <c r="N19" s="16"/>
      <c r="O19" s="16"/>
      <c r="P19" s="64"/>
      <c r="Q19" s="46"/>
      <c r="R19" s="39"/>
      <c r="S19" s="40"/>
      <c r="T19" s="16"/>
      <c r="U19" s="16"/>
      <c r="V19" s="16"/>
      <c r="W19" s="16"/>
      <c r="X19" s="16"/>
      <c r="Y19" s="19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35"/>
      <c r="AQ19" s="10"/>
      <c r="AR19" s="27"/>
    </row>
    <row r="20" spans="1:46" s="2" customFormat="1" ht="17.25" customHeight="1" x14ac:dyDescent="0.2">
      <c r="A20" s="23"/>
      <c r="B20" s="201" t="s">
        <v>163</v>
      </c>
      <c r="C20" s="204"/>
      <c r="D20" s="63"/>
      <c r="E20" s="64"/>
      <c r="F20" s="74"/>
      <c r="G20" s="74"/>
      <c r="H20" s="64">
        <v>-3835</v>
      </c>
      <c r="I20" s="64"/>
      <c r="J20" s="64"/>
      <c r="K20" s="16"/>
      <c r="L20" s="16"/>
      <c r="M20" s="64"/>
      <c r="N20" s="16"/>
      <c r="O20" s="16"/>
      <c r="P20" s="64"/>
      <c r="Q20" s="46"/>
      <c r="R20" s="39"/>
      <c r="S20" s="40"/>
      <c r="T20" s="16"/>
      <c r="U20" s="16"/>
      <c r="V20" s="16"/>
      <c r="W20" s="16"/>
      <c r="X20" s="16"/>
      <c r="Y20" s="19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35"/>
      <c r="AQ20" s="10"/>
      <c r="AR20" s="27"/>
    </row>
    <row r="21" spans="1:46" s="4" customFormat="1" ht="17.25" customHeight="1" thickBot="1" x14ac:dyDescent="0.3">
      <c r="A21" s="24"/>
      <c r="B21" s="246"/>
      <c r="C21" s="246"/>
      <c r="D21" s="37"/>
      <c r="E21" s="37"/>
      <c r="F21" s="37"/>
      <c r="G21" s="37"/>
      <c r="H21" s="37"/>
      <c r="I21" s="37"/>
      <c r="J21" s="37"/>
      <c r="K21" s="59"/>
      <c r="L21" s="90"/>
      <c r="M21" s="94"/>
      <c r="N21" s="59"/>
      <c r="O21" s="90"/>
      <c r="P21" s="94"/>
      <c r="Q21" s="39"/>
      <c r="R21" s="39"/>
      <c r="S21" s="3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22"/>
      <c r="AO21" s="43"/>
      <c r="AP21" s="12" t="e">
        <f>#REF!</f>
        <v>#REF!</v>
      </c>
      <c r="AT21" s="2"/>
    </row>
    <row r="22" spans="1:46" s="4" customFormat="1" ht="17.25" customHeight="1" x14ac:dyDescent="0.25">
      <c r="A22" s="23"/>
      <c r="B22" s="212" t="s">
        <v>94</v>
      </c>
      <c r="C22" s="212"/>
      <c r="D22" s="66"/>
      <c r="E22" s="66"/>
      <c r="F22" s="117"/>
      <c r="G22" s="117"/>
      <c r="H22" s="66"/>
      <c r="I22" s="66"/>
      <c r="J22" s="66">
        <f>-M22</f>
        <v>7208.88</v>
      </c>
      <c r="K22" s="58">
        <v>-1226</v>
      </c>
      <c r="L22" s="89">
        <v>5.88</v>
      </c>
      <c r="M22" s="73">
        <f>K22*L22</f>
        <v>-7208.88</v>
      </c>
      <c r="N22" s="58"/>
      <c r="O22" s="89"/>
      <c r="P22" s="73"/>
      <c r="Q22" s="39"/>
      <c r="R22" s="39"/>
      <c r="S22" s="8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35"/>
      <c r="AP22" s="12" t="e">
        <f>#REF!</f>
        <v>#REF!</v>
      </c>
    </row>
    <row r="23" spans="1:46" s="4" customFormat="1" ht="17.25" customHeight="1" x14ac:dyDescent="0.25">
      <c r="A23" s="23"/>
      <c r="B23" s="201" t="s">
        <v>95</v>
      </c>
      <c r="C23" s="203"/>
      <c r="D23" s="64"/>
      <c r="E23" s="64"/>
      <c r="F23" s="117"/>
      <c r="G23" s="117"/>
      <c r="H23" s="64"/>
      <c r="I23" s="64"/>
      <c r="J23" s="64">
        <f>-P23</f>
        <v>7065.48</v>
      </c>
      <c r="K23" s="57"/>
      <c r="L23" s="88"/>
      <c r="M23" s="62"/>
      <c r="N23" s="57">
        <v>-1821</v>
      </c>
      <c r="O23" s="88">
        <v>3.88</v>
      </c>
      <c r="P23" s="62">
        <f>N23*O23</f>
        <v>-7065.48</v>
      </c>
      <c r="Q23" s="39"/>
      <c r="R23" s="39"/>
      <c r="S23" s="8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35"/>
      <c r="AP23" s="12" t="e">
        <f>#REF!</f>
        <v>#REF!</v>
      </c>
    </row>
    <row r="24" spans="1:46" s="4" customFormat="1" ht="17.25" customHeight="1" x14ac:dyDescent="0.25">
      <c r="A24" s="23"/>
      <c r="B24" s="201" t="s">
        <v>97</v>
      </c>
      <c r="C24" s="203"/>
      <c r="D24" s="64"/>
      <c r="E24" s="64"/>
      <c r="F24" s="64"/>
      <c r="G24" s="64"/>
      <c r="H24" s="64">
        <f>-J24-I24</f>
        <v>4369.1900000000005</v>
      </c>
      <c r="I24" s="64">
        <v>9905.17</v>
      </c>
      <c r="J24" s="64">
        <f>-SUM(J22:J23)</f>
        <v>-14274.36</v>
      </c>
      <c r="K24" s="57"/>
      <c r="L24" s="88"/>
      <c r="M24" s="62"/>
      <c r="N24" s="57"/>
      <c r="O24" s="88"/>
      <c r="P24" s="62"/>
      <c r="Q24" s="39"/>
      <c r="R24" s="39"/>
      <c r="S24" s="39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22"/>
      <c r="AO24" s="43">
        <f>A2</f>
        <v>0</v>
      </c>
      <c r="AP24" s="12" t="e">
        <f>#REF!</f>
        <v>#REF!</v>
      </c>
      <c r="AT24" s="2"/>
    </row>
    <row r="25" spans="1:46" s="4" customFormat="1" ht="17.25" customHeight="1" x14ac:dyDescent="0.25">
      <c r="A25" s="23"/>
      <c r="B25" s="201" t="s">
        <v>100</v>
      </c>
      <c r="C25" s="203"/>
      <c r="D25" s="64"/>
      <c r="E25" s="64"/>
      <c r="F25" s="64"/>
      <c r="G25" s="64"/>
      <c r="H25" s="64"/>
      <c r="I25" s="64"/>
      <c r="J25" s="64"/>
      <c r="K25" s="57">
        <v>118</v>
      </c>
      <c r="L25" s="88"/>
      <c r="M25" s="62">
        <f>(K28*4.8876027)-M14-M2-M22</f>
        <v>1793.4154512000068</v>
      </c>
      <c r="N25" s="57">
        <v>164</v>
      </c>
      <c r="O25" s="88"/>
      <c r="P25" s="62">
        <f>(N28*3.650637)-P18-P2-P23</f>
        <v>1016.3656670000037</v>
      </c>
      <c r="Q25" s="39"/>
      <c r="R25" s="39"/>
      <c r="S25" s="39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22"/>
      <c r="AO25" s="43"/>
      <c r="AP25" s="12" t="e">
        <f>#REF!</f>
        <v>#REF!</v>
      </c>
      <c r="AT25" s="2"/>
    </row>
    <row r="26" spans="1:46" s="4" customFormat="1" ht="17.25" customHeight="1" x14ac:dyDescent="0.25">
      <c r="A26" s="23"/>
      <c r="B26" s="201"/>
      <c r="C26" s="203"/>
      <c r="D26" s="64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39"/>
      <c r="R26" s="39"/>
      <c r="S26" s="39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22"/>
      <c r="AO26" s="43">
        <f>A3</f>
        <v>45905</v>
      </c>
      <c r="AP26" s="12" t="e">
        <f>#REF!</f>
        <v>#REF!</v>
      </c>
      <c r="AT26" s="2"/>
    </row>
    <row r="27" spans="1:46" s="2" customFormat="1" ht="17.25" customHeight="1" thickBot="1" x14ac:dyDescent="0.3">
      <c r="A27" s="56"/>
      <c r="B27" s="101" t="s">
        <v>102</v>
      </c>
      <c r="C27" s="102">
        <f>D28+E28+F28+G28+H28+I28+J28+M28+P28</f>
        <v>100565.76999999999</v>
      </c>
      <c r="D27" s="85"/>
      <c r="E27" s="85"/>
      <c r="F27" s="85"/>
      <c r="G27" s="85"/>
      <c r="H27" s="85"/>
      <c r="I27" s="85"/>
      <c r="J27" s="85"/>
      <c r="K27" s="97"/>
      <c r="L27" s="98"/>
      <c r="M27" s="99">
        <f>K27*L27</f>
        <v>0</v>
      </c>
      <c r="N27" s="97"/>
      <c r="O27" s="98"/>
      <c r="P27" s="99">
        <f t="shared" si="0"/>
        <v>0</v>
      </c>
      <c r="Q27" s="51"/>
      <c r="R27" s="51"/>
      <c r="S27" s="51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42">
        <f>SUM($Q2:AN27)</f>
        <v>-399373.45000000007</v>
      </c>
      <c r="AQ27" s="33"/>
      <c r="AR27" s="27"/>
      <c r="AS27" s="2" t="s">
        <v>5</v>
      </c>
    </row>
    <row r="28" spans="1:46" s="2" customFormat="1" ht="17.25" customHeight="1" thickTop="1" thickBot="1" x14ac:dyDescent="0.3">
      <c r="A28" s="103"/>
      <c r="B28" s="104" t="s">
        <v>103</v>
      </c>
      <c r="C28" s="105">
        <f>AO28</f>
        <v>-298807.68000000005</v>
      </c>
      <c r="D28" s="106">
        <f t="shared" ref="D28:K28" si="1">SUM(D2:D27)</f>
        <v>72.549999999998903</v>
      </c>
      <c r="E28" s="107">
        <f t="shared" si="1"/>
        <v>-38473.980000000003</v>
      </c>
      <c r="F28" s="107">
        <f t="shared" si="1"/>
        <v>6.19</v>
      </c>
      <c r="G28" s="107">
        <f t="shared" si="1"/>
        <v>-400</v>
      </c>
      <c r="H28" s="107">
        <f t="shared" si="1"/>
        <v>-5592.7899999999991</v>
      </c>
      <c r="I28" s="107">
        <f t="shared" si="1"/>
        <v>9905.17</v>
      </c>
      <c r="J28" s="107">
        <f t="shared" si="1"/>
        <v>0</v>
      </c>
      <c r="K28" s="108">
        <f t="shared" si="1"/>
        <v>11056</v>
      </c>
      <c r="L28" s="109">
        <f>M28/K28</f>
        <v>4.8876031114327061</v>
      </c>
      <c r="M28" s="107">
        <f>ROUND(SUM(M2:M27),2)</f>
        <v>54037.34</v>
      </c>
      <c r="N28" s="108">
        <f>SUM(N2:N27)</f>
        <v>22191</v>
      </c>
      <c r="O28" s="109">
        <f>P28/N28</f>
        <v>3.6506371952593391</v>
      </c>
      <c r="P28" s="107">
        <f>ROUND(SUM(P2:P27),2)</f>
        <v>81011.289999999994</v>
      </c>
      <c r="Q28" s="110">
        <f t="shared" ref="Q28:AH28" si="2">SUM(Q2:Q27)</f>
        <v>-48200</v>
      </c>
      <c r="R28" s="107">
        <f t="shared" si="2"/>
        <v>0</v>
      </c>
      <c r="S28" s="107">
        <f t="shared" si="2"/>
        <v>0</v>
      </c>
      <c r="T28" s="107">
        <f t="shared" si="2"/>
        <v>-16073.45</v>
      </c>
      <c r="U28" s="107">
        <f t="shared" si="2"/>
        <v>-261700.00000000003</v>
      </c>
      <c r="V28" s="107">
        <f t="shared" si="2"/>
        <v>-73400</v>
      </c>
      <c r="W28" s="107">
        <f t="shared" si="2"/>
        <v>0</v>
      </c>
      <c r="X28" s="107">
        <f t="shared" si="2"/>
        <v>0</v>
      </c>
      <c r="Y28" s="107">
        <f t="shared" si="2"/>
        <v>0</v>
      </c>
      <c r="Z28" s="107">
        <f t="shared" si="2"/>
        <v>0</v>
      </c>
      <c r="AA28" s="107">
        <f t="shared" si="2"/>
        <v>0</v>
      </c>
      <c r="AB28" s="107">
        <f t="shared" si="2"/>
        <v>0</v>
      </c>
      <c r="AC28" s="107">
        <f t="shared" si="2"/>
        <v>0</v>
      </c>
      <c r="AD28" s="107">
        <f t="shared" si="2"/>
        <v>0</v>
      </c>
      <c r="AE28" s="107">
        <f t="shared" si="2"/>
        <v>0</v>
      </c>
      <c r="AF28" s="107">
        <f t="shared" si="2"/>
        <v>0</v>
      </c>
      <c r="AG28" s="107">
        <f t="shared" si="2"/>
        <v>0</v>
      </c>
      <c r="AH28" s="107">
        <f t="shared" si="2"/>
        <v>0</v>
      </c>
      <c r="AI28" s="107"/>
      <c r="AJ28" s="107">
        <f>SUM(AJ2:AJ27)</f>
        <v>0</v>
      </c>
      <c r="AK28" s="107">
        <f>SUM(AK2:AK27)</f>
        <v>0</v>
      </c>
      <c r="AL28" s="107">
        <f>SUM(AL2:AL27)</f>
        <v>0</v>
      </c>
      <c r="AM28" s="107">
        <f>SUM(AM2:AM27)</f>
        <v>0</v>
      </c>
      <c r="AN28" s="107">
        <f>SUM(AN2:AN27)</f>
        <v>0</v>
      </c>
      <c r="AO28" s="111">
        <f>D28+E28+F28+G28+H28+I28+J28+M28+P28+SUM(Q28:AN28)</f>
        <v>-298807.68000000005</v>
      </c>
      <c r="AP28" s="4"/>
      <c r="AQ28" s="5"/>
      <c r="AR28" s="5"/>
      <c r="AS28" s="2" t="s">
        <v>6</v>
      </c>
    </row>
    <row r="29" spans="1:46" s="4" customFormat="1" ht="17.25" customHeight="1" thickTop="1" x14ac:dyDescent="0.25">
      <c r="A29" s="23">
        <f>A3+1</f>
        <v>45906</v>
      </c>
      <c r="B29" s="210" t="s">
        <v>64</v>
      </c>
      <c r="C29" s="203"/>
      <c r="D29" s="63">
        <v>9693.15</v>
      </c>
      <c r="E29" s="66"/>
      <c r="F29" s="66"/>
      <c r="G29" s="66"/>
      <c r="H29" s="66"/>
      <c r="I29" s="66">
        <v>-9693.15</v>
      </c>
      <c r="J29" s="66"/>
      <c r="K29" s="18"/>
      <c r="L29" s="91"/>
      <c r="M29" s="66"/>
      <c r="N29" s="18"/>
      <c r="O29" s="91"/>
      <c r="P29" s="66"/>
      <c r="Q29" s="46"/>
      <c r="R29" s="46"/>
      <c r="S29" s="45"/>
      <c r="T29" s="18"/>
      <c r="U29" s="18"/>
      <c r="V29" s="18"/>
      <c r="W29" s="18"/>
      <c r="X29" s="18"/>
      <c r="Y29" s="14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7"/>
      <c r="AO29" s="13"/>
      <c r="AP29" s="12" t="e">
        <f>#REF!</f>
        <v>#REF!</v>
      </c>
    </row>
    <row r="30" spans="1:46" s="4" customFormat="1" ht="17.25" customHeight="1" x14ac:dyDescent="0.25">
      <c r="A30" s="23"/>
      <c r="B30" s="201" t="s">
        <v>96</v>
      </c>
      <c r="C30" s="202"/>
      <c r="D30" s="63"/>
      <c r="E30" s="64"/>
      <c r="F30" s="64"/>
      <c r="G30" s="64"/>
      <c r="H30" s="64"/>
      <c r="I30" s="117">
        <f>-I28-I29</f>
        <v>-212.02000000000044</v>
      </c>
      <c r="J30" s="64"/>
      <c r="K30" s="16"/>
      <c r="L30" s="92"/>
      <c r="M30" s="64"/>
      <c r="N30" s="16"/>
      <c r="O30" s="92"/>
      <c r="P30" s="64"/>
      <c r="Q30" s="40"/>
      <c r="R30" s="46"/>
      <c r="S30" s="39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22"/>
      <c r="AP30" s="30"/>
    </row>
    <row r="31" spans="1:46" s="4" customFormat="1" ht="17.25" customHeight="1" x14ac:dyDescent="0.25">
      <c r="A31" s="23"/>
      <c r="B31" s="210" t="s">
        <v>68</v>
      </c>
      <c r="C31" s="203"/>
      <c r="D31" s="63">
        <v>-6000</v>
      </c>
      <c r="E31" s="64"/>
      <c r="F31" s="64"/>
      <c r="G31" s="64"/>
      <c r="H31" s="64"/>
      <c r="I31" s="66"/>
      <c r="J31" s="64"/>
      <c r="K31" s="16"/>
      <c r="L31" s="92"/>
      <c r="M31" s="64"/>
      <c r="N31" s="16"/>
      <c r="O31" s="92"/>
      <c r="P31" s="64"/>
      <c r="Q31" s="40"/>
      <c r="R31" s="46">
        <f>-D31</f>
        <v>6000</v>
      </c>
      <c r="S31" s="39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22"/>
      <c r="AP31" s="30"/>
    </row>
    <row r="32" spans="1:46" s="2" customFormat="1" ht="17.25" customHeight="1" x14ac:dyDescent="0.25">
      <c r="A32" s="24"/>
      <c r="B32" s="201" t="s">
        <v>69</v>
      </c>
      <c r="C32" s="203"/>
      <c r="D32" s="119">
        <v>-4.9000000000000004</v>
      </c>
      <c r="E32" s="64"/>
      <c r="F32" s="64"/>
      <c r="G32" s="64"/>
      <c r="H32" s="64"/>
      <c r="I32" s="64"/>
      <c r="J32" s="64"/>
      <c r="K32" s="16"/>
      <c r="L32" s="92"/>
      <c r="M32" s="64"/>
      <c r="N32" s="16"/>
      <c r="O32" s="92"/>
      <c r="P32" s="64"/>
      <c r="Q32" s="40"/>
      <c r="R32" s="40"/>
      <c r="S32" s="39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22"/>
      <c r="AQ32" s="10"/>
      <c r="AR32" s="11"/>
    </row>
    <row r="33" spans="1:46" s="2" customFormat="1" ht="17.25" customHeight="1" x14ac:dyDescent="0.25">
      <c r="A33" s="24"/>
      <c r="B33" s="201" t="s">
        <v>164</v>
      </c>
      <c r="C33" s="203"/>
      <c r="D33" s="119">
        <v>-182.46</v>
      </c>
      <c r="E33" s="64"/>
      <c r="F33" s="64"/>
      <c r="G33" s="64"/>
      <c r="H33" s="64"/>
      <c r="I33" s="64"/>
      <c r="J33" s="64"/>
      <c r="K33" s="16"/>
      <c r="L33" s="92"/>
      <c r="M33" s="64"/>
      <c r="N33" s="16"/>
      <c r="O33" s="92"/>
      <c r="P33" s="64"/>
      <c r="Q33" s="39"/>
      <c r="R33" s="39"/>
      <c r="S33" s="39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22"/>
      <c r="AQ33" s="10"/>
      <c r="AR33" s="11"/>
    </row>
    <row r="34" spans="1:46" s="2" customFormat="1" ht="17.25" customHeight="1" x14ac:dyDescent="0.25">
      <c r="A34" s="24"/>
      <c r="B34" s="201" t="s">
        <v>70</v>
      </c>
      <c r="C34" s="203"/>
      <c r="D34" s="119">
        <v>-195</v>
      </c>
      <c r="E34" s="64"/>
      <c r="F34" s="64"/>
      <c r="G34" s="64"/>
      <c r="H34" s="64"/>
      <c r="I34" s="64"/>
      <c r="J34" s="64"/>
      <c r="K34" s="16"/>
      <c r="L34" s="92"/>
      <c r="M34" s="64"/>
      <c r="N34" s="16"/>
      <c r="O34" s="92"/>
      <c r="P34" s="64"/>
      <c r="Q34" s="39"/>
      <c r="R34" s="39"/>
      <c r="S34" s="39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22"/>
      <c r="AQ34" s="10"/>
      <c r="AR34" s="11"/>
    </row>
    <row r="35" spans="1:46" s="2" customFormat="1" ht="17.25" customHeight="1" x14ac:dyDescent="0.25">
      <c r="A35" s="29"/>
      <c r="B35" s="207" t="s">
        <v>70</v>
      </c>
      <c r="C35" s="207"/>
      <c r="D35" s="117">
        <v>-385.5</v>
      </c>
      <c r="E35" s="64"/>
      <c r="F35" s="64"/>
      <c r="G35" s="64"/>
      <c r="H35" s="64"/>
      <c r="I35" s="64"/>
      <c r="J35" s="64"/>
      <c r="K35" s="16"/>
      <c r="L35" s="92"/>
      <c r="M35" s="64"/>
      <c r="N35" s="16"/>
      <c r="O35" s="92"/>
      <c r="P35" s="64"/>
      <c r="Q35" s="39"/>
      <c r="R35" s="39"/>
      <c r="S35" s="39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22"/>
      <c r="AQ35" s="10"/>
      <c r="AR35" s="11"/>
    </row>
    <row r="36" spans="1:46" s="4" customFormat="1" ht="17.25" customHeight="1" thickBot="1" x14ac:dyDescent="0.3">
      <c r="A36" s="24"/>
      <c r="B36" s="246"/>
      <c r="C36" s="246"/>
      <c r="D36" s="37"/>
      <c r="E36" s="37"/>
      <c r="F36" s="37"/>
      <c r="G36" s="37"/>
      <c r="H36" s="37"/>
      <c r="I36" s="37"/>
      <c r="J36" s="37"/>
      <c r="K36" s="59"/>
      <c r="L36" s="90"/>
      <c r="M36" s="94"/>
      <c r="N36" s="59"/>
      <c r="O36" s="90"/>
      <c r="P36" s="94"/>
      <c r="Q36" s="39"/>
      <c r="R36" s="39"/>
      <c r="S36" s="39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22"/>
      <c r="AO36" s="43"/>
      <c r="AP36" s="12" t="e">
        <f>#REF!</f>
        <v>#REF!</v>
      </c>
      <c r="AT36" s="2"/>
    </row>
    <row r="37" spans="1:46" s="4" customFormat="1" ht="17.25" customHeight="1" x14ac:dyDescent="0.25">
      <c r="A37" s="23"/>
      <c r="B37" s="212" t="s">
        <v>94</v>
      </c>
      <c r="C37" s="212"/>
      <c r="D37" s="66"/>
      <c r="E37" s="66"/>
      <c r="F37" s="117"/>
      <c r="G37" s="117"/>
      <c r="H37" s="66"/>
      <c r="I37" s="66"/>
      <c r="J37" s="66">
        <f>-M37</f>
        <v>10548</v>
      </c>
      <c r="K37" s="58">
        <v>-1800</v>
      </c>
      <c r="L37" s="89">
        <v>5.86</v>
      </c>
      <c r="M37" s="73">
        <f>K37*L37</f>
        <v>-10548</v>
      </c>
      <c r="N37" s="58"/>
      <c r="O37" s="89"/>
      <c r="P37" s="73"/>
      <c r="Q37" s="39"/>
      <c r="R37" s="39"/>
      <c r="S37" s="8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35"/>
      <c r="AP37" s="12" t="e">
        <f>#REF!</f>
        <v>#REF!</v>
      </c>
    </row>
    <row r="38" spans="1:46" s="4" customFormat="1" ht="17.25" customHeight="1" x14ac:dyDescent="0.25">
      <c r="A38" s="24"/>
      <c r="B38" s="207" t="s">
        <v>95</v>
      </c>
      <c r="C38" s="207"/>
      <c r="D38" s="64"/>
      <c r="E38" s="64"/>
      <c r="F38" s="117"/>
      <c r="G38" s="117"/>
      <c r="H38" s="64"/>
      <c r="I38" s="64"/>
      <c r="J38" s="64">
        <f>-P38</f>
        <v>9607.5399999999991</v>
      </c>
      <c r="K38" s="57"/>
      <c r="L38" s="88"/>
      <c r="M38" s="62"/>
      <c r="N38" s="57">
        <v>-2489</v>
      </c>
      <c r="O38" s="88">
        <v>3.86</v>
      </c>
      <c r="P38" s="62">
        <f>N38*O38</f>
        <v>-9607.5399999999991</v>
      </c>
      <c r="Q38" s="39"/>
      <c r="R38" s="39"/>
      <c r="S38" s="8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35"/>
      <c r="AP38" s="12" t="e">
        <f>#REF!</f>
        <v>#REF!</v>
      </c>
    </row>
    <row r="39" spans="1:46" s="4" customFormat="1" ht="17.25" customHeight="1" x14ac:dyDescent="0.25">
      <c r="A39" s="24"/>
      <c r="B39" s="207" t="s">
        <v>97</v>
      </c>
      <c r="C39" s="207"/>
      <c r="D39" s="64"/>
      <c r="E39" s="64"/>
      <c r="F39" s="64"/>
      <c r="G39" s="64"/>
      <c r="H39" s="64">
        <f>-J39-I39</f>
        <v>6047.4800000000014</v>
      </c>
      <c r="I39" s="64">
        <v>14108.06</v>
      </c>
      <c r="J39" s="64">
        <f>-SUM(J37:J38)</f>
        <v>-20155.54</v>
      </c>
      <c r="K39" s="57"/>
      <c r="L39" s="88"/>
      <c r="M39" s="62"/>
      <c r="N39" s="57"/>
      <c r="O39" s="88"/>
      <c r="P39" s="62"/>
      <c r="Q39" s="39"/>
      <c r="R39" s="39"/>
      <c r="S39" s="39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22"/>
      <c r="AO39" s="43"/>
      <c r="AP39" s="12" t="e">
        <f>#REF!</f>
        <v>#REF!</v>
      </c>
      <c r="AT39" s="2"/>
    </row>
    <row r="40" spans="1:46" s="4" customFormat="1" ht="17.25" customHeight="1" x14ac:dyDescent="0.25">
      <c r="A40" s="24"/>
      <c r="B40" s="207" t="s">
        <v>100</v>
      </c>
      <c r="C40" s="207"/>
      <c r="D40" s="64"/>
      <c r="E40" s="64"/>
      <c r="F40" s="64"/>
      <c r="G40" s="64"/>
      <c r="H40" s="64"/>
      <c r="I40" s="64"/>
      <c r="J40" s="64"/>
      <c r="K40" s="57">
        <v>0</v>
      </c>
      <c r="L40" s="88"/>
      <c r="M40" s="118">
        <f>(K43*L28)-M28-M37</f>
        <v>1750.3143994211277</v>
      </c>
      <c r="N40" s="57">
        <v>-52</v>
      </c>
      <c r="O40" s="88"/>
      <c r="P40" s="118">
        <f>(N43*O28)-P28-P38</f>
        <v>331.27088684602313</v>
      </c>
      <c r="Q40" s="39"/>
      <c r="R40" s="39"/>
      <c r="S40" s="39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22"/>
      <c r="AO40" s="43"/>
      <c r="AP40" s="12" t="e">
        <f>#REF!</f>
        <v>#REF!</v>
      </c>
      <c r="AT40" s="2"/>
    </row>
    <row r="41" spans="1:46" s="4" customFormat="1" ht="17.25" customHeight="1" x14ac:dyDescent="0.25">
      <c r="A41" s="24"/>
      <c r="B41" s="201"/>
      <c r="C41" s="202"/>
      <c r="D41" s="64"/>
      <c r="E41" s="64"/>
      <c r="F41" s="117"/>
      <c r="G41" s="117"/>
      <c r="H41" s="64"/>
      <c r="I41" s="64"/>
      <c r="J41" s="64"/>
      <c r="K41" s="16"/>
      <c r="L41" s="92"/>
      <c r="M41" s="64"/>
      <c r="N41" s="16"/>
      <c r="O41" s="92"/>
      <c r="P41" s="64"/>
      <c r="Q41" s="47"/>
      <c r="R41" s="39"/>
      <c r="S41" s="8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43">
        <f>A29</f>
        <v>45906</v>
      </c>
      <c r="AP41" s="12" t="e">
        <f>#REF!</f>
        <v>#REF!</v>
      </c>
    </row>
    <row r="42" spans="1:46" s="4" customFormat="1" ht="17.25" customHeight="1" thickBot="1" x14ac:dyDescent="0.3">
      <c r="A42" s="32"/>
      <c r="B42" s="101" t="s">
        <v>102</v>
      </c>
      <c r="C42" s="102">
        <f>D43+E43+F43+G43+H43+I43+J43+M43+P43</f>
        <v>95667.47</v>
      </c>
      <c r="D42" s="96"/>
      <c r="E42" s="85"/>
      <c r="F42" s="120"/>
      <c r="G42" s="120"/>
      <c r="H42" s="85"/>
      <c r="I42" s="85"/>
      <c r="J42" s="85"/>
      <c r="K42" s="28"/>
      <c r="L42" s="112"/>
      <c r="M42" s="85"/>
      <c r="N42" s="28"/>
      <c r="O42" s="112"/>
      <c r="P42" s="85"/>
      <c r="Q42" s="113"/>
      <c r="R42" s="51"/>
      <c r="S42" s="87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42">
        <f>SUM($Q28:AN42)</f>
        <v>-393373.45</v>
      </c>
      <c r="AP42" s="2"/>
      <c r="AQ42" s="33"/>
      <c r="AR42" s="27"/>
      <c r="AS42" s="2" t="s">
        <v>5</v>
      </c>
    </row>
    <row r="43" spans="1:46" s="2" customFormat="1" ht="17.25" customHeight="1" thickTop="1" thickBot="1" x14ac:dyDescent="0.3">
      <c r="A43" s="103"/>
      <c r="B43" s="104" t="s">
        <v>103</v>
      </c>
      <c r="C43" s="105">
        <f>AO43</f>
        <v>-297705.98</v>
      </c>
      <c r="D43" s="106">
        <f t="shared" ref="D43:K43" si="3">SUM(D28:D42)</f>
        <v>2997.8399999999988</v>
      </c>
      <c r="E43" s="107">
        <f t="shared" si="3"/>
        <v>-38473.980000000003</v>
      </c>
      <c r="F43" s="107">
        <f t="shared" si="3"/>
        <v>6.19</v>
      </c>
      <c r="G43" s="107">
        <f t="shared" si="3"/>
        <v>-400</v>
      </c>
      <c r="H43" s="107">
        <f t="shared" si="3"/>
        <v>454.69000000000233</v>
      </c>
      <c r="I43" s="107">
        <f t="shared" si="3"/>
        <v>14108.06</v>
      </c>
      <c r="J43" s="107">
        <f t="shared" si="3"/>
        <v>0</v>
      </c>
      <c r="K43" s="108">
        <f t="shared" si="3"/>
        <v>9256</v>
      </c>
      <c r="L43" s="109">
        <f>M43/K43</f>
        <v>4.8876026361279168</v>
      </c>
      <c r="M43" s="107">
        <f>ROUND(SUM(M28:M42),2)</f>
        <v>45239.65</v>
      </c>
      <c r="N43" s="108">
        <f>SUM(N28:N42)</f>
        <v>19650</v>
      </c>
      <c r="O43" s="114">
        <f>P43/N43</f>
        <v>3.6506371501272268</v>
      </c>
      <c r="P43" s="107">
        <f>ROUND(SUM(P28:P42),2)</f>
        <v>71735.02</v>
      </c>
      <c r="Q43" s="115">
        <f t="shared" ref="Q43:AN43" si="4">SUM(Q28:Q42)</f>
        <v>-48200</v>
      </c>
      <c r="R43" s="107">
        <f t="shared" si="4"/>
        <v>6000</v>
      </c>
      <c r="S43" s="107">
        <f t="shared" si="4"/>
        <v>0</v>
      </c>
      <c r="T43" s="107">
        <f t="shared" si="4"/>
        <v>-16073.45</v>
      </c>
      <c r="U43" s="107">
        <f t="shared" si="4"/>
        <v>-261700.00000000003</v>
      </c>
      <c r="V43" s="107">
        <f t="shared" si="4"/>
        <v>-73400</v>
      </c>
      <c r="W43" s="107">
        <f t="shared" si="4"/>
        <v>0</v>
      </c>
      <c r="X43" s="107">
        <f t="shared" si="4"/>
        <v>0</v>
      </c>
      <c r="Y43" s="107">
        <f t="shared" si="4"/>
        <v>0</v>
      </c>
      <c r="Z43" s="107">
        <f t="shared" si="4"/>
        <v>0</v>
      </c>
      <c r="AA43" s="107">
        <f t="shared" si="4"/>
        <v>0</v>
      </c>
      <c r="AB43" s="107">
        <f t="shared" si="4"/>
        <v>0</v>
      </c>
      <c r="AC43" s="107">
        <f t="shared" si="4"/>
        <v>0</v>
      </c>
      <c r="AD43" s="107">
        <f t="shared" si="4"/>
        <v>0</v>
      </c>
      <c r="AE43" s="107">
        <f t="shared" si="4"/>
        <v>0</v>
      </c>
      <c r="AF43" s="107">
        <f t="shared" si="4"/>
        <v>0</v>
      </c>
      <c r="AG43" s="107">
        <f t="shared" si="4"/>
        <v>0</v>
      </c>
      <c r="AH43" s="107">
        <f t="shared" si="4"/>
        <v>0</v>
      </c>
      <c r="AI43" s="107">
        <f t="shared" si="4"/>
        <v>0</v>
      </c>
      <c r="AJ43" s="107">
        <f t="shared" si="4"/>
        <v>0</v>
      </c>
      <c r="AK43" s="107">
        <f t="shared" si="4"/>
        <v>0</v>
      </c>
      <c r="AL43" s="107">
        <f t="shared" si="4"/>
        <v>0</v>
      </c>
      <c r="AM43" s="107">
        <f t="shared" si="4"/>
        <v>0</v>
      </c>
      <c r="AN43" s="107">
        <f t="shared" si="4"/>
        <v>0</v>
      </c>
      <c r="AO43" s="111">
        <f>D43+E43+F43+G43+H43+I43+J43+M43+P43+SUM(Q43:AN43)</f>
        <v>-297705.98</v>
      </c>
      <c r="AP43" s="4"/>
      <c r="AQ43" s="5"/>
      <c r="AR43" s="5"/>
      <c r="AS43" s="2" t="s">
        <v>6</v>
      </c>
    </row>
    <row r="44" spans="1:46" s="2" customFormat="1" ht="17.25" customHeight="1" thickTop="1" x14ac:dyDescent="0.25">
      <c r="A44" s="23">
        <f>A29+1</f>
        <v>45907</v>
      </c>
      <c r="B44" s="210" t="s">
        <v>64</v>
      </c>
      <c r="C44" s="203"/>
      <c r="D44" s="63">
        <v>13750.2</v>
      </c>
      <c r="E44" s="66"/>
      <c r="F44" s="66"/>
      <c r="G44" s="66"/>
      <c r="H44" s="66"/>
      <c r="I44" s="66">
        <f>-D44</f>
        <v>-13750.2</v>
      </c>
      <c r="J44" s="66"/>
      <c r="K44" s="18"/>
      <c r="L44" s="91"/>
      <c r="M44" s="66"/>
      <c r="N44" s="18"/>
      <c r="O44" s="91"/>
      <c r="P44" s="66"/>
      <c r="Q44" s="46"/>
      <c r="R44" s="46"/>
      <c r="S44" s="45"/>
      <c r="T44" s="18"/>
      <c r="U44" s="18"/>
      <c r="V44" s="18"/>
      <c r="W44" s="18"/>
      <c r="X44" s="18"/>
      <c r="Y44" s="14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7"/>
      <c r="AO44" s="13"/>
      <c r="AQ44" s="10"/>
      <c r="AR44" s="27"/>
    </row>
    <row r="45" spans="1:46" s="4" customFormat="1" ht="17.25" customHeight="1" x14ac:dyDescent="0.25">
      <c r="A45" s="23"/>
      <c r="B45" s="201" t="s">
        <v>96</v>
      </c>
      <c r="C45" s="202"/>
      <c r="D45" s="63"/>
      <c r="E45" s="64"/>
      <c r="F45" s="64"/>
      <c r="G45" s="64"/>
      <c r="H45" s="64"/>
      <c r="I45" s="117">
        <f>-I43-I44</f>
        <v>-357.85999999999876</v>
      </c>
      <c r="J45" s="64"/>
      <c r="K45" s="16"/>
      <c r="L45" s="92"/>
      <c r="M45" s="64"/>
      <c r="N45" s="16"/>
      <c r="O45" s="92"/>
      <c r="P45" s="64"/>
      <c r="Q45" s="40"/>
      <c r="R45" s="46"/>
      <c r="S45" s="39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22"/>
      <c r="AP45" s="30"/>
    </row>
    <row r="46" spans="1:46" s="2" customFormat="1" ht="17.25" customHeight="1" x14ac:dyDescent="0.25">
      <c r="A46" s="24"/>
      <c r="B46" s="201" t="s">
        <v>72</v>
      </c>
      <c r="C46" s="202"/>
      <c r="D46" s="65">
        <v>-16748</v>
      </c>
      <c r="E46" s="64"/>
      <c r="F46" s="117">
        <f>-D46</f>
        <v>16748</v>
      </c>
      <c r="G46" s="117">
        <f>-E46</f>
        <v>0</v>
      </c>
      <c r="H46" s="64"/>
      <c r="I46" s="64"/>
      <c r="J46" s="64"/>
      <c r="K46" s="16"/>
      <c r="L46" s="92"/>
      <c r="M46" s="64"/>
      <c r="N46" s="16"/>
      <c r="O46" s="92"/>
      <c r="P46" s="64"/>
      <c r="Q46" s="46"/>
      <c r="R46" s="46"/>
      <c r="S46" s="86"/>
      <c r="T46" s="16"/>
      <c r="U46" s="16"/>
      <c r="V46" s="16"/>
      <c r="W46" s="16"/>
      <c r="X46" s="16"/>
      <c r="Y46" s="19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7"/>
      <c r="AO46" s="26"/>
      <c r="AQ46" s="10"/>
      <c r="AR46" s="27"/>
    </row>
    <row r="47" spans="1:46" s="4" customFormat="1" ht="17.25" customHeight="1" thickBot="1" x14ac:dyDescent="0.25">
      <c r="A47" s="23"/>
      <c r="B47" s="216"/>
      <c r="C47" s="242"/>
      <c r="D47" s="83"/>
      <c r="E47" s="81"/>
      <c r="F47" s="81"/>
      <c r="G47" s="81"/>
      <c r="H47" s="81"/>
      <c r="I47" s="81"/>
      <c r="J47" s="81"/>
      <c r="K47" s="37"/>
      <c r="L47" s="93"/>
      <c r="M47" s="81"/>
      <c r="N47" s="37"/>
      <c r="O47" s="93"/>
      <c r="P47" s="81"/>
      <c r="Q47" s="46"/>
      <c r="R47" s="46"/>
      <c r="S47" s="39"/>
      <c r="T47" s="16"/>
      <c r="U47" s="16"/>
      <c r="V47" s="16"/>
      <c r="W47" s="16"/>
      <c r="X47" s="16"/>
      <c r="Y47" s="19"/>
      <c r="Z47" s="16"/>
      <c r="AA47" s="16"/>
      <c r="AB47" s="16"/>
      <c r="AC47" s="16"/>
      <c r="AD47" s="16"/>
      <c r="AE47" s="16"/>
      <c r="AF47" s="16"/>
      <c r="AG47" s="16"/>
      <c r="AH47" s="16"/>
      <c r="AI47" s="44"/>
      <c r="AJ47" s="16"/>
      <c r="AK47" s="16"/>
      <c r="AL47" s="16"/>
      <c r="AM47" s="16"/>
      <c r="AN47" s="16"/>
      <c r="AO47" s="44"/>
    </row>
    <row r="48" spans="1:46" s="4" customFormat="1" ht="17.25" customHeight="1" x14ac:dyDescent="0.25">
      <c r="A48" s="23"/>
      <c r="B48" s="210" t="s">
        <v>94</v>
      </c>
      <c r="C48" s="203"/>
      <c r="D48" s="66"/>
      <c r="E48" s="66"/>
      <c r="F48" s="117"/>
      <c r="G48" s="117"/>
      <c r="H48" s="66"/>
      <c r="I48" s="66"/>
      <c r="J48" s="66">
        <f>-M48</f>
        <v>6885.5</v>
      </c>
      <c r="K48" s="58">
        <v>-1175</v>
      </c>
      <c r="L48" s="89">
        <v>5.86</v>
      </c>
      <c r="M48" s="73">
        <f>K48*L48</f>
        <v>-6885.5</v>
      </c>
      <c r="N48" s="58"/>
      <c r="O48" s="89"/>
      <c r="P48" s="73"/>
      <c r="Q48" s="39"/>
      <c r="R48" s="39"/>
      <c r="S48" s="8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35"/>
      <c r="AP48" s="12" t="e">
        <f>#REF!</f>
        <v>#REF!</v>
      </c>
    </row>
    <row r="49" spans="1:46" s="4" customFormat="1" ht="17.25" customHeight="1" x14ac:dyDescent="0.25">
      <c r="A49" s="23"/>
      <c r="B49" s="201" t="s">
        <v>95</v>
      </c>
      <c r="C49" s="202"/>
      <c r="D49" s="64"/>
      <c r="E49" s="64"/>
      <c r="F49" s="117"/>
      <c r="G49" s="117"/>
      <c r="H49" s="64"/>
      <c r="I49" s="64"/>
      <c r="J49" s="64">
        <f>-P49</f>
        <v>6450.0599999999995</v>
      </c>
      <c r="K49" s="57"/>
      <c r="L49" s="88"/>
      <c r="M49" s="62"/>
      <c r="N49" s="57">
        <v>-1671</v>
      </c>
      <c r="O49" s="88">
        <v>3.86</v>
      </c>
      <c r="P49" s="62">
        <f>N49*O49</f>
        <v>-6450.0599999999995</v>
      </c>
      <c r="Q49" s="39"/>
      <c r="R49" s="39"/>
      <c r="S49" s="8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35"/>
      <c r="AP49" s="12" t="e">
        <f>#REF!</f>
        <v>#REF!</v>
      </c>
    </row>
    <row r="50" spans="1:46" s="4" customFormat="1" ht="17.25" customHeight="1" x14ac:dyDescent="0.25">
      <c r="A50" s="23"/>
      <c r="B50" s="201" t="s">
        <v>97</v>
      </c>
      <c r="C50" s="203"/>
      <c r="D50" s="64"/>
      <c r="E50" s="64"/>
      <c r="F50" s="64"/>
      <c r="G50" s="64"/>
      <c r="H50" s="64">
        <f>-J50-I50</f>
        <v>5276.7699999999995</v>
      </c>
      <c r="I50" s="64">
        <v>8058.79</v>
      </c>
      <c r="J50" s="64">
        <f>-SUM(J48:J49)</f>
        <v>-13335.56</v>
      </c>
      <c r="K50" s="57"/>
      <c r="L50" s="88"/>
      <c r="M50" s="62"/>
      <c r="N50" s="57"/>
      <c r="O50" s="88"/>
      <c r="P50" s="62"/>
      <c r="Q50" s="39"/>
      <c r="R50" s="39"/>
      <c r="S50" s="39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22"/>
      <c r="AO50" s="43">
        <f>A31</f>
        <v>0</v>
      </c>
      <c r="AP50" s="12" t="e">
        <f>#REF!</f>
        <v>#REF!</v>
      </c>
      <c r="AT50" s="2"/>
    </row>
    <row r="51" spans="1:46" s="4" customFormat="1" ht="17.25" customHeight="1" x14ac:dyDescent="0.25">
      <c r="A51" s="23"/>
      <c r="B51" s="201" t="s">
        <v>93</v>
      </c>
      <c r="C51" s="202"/>
      <c r="D51" s="64"/>
      <c r="E51" s="64"/>
      <c r="F51" s="64"/>
      <c r="G51" s="64"/>
      <c r="H51" s="64"/>
      <c r="I51" s="64"/>
      <c r="J51" s="64"/>
      <c r="K51" s="57">
        <v>-70</v>
      </c>
      <c r="L51" s="88"/>
      <c r="M51" s="118">
        <f>(K54*L43)-M43-M48</f>
        <v>800.43471802074055</v>
      </c>
      <c r="N51" s="57">
        <v>-48</v>
      </c>
      <c r="O51" s="88"/>
      <c r="P51" s="118">
        <f>(N54*O43)-P43-P49</f>
        <v>174.61473893129914</v>
      </c>
      <c r="Q51" s="39"/>
      <c r="R51" s="39"/>
      <c r="S51" s="39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22"/>
      <c r="AO51" s="43">
        <f>A30</f>
        <v>0</v>
      </c>
      <c r="AP51" s="12" t="e">
        <f>#REF!</f>
        <v>#REF!</v>
      </c>
      <c r="AT51" s="2"/>
    </row>
    <row r="52" spans="1:46" s="4" customFormat="1" ht="17.25" customHeight="1" x14ac:dyDescent="0.2">
      <c r="A52" s="23"/>
      <c r="B52" s="201"/>
      <c r="C52" s="202"/>
      <c r="D52" s="63"/>
      <c r="E52" s="64"/>
      <c r="F52" s="64"/>
      <c r="G52" s="64"/>
      <c r="H52" s="64"/>
      <c r="I52" s="64"/>
      <c r="J52" s="64"/>
      <c r="K52" s="16"/>
      <c r="L52" s="92"/>
      <c r="M52" s="64"/>
      <c r="N52" s="16"/>
      <c r="O52" s="92"/>
      <c r="P52" s="64"/>
      <c r="Q52" s="46"/>
      <c r="R52" s="46"/>
      <c r="S52" s="39"/>
      <c r="T52" s="16"/>
      <c r="U52" s="16"/>
      <c r="V52" s="16"/>
      <c r="W52" s="16"/>
      <c r="X52" s="16"/>
      <c r="Y52" s="19"/>
      <c r="Z52" s="16"/>
      <c r="AA52" s="16"/>
      <c r="AB52" s="16"/>
      <c r="AC52" s="16"/>
      <c r="AD52" s="16"/>
      <c r="AE52" s="16"/>
      <c r="AF52" s="16"/>
      <c r="AG52" s="16"/>
      <c r="AH52" s="16"/>
      <c r="AI52" s="44"/>
      <c r="AJ52" s="16"/>
      <c r="AK52" s="16"/>
      <c r="AL52" s="16"/>
      <c r="AM52" s="16"/>
      <c r="AN52" s="16"/>
      <c r="AO52" s="44"/>
    </row>
    <row r="53" spans="1:46" s="2" customFormat="1" ht="17.25" customHeight="1" thickBot="1" x14ac:dyDescent="0.3">
      <c r="A53" s="32"/>
      <c r="B53" s="101" t="s">
        <v>102</v>
      </c>
      <c r="C53" s="102">
        <f>D54+E54+F54+G54+H54+I54+J54+M54+P54</f>
        <v>96284.65</v>
      </c>
      <c r="D53" s="96"/>
      <c r="E53" s="85"/>
      <c r="F53" s="85"/>
      <c r="G53" s="85"/>
      <c r="H53" s="85"/>
      <c r="I53" s="85"/>
      <c r="J53" s="85"/>
      <c r="K53" s="28"/>
      <c r="L53" s="112"/>
      <c r="M53" s="85"/>
      <c r="N53" s="28"/>
      <c r="O53" s="112"/>
      <c r="P53" s="85"/>
      <c r="Q53" s="113"/>
      <c r="R53" s="51"/>
      <c r="S53" s="51"/>
      <c r="T53" s="28"/>
      <c r="U53" s="28"/>
      <c r="V53" s="28"/>
      <c r="W53" s="3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100"/>
      <c r="AO53" s="42">
        <f>SUM($Q43:AN53)</f>
        <v>-393373.45</v>
      </c>
      <c r="AQ53" s="33"/>
      <c r="AR53" s="27"/>
      <c r="AS53" s="2" t="s">
        <v>5</v>
      </c>
    </row>
    <row r="54" spans="1:46" s="2" customFormat="1" ht="17.25" customHeight="1" thickTop="1" thickBot="1" x14ac:dyDescent="0.3">
      <c r="A54" s="103"/>
      <c r="B54" s="104" t="s">
        <v>103</v>
      </c>
      <c r="C54" s="105">
        <f>AO54</f>
        <v>-297088.80000000005</v>
      </c>
      <c r="D54" s="106">
        <f t="shared" ref="D54:K54" si="5">SUM(D43:D53)</f>
        <v>4.0000000000873115E-2</v>
      </c>
      <c r="E54" s="107">
        <f t="shared" si="5"/>
        <v>-38473.980000000003</v>
      </c>
      <c r="F54" s="107">
        <f t="shared" si="5"/>
        <v>16754.189999999999</v>
      </c>
      <c r="G54" s="107">
        <f t="shared" si="5"/>
        <v>-400</v>
      </c>
      <c r="H54" s="107">
        <f t="shared" si="5"/>
        <v>5731.4600000000019</v>
      </c>
      <c r="I54" s="107">
        <f t="shared" si="5"/>
        <v>8058.79</v>
      </c>
      <c r="J54" s="107">
        <f t="shared" si="5"/>
        <v>0</v>
      </c>
      <c r="K54" s="108">
        <f t="shared" si="5"/>
        <v>8011</v>
      </c>
      <c r="L54" s="109">
        <f>M54/K54</f>
        <v>4.8876020471851209</v>
      </c>
      <c r="M54" s="107">
        <f>ROUND(SUM(M43:M53),2)</f>
        <v>39154.58</v>
      </c>
      <c r="N54" s="108">
        <f>SUM(N43:N53)</f>
        <v>17931</v>
      </c>
      <c r="O54" s="109">
        <f>P54/N54</f>
        <v>3.6506368858401652</v>
      </c>
      <c r="P54" s="107">
        <f>ROUND(SUM(P43:P53),2)</f>
        <v>65459.57</v>
      </c>
      <c r="Q54" s="115">
        <f t="shared" ref="Q54:AN54" si="6">SUM(Q43:Q53)</f>
        <v>-48200</v>
      </c>
      <c r="R54" s="107">
        <f t="shared" si="6"/>
        <v>6000</v>
      </c>
      <c r="S54" s="107">
        <f t="shared" si="6"/>
        <v>0</v>
      </c>
      <c r="T54" s="107">
        <f t="shared" si="6"/>
        <v>-16073.45</v>
      </c>
      <c r="U54" s="107">
        <f t="shared" si="6"/>
        <v>-261700.00000000003</v>
      </c>
      <c r="V54" s="107">
        <f t="shared" si="6"/>
        <v>-73400</v>
      </c>
      <c r="W54" s="107">
        <f t="shared" si="6"/>
        <v>0</v>
      </c>
      <c r="X54" s="107">
        <f t="shared" si="6"/>
        <v>0</v>
      </c>
      <c r="Y54" s="107">
        <f t="shared" si="6"/>
        <v>0</v>
      </c>
      <c r="Z54" s="107">
        <f t="shared" si="6"/>
        <v>0</v>
      </c>
      <c r="AA54" s="107">
        <f t="shared" si="6"/>
        <v>0</v>
      </c>
      <c r="AB54" s="107">
        <f t="shared" si="6"/>
        <v>0</v>
      </c>
      <c r="AC54" s="107">
        <f t="shared" si="6"/>
        <v>0</v>
      </c>
      <c r="AD54" s="107">
        <f t="shared" si="6"/>
        <v>0</v>
      </c>
      <c r="AE54" s="107">
        <f t="shared" si="6"/>
        <v>0</v>
      </c>
      <c r="AF54" s="107">
        <f t="shared" si="6"/>
        <v>0</v>
      </c>
      <c r="AG54" s="107">
        <f t="shared" si="6"/>
        <v>0</v>
      </c>
      <c r="AH54" s="107">
        <f t="shared" si="6"/>
        <v>0</v>
      </c>
      <c r="AI54" s="107">
        <f t="shared" si="6"/>
        <v>0</v>
      </c>
      <c r="AJ54" s="107">
        <f t="shared" si="6"/>
        <v>0</v>
      </c>
      <c r="AK54" s="107">
        <f t="shared" si="6"/>
        <v>0</v>
      </c>
      <c r="AL54" s="107">
        <f t="shared" si="6"/>
        <v>0</v>
      </c>
      <c r="AM54" s="107">
        <f t="shared" si="6"/>
        <v>0</v>
      </c>
      <c r="AN54" s="107">
        <f t="shared" si="6"/>
        <v>0</v>
      </c>
      <c r="AO54" s="111">
        <f>D54+E54+F54+G54+H54+I54+J54+M54+P54+SUM(Q54:AN54)</f>
        <v>-297088.80000000005</v>
      </c>
      <c r="AP54" s="4"/>
      <c r="AQ54" s="5"/>
      <c r="AR54" s="5"/>
      <c r="AS54" s="2" t="s">
        <v>6</v>
      </c>
    </row>
    <row r="55" spans="1:46" s="2" customFormat="1" ht="17.25" customHeight="1" thickTop="1" x14ac:dyDescent="0.25">
      <c r="A55" s="23">
        <f>A44+1</f>
        <v>45908</v>
      </c>
      <c r="B55" s="210" t="s">
        <v>13</v>
      </c>
      <c r="C55" s="203"/>
      <c r="D55" s="63"/>
      <c r="E55" s="66">
        <v>3364.47</v>
      </c>
      <c r="F55" s="66"/>
      <c r="G55" s="66"/>
      <c r="H55" s="66">
        <f>-E55</f>
        <v>-3364.47</v>
      </c>
      <c r="I55" s="66"/>
      <c r="J55" s="66"/>
      <c r="K55" s="18"/>
      <c r="L55" s="91"/>
      <c r="M55" s="66"/>
      <c r="N55" s="18"/>
      <c r="O55" s="91"/>
      <c r="P55" s="66"/>
      <c r="Q55" s="46"/>
      <c r="R55" s="46"/>
      <c r="S55" s="45"/>
      <c r="T55" s="18"/>
      <c r="U55" s="18"/>
      <c r="V55" s="18"/>
      <c r="W55" s="18"/>
      <c r="X55" s="18"/>
      <c r="Y55" s="14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7"/>
      <c r="AO55" s="31"/>
      <c r="AQ55" s="10"/>
      <c r="AR55" s="27"/>
    </row>
    <row r="56" spans="1:46" s="2" customFormat="1" ht="17.25" customHeight="1" x14ac:dyDescent="0.25">
      <c r="A56" s="24"/>
      <c r="B56" s="201" t="s">
        <v>16</v>
      </c>
      <c r="C56" s="202"/>
      <c r="D56" s="63"/>
      <c r="E56" s="117">
        <v>-316.73</v>
      </c>
      <c r="F56" s="64"/>
      <c r="G56" s="64"/>
      <c r="H56" s="64"/>
      <c r="I56" s="64"/>
      <c r="J56" s="64"/>
      <c r="K56" s="16"/>
      <c r="L56" s="92"/>
      <c r="M56" s="64"/>
      <c r="N56" s="16"/>
      <c r="O56" s="92"/>
      <c r="P56" s="64"/>
      <c r="Q56" s="46"/>
      <c r="R56" s="40"/>
      <c r="S56" s="39"/>
      <c r="T56" s="16"/>
      <c r="U56" s="16"/>
      <c r="V56" s="16"/>
      <c r="W56" s="16"/>
      <c r="X56" s="16"/>
      <c r="Y56" s="19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22"/>
      <c r="AQ56" s="10"/>
      <c r="AR56" s="11"/>
    </row>
    <row r="57" spans="1:46" s="2" customFormat="1" ht="17.25" customHeight="1" x14ac:dyDescent="0.25">
      <c r="A57" s="24"/>
      <c r="B57" s="201" t="s">
        <v>17</v>
      </c>
      <c r="C57" s="202"/>
      <c r="D57" s="63"/>
      <c r="E57" s="117">
        <v>-654.5</v>
      </c>
      <c r="F57" s="74"/>
      <c r="G57" s="74"/>
      <c r="H57" s="64"/>
      <c r="I57" s="64"/>
      <c r="J57" s="64"/>
      <c r="K57" s="16"/>
      <c r="L57" s="92"/>
      <c r="M57" s="64"/>
      <c r="N57" s="16"/>
      <c r="O57" s="92"/>
      <c r="P57" s="64"/>
      <c r="Q57" s="46"/>
      <c r="R57" s="39"/>
      <c r="S57" s="40"/>
      <c r="T57" s="16"/>
      <c r="U57" s="16"/>
      <c r="V57" s="16"/>
      <c r="W57" s="16"/>
      <c r="X57" s="16"/>
      <c r="Y57" s="19"/>
      <c r="Z57" s="16"/>
      <c r="AA57" s="16"/>
      <c r="AB57" s="16"/>
      <c r="AC57" s="16"/>
      <c r="AD57" s="16"/>
      <c r="AE57" s="16"/>
      <c r="AF57" s="16"/>
      <c r="AG57" s="15"/>
      <c r="AH57" s="15"/>
      <c r="AI57" s="15"/>
      <c r="AJ57" s="15"/>
      <c r="AK57" s="15"/>
      <c r="AL57" s="15"/>
      <c r="AM57" s="15"/>
      <c r="AN57" s="16"/>
      <c r="AO57" s="22"/>
      <c r="AQ57" s="10"/>
      <c r="AR57" s="11"/>
    </row>
    <row r="58" spans="1:46" s="2" customFormat="1" ht="17.25" customHeight="1" x14ac:dyDescent="0.2">
      <c r="A58" s="24"/>
      <c r="B58" s="201" t="s">
        <v>64</v>
      </c>
      <c r="C58" s="203"/>
      <c r="D58" s="63">
        <v>7867.37</v>
      </c>
      <c r="E58" s="64"/>
      <c r="F58" s="64"/>
      <c r="G58" s="64"/>
      <c r="H58" s="64"/>
      <c r="I58" s="64">
        <f>-D58</f>
        <v>-7867.37</v>
      </c>
      <c r="J58" s="64"/>
      <c r="K58" s="16"/>
      <c r="L58" s="92"/>
      <c r="M58" s="64"/>
      <c r="N58" s="16"/>
      <c r="O58" s="92"/>
      <c r="P58" s="64"/>
      <c r="Q58" s="40"/>
      <c r="R58" s="40"/>
      <c r="S58" s="39"/>
      <c r="T58" s="16"/>
      <c r="U58" s="16"/>
      <c r="V58" s="16"/>
      <c r="W58" s="16"/>
      <c r="X58" s="16"/>
      <c r="Y58" s="19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41"/>
      <c r="AQ58" s="10"/>
      <c r="AR58" s="11"/>
    </row>
    <row r="59" spans="1:46" s="4" customFormat="1" ht="17.25" customHeight="1" x14ac:dyDescent="0.25">
      <c r="A59" s="23"/>
      <c r="B59" s="201" t="s">
        <v>96</v>
      </c>
      <c r="C59" s="202"/>
      <c r="D59" s="63"/>
      <c r="E59" s="64"/>
      <c r="F59" s="64"/>
      <c r="G59" s="64"/>
      <c r="H59" s="64"/>
      <c r="I59" s="117">
        <f>-I54-I58</f>
        <v>-191.42000000000007</v>
      </c>
      <c r="J59" s="64"/>
      <c r="K59" s="16"/>
      <c r="L59" s="92"/>
      <c r="M59" s="64"/>
      <c r="N59" s="16"/>
      <c r="O59" s="92"/>
      <c r="P59" s="64"/>
      <c r="Q59" s="40"/>
      <c r="R59" s="46"/>
      <c r="S59" s="39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22"/>
      <c r="AP59" s="30"/>
    </row>
    <row r="60" spans="1:46" s="2" customFormat="1" ht="17.25" customHeight="1" x14ac:dyDescent="0.25">
      <c r="A60" s="24"/>
      <c r="B60" s="207" t="s">
        <v>72</v>
      </c>
      <c r="C60" s="207"/>
      <c r="D60" s="117">
        <v>-7867</v>
      </c>
      <c r="E60" s="64"/>
      <c r="F60" s="117">
        <f>-D60</f>
        <v>7867</v>
      </c>
      <c r="G60" s="117"/>
      <c r="H60" s="64"/>
      <c r="I60" s="64"/>
      <c r="J60" s="64"/>
      <c r="K60" s="16"/>
      <c r="L60" s="92"/>
      <c r="M60" s="64"/>
      <c r="N60" s="16"/>
      <c r="O60" s="92"/>
      <c r="P60" s="64"/>
      <c r="Q60" s="40"/>
      <c r="R60" s="40"/>
      <c r="S60" s="86"/>
      <c r="T60" s="16"/>
      <c r="U60" s="16"/>
      <c r="V60" s="16"/>
      <c r="W60" s="16"/>
      <c r="X60" s="16"/>
      <c r="Y60" s="19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41"/>
      <c r="AQ60" s="10"/>
      <c r="AR60" s="11"/>
    </row>
    <row r="61" spans="1:46" s="2" customFormat="1" ht="17.25" customHeight="1" x14ac:dyDescent="0.25">
      <c r="A61" s="29"/>
      <c r="B61" s="211" t="s">
        <v>104</v>
      </c>
      <c r="C61" s="206"/>
      <c r="D61" s="63"/>
      <c r="E61" s="66"/>
      <c r="F61" s="64">
        <v>-11265.54</v>
      </c>
      <c r="G61" s="64"/>
      <c r="H61" s="66"/>
      <c r="I61" s="66"/>
      <c r="J61" s="66"/>
      <c r="K61" s="58"/>
      <c r="L61" s="89"/>
      <c r="M61" s="73">
        <f>K61*L61</f>
        <v>0</v>
      </c>
      <c r="N61" s="58"/>
      <c r="O61" s="89"/>
      <c r="P61" s="73">
        <f>N61*O61</f>
        <v>0</v>
      </c>
      <c r="Q61" s="47"/>
      <c r="R61" s="39"/>
      <c r="S61" s="39"/>
      <c r="T61" s="16"/>
      <c r="U61" s="20">
        <f>-F61</f>
        <v>11265.54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22"/>
      <c r="AQ61" s="10" t="s">
        <v>4</v>
      </c>
      <c r="AR61" s="11" t="e">
        <v>#REF!</v>
      </c>
    </row>
    <row r="62" spans="1:46" s="2" customFormat="1" ht="17.25" customHeight="1" x14ac:dyDescent="0.25">
      <c r="A62" s="29"/>
      <c r="B62" s="211" t="s">
        <v>105</v>
      </c>
      <c r="C62" s="206"/>
      <c r="D62" s="63"/>
      <c r="E62" s="66"/>
      <c r="F62" s="64">
        <v>-11265.54</v>
      </c>
      <c r="G62" s="64"/>
      <c r="H62" s="66"/>
      <c r="I62" s="66"/>
      <c r="J62" s="66"/>
      <c r="K62" s="58"/>
      <c r="L62" s="89"/>
      <c r="M62" s="73">
        <f>K62*L62</f>
        <v>0</v>
      </c>
      <c r="N62" s="58"/>
      <c r="O62" s="89"/>
      <c r="P62" s="73">
        <f>N62*O62</f>
        <v>0</v>
      </c>
      <c r="Q62" s="47"/>
      <c r="R62" s="39"/>
      <c r="S62" s="39"/>
      <c r="T62" s="16"/>
      <c r="U62" s="20">
        <f>-F62</f>
        <v>11265.54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22"/>
      <c r="AQ62" s="10" t="s">
        <v>4</v>
      </c>
      <c r="AR62" s="11" t="e">
        <v>#REF!</v>
      </c>
    </row>
    <row r="63" spans="1:46" s="2" customFormat="1" ht="17.25" customHeight="1" x14ac:dyDescent="0.25">
      <c r="A63" s="24"/>
      <c r="B63" s="205" t="s">
        <v>399</v>
      </c>
      <c r="C63" s="206"/>
      <c r="D63" s="64"/>
      <c r="E63" s="64"/>
      <c r="F63" s="64"/>
      <c r="G63" s="64"/>
      <c r="H63" s="64"/>
      <c r="I63" s="64"/>
      <c r="J63" s="64"/>
      <c r="K63" s="57">
        <v>5000</v>
      </c>
      <c r="L63" s="88">
        <v>5</v>
      </c>
      <c r="M63" s="62">
        <f>K63*L63</f>
        <v>25000</v>
      </c>
      <c r="N63" s="57"/>
      <c r="O63" s="88"/>
      <c r="P63" s="62">
        <f>N63*O63</f>
        <v>0</v>
      </c>
      <c r="Q63" s="39">
        <f>-M63</f>
        <v>-25000</v>
      </c>
      <c r="R63" s="39"/>
      <c r="S63" s="39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22"/>
      <c r="AQ63" s="10"/>
      <c r="AR63" s="11"/>
    </row>
    <row r="64" spans="1:46" s="4" customFormat="1" ht="17.25" customHeight="1" x14ac:dyDescent="0.2">
      <c r="A64" s="23"/>
      <c r="B64" s="201"/>
      <c r="C64" s="202"/>
      <c r="D64" s="63"/>
      <c r="E64" s="64"/>
      <c r="F64" s="64"/>
      <c r="G64" s="64"/>
      <c r="H64" s="64"/>
      <c r="I64" s="64"/>
      <c r="J64" s="64"/>
      <c r="K64" s="16"/>
      <c r="L64" s="92"/>
      <c r="M64" s="64"/>
      <c r="N64" s="16"/>
      <c r="O64" s="92"/>
      <c r="P64" s="64"/>
      <c r="Q64" s="46"/>
      <c r="R64" s="46"/>
      <c r="S64" s="39"/>
      <c r="T64" s="16"/>
      <c r="U64" s="16"/>
      <c r="V64" s="16"/>
      <c r="W64" s="16"/>
      <c r="X64" s="16"/>
      <c r="Y64" s="19"/>
      <c r="Z64" s="16"/>
      <c r="AA64" s="16"/>
      <c r="AB64" s="16"/>
      <c r="AC64" s="16"/>
      <c r="AD64" s="16"/>
      <c r="AE64" s="16"/>
      <c r="AF64" s="16"/>
      <c r="AG64" s="16"/>
      <c r="AH64" s="16"/>
      <c r="AI64" s="44"/>
      <c r="AJ64" s="16"/>
      <c r="AK64" s="16"/>
      <c r="AL64" s="16"/>
      <c r="AM64" s="16"/>
      <c r="AN64" s="16"/>
      <c r="AO64" s="44"/>
    </row>
    <row r="65" spans="1:46" s="4" customFormat="1" ht="17.25" customHeight="1" thickBot="1" x14ac:dyDescent="0.25">
      <c r="A65" s="23"/>
      <c r="B65" s="216"/>
      <c r="C65" s="242"/>
      <c r="D65" s="83"/>
      <c r="E65" s="81"/>
      <c r="F65" s="81"/>
      <c r="G65" s="81"/>
      <c r="H65" s="81"/>
      <c r="I65" s="81"/>
      <c r="J65" s="81"/>
      <c r="K65" s="37"/>
      <c r="L65" s="93"/>
      <c r="M65" s="81"/>
      <c r="N65" s="37"/>
      <c r="O65" s="93"/>
      <c r="P65" s="81"/>
      <c r="Q65" s="46"/>
      <c r="R65" s="46"/>
      <c r="S65" s="39"/>
      <c r="T65" s="16"/>
      <c r="U65" s="16"/>
      <c r="V65" s="16"/>
      <c r="W65" s="16"/>
      <c r="X65" s="16"/>
      <c r="Y65" s="19"/>
      <c r="Z65" s="16"/>
      <c r="AA65" s="16"/>
      <c r="AB65" s="16"/>
      <c r="AC65" s="16"/>
      <c r="AD65" s="16"/>
      <c r="AE65" s="16"/>
      <c r="AF65" s="16"/>
      <c r="AG65" s="16"/>
      <c r="AH65" s="16"/>
      <c r="AI65" s="44"/>
      <c r="AJ65" s="16"/>
      <c r="AK65" s="16"/>
      <c r="AL65" s="16"/>
      <c r="AM65" s="16"/>
      <c r="AN65" s="16"/>
      <c r="AO65" s="44"/>
    </row>
    <row r="66" spans="1:46" s="4" customFormat="1" ht="17.25" customHeight="1" x14ac:dyDescent="0.25">
      <c r="A66" s="23"/>
      <c r="B66" s="210" t="s">
        <v>94</v>
      </c>
      <c r="C66" s="203"/>
      <c r="D66" s="66"/>
      <c r="E66" s="66"/>
      <c r="F66" s="117"/>
      <c r="G66" s="117"/>
      <c r="H66" s="66"/>
      <c r="I66" s="66"/>
      <c r="J66" s="66">
        <f>-M66</f>
        <v>7067.1600000000008</v>
      </c>
      <c r="K66" s="58">
        <v>-1206</v>
      </c>
      <c r="L66" s="89">
        <v>5.86</v>
      </c>
      <c r="M66" s="73">
        <f>K66*L66</f>
        <v>-7067.1600000000008</v>
      </c>
      <c r="N66" s="58"/>
      <c r="O66" s="89"/>
      <c r="P66" s="73"/>
      <c r="Q66" s="39"/>
      <c r="R66" s="39"/>
      <c r="S66" s="8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35"/>
      <c r="AP66" s="12" t="e">
        <f>#REF!</f>
        <v>#REF!</v>
      </c>
    </row>
    <row r="67" spans="1:46" s="4" customFormat="1" ht="17.25" customHeight="1" x14ac:dyDescent="0.25">
      <c r="A67" s="23"/>
      <c r="B67" s="201" t="s">
        <v>95</v>
      </c>
      <c r="C67" s="202"/>
      <c r="D67" s="64"/>
      <c r="E67" s="64"/>
      <c r="F67" s="117"/>
      <c r="G67" s="117"/>
      <c r="H67" s="64"/>
      <c r="I67" s="64"/>
      <c r="J67" s="64">
        <f>-P67</f>
        <v>7148.7199999999993</v>
      </c>
      <c r="K67" s="57"/>
      <c r="L67" s="88"/>
      <c r="M67" s="62"/>
      <c r="N67" s="57">
        <v>-1852</v>
      </c>
      <c r="O67" s="88">
        <v>3.86</v>
      </c>
      <c r="P67" s="62">
        <f>N67*O67</f>
        <v>-7148.7199999999993</v>
      </c>
      <c r="Q67" s="39"/>
      <c r="R67" s="39"/>
      <c r="S67" s="8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35"/>
      <c r="AP67" s="12" t="e">
        <f>#REF!</f>
        <v>#REF!</v>
      </c>
    </row>
    <row r="68" spans="1:46" s="4" customFormat="1" ht="17.25" customHeight="1" x14ac:dyDescent="0.25">
      <c r="A68" s="23"/>
      <c r="B68" s="201" t="s">
        <v>97</v>
      </c>
      <c r="C68" s="203"/>
      <c r="D68" s="64"/>
      <c r="E68" s="64"/>
      <c r="F68" s="64"/>
      <c r="G68" s="64"/>
      <c r="H68" s="64">
        <f>-J68-I68</f>
        <v>5258.85</v>
      </c>
      <c r="I68" s="64">
        <v>8957.0300000000007</v>
      </c>
      <c r="J68" s="64">
        <f>-SUM(J66:J67)</f>
        <v>-14215.880000000001</v>
      </c>
      <c r="K68" s="57"/>
      <c r="L68" s="88"/>
      <c r="M68" s="62"/>
      <c r="N68" s="57"/>
      <c r="O68" s="88"/>
      <c r="P68" s="62"/>
      <c r="Q68" s="39"/>
      <c r="R68" s="39"/>
      <c r="S68" s="39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22"/>
      <c r="AO68" s="43"/>
      <c r="AP68" s="12" t="e">
        <f>#REF!</f>
        <v>#REF!</v>
      </c>
      <c r="AT68" s="2"/>
    </row>
    <row r="69" spans="1:46" s="4" customFormat="1" ht="17.25" customHeight="1" x14ac:dyDescent="0.25">
      <c r="A69" s="23"/>
      <c r="B69" s="201" t="s">
        <v>93</v>
      </c>
      <c r="C69" s="202"/>
      <c r="D69" s="64"/>
      <c r="E69" s="64"/>
      <c r="F69" s="64"/>
      <c r="G69" s="64"/>
      <c r="H69" s="64"/>
      <c r="I69" s="64"/>
      <c r="J69" s="64"/>
      <c r="K69" s="57">
        <v>-21</v>
      </c>
      <c r="L69" s="88"/>
      <c r="M69" s="118">
        <f>(K72*4.9307954)-M54-M66-M63</f>
        <v>1017.0729935999952</v>
      </c>
      <c r="N69" s="57">
        <v>-20</v>
      </c>
      <c r="O69" s="88"/>
      <c r="P69" s="118">
        <f>(N72*O54)-P54-P67</f>
        <v>314.72774970721184</v>
      </c>
      <c r="Q69" s="39"/>
      <c r="R69" s="39"/>
      <c r="S69" s="39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22"/>
      <c r="AO69" s="43">
        <f>A43</f>
        <v>0</v>
      </c>
      <c r="AP69" s="12" t="e">
        <f>#REF!</f>
        <v>#REF!</v>
      </c>
      <c r="AT69" s="2"/>
    </row>
    <row r="70" spans="1:46" s="2" customFormat="1" ht="17.25" customHeight="1" x14ac:dyDescent="0.2">
      <c r="A70" s="24"/>
      <c r="B70" s="201"/>
      <c r="C70" s="204"/>
      <c r="D70" s="63"/>
      <c r="E70" s="64"/>
      <c r="F70" s="64"/>
      <c r="G70" s="64"/>
      <c r="H70" s="64"/>
      <c r="I70" s="64"/>
      <c r="J70" s="64"/>
      <c r="K70" s="16"/>
      <c r="L70" s="92"/>
      <c r="M70" s="64"/>
      <c r="N70" s="16"/>
      <c r="O70" s="92"/>
      <c r="P70" s="64"/>
      <c r="Q70" s="46"/>
      <c r="R70" s="46"/>
      <c r="S70" s="39"/>
      <c r="T70" s="16"/>
      <c r="U70" s="16"/>
      <c r="V70" s="16"/>
      <c r="W70" s="16"/>
      <c r="X70" s="16"/>
      <c r="Y70" s="19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43">
        <f>A55</f>
        <v>45908</v>
      </c>
      <c r="AQ70" s="10"/>
      <c r="AR70" s="11"/>
    </row>
    <row r="71" spans="1:46" s="2" customFormat="1" ht="17.25" customHeight="1" thickBot="1" x14ac:dyDescent="0.3">
      <c r="A71" s="56"/>
      <c r="B71" s="101" t="s">
        <v>102</v>
      </c>
      <c r="C71" s="102">
        <f>D72+E72+F72+G72+H72+I72+J72+M72+P72</f>
        <v>98922.72</v>
      </c>
      <c r="D71" s="84"/>
      <c r="E71" s="85"/>
      <c r="F71" s="85"/>
      <c r="G71" s="85"/>
      <c r="H71" s="85"/>
      <c r="I71" s="85"/>
      <c r="J71" s="85"/>
      <c r="K71" s="28"/>
      <c r="L71" s="112"/>
      <c r="M71" s="85"/>
      <c r="N71" s="28"/>
      <c r="O71" s="112"/>
      <c r="P71" s="85"/>
      <c r="Q71" s="48"/>
      <c r="R71" s="48"/>
      <c r="S71" s="51"/>
      <c r="T71" s="28"/>
      <c r="U71" s="28"/>
      <c r="V71" s="28"/>
      <c r="W71" s="28"/>
      <c r="X71" s="28"/>
      <c r="Y71" s="36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42">
        <f>SUM($Q54:AN71)</f>
        <v>-395842.37000000005</v>
      </c>
      <c r="AQ71" s="10"/>
      <c r="AR71" s="11"/>
      <c r="AS71" s="2" t="s">
        <v>5</v>
      </c>
    </row>
    <row r="72" spans="1:46" s="2" customFormat="1" ht="17.25" customHeight="1" thickTop="1" thickBot="1" x14ac:dyDescent="0.3">
      <c r="A72" s="103"/>
      <c r="B72" s="104" t="s">
        <v>103</v>
      </c>
      <c r="C72" s="105">
        <f>AO72</f>
        <v>-296919.65000000002</v>
      </c>
      <c r="D72" s="106">
        <f t="shared" ref="D72:K72" si="7">SUM(D54:D71)</f>
        <v>0.41000000000076398</v>
      </c>
      <c r="E72" s="107">
        <f t="shared" si="7"/>
        <v>-36080.740000000005</v>
      </c>
      <c r="F72" s="107">
        <f t="shared" si="7"/>
        <v>2090.1099999999969</v>
      </c>
      <c r="G72" s="107">
        <f t="shared" si="7"/>
        <v>-400</v>
      </c>
      <c r="H72" s="107">
        <f t="shared" si="7"/>
        <v>7625.840000000002</v>
      </c>
      <c r="I72" s="107">
        <f t="shared" si="7"/>
        <v>8957.0300000000007</v>
      </c>
      <c r="J72" s="107">
        <f t="shared" si="7"/>
        <v>0</v>
      </c>
      <c r="K72" s="108">
        <f t="shared" si="7"/>
        <v>11784</v>
      </c>
      <c r="L72" s="109">
        <f>M72/K72</f>
        <v>4.9307951459606247</v>
      </c>
      <c r="M72" s="107">
        <f>ROUND(SUM(M54:M71),2)</f>
        <v>58104.49</v>
      </c>
      <c r="N72" s="108">
        <f>SUM(N54:N71)</f>
        <v>16059</v>
      </c>
      <c r="O72" s="109">
        <f>P72/N72</f>
        <v>3.6506370259667476</v>
      </c>
      <c r="P72" s="107">
        <f>ROUND(SUM(P54:P71),2)</f>
        <v>58625.58</v>
      </c>
      <c r="Q72" s="110">
        <f t="shared" ref="Q72:AN72" si="8">SUM(Q54:Q71)</f>
        <v>-73200</v>
      </c>
      <c r="R72" s="107">
        <f t="shared" si="8"/>
        <v>6000</v>
      </c>
      <c r="S72" s="107">
        <f t="shared" si="8"/>
        <v>0</v>
      </c>
      <c r="T72" s="107">
        <f t="shared" si="8"/>
        <v>-16073.45</v>
      </c>
      <c r="U72" s="107">
        <f t="shared" si="8"/>
        <v>-239168.92</v>
      </c>
      <c r="V72" s="107">
        <f t="shared" si="8"/>
        <v>-73400</v>
      </c>
      <c r="W72" s="107">
        <f t="shared" si="8"/>
        <v>0</v>
      </c>
      <c r="X72" s="107">
        <f t="shared" si="8"/>
        <v>0</v>
      </c>
      <c r="Y72" s="107">
        <f t="shared" si="8"/>
        <v>0</v>
      </c>
      <c r="Z72" s="107">
        <f t="shared" si="8"/>
        <v>0</v>
      </c>
      <c r="AA72" s="107">
        <f t="shared" si="8"/>
        <v>0</v>
      </c>
      <c r="AB72" s="107">
        <f t="shared" si="8"/>
        <v>0</v>
      </c>
      <c r="AC72" s="107">
        <f t="shared" si="8"/>
        <v>0</v>
      </c>
      <c r="AD72" s="107">
        <f t="shared" si="8"/>
        <v>0</v>
      </c>
      <c r="AE72" s="107">
        <f t="shared" si="8"/>
        <v>0</v>
      </c>
      <c r="AF72" s="107">
        <f t="shared" si="8"/>
        <v>0</v>
      </c>
      <c r="AG72" s="107">
        <f t="shared" si="8"/>
        <v>0</v>
      </c>
      <c r="AH72" s="107">
        <f t="shared" si="8"/>
        <v>0</v>
      </c>
      <c r="AI72" s="107">
        <f t="shared" si="8"/>
        <v>0</v>
      </c>
      <c r="AJ72" s="107">
        <f t="shared" si="8"/>
        <v>0</v>
      </c>
      <c r="AK72" s="107">
        <f t="shared" si="8"/>
        <v>0</v>
      </c>
      <c r="AL72" s="107">
        <f t="shared" si="8"/>
        <v>0</v>
      </c>
      <c r="AM72" s="107">
        <f t="shared" si="8"/>
        <v>0</v>
      </c>
      <c r="AN72" s="107">
        <f t="shared" si="8"/>
        <v>0</v>
      </c>
      <c r="AO72" s="111">
        <f>D72+E72+F72+G72+H72+I72+J72+M72+P72+SUM(Q72:AN72)</f>
        <v>-296919.65000000002</v>
      </c>
      <c r="AP72" s="4"/>
      <c r="AQ72" s="5"/>
      <c r="AR72" s="5"/>
      <c r="AS72" s="2" t="s">
        <v>6</v>
      </c>
    </row>
    <row r="73" spans="1:46" s="2" customFormat="1" ht="17.25" customHeight="1" thickTop="1" x14ac:dyDescent="0.25">
      <c r="A73" s="23">
        <f>A55+1</f>
        <v>45909</v>
      </c>
      <c r="B73" s="210" t="s">
        <v>13</v>
      </c>
      <c r="C73" s="203"/>
      <c r="D73" s="63"/>
      <c r="E73" s="66">
        <f>36080.74-35145.74+180</f>
        <v>1115</v>
      </c>
      <c r="F73" s="66"/>
      <c r="G73" s="66"/>
      <c r="H73" s="66">
        <f>-E73</f>
        <v>-1115</v>
      </c>
      <c r="I73" s="66"/>
      <c r="J73" s="66"/>
      <c r="K73" s="18"/>
      <c r="L73" s="91"/>
      <c r="M73" s="66"/>
      <c r="N73" s="18"/>
      <c r="O73" s="91"/>
      <c r="P73" s="66"/>
      <c r="Q73" s="46"/>
      <c r="R73" s="46"/>
      <c r="S73" s="45"/>
      <c r="T73" s="18"/>
      <c r="U73" s="18"/>
      <c r="V73" s="18"/>
      <c r="W73" s="18"/>
      <c r="X73" s="18"/>
      <c r="Y73" s="14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7"/>
      <c r="AO73" s="31"/>
      <c r="AQ73" s="10"/>
      <c r="AR73" s="27"/>
    </row>
    <row r="74" spans="1:46" s="2" customFormat="1" ht="17.25" customHeight="1" x14ac:dyDescent="0.25">
      <c r="A74" s="24"/>
      <c r="B74" s="201" t="s">
        <v>18</v>
      </c>
      <c r="C74" s="204"/>
      <c r="D74" s="63"/>
      <c r="E74" s="64">
        <v>-180</v>
      </c>
      <c r="F74" s="64"/>
      <c r="G74" s="64"/>
      <c r="H74" s="64"/>
      <c r="I74" s="64"/>
      <c r="J74" s="64"/>
      <c r="K74" s="16"/>
      <c r="L74" s="92"/>
      <c r="M74" s="64"/>
      <c r="N74" s="16"/>
      <c r="O74" s="92"/>
      <c r="P74" s="64"/>
      <c r="Q74" s="46"/>
      <c r="R74" s="40"/>
      <c r="S74" s="39"/>
      <c r="T74" s="16"/>
      <c r="U74" s="16"/>
      <c r="V74" s="16"/>
      <c r="W74" s="16"/>
      <c r="X74" s="16"/>
      <c r="Y74" s="19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22"/>
      <c r="AQ74" s="10"/>
      <c r="AR74" s="11"/>
    </row>
    <row r="75" spans="1:46" s="2" customFormat="1" ht="17.25" customHeight="1" x14ac:dyDescent="0.25">
      <c r="A75" s="24"/>
      <c r="B75" s="201" t="s">
        <v>64</v>
      </c>
      <c r="C75" s="203"/>
      <c r="D75" s="63">
        <v>8713.82</v>
      </c>
      <c r="E75" s="64"/>
      <c r="F75" s="74"/>
      <c r="G75" s="74"/>
      <c r="H75" s="64"/>
      <c r="I75" s="64">
        <f>-D75</f>
        <v>-8713.82</v>
      </c>
      <c r="J75" s="64"/>
      <c r="K75" s="16"/>
      <c r="L75" s="92"/>
      <c r="M75" s="64"/>
      <c r="N75" s="16"/>
      <c r="O75" s="92"/>
      <c r="P75" s="64"/>
      <c r="Q75" s="46"/>
      <c r="R75" s="39"/>
      <c r="S75" s="40"/>
      <c r="T75" s="16"/>
      <c r="U75" s="16"/>
      <c r="V75" s="16"/>
      <c r="W75" s="16"/>
      <c r="X75" s="16"/>
      <c r="Y75" s="19"/>
      <c r="Z75" s="16"/>
      <c r="AA75" s="16"/>
      <c r="AB75" s="16"/>
      <c r="AC75" s="16"/>
      <c r="AD75" s="16"/>
      <c r="AE75" s="16"/>
      <c r="AF75" s="16"/>
      <c r="AG75" s="15"/>
      <c r="AH75" s="15"/>
      <c r="AI75" s="15"/>
      <c r="AJ75" s="15"/>
      <c r="AK75" s="15"/>
      <c r="AL75" s="15"/>
      <c r="AM75" s="15"/>
      <c r="AN75" s="16"/>
      <c r="AO75" s="22"/>
      <c r="AQ75" s="10"/>
      <c r="AR75" s="11"/>
    </row>
    <row r="76" spans="1:46" s="4" customFormat="1" ht="17.25" customHeight="1" x14ac:dyDescent="0.25">
      <c r="A76" s="23"/>
      <c r="B76" s="201" t="s">
        <v>96</v>
      </c>
      <c r="C76" s="202"/>
      <c r="D76" s="63"/>
      <c r="E76" s="64"/>
      <c r="F76" s="64"/>
      <c r="G76" s="64"/>
      <c r="H76" s="64"/>
      <c r="I76" s="117">
        <f>-I75-I72</f>
        <v>-243.21000000000095</v>
      </c>
      <c r="J76" s="64"/>
      <c r="K76" s="16"/>
      <c r="L76" s="92"/>
      <c r="M76" s="64"/>
      <c r="N76" s="16"/>
      <c r="O76" s="92"/>
      <c r="P76" s="64"/>
      <c r="Q76" s="40"/>
      <c r="R76" s="46"/>
      <c r="S76" s="39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22"/>
      <c r="AP76" s="30"/>
    </row>
    <row r="77" spans="1:46" s="2" customFormat="1" ht="17.25" customHeight="1" x14ac:dyDescent="0.25">
      <c r="A77" s="24"/>
      <c r="B77" s="201" t="s">
        <v>72</v>
      </c>
      <c r="C77" s="203"/>
      <c r="D77" s="119">
        <v>-8714</v>
      </c>
      <c r="E77" s="64"/>
      <c r="F77" s="64">
        <f>-D77</f>
        <v>8714</v>
      </c>
      <c r="G77" s="64">
        <f>-E77</f>
        <v>0</v>
      </c>
      <c r="H77" s="64"/>
      <c r="I77" s="64"/>
      <c r="J77" s="64"/>
      <c r="K77" s="16"/>
      <c r="L77" s="92"/>
      <c r="M77" s="64"/>
      <c r="N77" s="16"/>
      <c r="O77" s="92"/>
      <c r="P77" s="64"/>
      <c r="Q77" s="40"/>
      <c r="R77" s="40"/>
      <c r="S77" s="39"/>
      <c r="T77" s="16"/>
      <c r="U77" s="16"/>
      <c r="V77" s="16"/>
      <c r="W77" s="16"/>
      <c r="X77" s="16"/>
      <c r="Y77" s="19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41"/>
      <c r="AQ77" s="10"/>
      <c r="AR77" s="11"/>
    </row>
    <row r="78" spans="1:46" s="2" customFormat="1" ht="17.25" customHeight="1" x14ac:dyDescent="0.25">
      <c r="A78" s="24"/>
      <c r="B78" s="201" t="s">
        <v>70</v>
      </c>
      <c r="C78" s="203"/>
      <c r="D78" s="119"/>
      <c r="E78" s="64"/>
      <c r="F78" s="64">
        <v>-99.76</v>
      </c>
      <c r="G78" s="64">
        <f>-E78</f>
        <v>0</v>
      </c>
      <c r="H78" s="64"/>
      <c r="I78" s="64"/>
      <c r="J78" s="64"/>
      <c r="K78" s="16"/>
      <c r="L78" s="92"/>
      <c r="M78" s="64"/>
      <c r="N78" s="16"/>
      <c r="O78" s="92"/>
      <c r="P78" s="64"/>
      <c r="Q78" s="40"/>
      <c r="R78" s="40"/>
      <c r="S78" s="39"/>
      <c r="T78" s="16"/>
      <c r="U78" s="16"/>
      <c r="V78" s="16"/>
      <c r="W78" s="16"/>
      <c r="X78" s="16"/>
      <c r="Y78" s="19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41"/>
      <c r="AQ78" s="10"/>
      <c r="AR78" s="11"/>
    </row>
    <row r="79" spans="1:46" s="2" customFormat="1" ht="17.25" customHeight="1" x14ac:dyDescent="0.25">
      <c r="A79" s="24"/>
      <c r="B79" s="201" t="s">
        <v>113</v>
      </c>
      <c r="C79" s="203"/>
      <c r="D79" s="119"/>
      <c r="E79" s="64"/>
      <c r="F79" s="64">
        <v>-300</v>
      </c>
      <c r="G79" s="64">
        <f>-F79</f>
        <v>300</v>
      </c>
      <c r="H79" s="64"/>
      <c r="I79" s="64"/>
      <c r="J79" s="64"/>
      <c r="K79" s="16"/>
      <c r="L79" s="92"/>
      <c r="M79" s="64"/>
      <c r="N79" s="16"/>
      <c r="O79" s="92"/>
      <c r="P79" s="64"/>
      <c r="Q79" s="40"/>
      <c r="R79" s="40"/>
      <c r="S79" s="39"/>
      <c r="T79" s="16"/>
      <c r="U79" s="16"/>
      <c r="V79" s="16"/>
      <c r="W79" s="16"/>
      <c r="X79" s="16"/>
      <c r="Y79" s="19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41"/>
      <c r="AQ79" s="10"/>
      <c r="AR79" s="11"/>
    </row>
    <row r="80" spans="1:46" s="2" customFormat="1" ht="17.25" customHeight="1" thickBot="1" x14ac:dyDescent="0.25">
      <c r="A80" s="24"/>
      <c r="B80" s="216"/>
      <c r="C80" s="217"/>
      <c r="D80" s="83"/>
      <c r="E80" s="81"/>
      <c r="F80" s="81"/>
      <c r="G80" s="81"/>
      <c r="H80" s="81"/>
      <c r="I80" s="81"/>
      <c r="J80" s="81"/>
      <c r="K80" s="37"/>
      <c r="L80" s="93"/>
      <c r="M80" s="81"/>
      <c r="N80" s="37"/>
      <c r="O80" s="93"/>
      <c r="P80" s="81"/>
      <c r="Q80" s="40"/>
      <c r="R80" s="40"/>
      <c r="S80" s="39"/>
      <c r="T80" s="16"/>
      <c r="U80" s="16"/>
      <c r="V80" s="16"/>
      <c r="W80" s="16"/>
      <c r="X80" s="16"/>
      <c r="Y80" s="19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41"/>
      <c r="AQ80" s="10"/>
      <c r="AR80" s="11"/>
    </row>
    <row r="81" spans="1:46" s="4" customFormat="1" ht="17.25" customHeight="1" x14ac:dyDescent="0.25">
      <c r="A81" s="23"/>
      <c r="B81" s="210" t="s">
        <v>94</v>
      </c>
      <c r="C81" s="203"/>
      <c r="D81" s="66"/>
      <c r="E81" s="66"/>
      <c r="F81" s="117"/>
      <c r="G81" s="117"/>
      <c r="H81" s="66"/>
      <c r="I81" s="66"/>
      <c r="J81" s="66">
        <f>-M81</f>
        <v>5432.22</v>
      </c>
      <c r="K81" s="58">
        <v>-927</v>
      </c>
      <c r="L81" s="89">
        <v>5.86</v>
      </c>
      <c r="M81" s="73">
        <f>K81*L81</f>
        <v>-5432.22</v>
      </c>
      <c r="N81" s="58"/>
      <c r="O81" s="89"/>
      <c r="P81" s="73"/>
      <c r="Q81" s="39"/>
      <c r="R81" s="39"/>
      <c r="S81" s="8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35"/>
      <c r="AP81" s="12" t="e">
        <f>#REF!</f>
        <v>#REF!</v>
      </c>
    </row>
    <row r="82" spans="1:46" s="4" customFormat="1" ht="17.25" customHeight="1" x14ac:dyDescent="0.25">
      <c r="A82" s="23"/>
      <c r="B82" s="201" t="s">
        <v>95</v>
      </c>
      <c r="C82" s="202"/>
      <c r="D82" s="64"/>
      <c r="E82" s="64"/>
      <c r="F82" s="117"/>
      <c r="G82" s="117"/>
      <c r="H82" s="64"/>
      <c r="I82" s="64"/>
      <c r="J82" s="64">
        <f>-P82</f>
        <v>7349.44</v>
      </c>
      <c r="K82" s="57"/>
      <c r="L82" s="88"/>
      <c r="M82" s="62"/>
      <c r="N82" s="57">
        <v>-1904</v>
      </c>
      <c r="O82" s="88">
        <v>3.86</v>
      </c>
      <c r="P82" s="62">
        <f>N82*O82</f>
        <v>-7349.44</v>
      </c>
      <c r="Q82" s="39"/>
      <c r="R82" s="39"/>
      <c r="S82" s="8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35"/>
      <c r="AP82" s="12" t="e">
        <f>#REF!</f>
        <v>#REF!</v>
      </c>
    </row>
    <row r="83" spans="1:46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>
        <f>-J83-I83</f>
        <v>4807.68</v>
      </c>
      <c r="I83" s="64">
        <v>7973.98</v>
      </c>
      <c r="J83" s="64">
        <f>-SUM(J81:J82)</f>
        <v>-12781.66</v>
      </c>
      <c r="K83" s="57"/>
      <c r="L83" s="88"/>
      <c r="M83" s="62"/>
      <c r="N83" s="57"/>
      <c r="O83" s="88"/>
      <c r="P83" s="62"/>
      <c r="Q83" s="39"/>
      <c r="R83" s="39"/>
      <c r="S83" s="39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22"/>
      <c r="AO83" s="43">
        <f>A57</f>
        <v>0</v>
      </c>
      <c r="AP83" s="12" t="e">
        <f>#REF!</f>
        <v>#REF!</v>
      </c>
      <c r="AT83" s="2"/>
    </row>
    <row r="84" spans="1:46" s="4" customFormat="1" ht="17.25" customHeight="1" x14ac:dyDescent="0.25">
      <c r="A84" s="23"/>
      <c r="B84" s="201" t="s">
        <v>93</v>
      </c>
      <c r="C84" s="202"/>
      <c r="D84" s="64"/>
      <c r="E84" s="64"/>
      <c r="F84" s="64"/>
      <c r="G84" s="64"/>
      <c r="H84" s="64"/>
      <c r="I84" s="64"/>
      <c r="J84" s="64"/>
      <c r="K84" s="57">
        <v>3</v>
      </c>
      <c r="L84" s="88"/>
      <c r="M84" s="118">
        <f>(K87*L72)-M72-M81</f>
        <v>876.16528513238791</v>
      </c>
      <c r="N84" s="57">
        <v>-128</v>
      </c>
      <c r="O84" s="88"/>
      <c r="P84" s="118">
        <f>(N87*O72)-P72-P82</f>
        <v>-68.65443676443374</v>
      </c>
      <c r="Q84" s="39"/>
      <c r="R84" s="39"/>
      <c r="S84" s="39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22"/>
      <c r="AO84" s="43">
        <f>A56</f>
        <v>0</v>
      </c>
      <c r="AP84" s="12" t="e">
        <f>#REF!</f>
        <v>#REF!</v>
      </c>
      <c r="AT84" s="2"/>
    </row>
    <row r="85" spans="1:46" s="2" customFormat="1" ht="17.25" customHeight="1" x14ac:dyDescent="0.2">
      <c r="A85" s="24"/>
      <c r="B85" s="201"/>
      <c r="C85" s="204"/>
      <c r="D85" s="63"/>
      <c r="E85" s="64"/>
      <c r="F85" s="64"/>
      <c r="G85" s="64"/>
      <c r="H85" s="64"/>
      <c r="I85" s="64"/>
      <c r="J85" s="64"/>
      <c r="K85" s="16"/>
      <c r="L85" s="92"/>
      <c r="M85" s="64"/>
      <c r="N85" s="16"/>
      <c r="O85" s="92"/>
      <c r="P85" s="64"/>
      <c r="Q85" s="46"/>
      <c r="R85" s="46"/>
      <c r="S85" s="39"/>
      <c r="T85" s="16"/>
      <c r="U85" s="16"/>
      <c r="V85" s="16"/>
      <c r="W85" s="16"/>
      <c r="X85" s="16"/>
      <c r="Y85" s="19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43">
        <f>A73</f>
        <v>45909</v>
      </c>
      <c r="AQ85" s="10"/>
      <c r="AR85" s="11"/>
    </row>
    <row r="86" spans="1:46" s="2" customFormat="1" ht="17.25" customHeight="1" thickBot="1" x14ac:dyDescent="0.3">
      <c r="A86" s="56"/>
      <c r="B86" s="101" t="s">
        <v>102</v>
      </c>
      <c r="C86" s="102">
        <f>D87+E87+F87+G87+H87+I87+J87+M87+P87</f>
        <v>99207.26999999999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48"/>
      <c r="R86" s="48"/>
      <c r="S86" s="51"/>
      <c r="T86" s="28"/>
      <c r="U86" s="28"/>
      <c r="V86" s="28"/>
      <c r="W86" s="28"/>
      <c r="X86" s="28"/>
      <c r="Y86" s="36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42">
        <f>SUM($Q72:AN86)</f>
        <v>-395842.37</v>
      </c>
      <c r="AQ86" s="10"/>
      <c r="AR86" s="11"/>
      <c r="AS86" s="2" t="s">
        <v>5</v>
      </c>
    </row>
    <row r="87" spans="1:46" s="2" customFormat="1" ht="17.25" customHeight="1" thickTop="1" thickBot="1" x14ac:dyDescent="0.3">
      <c r="A87" s="103"/>
      <c r="B87" s="104" t="s">
        <v>103</v>
      </c>
      <c r="C87" s="105">
        <f>AO87</f>
        <v>-296635.09999999998</v>
      </c>
      <c r="D87" s="116">
        <f t="shared" ref="D87:K87" si="9">SUM(D72:D86)</f>
        <v>0.22999999999956344</v>
      </c>
      <c r="E87" s="107">
        <f t="shared" si="9"/>
        <v>-35145.740000000005</v>
      </c>
      <c r="F87" s="107">
        <f t="shared" si="9"/>
        <v>10404.349999999997</v>
      </c>
      <c r="G87" s="107">
        <f t="shared" si="9"/>
        <v>-100</v>
      </c>
      <c r="H87" s="107">
        <f t="shared" si="9"/>
        <v>11318.520000000002</v>
      </c>
      <c r="I87" s="107">
        <f t="shared" si="9"/>
        <v>7973.98</v>
      </c>
      <c r="J87" s="107">
        <f t="shared" si="9"/>
        <v>0</v>
      </c>
      <c r="K87" s="108">
        <f t="shared" si="9"/>
        <v>10860</v>
      </c>
      <c r="L87" s="109">
        <f>M87/K87</f>
        <v>4.9307955801104972</v>
      </c>
      <c r="M87" s="107">
        <f>ROUND(SUM(M72:M86),2)</f>
        <v>53548.44</v>
      </c>
      <c r="N87" s="108">
        <f>SUM(N72:N86)</f>
        <v>14027</v>
      </c>
      <c r="O87" s="109">
        <f>P87/N87</f>
        <v>3.6506373422684821</v>
      </c>
      <c r="P87" s="107">
        <f>ROUND(SUM(P72:P86),2)</f>
        <v>51207.49</v>
      </c>
      <c r="Q87" s="110">
        <f t="shared" ref="Q87:AN87" si="10">SUM(Q72:Q86)</f>
        <v>-73200</v>
      </c>
      <c r="R87" s="107">
        <f t="shared" si="10"/>
        <v>6000</v>
      </c>
      <c r="S87" s="107">
        <f t="shared" si="10"/>
        <v>0</v>
      </c>
      <c r="T87" s="107">
        <f t="shared" si="10"/>
        <v>-16073.45</v>
      </c>
      <c r="U87" s="107">
        <f t="shared" si="10"/>
        <v>-239168.92</v>
      </c>
      <c r="V87" s="107">
        <f t="shared" si="10"/>
        <v>-73400</v>
      </c>
      <c r="W87" s="107">
        <f t="shared" si="10"/>
        <v>0</v>
      </c>
      <c r="X87" s="107">
        <f t="shared" si="10"/>
        <v>0</v>
      </c>
      <c r="Y87" s="107">
        <f t="shared" si="10"/>
        <v>0</v>
      </c>
      <c r="Z87" s="107">
        <f t="shared" si="10"/>
        <v>0</v>
      </c>
      <c r="AA87" s="107">
        <f t="shared" si="10"/>
        <v>0</v>
      </c>
      <c r="AB87" s="107">
        <f t="shared" si="10"/>
        <v>0</v>
      </c>
      <c r="AC87" s="107">
        <f t="shared" si="10"/>
        <v>0</v>
      </c>
      <c r="AD87" s="107">
        <f t="shared" si="10"/>
        <v>0</v>
      </c>
      <c r="AE87" s="107">
        <f t="shared" si="10"/>
        <v>0</v>
      </c>
      <c r="AF87" s="107">
        <f t="shared" si="10"/>
        <v>0</v>
      </c>
      <c r="AG87" s="107">
        <f t="shared" si="10"/>
        <v>0</v>
      </c>
      <c r="AH87" s="107">
        <f t="shared" si="10"/>
        <v>0</v>
      </c>
      <c r="AI87" s="107">
        <f t="shared" si="10"/>
        <v>0</v>
      </c>
      <c r="AJ87" s="107">
        <f t="shared" si="10"/>
        <v>0</v>
      </c>
      <c r="AK87" s="107">
        <f t="shared" si="10"/>
        <v>0</v>
      </c>
      <c r="AL87" s="107">
        <f t="shared" si="10"/>
        <v>0</v>
      </c>
      <c r="AM87" s="107">
        <f t="shared" si="10"/>
        <v>0</v>
      </c>
      <c r="AN87" s="107">
        <f t="shared" si="10"/>
        <v>0</v>
      </c>
      <c r="AO87" s="111">
        <f>D87+E87+F87+G87+H87+I87+J87+M87+P87+SUM(Q87:AN87)</f>
        <v>-296635.09999999998</v>
      </c>
      <c r="AP87" s="4"/>
      <c r="AQ87" s="5"/>
      <c r="AR87" s="5"/>
      <c r="AS87" s="2" t="s">
        <v>6</v>
      </c>
    </row>
    <row r="88" spans="1:46" s="2" customFormat="1" ht="17.25" customHeight="1" thickTop="1" x14ac:dyDescent="0.25">
      <c r="A88" s="24">
        <f>A73+1</f>
        <v>45910</v>
      </c>
      <c r="B88" s="201" t="s">
        <v>13</v>
      </c>
      <c r="C88" s="203"/>
      <c r="D88" s="63"/>
      <c r="E88" s="66">
        <f>100+5+100+615.5+50+60+100+100+100+100+80+9+30+50+30+25+100+15+15+40+50+15</f>
        <v>1789.5</v>
      </c>
      <c r="F88" s="66"/>
      <c r="G88" s="66"/>
      <c r="H88" s="66">
        <f>-E88</f>
        <v>-1789.5</v>
      </c>
      <c r="I88" s="66"/>
      <c r="J88" s="66"/>
      <c r="K88" s="18"/>
      <c r="L88" s="18"/>
      <c r="M88" s="66"/>
      <c r="N88" s="18"/>
      <c r="O88" s="18"/>
      <c r="P88" s="66"/>
      <c r="Q88" s="46"/>
      <c r="R88" s="46"/>
      <c r="S88" s="45"/>
      <c r="T88" s="18"/>
      <c r="U88" s="18"/>
      <c r="V88" s="18"/>
      <c r="W88" s="18"/>
      <c r="X88" s="18"/>
      <c r="Y88" s="14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7"/>
      <c r="AO88" s="31"/>
      <c r="AQ88" s="10"/>
      <c r="AR88" s="27"/>
    </row>
    <row r="89" spans="1:46" s="2" customFormat="1" ht="17.25" customHeight="1" x14ac:dyDescent="0.25">
      <c r="A89" s="24"/>
      <c r="B89" s="201" t="s">
        <v>23</v>
      </c>
      <c r="C89" s="204"/>
      <c r="D89" s="63"/>
      <c r="E89" s="64">
        <v>2175.2600000000002</v>
      </c>
      <c r="F89" s="64"/>
      <c r="G89" s="64"/>
      <c r="H89" s="64">
        <f>-E89</f>
        <v>-2175.2600000000002</v>
      </c>
      <c r="I89" s="64"/>
      <c r="J89" s="64"/>
      <c r="K89" s="16"/>
      <c r="L89" s="16"/>
      <c r="M89" s="64"/>
      <c r="N89" s="16"/>
      <c r="O89" s="16"/>
      <c r="P89" s="64"/>
      <c r="Q89" s="46"/>
      <c r="R89" s="40"/>
      <c r="S89" s="39"/>
      <c r="T89" s="16"/>
      <c r="U89" s="16"/>
      <c r="V89" s="16"/>
      <c r="W89" s="16"/>
      <c r="X89" s="16"/>
      <c r="Y89" s="19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22"/>
      <c r="AQ89" s="10"/>
      <c r="AR89" s="11"/>
    </row>
    <row r="90" spans="1:46" s="2" customFormat="1" ht="17.25" customHeight="1" x14ac:dyDescent="0.25">
      <c r="A90" s="24"/>
      <c r="B90" s="201" t="s">
        <v>20</v>
      </c>
      <c r="C90" s="204"/>
      <c r="D90" s="63"/>
      <c r="E90" s="117">
        <v>-2881.51</v>
      </c>
      <c r="F90" s="74"/>
      <c r="G90" s="74"/>
      <c r="H90" s="64"/>
      <c r="I90" s="64"/>
      <c r="J90" s="64"/>
      <c r="K90" s="16"/>
      <c r="L90" s="16"/>
      <c r="M90" s="64"/>
      <c r="N90" s="16"/>
      <c r="O90" s="16"/>
      <c r="P90" s="64"/>
      <c r="Q90" s="46"/>
      <c r="R90" s="39"/>
      <c r="S90" s="40"/>
      <c r="T90" s="16"/>
      <c r="U90" s="16"/>
      <c r="V90" s="16"/>
      <c r="W90" s="16"/>
      <c r="X90" s="16"/>
      <c r="Y90" s="19"/>
      <c r="Z90" s="16"/>
      <c r="AA90" s="16"/>
      <c r="AB90" s="16"/>
      <c r="AC90" s="16"/>
      <c r="AD90" s="16"/>
      <c r="AE90" s="16"/>
      <c r="AF90" s="16"/>
      <c r="AG90" s="15"/>
      <c r="AH90" s="15"/>
      <c r="AI90" s="15"/>
      <c r="AJ90" s="15"/>
      <c r="AK90" s="15"/>
      <c r="AL90" s="15"/>
      <c r="AM90" s="15"/>
      <c r="AN90" s="16"/>
      <c r="AO90" s="22"/>
      <c r="AQ90" s="10"/>
      <c r="AR90" s="11"/>
    </row>
    <row r="91" spans="1:46" s="2" customFormat="1" ht="17.25" customHeight="1" x14ac:dyDescent="0.25">
      <c r="A91" s="24"/>
      <c r="B91" s="201" t="s">
        <v>21</v>
      </c>
      <c r="C91" s="202"/>
      <c r="D91" s="63"/>
      <c r="E91" s="117">
        <v>-188.82</v>
      </c>
      <c r="F91" s="64"/>
      <c r="G91" s="64"/>
      <c r="H91" s="64"/>
      <c r="I91" s="64"/>
      <c r="J91" s="64"/>
      <c r="K91" s="16"/>
      <c r="L91" s="16"/>
      <c r="M91" s="64"/>
      <c r="N91" s="16"/>
      <c r="O91" s="16"/>
      <c r="P91" s="64"/>
      <c r="Q91" s="40"/>
      <c r="R91" s="40"/>
      <c r="S91" s="39"/>
      <c r="T91" s="16"/>
      <c r="U91" s="16"/>
      <c r="V91" s="16"/>
      <c r="W91" s="16"/>
      <c r="X91" s="16"/>
      <c r="Y91" s="19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41"/>
      <c r="AQ91" s="10"/>
      <c r="AR91" s="11"/>
    </row>
    <row r="92" spans="1:46" s="2" customFormat="1" ht="17.25" customHeight="1" x14ac:dyDescent="0.25">
      <c r="A92" s="24"/>
      <c r="B92" s="201" t="s">
        <v>22</v>
      </c>
      <c r="C92" s="202"/>
      <c r="D92" s="63"/>
      <c r="E92" s="117">
        <v>-110.28</v>
      </c>
      <c r="F92" s="64"/>
      <c r="G92" s="64"/>
      <c r="H92" s="64"/>
      <c r="I92" s="64"/>
      <c r="J92" s="64"/>
      <c r="K92" s="16"/>
      <c r="L92" s="16"/>
      <c r="M92" s="64"/>
      <c r="N92" s="16"/>
      <c r="O92" s="16"/>
      <c r="P92" s="64"/>
      <c r="Q92" s="40"/>
      <c r="R92" s="40"/>
      <c r="S92" s="39"/>
      <c r="T92" s="16"/>
      <c r="U92" s="16"/>
      <c r="V92" s="16"/>
      <c r="W92" s="16"/>
      <c r="X92" s="16"/>
      <c r="Y92" s="19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41"/>
      <c r="AQ92" s="10"/>
      <c r="AR92" s="11"/>
    </row>
    <row r="93" spans="1:46" s="2" customFormat="1" ht="17.25" customHeight="1" x14ac:dyDescent="0.25">
      <c r="A93" s="24"/>
      <c r="B93" s="201" t="s">
        <v>19</v>
      </c>
      <c r="C93" s="202"/>
      <c r="D93" s="63"/>
      <c r="E93" s="117">
        <f>-2657.14-174.95</f>
        <v>-2832.0899999999997</v>
      </c>
      <c r="F93" s="64"/>
      <c r="G93" s="64"/>
      <c r="H93" s="64"/>
      <c r="I93" s="64"/>
      <c r="J93" s="64"/>
      <c r="K93" s="16"/>
      <c r="L93" s="16"/>
      <c r="M93" s="64"/>
      <c r="N93" s="16"/>
      <c r="O93" s="16"/>
      <c r="P93" s="64"/>
      <c r="Q93" s="40"/>
      <c r="R93" s="40"/>
      <c r="S93" s="39"/>
      <c r="T93" s="16"/>
      <c r="U93" s="16"/>
      <c r="V93" s="16"/>
      <c r="W93" s="16"/>
      <c r="X93" s="16"/>
      <c r="Y93" s="19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41"/>
      <c r="AQ93" s="10"/>
      <c r="AR93" s="11"/>
    </row>
    <row r="94" spans="1:46" s="2" customFormat="1" ht="17.25" customHeight="1" x14ac:dyDescent="0.25">
      <c r="A94" s="24"/>
      <c r="B94" s="201" t="s">
        <v>24</v>
      </c>
      <c r="C94" s="202"/>
      <c r="D94" s="63"/>
      <c r="E94" s="117">
        <v>-600</v>
      </c>
      <c r="F94" s="64"/>
      <c r="G94" s="64"/>
      <c r="H94" s="64"/>
      <c r="I94" s="64"/>
      <c r="J94" s="64"/>
      <c r="K94" s="16"/>
      <c r="L94" s="16"/>
      <c r="M94" s="64"/>
      <c r="N94" s="16"/>
      <c r="O94" s="16"/>
      <c r="P94" s="64"/>
      <c r="Q94" s="40"/>
      <c r="R94" s="40"/>
      <c r="S94" s="39"/>
      <c r="T94" s="16"/>
      <c r="U94" s="16"/>
      <c r="V94" s="16"/>
      <c r="W94" s="16"/>
      <c r="X94" s="16"/>
      <c r="Y94" s="19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41"/>
      <c r="AQ94" s="10"/>
      <c r="AR94" s="11"/>
    </row>
    <row r="95" spans="1:46" s="2" customFormat="1" ht="17.25" customHeight="1" x14ac:dyDescent="0.2">
      <c r="A95" s="24"/>
      <c r="B95" s="201" t="s">
        <v>64</v>
      </c>
      <c r="C95" s="203"/>
      <c r="D95" s="63">
        <v>7782.79</v>
      </c>
      <c r="E95" s="64"/>
      <c r="F95" s="64"/>
      <c r="G95" s="64"/>
      <c r="H95" s="64"/>
      <c r="I95" s="64">
        <f>-D95</f>
        <v>-7782.79</v>
      </c>
      <c r="J95" s="64"/>
      <c r="K95" s="16"/>
      <c r="L95" s="16"/>
      <c r="M95" s="64"/>
      <c r="N95" s="16"/>
      <c r="O95" s="16"/>
      <c r="P95" s="64"/>
      <c r="Q95" s="40"/>
      <c r="R95" s="40"/>
      <c r="S95" s="39"/>
      <c r="T95" s="16"/>
      <c r="U95" s="16"/>
      <c r="V95" s="16"/>
      <c r="W95" s="16"/>
      <c r="X95" s="16"/>
      <c r="Y95" s="19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41"/>
      <c r="AQ95" s="10"/>
      <c r="AR95" s="11"/>
    </row>
    <row r="96" spans="1:46" s="4" customFormat="1" ht="17.25" customHeight="1" x14ac:dyDescent="0.25">
      <c r="A96" s="23"/>
      <c r="B96" s="201" t="s">
        <v>96</v>
      </c>
      <c r="C96" s="202"/>
      <c r="D96" s="63"/>
      <c r="E96" s="64"/>
      <c r="F96" s="64"/>
      <c r="G96" s="64"/>
      <c r="H96" s="64"/>
      <c r="I96" s="117">
        <f>-I87-I95</f>
        <v>-191.1899999999996</v>
      </c>
      <c r="J96" s="64"/>
      <c r="K96" s="16"/>
      <c r="L96" s="92"/>
      <c r="M96" s="64"/>
      <c r="N96" s="16"/>
      <c r="O96" s="92"/>
      <c r="P96" s="64"/>
      <c r="Q96" s="40"/>
      <c r="R96" s="46"/>
      <c r="S96" s="39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22"/>
      <c r="AP96" s="30"/>
    </row>
    <row r="97" spans="1:46" s="2" customFormat="1" ht="17.25" customHeight="1" x14ac:dyDescent="0.2">
      <c r="A97" s="24"/>
      <c r="B97" s="201" t="s">
        <v>72</v>
      </c>
      <c r="C97" s="203"/>
      <c r="D97" s="63">
        <v>-7780</v>
      </c>
      <c r="E97" s="64"/>
      <c r="F97" s="64">
        <f>-D97</f>
        <v>7780</v>
      </c>
      <c r="G97" s="64">
        <f>-E97</f>
        <v>0</v>
      </c>
      <c r="H97" s="64"/>
      <c r="I97" s="64"/>
      <c r="J97" s="64"/>
      <c r="K97" s="16"/>
      <c r="L97" s="16"/>
      <c r="M97" s="64"/>
      <c r="N97" s="16"/>
      <c r="O97" s="16"/>
      <c r="P97" s="64"/>
      <c r="Q97" s="40"/>
      <c r="R97" s="40"/>
      <c r="S97" s="39"/>
      <c r="T97" s="16"/>
      <c r="U97" s="16"/>
      <c r="V97" s="16"/>
      <c r="W97" s="16"/>
      <c r="X97" s="16"/>
      <c r="Y97" s="19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41"/>
      <c r="AQ97" s="10"/>
      <c r="AR97" s="11"/>
    </row>
    <row r="98" spans="1:46" s="2" customFormat="1" ht="17.25" customHeight="1" x14ac:dyDescent="0.25">
      <c r="A98" s="29"/>
      <c r="B98" s="211" t="s">
        <v>106</v>
      </c>
      <c r="C98" s="206"/>
      <c r="D98" s="63"/>
      <c r="E98" s="66"/>
      <c r="F98" s="64">
        <v>-11268.92</v>
      </c>
      <c r="G98" s="64"/>
      <c r="H98" s="66"/>
      <c r="I98" s="66"/>
      <c r="J98" s="66"/>
      <c r="K98" s="58"/>
      <c r="L98" s="89"/>
      <c r="M98" s="73"/>
      <c r="N98" s="58"/>
      <c r="O98" s="89"/>
      <c r="P98" s="73">
        <f>N98*O98</f>
        <v>0</v>
      </c>
      <c r="Q98" s="47"/>
      <c r="R98" s="39"/>
      <c r="S98" s="39"/>
      <c r="T98" s="16"/>
      <c r="U98" s="20">
        <f>-F98</f>
        <v>11268.92</v>
      </c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22"/>
      <c r="AQ98" s="10" t="s">
        <v>4</v>
      </c>
      <c r="AR98" s="11" t="e">
        <v>#REF!</v>
      </c>
    </row>
    <row r="99" spans="1:46" s="2" customFormat="1" ht="17.25" customHeight="1" x14ac:dyDescent="0.25">
      <c r="A99" s="24"/>
      <c r="B99" s="201" t="s">
        <v>112</v>
      </c>
      <c r="C99" s="203"/>
      <c r="D99" s="119"/>
      <c r="E99" s="64"/>
      <c r="F99" s="64">
        <v>-178</v>
      </c>
      <c r="G99" s="64">
        <f>-E99</f>
        <v>0</v>
      </c>
      <c r="H99" s="64"/>
      <c r="I99" s="64"/>
      <c r="J99" s="64"/>
      <c r="K99" s="16"/>
      <c r="L99" s="92"/>
      <c r="M99" s="64"/>
      <c r="N99" s="16"/>
      <c r="O99" s="92"/>
      <c r="P99" s="64"/>
      <c r="Q99" s="40"/>
      <c r="R99" s="40"/>
      <c r="S99" s="39"/>
      <c r="T99" s="16"/>
      <c r="U99" s="16"/>
      <c r="V99" s="16"/>
      <c r="W99" s="16"/>
      <c r="X99" s="16"/>
      <c r="Y99" s="19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41"/>
      <c r="AQ99" s="10"/>
      <c r="AR99" s="11"/>
    </row>
    <row r="100" spans="1:46" s="2" customFormat="1" ht="17.25" customHeight="1" x14ac:dyDescent="0.25">
      <c r="A100" s="24"/>
      <c r="B100" s="201" t="s">
        <v>107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>
        <v>10000</v>
      </c>
      <c r="O100" s="88">
        <v>3.67</v>
      </c>
      <c r="P100" s="62">
        <f>N100*O100</f>
        <v>36700</v>
      </c>
      <c r="Q100" s="39"/>
      <c r="R100" s="39"/>
      <c r="S100" s="39"/>
      <c r="T100" s="16"/>
      <c r="U100" s="16"/>
      <c r="V100" s="16">
        <f>-P100</f>
        <v>-36700</v>
      </c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22"/>
      <c r="AQ100" s="10"/>
      <c r="AR100" s="11"/>
    </row>
    <row r="101" spans="1:46" s="2" customFormat="1" ht="17.25" customHeight="1" thickBot="1" x14ac:dyDescent="0.25">
      <c r="A101" s="24"/>
      <c r="B101" s="216"/>
      <c r="C101" s="217"/>
      <c r="D101" s="83"/>
      <c r="E101" s="81"/>
      <c r="F101" s="81"/>
      <c r="G101" s="81"/>
      <c r="H101" s="81"/>
      <c r="I101" s="81"/>
      <c r="J101" s="81"/>
      <c r="K101" s="37"/>
      <c r="L101" s="93"/>
      <c r="M101" s="81"/>
      <c r="N101" s="37"/>
      <c r="O101" s="93"/>
      <c r="P101" s="81"/>
      <c r="Q101" s="40"/>
      <c r="R101" s="40"/>
      <c r="S101" s="39"/>
      <c r="T101" s="16"/>
      <c r="U101" s="16"/>
      <c r="V101" s="16"/>
      <c r="W101" s="16"/>
      <c r="X101" s="16"/>
      <c r="Y101" s="19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41"/>
      <c r="AQ101" s="10"/>
      <c r="AR101" s="11"/>
    </row>
    <row r="102" spans="1:46" s="4" customFormat="1" ht="17.25" customHeight="1" x14ac:dyDescent="0.25">
      <c r="A102" s="23"/>
      <c r="B102" s="210" t="s">
        <v>94</v>
      </c>
      <c r="C102" s="203"/>
      <c r="D102" s="66"/>
      <c r="E102" s="66"/>
      <c r="F102" s="117"/>
      <c r="G102" s="117"/>
      <c r="H102" s="66"/>
      <c r="I102" s="66"/>
      <c r="J102" s="66">
        <f>-M102</f>
        <v>7260.54</v>
      </c>
      <c r="K102" s="58">
        <v>-1239</v>
      </c>
      <c r="L102" s="89">
        <v>5.86</v>
      </c>
      <c r="M102" s="73">
        <f>K102*L102</f>
        <v>-7260.54</v>
      </c>
      <c r="N102" s="58"/>
      <c r="O102" s="89"/>
      <c r="P102" s="73"/>
      <c r="Q102" s="39"/>
      <c r="R102" s="39"/>
      <c r="S102" s="8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35"/>
      <c r="AP102" s="12" t="e">
        <f>#REF!</f>
        <v>#REF!</v>
      </c>
    </row>
    <row r="103" spans="1:46" s="4" customFormat="1" ht="17.25" customHeight="1" x14ac:dyDescent="0.25">
      <c r="A103" s="23"/>
      <c r="B103" s="201" t="s">
        <v>95</v>
      </c>
      <c r="C103" s="202"/>
      <c r="D103" s="64"/>
      <c r="E103" s="64"/>
      <c r="F103" s="117"/>
      <c r="G103" s="117"/>
      <c r="H103" s="64"/>
      <c r="I103" s="64"/>
      <c r="J103" s="64">
        <f>-P103</f>
        <v>7449.8</v>
      </c>
      <c r="K103" s="57"/>
      <c r="L103" s="88"/>
      <c r="M103" s="62"/>
      <c r="N103" s="57">
        <v>-1930</v>
      </c>
      <c r="O103" s="88">
        <v>3.86</v>
      </c>
      <c r="P103" s="62">
        <f>N103*O103</f>
        <v>-7449.8</v>
      </c>
      <c r="Q103" s="39"/>
      <c r="R103" s="39"/>
      <c r="S103" s="8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35"/>
      <c r="AP103" s="12" t="e">
        <f>#REF!</f>
        <v>#REF!</v>
      </c>
    </row>
    <row r="104" spans="1:46" s="4" customFormat="1" ht="17.25" customHeight="1" x14ac:dyDescent="0.25">
      <c r="A104" s="23"/>
      <c r="B104" s="201" t="s">
        <v>97</v>
      </c>
      <c r="C104" s="203"/>
      <c r="D104" s="64"/>
      <c r="E104" s="64"/>
      <c r="F104" s="64"/>
      <c r="G104" s="64"/>
      <c r="H104" s="64">
        <f>-J104-I104</f>
        <v>4746.4500000000007</v>
      </c>
      <c r="I104" s="64">
        <v>9963.89</v>
      </c>
      <c r="J104" s="64">
        <f>-SUM(J102:J103)</f>
        <v>-14710.34</v>
      </c>
      <c r="K104" s="57"/>
      <c r="L104" s="88"/>
      <c r="M104" s="62"/>
      <c r="N104" s="57"/>
      <c r="O104" s="88"/>
      <c r="P104" s="62"/>
      <c r="Q104" s="39"/>
      <c r="R104" s="39"/>
      <c r="S104" s="39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22"/>
      <c r="AO104" s="43">
        <f>A76</f>
        <v>0</v>
      </c>
      <c r="AP104" s="12" t="e">
        <f>#REF!</f>
        <v>#REF!</v>
      </c>
      <c r="AT104" s="2"/>
    </row>
    <row r="105" spans="1:46" s="4" customFormat="1" ht="17.25" customHeight="1" x14ac:dyDescent="0.25">
      <c r="A105" s="23"/>
      <c r="B105" s="201" t="s">
        <v>93</v>
      </c>
      <c r="C105" s="202"/>
      <c r="D105" s="64"/>
      <c r="E105" s="64"/>
      <c r="F105" s="64"/>
      <c r="G105" s="64"/>
      <c r="H105" s="64"/>
      <c r="I105" s="64"/>
      <c r="J105" s="64"/>
      <c r="K105" s="57">
        <v>-3</v>
      </c>
      <c r="L105" s="88"/>
      <c r="M105" s="118">
        <f>(K108*L87)-M87-M102</f>
        <v>1136.4918895027577</v>
      </c>
      <c r="N105" s="57">
        <v>241</v>
      </c>
      <c r="O105" s="88"/>
      <c r="P105" s="118">
        <f>(N108*3.658696)-P87-P103-P100</f>
        <v>1270.2612480000025</v>
      </c>
      <c r="Q105" s="39"/>
      <c r="R105" s="39"/>
      <c r="S105" s="39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22"/>
      <c r="AO105" s="43">
        <f>A77</f>
        <v>0</v>
      </c>
      <c r="AP105" s="12" t="e">
        <f>#REF!</f>
        <v>#REF!</v>
      </c>
      <c r="AT105" s="2"/>
    </row>
    <row r="106" spans="1:46" s="2" customFormat="1" ht="17.25" customHeight="1" x14ac:dyDescent="0.2">
      <c r="A106" s="24"/>
      <c r="B106" s="201"/>
      <c r="C106" s="202"/>
      <c r="D106" s="63"/>
      <c r="E106" s="64"/>
      <c r="F106" s="64"/>
      <c r="G106" s="64"/>
      <c r="H106" s="64"/>
      <c r="I106" s="64"/>
      <c r="J106" s="64"/>
      <c r="K106" s="16"/>
      <c r="L106" s="16"/>
      <c r="M106" s="64"/>
      <c r="N106" s="16"/>
      <c r="O106" s="16"/>
      <c r="P106" s="64"/>
      <c r="Q106" s="46"/>
      <c r="R106" s="46"/>
      <c r="S106" s="39"/>
      <c r="T106" s="16"/>
      <c r="U106" s="16"/>
      <c r="V106" s="16"/>
      <c r="W106" s="16"/>
      <c r="X106" s="16"/>
      <c r="Y106" s="19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43">
        <f>A88</f>
        <v>45910</v>
      </c>
      <c r="AQ106" s="10"/>
      <c r="AR106" s="11"/>
    </row>
    <row r="107" spans="1:46" s="2" customFormat="1" ht="17.25" customHeight="1" thickBot="1" x14ac:dyDescent="0.3">
      <c r="A107" s="56"/>
      <c r="B107" s="101" t="s">
        <v>102</v>
      </c>
      <c r="C107" s="102">
        <f>D108+E108+F108+G108+H108+I108+J108+M108+P108</f>
        <v>120063.20999999999</v>
      </c>
      <c r="D107" s="84"/>
      <c r="E107" s="85"/>
      <c r="F107" s="85"/>
      <c r="G107" s="85"/>
      <c r="H107" s="85"/>
      <c r="I107" s="85"/>
      <c r="J107" s="85"/>
      <c r="K107" s="28"/>
      <c r="L107" s="28"/>
      <c r="M107" s="85"/>
      <c r="N107" s="28"/>
      <c r="O107" s="28"/>
      <c r="P107" s="85"/>
      <c r="Q107" s="48"/>
      <c r="R107" s="48"/>
      <c r="S107" s="51"/>
      <c r="T107" s="28"/>
      <c r="U107" s="28"/>
      <c r="V107" s="28"/>
      <c r="W107" s="28"/>
      <c r="X107" s="28"/>
      <c r="Y107" s="36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42">
        <f>SUM($Q87:AN107)</f>
        <v>-421273.45</v>
      </c>
      <c r="AQ107" s="10"/>
      <c r="AR107" s="11"/>
      <c r="AS107" s="2" t="s">
        <v>5</v>
      </c>
    </row>
    <row r="108" spans="1:46" s="2" customFormat="1" ht="17.25" customHeight="1" thickTop="1" thickBot="1" x14ac:dyDescent="0.3">
      <c r="A108" s="103"/>
      <c r="B108" s="104" t="s">
        <v>103</v>
      </c>
      <c r="C108" s="105">
        <f>AO108</f>
        <v>-301210.23999999999</v>
      </c>
      <c r="D108" s="107">
        <f t="shared" ref="D108:K108" si="11">SUM(D87:D107)</f>
        <v>3.0199999999995271</v>
      </c>
      <c r="E108" s="107">
        <f t="shared" si="11"/>
        <v>-37793.68</v>
      </c>
      <c r="F108" s="107">
        <f t="shared" si="11"/>
        <v>6737.4299999999985</v>
      </c>
      <c r="G108" s="107">
        <f t="shared" si="11"/>
        <v>-100</v>
      </c>
      <c r="H108" s="107">
        <f t="shared" si="11"/>
        <v>12100.210000000003</v>
      </c>
      <c r="I108" s="107">
        <f t="shared" si="11"/>
        <v>9963.89</v>
      </c>
      <c r="J108" s="107">
        <f t="shared" si="11"/>
        <v>0</v>
      </c>
      <c r="K108" s="108">
        <f t="shared" si="11"/>
        <v>9618</v>
      </c>
      <c r="L108" s="109">
        <f>M108/K108</f>
        <v>4.9307953836556457</v>
      </c>
      <c r="M108" s="107">
        <f>ROUND(SUM(M87:M107),2)</f>
        <v>47424.39</v>
      </c>
      <c r="N108" s="108">
        <f>SUM(N87:N107)</f>
        <v>22338</v>
      </c>
      <c r="O108" s="109">
        <f>P108/N108</f>
        <v>3.6586959441310771</v>
      </c>
      <c r="P108" s="107">
        <f>ROUND(SUM(P87:P107),2)</f>
        <v>81727.95</v>
      </c>
      <c r="Q108" s="107">
        <f t="shared" ref="Q108:AN108" si="12">SUM(Q87:Q107)</f>
        <v>-73200</v>
      </c>
      <c r="R108" s="107">
        <f t="shared" si="12"/>
        <v>6000</v>
      </c>
      <c r="S108" s="107">
        <f t="shared" si="12"/>
        <v>0</v>
      </c>
      <c r="T108" s="107">
        <f t="shared" si="12"/>
        <v>-16073.45</v>
      </c>
      <c r="U108" s="107">
        <f t="shared" si="12"/>
        <v>-227900</v>
      </c>
      <c r="V108" s="107">
        <f t="shared" si="12"/>
        <v>-110100</v>
      </c>
      <c r="W108" s="107">
        <f t="shared" si="12"/>
        <v>0</v>
      </c>
      <c r="X108" s="107">
        <f t="shared" si="12"/>
        <v>0</v>
      </c>
      <c r="Y108" s="107">
        <f t="shared" si="12"/>
        <v>0</v>
      </c>
      <c r="Z108" s="107">
        <f t="shared" si="12"/>
        <v>0</v>
      </c>
      <c r="AA108" s="107">
        <f t="shared" si="12"/>
        <v>0</v>
      </c>
      <c r="AB108" s="107">
        <f t="shared" si="12"/>
        <v>0</v>
      </c>
      <c r="AC108" s="107">
        <f t="shared" si="12"/>
        <v>0</v>
      </c>
      <c r="AD108" s="107">
        <f t="shared" si="12"/>
        <v>0</v>
      </c>
      <c r="AE108" s="107">
        <f t="shared" si="12"/>
        <v>0</v>
      </c>
      <c r="AF108" s="107">
        <f t="shared" si="12"/>
        <v>0</v>
      </c>
      <c r="AG108" s="107">
        <f t="shared" si="12"/>
        <v>0</v>
      </c>
      <c r="AH108" s="107">
        <f t="shared" si="12"/>
        <v>0</v>
      </c>
      <c r="AI108" s="107">
        <f t="shared" si="12"/>
        <v>0</v>
      </c>
      <c r="AJ108" s="107">
        <f t="shared" si="12"/>
        <v>0</v>
      </c>
      <c r="AK108" s="107">
        <f t="shared" si="12"/>
        <v>0</v>
      </c>
      <c r="AL108" s="107">
        <f t="shared" si="12"/>
        <v>0</v>
      </c>
      <c r="AM108" s="107">
        <f t="shared" si="12"/>
        <v>0</v>
      </c>
      <c r="AN108" s="107">
        <f t="shared" si="12"/>
        <v>0</v>
      </c>
      <c r="AO108" s="111">
        <f>D108+E108+F108+G108+H108+I108+J108+M108+P108+SUM(Q108:AN108)</f>
        <v>-301210.23999999999</v>
      </c>
      <c r="AP108" s="4"/>
      <c r="AQ108" s="5"/>
      <c r="AR108" s="5"/>
      <c r="AS108" s="2" t="s">
        <v>6</v>
      </c>
    </row>
    <row r="109" spans="1:46" s="2" customFormat="1" ht="17.25" customHeight="1" thickTop="1" x14ac:dyDescent="0.25">
      <c r="A109" s="23">
        <f>A88+1</f>
        <v>45911</v>
      </c>
      <c r="B109" s="210" t="s">
        <v>13</v>
      </c>
      <c r="C109" s="203"/>
      <c r="D109" s="63"/>
      <c r="E109" s="66">
        <f>5+225.5+13+20+149+30+100+62+228+16+100+30+30+50+100+40+145.7+50+10</f>
        <v>1404.2</v>
      </c>
      <c r="F109" s="66"/>
      <c r="G109" s="66"/>
      <c r="H109" s="66">
        <f>-E109</f>
        <v>-1404.2</v>
      </c>
      <c r="I109" s="66"/>
      <c r="J109" s="66"/>
      <c r="K109" s="18"/>
      <c r="L109" s="18"/>
      <c r="M109" s="66"/>
      <c r="N109" s="18"/>
      <c r="O109" s="18"/>
      <c r="P109" s="66"/>
      <c r="Q109" s="46"/>
      <c r="R109" s="46"/>
      <c r="S109" s="45"/>
      <c r="T109" s="18"/>
      <c r="U109" s="18"/>
      <c r="V109" s="18"/>
      <c r="W109" s="18"/>
      <c r="X109" s="18"/>
      <c r="Y109" s="14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7"/>
      <c r="AO109" s="31"/>
      <c r="AQ109" s="10"/>
      <c r="AR109" s="27"/>
    </row>
    <row r="110" spans="1:46" s="2" customFormat="1" ht="17.25" customHeight="1" x14ac:dyDescent="0.25">
      <c r="A110" s="24"/>
      <c r="B110" s="52" t="s">
        <v>26</v>
      </c>
      <c r="C110" s="55"/>
      <c r="D110" s="63"/>
      <c r="E110" s="117">
        <v>-276.62</v>
      </c>
      <c r="F110" s="64"/>
      <c r="G110" s="64"/>
      <c r="H110" s="64"/>
      <c r="I110" s="64"/>
      <c r="J110" s="64"/>
      <c r="K110" s="16"/>
      <c r="L110" s="16"/>
      <c r="M110" s="64"/>
      <c r="N110" s="16"/>
      <c r="O110" s="16"/>
      <c r="P110" s="64"/>
      <c r="Q110" s="46"/>
      <c r="R110" s="40"/>
      <c r="S110" s="39"/>
      <c r="T110" s="16"/>
      <c r="U110" s="16"/>
      <c r="V110" s="16"/>
      <c r="W110" s="16"/>
      <c r="X110" s="16"/>
      <c r="Y110" s="19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22"/>
      <c r="AQ110" s="10"/>
      <c r="AR110" s="11"/>
    </row>
    <row r="111" spans="1:46" s="2" customFormat="1" ht="17.25" customHeight="1" x14ac:dyDescent="0.25">
      <c r="A111" s="24"/>
      <c r="B111" s="52" t="s">
        <v>25</v>
      </c>
      <c r="C111" s="55"/>
      <c r="D111" s="63"/>
      <c r="E111" s="117">
        <v>-45</v>
      </c>
      <c r="F111" s="74"/>
      <c r="G111" s="74"/>
      <c r="H111" s="64"/>
      <c r="I111" s="64"/>
      <c r="J111" s="64"/>
      <c r="K111" s="16"/>
      <c r="L111" s="16"/>
      <c r="M111" s="64"/>
      <c r="N111" s="16"/>
      <c r="O111" s="16"/>
      <c r="P111" s="64"/>
      <c r="Q111" s="46"/>
      <c r="R111" s="39"/>
      <c r="S111" s="40"/>
      <c r="T111" s="16"/>
      <c r="U111" s="16"/>
      <c r="V111" s="16"/>
      <c r="W111" s="16"/>
      <c r="X111" s="16"/>
      <c r="Y111" s="19"/>
      <c r="Z111" s="16"/>
      <c r="AA111" s="16"/>
      <c r="AB111" s="16"/>
      <c r="AC111" s="16"/>
      <c r="AD111" s="16"/>
      <c r="AE111" s="16"/>
      <c r="AF111" s="16"/>
      <c r="AG111" s="15"/>
      <c r="AH111" s="15"/>
      <c r="AI111" s="15"/>
      <c r="AJ111" s="15"/>
      <c r="AK111" s="15"/>
      <c r="AL111" s="15"/>
      <c r="AM111" s="15"/>
      <c r="AN111" s="16"/>
      <c r="AO111" s="22"/>
      <c r="AQ111" s="10"/>
      <c r="AR111" s="11"/>
    </row>
    <row r="112" spans="1:46" s="2" customFormat="1" ht="17.25" customHeight="1" x14ac:dyDescent="0.2">
      <c r="A112" s="24"/>
      <c r="B112" s="52" t="s">
        <v>64</v>
      </c>
      <c r="C112" s="53"/>
      <c r="D112" s="63">
        <v>9426.81</v>
      </c>
      <c r="E112" s="64"/>
      <c r="F112" s="64"/>
      <c r="G112" s="64"/>
      <c r="H112" s="64"/>
      <c r="I112" s="64">
        <f>-D112</f>
        <v>-9426.81</v>
      </c>
      <c r="J112" s="64"/>
      <c r="K112" s="16"/>
      <c r="L112" s="16"/>
      <c r="M112" s="64"/>
      <c r="N112" s="16"/>
      <c r="O112" s="16"/>
      <c r="P112" s="64"/>
      <c r="Q112" s="40"/>
      <c r="R112" s="40"/>
      <c r="S112" s="39"/>
      <c r="T112" s="16"/>
      <c r="U112" s="16"/>
      <c r="V112" s="16"/>
      <c r="W112" s="16"/>
      <c r="X112" s="16"/>
      <c r="Y112" s="19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41"/>
      <c r="AQ112" s="10"/>
      <c r="AR112" s="11"/>
    </row>
    <row r="113" spans="1:46" s="4" customFormat="1" ht="17.25" customHeight="1" x14ac:dyDescent="0.25">
      <c r="A113" s="23"/>
      <c r="B113" s="201" t="s">
        <v>96</v>
      </c>
      <c r="C113" s="202"/>
      <c r="D113" s="63"/>
      <c r="E113" s="64"/>
      <c r="F113" s="64"/>
      <c r="G113" s="64"/>
      <c r="H113" s="64"/>
      <c r="I113" s="117">
        <f>-I104-I112</f>
        <v>-537.07999999999993</v>
      </c>
      <c r="J113" s="64"/>
      <c r="K113" s="16"/>
      <c r="L113" s="92"/>
      <c r="M113" s="64"/>
      <c r="N113" s="16"/>
      <c r="O113" s="92"/>
      <c r="P113" s="64"/>
      <c r="Q113" s="40"/>
      <c r="R113" s="46"/>
      <c r="S113" s="39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22"/>
      <c r="AP113" s="30"/>
    </row>
    <row r="114" spans="1:46" s="2" customFormat="1" ht="17.25" customHeight="1" x14ac:dyDescent="0.2">
      <c r="A114" s="24"/>
      <c r="B114" s="201" t="s">
        <v>72</v>
      </c>
      <c r="C114" s="203"/>
      <c r="D114" s="63">
        <v>-9429</v>
      </c>
      <c r="E114" s="64"/>
      <c r="F114" s="64">
        <f>-D114</f>
        <v>9429</v>
      </c>
      <c r="G114" s="64">
        <f>-E114</f>
        <v>0</v>
      </c>
      <c r="H114" s="64"/>
      <c r="I114" s="64"/>
      <c r="J114" s="64"/>
      <c r="K114" s="16"/>
      <c r="L114" s="16"/>
      <c r="M114" s="64"/>
      <c r="N114" s="16"/>
      <c r="O114" s="16"/>
      <c r="P114" s="64"/>
      <c r="Q114" s="40"/>
      <c r="R114" s="40"/>
      <c r="S114" s="39"/>
      <c r="T114" s="16"/>
      <c r="U114" s="16"/>
      <c r="V114" s="16"/>
      <c r="W114" s="16"/>
      <c r="X114" s="16"/>
      <c r="Y114" s="19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41"/>
      <c r="AQ114" s="10"/>
      <c r="AR114" s="11"/>
    </row>
    <row r="115" spans="1:46" s="2" customFormat="1" ht="17.25" customHeight="1" x14ac:dyDescent="0.2">
      <c r="A115" s="24"/>
      <c r="B115" s="201"/>
      <c r="C115" s="203"/>
      <c r="D115" s="63"/>
      <c r="E115" s="64"/>
      <c r="F115" s="64"/>
      <c r="G115" s="64"/>
      <c r="H115" s="64"/>
      <c r="I115" s="64"/>
      <c r="J115" s="64"/>
      <c r="K115" s="16"/>
      <c r="L115" s="16"/>
      <c r="M115" s="64"/>
      <c r="N115" s="16"/>
      <c r="O115" s="16"/>
      <c r="P115" s="64"/>
      <c r="Q115" s="40"/>
      <c r="R115" s="40"/>
      <c r="S115" s="39"/>
      <c r="T115" s="16"/>
      <c r="U115" s="16"/>
      <c r="V115" s="16"/>
      <c r="W115" s="16"/>
      <c r="X115" s="16"/>
      <c r="Y115" s="19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41"/>
      <c r="AQ115" s="10"/>
      <c r="AR115" s="11"/>
    </row>
    <row r="116" spans="1:46" s="2" customFormat="1" ht="17.25" customHeight="1" thickBot="1" x14ac:dyDescent="0.25">
      <c r="A116" s="24"/>
      <c r="B116" s="216"/>
      <c r="C116" s="217"/>
      <c r="D116" s="83"/>
      <c r="E116" s="81"/>
      <c r="F116" s="81"/>
      <c r="G116" s="81"/>
      <c r="H116" s="81"/>
      <c r="I116" s="81"/>
      <c r="J116" s="81"/>
      <c r="K116" s="37"/>
      <c r="L116" s="93"/>
      <c r="M116" s="81"/>
      <c r="N116" s="37"/>
      <c r="O116" s="93"/>
      <c r="P116" s="81"/>
      <c r="Q116" s="40"/>
      <c r="R116" s="40"/>
      <c r="S116" s="39"/>
      <c r="T116" s="16"/>
      <c r="U116" s="16"/>
      <c r="V116" s="16"/>
      <c r="W116" s="16"/>
      <c r="X116" s="16"/>
      <c r="Y116" s="19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41"/>
      <c r="AQ116" s="10"/>
      <c r="AR116" s="11"/>
    </row>
    <row r="117" spans="1:46" s="4" customFormat="1" ht="17.25" customHeight="1" x14ac:dyDescent="0.25">
      <c r="A117" s="23"/>
      <c r="B117" s="210" t="s">
        <v>94</v>
      </c>
      <c r="C117" s="203"/>
      <c r="D117" s="66"/>
      <c r="E117" s="66"/>
      <c r="F117" s="117"/>
      <c r="G117" s="117"/>
      <c r="H117" s="66"/>
      <c r="I117" s="66"/>
      <c r="J117" s="66">
        <f>-M117</f>
        <v>7155.06</v>
      </c>
      <c r="K117" s="58">
        <v>-1221</v>
      </c>
      <c r="L117" s="89">
        <v>5.86</v>
      </c>
      <c r="M117" s="73">
        <f>K117*L117</f>
        <v>-7155.06</v>
      </c>
      <c r="N117" s="58"/>
      <c r="O117" s="89"/>
      <c r="P117" s="73"/>
      <c r="Q117" s="39"/>
      <c r="R117" s="39"/>
      <c r="S117" s="8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35"/>
      <c r="AP117" s="12" t="e">
        <f>#REF!</f>
        <v>#REF!</v>
      </c>
    </row>
    <row r="118" spans="1:46" s="4" customFormat="1" ht="17.25" customHeight="1" x14ac:dyDescent="0.25">
      <c r="A118" s="23"/>
      <c r="B118" s="201" t="s">
        <v>95</v>
      </c>
      <c r="C118" s="202"/>
      <c r="D118" s="64"/>
      <c r="E118" s="64"/>
      <c r="F118" s="117"/>
      <c r="G118" s="117"/>
      <c r="H118" s="64"/>
      <c r="I118" s="64"/>
      <c r="J118" s="64">
        <f>-P118</f>
        <v>7036.78</v>
      </c>
      <c r="K118" s="57"/>
      <c r="L118" s="88"/>
      <c r="M118" s="62"/>
      <c r="N118" s="57">
        <v>-1823</v>
      </c>
      <c r="O118" s="88">
        <v>3.86</v>
      </c>
      <c r="P118" s="62">
        <f>N118*O118</f>
        <v>-7036.78</v>
      </c>
      <c r="Q118" s="39"/>
      <c r="R118" s="39"/>
      <c r="S118" s="8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35"/>
      <c r="AP118" s="12" t="e">
        <f>#REF!</f>
        <v>#REF!</v>
      </c>
    </row>
    <row r="119" spans="1:46" s="4" customFormat="1" ht="17.25" customHeight="1" x14ac:dyDescent="0.25">
      <c r="A119" s="23"/>
      <c r="B119" s="201" t="s">
        <v>97</v>
      </c>
      <c r="C119" s="203"/>
      <c r="D119" s="64"/>
      <c r="E119" s="64"/>
      <c r="F119" s="64"/>
      <c r="G119" s="64"/>
      <c r="H119" s="64">
        <f>-J119-I119</f>
        <v>4900.51</v>
      </c>
      <c r="I119" s="64">
        <v>9291.33</v>
      </c>
      <c r="J119" s="64">
        <f>-SUM(J117:J118)</f>
        <v>-14191.84</v>
      </c>
      <c r="K119" s="57"/>
      <c r="L119" s="88"/>
      <c r="M119" s="62"/>
      <c r="N119" s="57"/>
      <c r="O119" s="88"/>
      <c r="P119" s="62"/>
      <c r="Q119" s="39"/>
      <c r="R119" s="39"/>
      <c r="S119" s="39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22"/>
      <c r="AO119" s="43">
        <f>A93</f>
        <v>0</v>
      </c>
      <c r="AP119" s="12" t="e">
        <f>#REF!</f>
        <v>#REF!</v>
      </c>
      <c r="AT119" s="2"/>
    </row>
    <row r="120" spans="1:46" s="4" customFormat="1" ht="17.25" customHeight="1" x14ac:dyDescent="0.25">
      <c r="A120" s="23"/>
      <c r="B120" s="201" t="s">
        <v>93</v>
      </c>
      <c r="C120" s="202"/>
      <c r="D120" s="64"/>
      <c r="E120" s="64"/>
      <c r="F120" s="64"/>
      <c r="G120" s="64"/>
      <c r="H120" s="64"/>
      <c r="I120" s="64"/>
      <c r="J120" s="64"/>
      <c r="K120" s="57">
        <v>-119</v>
      </c>
      <c r="L120" s="88"/>
      <c r="M120" s="118">
        <f>(K123*L108)-M108-M117</f>
        <v>547.7941859014345</v>
      </c>
      <c r="N120" s="57">
        <v>30</v>
      </c>
      <c r="O120" s="88"/>
      <c r="P120" s="118">
        <f>(N123*O108)-P108-P118</f>
        <v>476.7381721729771</v>
      </c>
      <c r="Q120" s="39"/>
      <c r="R120" s="39"/>
      <c r="S120" s="39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22"/>
      <c r="AO120" s="43">
        <f>A105</f>
        <v>0</v>
      </c>
      <c r="AP120" s="12" t="e">
        <f>#REF!</f>
        <v>#REF!</v>
      </c>
      <c r="AT120" s="2"/>
    </row>
    <row r="121" spans="1:46" s="2" customFormat="1" ht="17.25" customHeight="1" x14ac:dyDescent="0.2">
      <c r="A121" s="24"/>
      <c r="B121" s="201"/>
      <c r="C121" s="204"/>
      <c r="D121" s="63"/>
      <c r="E121" s="64"/>
      <c r="F121" s="64"/>
      <c r="G121" s="64"/>
      <c r="H121" s="64"/>
      <c r="I121" s="64"/>
      <c r="J121" s="64"/>
      <c r="K121" s="16"/>
      <c r="L121" s="16"/>
      <c r="M121" s="64"/>
      <c r="N121" s="16"/>
      <c r="O121" s="16"/>
      <c r="P121" s="64"/>
      <c r="Q121" s="46"/>
      <c r="R121" s="46"/>
      <c r="S121" s="39"/>
      <c r="T121" s="16"/>
      <c r="U121" s="16"/>
      <c r="V121" s="16"/>
      <c r="W121" s="16"/>
      <c r="X121" s="16"/>
      <c r="Y121" s="19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43">
        <f>A109</f>
        <v>45911</v>
      </c>
      <c r="AQ121" s="10"/>
      <c r="AR121" s="11"/>
    </row>
    <row r="122" spans="1:46" s="2" customFormat="1" ht="17.25" customHeight="1" thickBot="1" x14ac:dyDescent="0.3">
      <c r="A122" s="56"/>
      <c r="B122" s="101" t="s">
        <v>102</v>
      </c>
      <c r="C122" s="102">
        <f>D123+E123+F123+G123+H123+I123+J123+M123+P123</f>
        <v>120229.04000000001</v>
      </c>
      <c r="D122" s="84"/>
      <c r="E122" s="85"/>
      <c r="F122" s="85"/>
      <c r="G122" s="85"/>
      <c r="H122" s="85"/>
      <c r="I122" s="85"/>
      <c r="J122" s="85"/>
      <c r="K122" s="28"/>
      <c r="L122" s="28"/>
      <c r="M122" s="85"/>
      <c r="N122" s="28"/>
      <c r="O122" s="28"/>
      <c r="P122" s="85"/>
      <c r="Q122" s="48"/>
      <c r="R122" s="48"/>
      <c r="S122" s="51"/>
      <c r="T122" s="28"/>
      <c r="U122" s="28"/>
      <c r="V122" s="28"/>
      <c r="W122" s="28"/>
      <c r="X122" s="28"/>
      <c r="Y122" s="36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42">
        <f>SUM($Q108:AN122)</f>
        <v>-421273.45</v>
      </c>
      <c r="AQ122" s="10"/>
      <c r="AR122" s="11"/>
      <c r="AS122" s="2" t="s">
        <v>5</v>
      </c>
    </row>
    <row r="123" spans="1:46" s="2" customFormat="1" ht="17.25" customHeight="1" thickTop="1" thickBot="1" x14ac:dyDescent="0.3">
      <c r="A123" s="103"/>
      <c r="B123" s="104" t="s">
        <v>103</v>
      </c>
      <c r="C123" s="105">
        <f>AO123</f>
        <v>-301044.41000000003</v>
      </c>
      <c r="D123" s="106">
        <f t="shared" ref="D123:K123" si="13">SUM(D108:D122)</f>
        <v>0.82999999999810825</v>
      </c>
      <c r="E123" s="107">
        <f t="shared" si="13"/>
        <v>-36711.100000000006</v>
      </c>
      <c r="F123" s="107">
        <f t="shared" si="13"/>
        <v>16166.429999999998</v>
      </c>
      <c r="G123" s="107">
        <f t="shared" si="13"/>
        <v>-100</v>
      </c>
      <c r="H123" s="107">
        <f t="shared" si="13"/>
        <v>15596.520000000002</v>
      </c>
      <c r="I123" s="107">
        <f t="shared" si="13"/>
        <v>9291.33</v>
      </c>
      <c r="J123" s="107">
        <f t="shared" si="13"/>
        <v>0</v>
      </c>
      <c r="K123" s="108">
        <f t="shared" si="13"/>
        <v>8278</v>
      </c>
      <c r="L123" s="109">
        <f>M123/K123</f>
        <v>4.9307948779898529</v>
      </c>
      <c r="M123" s="107">
        <f>ROUND(SUM(M108:M122),2)</f>
        <v>40817.120000000003</v>
      </c>
      <c r="N123" s="108">
        <f>SUM(N108:N122)</f>
        <v>20545</v>
      </c>
      <c r="O123" s="109">
        <f>P123/N123</f>
        <v>3.6586960330980776</v>
      </c>
      <c r="P123" s="107">
        <f>ROUND(SUM(P108:P122),2)</f>
        <v>75167.91</v>
      </c>
      <c r="Q123" s="110">
        <f t="shared" ref="Q123:AN123" si="14">SUM(Q108:Q122)</f>
        <v>-73200</v>
      </c>
      <c r="R123" s="107">
        <f t="shared" si="14"/>
        <v>6000</v>
      </c>
      <c r="S123" s="107">
        <f t="shared" si="14"/>
        <v>0</v>
      </c>
      <c r="T123" s="107">
        <f t="shared" si="14"/>
        <v>-16073.45</v>
      </c>
      <c r="U123" s="107">
        <f t="shared" si="14"/>
        <v>-227900</v>
      </c>
      <c r="V123" s="107">
        <f t="shared" si="14"/>
        <v>-110100</v>
      </c>
      <c r="W123" s="107">
        <f t="shared" si="14"/>
        <v>0</v>
      </c>
      <c r="X123" s="107">
        <f t="shared" si="14"/>
        <v>0</v>
      </c>
      <c r="Y123" s="107">
        <f t="shared" si="14"/>
        <v>0</v>
      </c>
      <c r="Z123" s="107">
        <f t="shared" si="14"/>
        <v>0</v>
      </c>
      <c r="AA123" s="107">
        <f t="shared" si="14"/>
        <v>0</v>
      </c>
      <c r="AB123" s="107">
        <f t="shared" si="14"/>
        <v>0</v>
      </c>
      <c r="AC123" s="107">
        <f t="shared" si="14"/>
        <v>0</v>
      </c>
      <c r="AD123" s="107">
        <f t="shared" si="14"/>
        <v>0</v>
      </c>
      <c r="AE123" s="107">
        <f t="shared" si="14"/>
        <v>0</v>
      </c>
      <c r="AF123" s="107">
        <f t="shared" si="14"/>
        <v>0</v>
      </c>
      <c r="AG123" s="107">
        <f t="shared" si="14"/>
        <v>0</v>
      </c>
      <c r="AH123" s="107">
        <f t="shared" si="14"/>
        <v>0</v>
      </c>
      <c r="AI123" s="107">
        <f t="shared" si="14"/>
        <v>0</v>
      </c>
      <c r="AJ123" s="107">
        <f t="shared" si="14"/>
        <v>0</v>
      </c>
      <c r="AK123" s="107">
        <f t="shared" si="14"/>
        <v>0</v>
      </c>
      <c r="AL123" s="107">
        <f t="shared" si="14"/>
        <v>0</v>
      </c>
      <c r="AM123" s="107">
        <f t="shared" si="14"/>
        <v>0</v>
      </c>
      <c r="AN123" s="107">
        <f t="shared" si="14"/>
        <v>0</v>
      </c>
      <c r="AO123" s="111">
        <f>D123+E123+F123+G123+H123+I123+J123+M123+P123+SUM(Q123:AN123)</f>
        <v>-301044.41000000003</v>
      </c>
      <c r="AP123" s="4"/>
      <c r="AQ123" s="5"/>
      <c r="AR123" s="5"/>
      <c r="AS123" s="2" t="s">
        <v>6</v>
      </c>
    </row>
    <row r="124" spans="1:46" s="2" customFormat="1" ht="17.25" customHeight="1" thickTop="1" x14ac:dyDescent="0.25">
      <c r="A124" s="23">
        <f>A109+1</f>
        <v>45912</v>
      </c>
      <c r="B124" s="210" t="s">
        <v>13</v>
      </c>
      <c r="C124" s="203"/>
      <c r="D124" s="63"/>
      <c r="E124" s="66">
        <f>5+38.6+170+60+40+30+60+50+40+1000+30+10+19.5+100+165+25+12+50+50+30+35+7.5+15+100</f>
        <v>2142.6</v>
      </c>
      <c r="F124" s="66"/>
      <c r="G124" s="66"/>
      <c r="H124" s="66">
        <f>-E124</f>
        <v>-2142.6</v>
      </c>
      <c r="I124" s="66"/>
      <c r="J124" s="66"/>
      <c r="K124" s="18"/>
      <c r="L124" s="18"/>
      <c r="M124" s="66"/>
      <c r="N124" s="18"/>
      <c r="O124" s="18"/>
      <c r="P124" s="66"/>
      <c r="Q124" s="46"/>
      <c r="R124" s="46"/>
      <c r="S124" s="45"/>
      <c r="T124" s="18"/>
      <c r="U124" s="18"/>
      <c r="V124" s="18"/>
      <c r="W124" s="18"/>
      <c r="X124" s="18"/>
      <c r="Y124" s="14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7"/>
      <c r="AO124" s="31"/>
      <c r="AQ124" s="10"/>
      <c r="AR124" s="27"/>
    </row>
    <row r="125" spans="1:46" s="2" customFormat="1" ht="17.25" customHeight="1" x14ac:dyDescent="0.25">
      <c r="A125" s="24"/>
      <c r="B125" s="201" t="s">
        <v>27</v>
      </c>
      <c r="C125" s="204"/>
      <c r="D125" s="63"/>
      <c r="E125" s="64">
        <f>320+500+1590+1293+1740+270+1460+1850+2000+2000+2000+2000</f>
        <v>17023</v>
      </c>
      <c r="F125" s="64"/>
      <c r="G125" s="64"/>
      <c r="H125" s="64">
        <f>-E125</f>
        <v>-17023</v>
      </c>
      <c r="I125" s="64"/>
      <c r="J125" s="64"/>
      <c r="K125" s="16"/>
      <c r="L125" s="16"/>
      <c r="M125" s="64"/>
      <c r="N125" s="16"/>
      <c r="O125" s="16"/>
      <c r="P125" s="64"/>
      <c r="Q125" s="46"/>
      <c r="R125" s="40"/>
      <c r="S125" s="39"/>
      <c r="T125" s="16"/>
      <c r="U125" s="16"/>
      <c r="V125" s="16"/>
      <c r="W125" s="16"/>
      <c r="X125" s="16"/>
      <c r="Y125" s="19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22"/>
      <c r="AQ125" s="10"/>
      <c r="AR125" s="11"/>
    </row>
    <row r="126" spans="1:46" s="2" customFormat="1" ht="17.25" customHeight="1" x14ac:dyDescent="0.25">
      <c r="A126" s="24"/>
      <c r="B126" s="201" t="s">
        <v>28</v>
      </c>
      <c r="C126" s="204"/>
      <c r="D126" s="63"/>
      <c r="E126" s="64">
        <v>-1237.98</v>
      </c>
      <c r="F126" s="74"/>
      <c r="G126" s="74"/>
      <c r="H126" s="64"/>
      <c r="I126" s="64"/>
      <c r="J126" s="64"/>
      <c r="K126" s="16"/>
      <c r="L126" s="16"/>
      <c r="M126" s="64"/>
      <c r="N126" s="16"/>
      <c r="O126" s="16"/>
      <c r="P126" s="64"/>
      <c r="Q126" s="46"/>
      <c r="R126" s="39"/>
      <c r="S126" s="40"/>
      <c r="T126" s="16"/>
      <c r="U126" s="16"/>
      <c r="V126" s="16"/>
      <c r="W126" s="16"/>
      <c r="X126" s="16"/>
      <c r="Y126" s="19"/>
      <c r="Z126" s="16"/>
      <c r="AA126" s="16"/>
      <c r="AB126" s="16"/>
      <c r="AC126" s="16"/>
      <c r="AD126" s="16"/>
      <c r="AE126" s="16"/>
      <c r="AF126" s="16"/>
      <c r="AG126" s="15"/>
      <c r="AH126" s="15"/>
      <c r="AI126" s="15"/>
      <c r="AJ126" s="15"/>
      <c r="AK126" s="15"/>
      <c r="AL126" s="15"/>
      <c r="AM126" s="15"/>
      <c r="AN126" s="16"/>
      <c r="AO126" s="22"/>
      <c r="AQ126" s="10"/>
      <c r="AR126" s="11"/>
    </row>
    <row r="127" spans="1:46" s="2" customFormat="1" ht="17.25" customHeight="1" x14ac:dyDescent="0.2">
      <c r="A127" s="24"/>
      <c r="B127" s="211" t="s">
        <v>114</v>
      </c>
      <c r="C127" s="206"/>
      <c r="D127" s="63"/>
      <c r="E127" s="64"/>
      <c r="F127" s="64">
        <v>-12900</v>
      </c>
      <c r="G127" s="64"/>
      <c r="H127" s="64"/>
      <c r="I127" s="64"/>
      <c r="J127" s="64"/>
      <c r="K127" s="16"/>
      <c r="L127" s="16"/>
      <c r="M127" s="64"/>
      <c r="N127" s="16"/>
      <c r="O127" s="16"/>
      <c r="P127" s="64"/>
      <c r="Q127" s="40"/>
      <c r="R127" s="40"/>
      <c r="S127" s="39"/>
      <c r="T127" s="16"/>
      <c r="U127" s="20">
        <f>-F127</f>
        <v>12900</v>
      </c>
      <c r="V127" s="16"/>
      <c r="W127" s="16"/>
      <c r="X127" s="16"/>
      <c r="Y127" s="19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41"/>
      <c r="AQ127" s="10"/>
      <c r="AR127" s="11"/>
    </row>
    <row r="128" spans="1:46" s="2" customFormat="1" ht="17.25" customHeight="1" x14ac:dyDescent="0.2">
      <c r="A128" s="24"/>
      <c r="B128" s="211" t="s">
        <v>115</v>
      </c>
      <c r="C128" s="206"/>
      <c r="D128" s="63"/>
      <c r="E128" s="64"/>
      <c r="F128" s="64">
        <v>-12900</v>
      </c>
      <c r="G128" s="64"/>
      <c r="H128" s="64"/>
      <c r="I128" s="64"/>
      <c r="J128" s="64"/>
      <c r="K128" s="16"/>
      <c r="L128" s="16"/>
      <c r="M128" s="64"/>
      <c r="N128" s="16"/>
      <c r="O128" s="16"/>
      <c r="P128" s="64"/>
      <c r="Q128" s="40"/>
      <c r="R128" s="40"/>
      <c r="S128" s="39"/>
      <c r="T128" s="16"/>
      <c r="U128" s="20">
        <f>-F128</f>
        <v>12900</v>
      </c>
      <c r="V128" s="16"/>
      <c r="W128" s="16"/>
      <c r="X128" s="16"/>
      <c r="Y128" s="19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41"/>
      <c r="AQ128" s="10"/>
      <c r="AR128" s="11"/>
    </row>
    <row r="129" spans="1:46" s="2" customFormat="1" ht="17.25" customHeight="1" x14ac:dyDescent="0.2">
      <c r="A129" s="24"/>
      <c r="B129" s="211" t="s">
        <v>108</v>
      </c>
      <c r="C129" s="206"/>
      <c r="D129" s="63"/>
      <c r="E129" s="64">
        <v>-12900</v>
      </c>
      <c r="F129" s="64"/>
      <c r="G129" s="64"/>
      <c r="H129" s="64"/>
      <c r="I129" s="64"/>
      <c r="J129" s="64"/>
      <c r="K129" s="16"/>
      <c r="L129" s="16"/>
      <c r="M129" s="64"/>
      <c r="N129" s="16"/>
      <c r="O129" s="16"/>
      <c r="P129" s="64"/>
      <c r="Q129" s="40"/>
      <c r="R129" s="40"/>
      <c r="S129" s="39"/>
      <c r="T129" s="16"/>
      <c r="U129" s="20">
        <f>-E129</f>
        <v>12900</v>
      </c>
      <c r="V129" s="16"/>
      <c r="W129" s="16"/>
      <c r="X129" s="16"/>
      <c r="Y129" s="19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41"/>
      <c r="AQ129" s="10"/>
      <c r="AR129" s="11"/>
    </row>
    <row r="130" spans="1:46" s="2" customFormat="1" ht="17.25" customHeight="1" x14ac:dyDescent="0.2">
      <c r="A130" s="24"/>
      <c r="B130" s="201" t="s">
        <v>29</v>
      </c>
      <c r="C130" s="204"/>
      <c r="D130" s="63"/>
      <c r="E130" s="64">
        <v>-168.3</v>
      </c>
      <c r="F130" s="64"/>
      <c r="G130" s="64"/>
      <c r="H130" s="64"/>
      <c r="I130" s="64"/>
      <c r="J130" s="64"/>
      <c r="K130" s="16"/>
      <c r="L130" s="16"/>
      <c r="M130" s="64"/>
      <c r="N130" s="16"/>
      <c r="O130" s="16"/>
      <c r="P130" s="64"/>
      <c r="Q130" s="40"/>
      <c r="R130" s="40"/>
      <c r="S130" s="39"/>
      <c r="T130" s="16"/>
      <c r="U130" s="16"/>
      <c r="V130" s="16"/>
      <c r="W130" s="16"/>
      <c r="X130" s="16"/>
      <c r="Y130" s="19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41"/>
      <c r="AQ130" s="10"/>
      <c r="AR130" s="11"/>
    </row>
    <row r="131" spans="1:46" s="2" customFormat="1" ht="17.25" customHeight="1" x14ac:dyDescent="0.2">
      <c r="A131" s="24"/>
      <c r="B131" s="201" t="s">
        <v>12</v>
      </c>
      <c r="C131" s="204"/>
      <c r="D131" s="63"/>
      <c r="E131" s="64">
        <v>-1000</v>
      </c>
      <c r="F131" s="64">
        <v>1000</v>
      </c>
      <c r="G131" s="64"/>
      <c r="H131" s="64"/>
      <c r="I131" s="64"/>
      <c r="J131" s="64"/>
      <c r="K131" s="16"/>
      <c r="L131" s="16"/>
      <c r="M131" s="64"/>
      <c r="N131" s="16"/>
      <c r="O131" s="16"/>
      <c r="P131" s="64"/>
      <c r="Q131" s="40"/>
      <c r="R131" s="40"/>
      <c r="S131" s="39"/>
      <c r="T131" s="16"/>
      <c r="U131" s="16"/>
      <c r="V131" s="16"/>
      <c r="W131" s="16"/>
      <c r="X131" s="16"/>
      <c r="Y131" s="19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41"/>
      <c r="AQ131" s="10"/>
      <c r="AR131" s="11"/>
    </row>
    <row r="132" spans="1:46" s="2" customFormat="1" ht="17.25" customHeight="1" x14ac:dyDescent="0.2">
      <c r="A132" s="24"/>
      <c r="B132" s="201" t="s">
        <v>32</v>
      </c>
      <c r="C132" s="204"/>
      <c r="D132" s="63"/>
      <c r="E132" s="64">
        <v>-11.4</v>
      </c>
      <c r="F132" s="64"/>
      <c r="G132" s="64"/>
      <c r="H132" s="64"/>
      <c r="I132" s="64"/>
      <c r="J132" s="64"/>
      <c r="K132" s="16"/>
      <c r="L132" s="16"/>
      <c r="M132" s="64"/>
      <c r="N132" s="16"/>
      <c r="O132" s="16"/>
      <c r="P132" s="64"/>
      <c r="Q132" s="40"/>
      <c r="R132" s="40"/>
      <c r="S132" s="39"/>
      <c r="T132" s="16"/>
      <c r="U132" s="16"/>
      <c r="V132" s="16"/>
      <c r="W132" s="16"/>
      <c r="X132" s="16"/>
      <c r="Y132" s="19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41"/>
      <c r="AQ132" s="10"/>
      <c r="AR132" s="11"/>
    </row>
    <row r="133" spans="1:46" s="2" customFormat="1" ht="17.25" customHeight="1" x14ac:dyDescent="0.2">
      <c r="A133" s="24"/>
      <c r="B133" s="201" t="s">
        <v>30</v>
      </c>
      <c r="C133" s="204"/>
      <c r="D133" s="63"/>
      <c r="E133" s="64">
        <v>-100</v>
      </c>
      <c r="F133" s="64"/>
      <c r="G133" s="64"/>
      <c r="H133" s="64"/>
      <c r="I133" s="64"/>
      <c r="J133" s="64"/>
      <c r="K133" s="16"/>
      <c r="L133" s="16"/>
      <c r="M133" s="64"/>
      <c r="N133" s="16"/>
      <c r="O133" s="16"/>
      <c r="P133" s="64"/>
      <c r="Q133" s="40"/>
      <c r="R133" s="40"/>
      <c r="S133" s="39"/>
      <c r="T133" s="16"/>
      <c r="U133" s="16"/>
      <c r="V133" s="16"/>
      <c r="W133" s="16"/>
      <c r="X133" s="16"/>
      <c r="Y133" s="19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41"/>
      <c r="AQ133" s="10"/>
      <c r="AR133" s="11"/>
    </row>
    <row r="134" spans="1:46" s="2" customFormat="1" ht="17.25" customHeight="1" x14ac:dyDescent="0.2">
      <c r="A134" s="24"/>
      <c r="B134" s="201" t="s">
        <v>31</v>
      </c>
      <c r="C134" s="204"/>
      <c r="D134" s="63"/>
      <c r="E134" s="64">
        <v>-138.5</v>
      </c>
      <c r="F134" s="64"/>
      <c r="G134" s="64"/>
      <c r="H134" s="64"/>
      <c r="I134" s="64"/>
      <c r="J134" s="64"/>
      <c r="K134" s="16"/>
      <c r="L134" s="16"/>
      <c r="M134" s="64"/>
      <c r="N134" s="16"/>
      <c r="O134" s="16"/>
      <c r="P134" s="64"/>
      <c r="Q134" s="40"/>
      <c r="R134" s="40"/>
      <c r="S134" s="39"/>
      <c r="T134" s="16"/>
      <c r="U134" s="16"/>
      <c r="V134" s="16"/>
      <c r="W134" s="16"/>
      <c r="X134" s="16"/>
      <c r="Y134" s="19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41"/>
      <c r="AQ134" s="10"/>
      <c r="AR134" s="11"/>
    </row>
    <row r="135" spans="1:46" s="2" customFormat="1" ht="17.25" customHeight="1" x14ac:dyDescent="0.2">
      <c r="A135" s="24"/>
      <c r="B135" s="52" t="s">
        <v>64</v>
      </c>
      <c r="C135" s="53"/>
      <c r="D135" s="63">
        <v>9052.06</v>
      </c>
      <c r="E135" s="64"/>
      <c r="F135" s="64"/>
      <c r="G135" s="64"/>
      <c r="H135" s="64"/>
      <c r="I135" s="64">
        <f>-D135</f>
        <v>-9052.06</v>
      </c>
      <c r="J135" s="64"/>
      <c r="K135" s="16"/>
      <c r="L135" s="16"/>
      <c r="M135" s="64"/>
      <c r="N135" s="16"/>
      <c r="O135" s="16"/>
      <c r="P135" s="64"/>
      <c r="Q135" s="40"/>
      <c r="R135" s="40"/>
      <c r="S135" s="39"/>
      <c r="T135" s="16"/>
      <c r="U135" s="16"/>
      <c r="V135" s="16"/>
      <c r="W135" s="16"/>
      <c r="X135" s="16"/>
      <c r="Y135" s="19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41"/>
      <c r="AQ135" s="10"/>
      <c r="AR135" s="11"/>
    </row>
    <row r="136" spans="1:46" s="4" customFormat="1" ht="17.25" customHeight="1" x14ac:dyDescent="0.25">
      <c r="A136" s="23"/>
      <c r="B136" s="201" t="s">
        <v>96</v>
      </c>
      <c r="C136" s="202"/>
      <c r="D136" s="63"/>
      <c r="E136" s="64"/>
      <c r="F136" s="64"/>
      <c r="G136" s="64"/>
      <c r="H136" s="64"/>
      <c r="I136" s="117">
        <f>-I123-I135</f>
        <v>-239.27000000000044</v>
      </c>
      <c r="J136" s="64"/>
      <c r="K136" s="16"/>
      <c r="L136" s="92"/>
      <c r="M136" s="64"/>
      <c r="N136" s="16"/>
      <c r="O136" s="92"/>
      <c r="P136" s="64"/>
      <c r="Q136" s="40"/>
      <c r="R136" s="46"/>
      <c r="S136" s="39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22"/>
      <c r="AP136" s="30"/>
    </row>
    <row r="137" spans="1:46" s="2" customFormat="1" ht="17.25" customHeight="1" x14ac:dyDescent="0.2">
      <c r="A137" s="24"/>
      <c r="B137" s="201" t="s">
        <v>72</v>
      </c>
      <c r="C137" s="203"/>
      <c r="D137" s="63">
        <v>-9000</v>
      </c>
      <c r="E137" s="64"/>
      <c r="F137" s="64">
        <v>9000</v>
      </c>
      <c r="G137" s="64"/>
      <c r="H137" s="64"/>
      <c r="I137" s="64"/>
      <c r="J137" s="64"/>
      <c r="K137" s="16"/>
      <c r="L137" s="16"/>
      <c r="M137" s="64"/>
      <c r="N137" s="16"/>
      <c r="O137" s="16"/>
      <c r="P137" s="64"/>
      <c r="Q137" s="40"/>
      <c r="R137" s="40"/>
      <c r="S137" s="39"/>
      <c r="T137" s="16"/>
      <c r="U137" s="16"/>
      <c r="V137" s="16"/>
      <c r="W137" s="16"/>
      <c r="X137" s="16"/>
      <c r="Y137" s="19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41"/>
      <c r="AQ137" s="10"/>
      <c r="AR137" s="11"/>
    </row>
    <row r="138" spans="1:46" s="2" customFormat="1" ht="17.25" customHeight="1" x14ac:dyDescent="0.2">
      <c r="A138" s="24"/>
      <c r="B138" s="201"/>
      <c r="C138" s="204"/>
      <c r="D138" s="63"/>
      <c r="E138" s="64"/>
      <c r="F138" s="64"/>
      <c r="G138" s="64"/>
      <c r="H138" s="64"/>
      <c r="I138" s="64"/>
      <c r="J138" s="64"/>
      <c r="K138" s="16"/>
      <c r="L138" s="16"/>
      <c r="M138" s="64"/>
      <c r="N138" s="16"/>
      <c r="O138" s="16"/>
      <c r="P138" s="64"/>
      <c r="Q138" s="40"/>
      <c r="R138" s="40"/>
      <c r="S138" s="39"/>
      <c r="T138" s="16"/>
      <c r="U138" s="16"/>
      <c r="V138" s="16"/>
      <c r="W138" s="16"/>
      <c r="X138" s="16"/>
      <c r="Y138" s="19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41"/>
      <c r="AQ138" s="10"/>
      <c r="AR138" s="11"/>
    </row>
    <row r="139" spans="1:46" s="2" customFormat="1" ht="17.25" customHeight="1" thickBot="1" x14ac:dyDescent="0.25">
      <c r="A139" s="24"/>
      <c r="B139" s="216"/>
      <c r="C139" s="217"/>
      <c r="D139" s="83"/>
      <c r="E139" s="81"/>
      <c r="F139" s="81"/>
      <c r="G139" s="81"/>
      <c r="H139" s="81"/>
      <c r="I139" s="81"/>
      <c r="J139" s="81"/>
      <c r="K139" s="37"/>
      <c r="L139" s="93"/>
      <c r="M139" s="81"/>
      <c r="N139" s="37"/>
      <c r="O139" s="93"/>
      <c r="P139" s="81"/>
      <c r="Q139" s="40"/>
      <c r="R139" s="40"/>
      <c r="S139" s="39"/>
      <c r="T139" s="16"/>
      <c r="U139" s="16"/>
      <c r="V139" s="16"/>
      <c r="W139" s="16"/>
      <c r="X139" s="16"/>
      <c r="Y139" s="19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41"/>
      <c r="AQ139" s="10"/>
      <c r="AR139" s="11"/>
    </row>
    <row r="140" spans="1:46" s="4" customFormat="1" ht="17.25" customHeight="1" x14ac:dyDescent="0.25">
      <c r="A140" s="23"/>
      <c r="B140" s="210" t="s">
        <v>94</v>
      </c>
      <c r="C140" s="203"/>
      <c r="D140" s="66"/>
      <c r="E140" s="66"/>
      <c r="F140" s="117"/>
      <c r="G140" s="117"/>
      <c r="H140" s="66"/>
      <c r="I140" s="66"/>
      <c r="J140" s="66">
        <f>-M140</f>
        <v>5719.3600000000006</v>
      </c>
      <c r="K140" s="58">
        <v>-976</v>
      </c>
      <c r="L140" s="89">
        <v>5.86</v>
      </c>
      <c r="M140" s="73">
        <f>K140*L140</f>
        <v>-5719.3600000000006</v>
      </c>
      <c r="N140" s="58"/>
      <c r="O140" s="89"/>
      <c r="P140" s="73"/>
      <c r="Q140" s="39"/>
      <c r="R140" s="39"/>
      <c r="S140" s="8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35"/>
      <c r="AP140" s="12" t="e">
        <f>#REF!</f>
        <v>#REF!</v>
      </c>
    </row>
    <row r="141" spans="1:46" s="4" customFormat="1" ht="17.25" customHeight="1" x14ac:dyDescent="0.25">
      <c r="A141" s="23"/>
      <c r="B141" s="201" t="s">
        <v>95</v>
      </c>
      <c r="C141" s="202"/>
      <c r="D141" s="64"/>
      <c r="E141" s="64"/>
      <c r="F141" s="117"/>
      <c r="G141" s="117"/>
      <c r="H141" s="64"/>
      <c r="I141" s="64"/>
      <c r="J141" s="64">
        <f>-P141</f>
        <v>8461.119999999999</v>
      </c>
      <c r="K141" s="57"/>
      <c r="L141" s="88"/>
      <c r="M141" s="62"/>
      <c r="N141" s="57">
        <v>-2192</v>
      </c>
      <c r="O141" s="88">
        <v>3.86</v>
      </c>
      <c r="P141" s="62">
        <f>N141*O141</f>
        <v>-8461.119999999999</v>
      </c>
      <c r="Q141" s="39"/>
      <c r="R141" s="39"/>
      <c r="S141" s="8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35"/>
      <c r="AP141" s="12" t="e">
        <f>#REF!</f>
        <v>#REF!</v>
      </c>
    </row>
    <row r="142" spans="1:46" s="4" customFormat="1" ht="17.25" customHeight="1" x14ac:dyDescent="0.25">
      <c r="A142" s="23"/>
      <c r="B142" s="201" t="s">
        <v>97</v>
      </c>
      <c r="C142" s="203"/>
      <c r="D142" s="64"/>
      <c r="E142" s="64"/>
      <c r="F142" s="64"/>
      <c r="G142" s="64"/>
      <c r="H142" s="64">
        <f>-J142-I142</f>
        <v>5944.5</v>
      </c>
      <c r="I142" s="64">
        <v>8235.98</v>
      </c>
      <c r="J142" s="64">
        <f>-SUM(J140:J141)</f>
        <v>-14180.48</v>
      </c>
      <c r="K142" s="57"/>
      <c r="L142" s="88"/>
      <c r="M142" s="62"/>
      <c r="N142" s="57"/>
      <c r="O142" s="88"/>
      <c r="P142" s="62"/>
      <c r="Q142" s="39"/>
      <c r="R142" s="39"/>
      <c r="S142" s="39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22"/>
      <c r="AO142" s="43">
        <f>A115</f>
        <v>0</v>
      </c>
      <c r="AP142" s="12" t="e">
        <f>#REF!</f>
        <v>#REF!</v>
      </c>
      <c r="AT142" s="2"/>
    </row>
    <row r="143" spans="1:46" s="4" customFormat="1" ht="17.25" customHeight="1" x14ac:dyDescent="0.25">
      <c r="A143" s="23"/>
      <c r="B143" s="201" t="s">
        <v>93</v>
      </c>
      <c r="C143" s="202"/>
      <c r="D143" s="64"/>
      <c r="E143" s="64"/>
      <c r="F143" s="64"/>
      <c r="G143" s="64"/>
      <c r="H143" s="64"/>
      <c r="I143" s="64"/>
      <c r="J143" s="64"/>
      <c r="K143" s="57">
        <v>13</v>
      </c>
      <c r="L143" s="88"/>
      <c r="M143" s="118">
        <f>(K146*L123)-M123-M140</f>
        <v>971.00453249577549</v>
      </c>
      <c r="N143" s="57">
        <v>-111</v>
      </c>
      <c r="O143" s="88"/>
      <c r="P143" s="118">
        <f>(N146*O123)-P123-P141</f>
        <v>35.143035775126918</v>
      </c>
      <c r="Q143" s="39"/>
      <c r="R143" s="39"/>
      <c r="S143" s="39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22"/>
      <c r="AO143" s="43">
        <f>A125</f>
        <v>0</v>
      </c>
      <c r="AP143" s="12" t="e">
        <f>#REF!</f>
        <v>#REF!</v>
      </c>
      <c r="AT143" s="2"/>
    </row>
    <row r="144" spans="1:46" s="2" customFormat="1" ht="17.25" customHeight="1" x14ac:dyDescent="0.2">
      <c r="A144" s="24"/>
      <c r="B144" s="201"/>
      <c r="C144" s="204"/>
      <c r="D144" s="63"/>
      <c r="E144" s="64"/>
      <c r="F144" s="64"/>
      <c r="G144" s="64"/>
      <c r="H144" s="64"/>
      <c r="I144" s="64"/>
      <c r="J144" s="64"/>
      <c r="K144" s="16"/>
      <c r="L144" s="16"/>
      <c r="M144" s="64"/>
      <c r="N144" s="16"/>
      <c r="O144" s="16"/>
      <c r="P144" s="64"/>
      <c r="Q144" s="46"/>
      <c r="R144" s="46"/>
      <c r="S144" s="39"/>
      <c r="T144" s="16"/>
      <c r="U144" s="16"/>
      <c r="V144" s="16"/>
      <c r="W144" s="16"/>
      <c r="X144" s="16"/>
      <c r="Y144" s="19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43">
        <f>A124</f>
        <v>45912</v>
      </c>
      <c r="AQ144" s="10"/>
      <c r="AR144" s="11"/>
    </row>
    <row r="145" spans="1:46" s="2" customFormat="1" ht="17.25" customHeight="1" thickBot="1" x14ac:dyDescent="0.3">
      <c r="A145" s="56"/>
      <c r="B145" s="101" t="s">
        <v>102</v>
      </c>
      <c r="C145" s="102">
        <f>D146+E146+F146+G146+H146+I146+J146+M146+P146</f>
        <v>80639.729999999981</v>
      </c>
      <c r="D145" s="84"/>
      <c r="E145" s="85"/>
      <c r="F145" s="85"/>
      <c r="G145" s="85"/>
      <c r="H145" s="85"/>
      <c r="I145" s="85"/>
      <c r="J145" s="85"/>
      <c r="K145" s="28"/>
      <c r="L145" s="28"/>
      <c r="M145" s="85"/>
      <c r="N145" s="28"/>
      <c r="O145" s="28"/>
      <c r="P145" s="85"/>
      <c r="Q145" s="48"/>
      <c r="R145" s="48"/>
      <c r="S145" s="51"/>
      <c r="T145" s="28"/>
      <c r="U145" s="28"/>
      <c r="V145" s="28"/>
      <c r="W145" s="28"/>
      <c r="X145" s="28"/>
      <c r="Y145" s="36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42">
        <f>SUM($Q123:AN145)</f>
        <v>-382573.45</v>
      </c>
      <c r="AQ145" s="10"/>
      <c r="AR145" s="11"/>
      <c r="AS145" s="2" t="s">
        <v>5</v>
      </c>
    </row>
    <row r="146" spans="1:46" s="2" customFormat="1" ht="17.25" customHeight="1" thickTop="1" thickBot="1" x14ac:dyDescent="0.3">
      <c r="A146" s="103"/>
      <c r="B146" s="104" t="s">
        <v>103</v>
      </c>
      <c r="C146" s="105">
        <f>AO146</f>
        <v>-301933.72000000003</v>
      </c>
      <c r="D146" s="106">
        <f t="shared" ref="D146:K146" si="15">SUM(D123:D145)</f>
        <v>52.889999999997599</v>
      </c>
      <c r="E146" s="107">
        <f t="shared" si="15"/>
        <v>-33101.680000000008</v>
      </c>
      <c r="F146" s="107">
        <f t="shared" si="15"/>
        <v>366.42999999999847</v>
      </c>
      <c r="G146" s="107">
        <f t="shared" si="15"/>
        <v>-100</v>
      </c>
      <c r="H146" s="107">
        <f t="shared" si="15"/>
        <v>2375.4200000000019</v>
      </c>
      <c r="I146" s="107">
        <f t="shared" si="15"/>
        <v>8235.98</v>
      </c>
      <c r="J146" s="107">
        <f t="shared" si="15"/>
        <v>0</v>
      </c>
      <c r="K146" s="108">
        <f t="shared" si="15"/>
        <v>7315</v>
      </c>
      <c r="L146" s="109">
        <f>M146/K146</f>
        <v>4.9307942583732061</v>
      </c>
      <c r="M146" s="107">
        <f>ROUND(SUM(M123:M145),2)</f>
        <v>36068.76</v>
      </c>
      <c r="N146" s="108">
        <f>SUM(N123:N145)</f>
        <v>18242</v>
      </c>
      <c r="O146" s="109">
        <f>P146/N146</f>
        <v>3.6586958666812848</v>
      </c>
      <c r="P146" s="107">
        <f>ROUND(SUM(P123:P145),2)</f>
        <v>66741.929999999993</v>
      </c>
      <c r="Q146" s="110">
        <f t="shared" ref="Q146:AN146" si="16">SUM(Q123:Q145)</f>
        <v>-73200</v>
      </c>
      <c r="R146" s="107">
        <f t="shared" si="16"/>
        <v>6000</v>
      </c>
      <c r="S146" s="107">
        <f t="shared" si="16"/>
        <v>0</v>
      </c>
      <c r="T146" s="107">
        <f t="shared" si="16"/>
        <v>-16073.45</v>
      </c>
      <c r="U146" s="107">
        <f t="shared" si="16"/>
        <v>-189200</v>
      </c>
      <c r="V146" s="107">
        <f t="shared" si="16"/>
        <v>-110100</v>
      </c>
      <c r="W146" s="107">
        <f t="shared" si="16"/>
        <v>0</v>
      </c>
      <c r="X146" s="107">
        <f t="shared" si="16"/>
        <v>0</v>
      </c>
      <c r="Y146" s="107">
        <f t="shared" si="16"/>
        <v>0</v>
      </c>
      <c r="Z146" s="107">
        <f t="shared" si="16"/>
        <v>0</v>
      </c>
      <c r="AA146" s="107">
        <f t="shared" si="16"/>
        <v>0</v>
      </c>
      <c r="AB146" s="107">
        <f t="shared" si="16"/>
        <v>0</v>
      </c>
      <c r="AC146" s="107">
        <f t="shared" si="16"/>
        <v>0</v>
      </c>
      <c r="AD146" s="107">
        <f t="shared" si="16"/>
        <v>0</v>
      </c>
      <c r="AE146" s="107">
        <f t="shared" si="16"/>
        <v>0</v>
      </c>
      <c r="AF146" s="107">
        <f t="shared" si="16"/>
        <v>0</v>
      </c>
      <c r="AG146" s="107">
        <f t="shared" si="16"/>
        <v>0</v>
      </c>
      <c r="AH146" s="107">
        <f t="shared" si="16"/>
        <v>0</v>
      </c>
      <c r="AI146" s="107">
        <f t="shared" si="16"/>
        <v>0</v>
      </c>
      <c r="AJ146" s="107">
        <f t="shared" si="16"/>
        <v>0</v>
      </c>
      <c r="AK146" s="107">
        <f t="shared" si="16"/>
        <v>0</v>
      </c>
      <c r="AL146" s="107">
        <f t="shared" si="16"/>
        <v>0</v>
      </c>
      <c r="AM146" s="107">
        <f t="shared" si="16"/>
        <v>0</v>
      </c>
      <c r="AN146" s="107">
        <f t="shared" si="16"/>
        <v>0</v>
      </c>
      <c r="AO146" s="111">
        <f>D146+E146+F146+G146+H146+I146+J146+M146+P146+SUM(Q146:AN146)</f>
        <v>-301933.72000000003</v>
      </c>
      <c r="AP146" s="4"/>
      <c r="AQ146" s="5"/>
      <c r="AR146" s="5"/>
      <c r="AS146" s="2" t="s">
        <v>6</v>
      </c>
    </row>
    <row r="147" spans="1:46" s="2" customFormat="1" ht="17.25" customHeight="1" thickTop="1" x14ac:dyDescent="0.25">
      <c r="A147" s="23">
        <f>A124+1</f>
        <v>45913</v>
      </c>
      <c r="B147" s="210" t="s">
        <v>64</v>
      </c>
      <c r="C147" s="203"/>
      <c r="D147" s="63">
        <v>8035.94</v>
      </c>
      <c r="E147" s="66"/>
      <c r="F147" s="66"/>
      <c r="G147" s="66"/>
      <c r="H147" s="66"/>
      <c r="I147" s="66">
        <f>-D147</f>
        <v>-8035.94</v>
      </c>
      <c r="J147" s="66"/>
      <c r="K147" s="18"/>
      <c r="L147" s="18"/>
      <c r="M147" s="66"/>
      <c r="N147" s="18"/>
      <c r="O147" s="18"/>
      <c r="P147" s="66"/>
      <c r="Q147" s="46"/>
      <c r="R147" s="46"/>
      <c r="S147" s="45"/>
      <c r="T147" s="18"/>
      <c r="U147" s="18"/>
      <c r="V147" s="18"/>
      <c r="W147" s="18"/>
      <c r="X147" s="18"/>
      <c r="Y147" s="14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7"/>
      <c r="AO147" s="31"/>
      <c r="AQ147" s="10"/>
      <c r="AR147" s="27"/>
    </row>
    <row r="148" spans="1:46" s="4" customFormat="1" ht="17.25" customHeight="1" x14ac:dyDescent="0.25">
      <c r="A148" s="23"/>
      <c r="B148" s="201" t="s">
        <v>96</v>
      </c>
      <c r="C148" s="202"/>
      <c r="D148" s="63"/>
      <c r="E148" s="64"/>
      <c r="F148" s="64"/>
      <c r="G148" s="64"/>
      <c r="H148" s="64"/>
      <c r="I148" s="117">
        <f>-I146-I147</f>
        <v>-200.03999999999996</v>
      </c>
      <c r="J148" s="64"/>
      <c r="K148" s="16"/>
      <c r="L148" s="92"/>
      <c r="M148" s="64"/>
      <c r="N148" s="16"/>
      <c r="O148" s="92"/>
      <c r="P148" s="64"/>
      <c r="Q148" s="40"/>
      <c r="R148" s="46"/>
      <c r="S148" s="39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22"/>
      <c r="AP148" s="30"/>
    </row>
    <row r="149" spans="1:46" s="2" customFormat="1" ht="17.25" customHeight="1" x14ac:dyDescent="0.25">
      <c r="A149" s="24"/>
      <c r="B149" s="201" t="s">
        <v>72</v>
      </c>
      <c r="C149" s="203"/>
      <c r="D149" s="63">
        <v>-8000</v>
      </c>
      <c r="E149" s="64"/>
      <c r="F149" s="64">
        <f>-D149</f>
        <v>8000</v>
      </c>
      <c r="G149" s="64">
        <f>-E149</f>
        <v>0</v>
      </c>
      <c r="H149" s="64"/>
      <c r="I149" s="64"/>
      <c r="J149" s="64"/>
      <c r="K149" s="16"/>
      <c r="L149" s="16"/>
      <c r="M149" s="64"/>
      <c r="N149" s="16"/>
      <c r="O149" s="16"/>
      <c r="P149" s="64"/>
      <c r="Q149" s="46"/>
      <c r="R149" s="40"/>
      <c r="S149" s="39"/>
      <c r="T149" s="16"/>
      <c r="U149" s="16"/>
      <c r="V149" s="16"/>
      <c r="W149" s="16"/>
      <c r="X149" s="16"/>
      <c r="Y149" s="19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22"/>
      <c r="AQ149" s="10"/>
      <c r="AR149" s="11"/>
    </row>
    <row r="150" spans="1:46" s="2" customFormat="1" ht="17.25" customHeight="1" x14ac:dyDescent="0.25">
      <c r="A150" s="24"/>
      <c r="B150" s="201"/>
      <c r="C150" s="204"/>
      <c r="D150" s="63"/>
      <c r="E150" s="64"/>
      <c r="F150" s="74"/>
      <c r="G150" s="74"/>
      <c r="H150" s="64"/>
      <c r="I150" s="64"/>
      <c r="J150" s="64"/>
      <c r="K150" s="16"/>
      <c r="L150" s="16"/>
      <c r="M150" s="64"/>
      <c r="N150" s="16"/>
      <c r="O150" s="16"/>
      <c r="P150" s="64"/>
      <c r="Q150" s="46"/>
      <c r="R150" s="39"/>
      <c r="S150" s="40"/>
      <c r="T150" s="16"/>
      <c r="U150" s="16"/>
      <c r="V150" s="16"/>
      <c r="W150" s="16"/>
      <c r="X150" s="16"/>
      <c r="Y150" s="19"/>
      <c r="Z150" s="16"/>
      <c r="AA150" s="16"/>
      <c r="AB150" s="16"/>
      <c r="AC150" s="16"/>
      <c r="AD150" s="16"/>
      <c r="AE150" s="16"/>
      <c r="AF150" s="16"/>
      <c r="AG150" s="15"/>
      <c r="AH150" s="15"/>
      <c r="AI150" s="15"/>
      <c r="AJ150" s="15"/>
      <c r="AK150" s="15"/>
      <c r="AL150" s="15"/>
      <c r="AM150" s="15"/>
      <c r="AN150" s="16"/>
      <c r="AO150" s="22"/>
      <c r="AQ150" s="10"/>
      <c r="AR150" s="11"/>
    </row>
    <row r="151" spans="1:46" s="2" customFormat="1" ht="17.25" customHeight="1" x14ac:dyDescent="0.2">
      <c r="A151" s="24"/>
      <c r="B151" s="201"/>
      <c r="C151" s="204"/>
      <c r="D151" s="63"/>
      <c r="E151" s="64"/>
      <c r="F151" s="64"/>
      <c r="G151" s="64"/>
      <c r="H151" s="64"/>
      <c r="I151" s="64"/>
      <c r="J151" s="64"/>
      <c r="K151" s="16"/>
      <c r="L151" s="16"/>
      <c r="M151" s="64"/>
      <c r="N151" s="16"/>
      <c r="O151" s="16"/>
      <c r="P151" s="64"/>
      <c r="Q151" s="40"/>
      <c r="R151" s="40"/>
      <c r="S151" s="39"/>
      <c r="T151" s="16"/>
      <c r="U151" s="16"/>
      <c r="V151" s="16"/>
      <c r="W151" s="16"/>
      <c r="X151" s="16"/>
      <c r="Y151" s="19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41"/>
      <c r="AQ151" s="10"/>
      <c r="AR151" s="11"/>
    </row>
    <row r="152" spans="1:46" s="2" customFormat="1" ht="17.25" customHeight="1" thickBot="1" x14ac:dyDescent="0.25">
      <c r="A152" s="24"/>
      <c r="B152" s="216"/>
      <c r="C152" s="217"/>
      <c r="D152" s="83"/>
      <c r="E152" s="81"/>
      <c r="F152" s="81"/>
      <c r="G152" s="81"/>
      <c r="H152" s="81"/>
      <c r="I152" s="81"/>
      <c r="J152" s="81"/>
      <c r="K152" s="37"/>
      <c r="L152" s="93"/>
      <c r="M152" s="81"/>
      <c r="N152" s="37"/>
      <c r="O152" s="93"/>
      <c r="P152" s="81"/>
      <c r="Q152" s="40"/>
      <c r="R152" s="40"/>
      <c r="S152" s="39"/>
      <c r="T152" s="16"/>
      <c r="U152" s="16"/>
      <c r="V152" s="16"/>
      <c r="W152" s="16"/>
      <c r="X152" s="16"/>
      <c r="Y152" s="19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41"/>
      <c r="AQ152" s="10"/>
      <c r="AR152" s="11"/>
    </row>
    <row r="153" spans="1:46" s="4" customFormat="1" ht="17.25" customHeight="1" x14ac:dyDescent="0.25">
      <c r="A153" s="23"/>
      <c r="B153" s="210" t="s">
        <v>94</v>
      </c>
      <c r="C153" s="203"/>
      <c r="D153" s="66"/>
      <c r="E153" s="66"/>
      <c r="F153" s="117"/>
      <c r="G153" s="117"/>
      <c r="H153" s="66"/>
      <c r="I153" s="66"/>
      <c r="J153" s="66">
        <f>-M153</f>
        <v>7395.3200000000006</v>
      </c>
      <c r="K153" s="58">
        <v>-1262</v>
      </c>
      <c r="L153" s="89">
        <v>5.86</v>
      </c>
      <c r="M153" s="73">
        <f>K153*L153</f>
        <v>-7395.3200000000006</v>
      </c>
      <c r="N153" s="58"/>
      <c r="O153" s="89"/>
      <c r="P153" s="73"/>
      <c r="Q153" s="39"/>
      <c r="R153" s="39"/>
      <c r="S153" s="8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35"/>
      <c r="AP153" s="12" t="e">
        <f>#REF!</f>
        <v>#REF!</v>
      </c>
    </row>
    <row r="154" spans="1:46" s="4" customFormat="1" ht="17.25" customHeight="1" x14ac:dyDescent="0.25">
      <c r="A154" s="23"/>
      <c r="B154" s="201" t="s">
        <v>95</v>
      </c>
      <c r="C154" s="202"/>
      <c r="D154" s="64"/>
      <c r="E154" s="64"/>
      <c r="F154" s="117"/>
      <c r="G154" s="117"/>
      <c r="H154" s="64"/>
      <c r="I154" s="64"/>
      <c r="J154" s="64">
        <f>-P154</f>
        <v>7650.5199999999995</v>
      </c>
      <c r="K154" s="57"/>
      <c r="L154" s="88"/>
      <c r="M154" s="62"/>
      <c r="N154" s="57">
        <v>-1982</v>
      </c>
      <c r="O154" s="88">
        <v>3.86</v>
      </c>
      <c r="P154" s="62">
        <f>N154*O154</f>
        <v>-7650.5199999999995</v>
      </c>
      <c r="Q154" s="39"/>
      <c r="R154" s="39"/>
      <c r="S154" s="8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35"/>
      <c r="AP154" s="12" t="e">
        <f>#REF!</f>
        <v>#REF!</v>
      </c>
    </row>
    <row r="155" spans="1:46" s="4" customFormat="1" ht="17.25" customHeight="1" x14ac:dyDescent="0.25">
      <c r="A155" s="23"/>
      <c r="B155" s="201" t="s">
        <v>97</v>
      </c>
      <c r="C155" s="203"/>
      <c r="D155" s="64"/>
      <c r="E155" s="64"/>
      <c r="F155" s="64"/>
      <c r="G155" s="64"/>
      <c r="H155" s="64">
        <f>-J155-I155</f>
        <v>4709.8700000000008</v>
      </c>
      <c r="I155" s="64">
        <v>10335.969999999999</v>
      </c>
      <c r="J155" s="64">
        <f>-SUM(J153:J154)</f>
        <v>-15045.84</v>
      </c>
      <c r="K155" s="57"/>
      <c r="L155" s="88"/>
      <c r="M155" s="62"/>
      <c r="N155" s="57"/>
      <c r="O155" s="88"/>
      <c r="P155" s="62"/>
      <c r="Q155" s="39"/>
      <c r="R155" s="39"/>
      <c r="S155" s="39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22"/>
      <c r="AO155" s="43">
        <f>A130</f>
        <v>0</v>
      </c>
      <c r="AP155" s="12" t="e">
        <f>#REF!</f>
        <v>#REF!</v>
      </c>
      <c r="AT155" s="2"/>
    </row>
    <row r="156" spans="1:46" s="4" customFormat="1" ht="17.25" customHeight="1" x14ac:dyDescent="0.25">
      <c r="A156" s="23"/>
      <c r="B156" s="201" t="s">
        <v>93</v>
      </c>
      <c r="C156" s="202"/>
      <c r="D156" s="64"/>
      <c r="E156" s="64"/>
      <c r="F156" s="64"/>
      <c r="G156" s="64"/>
      <c r="H156" s="64"/>
      <c r="I156" s="64"/>
      <c r="J156" s="64"/>
      <c r="K156" s="57">
        <v>25</v>
      </c>
      <c r="L156" s="88"/>
      <c r="M156" s="118">
        <f>(K159*L146)-M146-M153</f>
        <v>1295.9275023923446</v>
      </c>
      <c r="N156" s="57">
        <v>-71</v>
      </c>
      <c r="O156" s="88"/>
      <c r="P156" s="118">
        <f>(N159*O146)-P146-P154</f>
        <v>139.21738570332218</v>
      </c>
      <c r="Q156" s="39"/>
      <c r="R156" s="39"/>
      <c r="S156" s="39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22"/>
      <c r="AO156" s="43">
        <f>A140</f>
        <v>0</v>
      </c>
      <c r="AP156" s="12" t="e">
        <f>#REF!</f>
        <v>#REF!</v>
      </c>
      <c r="AT156" s="2"/>
    </row>
    <row r="157" spans="1:46" s="2" customFormat="1" ht="17.25" customHeight="1" x14ac:dyDescent="0.2">
      <c r="A157" s="24"/>
      <c r="B157" s="201"/>
      <c r="C157" s="204"/>
      <c r="D157" s="63"/>
      <c r="E157" s="64"/>
      <c r="F157" s="64"/>
      <c r="G157" s="64"/>
      <c r="H157" s="64"/>
      <c r="I157" s="64"/>
      <c r="J157" s="64"/>
      <c r="K157" s="16"/>
      <c r="L157" s="16"/>
      <c r="M157" s="64"/>
      <c r="N157" s="16"/>
      <c r="O157" s="16"/>
      <c r="P157" s="64"/>
      <c r="Q157" s="46"/>
      <c r="R157" s="46"/>
      <c r="S157" s="39"/>
      <c r="T157" s="16"/>
      <c r="U157" s="16"/>
      <c r="V157" s="16"/>
      <c r="W157" s="16"/>
      <c r="X157" s="16"/>
      <c r="Y157" s="19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43">
        <f>A147</f>
        <v>45913</v>
      </c>
      <c r="AQ157" s="10"/>
      <c r="AR157" s="11"/>
    </row>
    <row r="158" spans="1:46" s="2" customFormat="1" ht="17.25" customHeight="1" thickBot="1" x14ac:dyDescent="0.3">
      <c r="A158" s="56"/>
      <c r="B158" s="101" t="s">
        <v>102</v>
      </c>
      <c r="C158" s="102">
        <f>D159+E159+F159+G159+H159+I159+J159+M159+P159</f>
        <v>81874.839999999982</v>
      </c>
      <c r="D158" s="84"/>
      <c r="E158" s="85"/>
      <c r="F158" s="85"/>
      <c r="G158" s="85"/>
      <c r="H158" s="85"/>
      <c r="I158" s="85"/>
      <c r="J158" s="85"/>
      <c r="K158" s="28"/>
      <c r="L158" s="28"/>
      <c r="M158" s="85"/>
      <c r="N158" s="28"/>
      <c r="O158" s="28"/>
      <c r="P158" s="85"/>
      <c r="Q158" s="48"/>
      <c r="R158" s="48"/>
      <c r="S158" s="51"/>
      <c r="T158" s="28"/>
      <c r="U158" s="28"/>
      <c r="V158" s="28"/>
      <c r="W158" s="28"/>
      <c r="X158" s="28"/>
      <c r="Y158" s="36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42">
        <f>SUM($Q146:AN158)</f>
        <v>-382573.45</v>
      </c>
      <c r="AQ158" s="10"/>
      <c r="AR158" s="11"/>
      <c r="AS158" s="2" t="s">
        <v>5</v>
      </c>
    </row>
    <row r="159" spans="1:46" s="2" customFormat="1" ht="17.25" customHeight="1" thickTop="1" thickBot="1" x14ac:dyDescent="0.3">
      <c r="A159" s="103"/>
      <c r="B159" s="104" t="s">
        <v>103</v>
      </c>
      <c r="C159" s="105">
        <f>AO159</f>
        <v>-300698.61000000004</v>
      </c>
      <c r="D159" s="106">
        <f t="shared" ref="D159:K159" si="17">SUM(D146:D158)</f>
        <v>88.829999999997199</v>
      </c>
      <c r="E159" s="107">
        <f t="shared" si="17"/>
        <v>-33101.680000000008</v>
      </c>
      <c r="F159" s="107">
        <f t="shared" si="17"/>
        <v>8366.4299999999985</v>
      </c>
      <c r="G159" s="107">
        <f t="shared" si="17"/>
        <v>-100</v>
      </c>
      <c r="H159" s="107">
        <f t="shared" si="17"/>
        <v>7085.2900000000027</v>
      </c>
      <c r="I159" s="107">
        <f t="shared" si="17"/>
        <v>10335.969999999999</v>
      </c>
      <c r="J159" s="107">
        <f t="shared" si="17"/>
        <v>0</v>
      </c>
      <c r="K159" s="108">
        <f t="shared" si="17"/>
        <v>6078</v>
      </c>
      <c r="L159" s="109">
        <f>M159/K159</f>
        <v>4.9307946692991118</v>
      </c>
      <c r="M159" s="107">
        <f>ROUND(SUM(M146:M158),2)</f>
        <v>29969.37</v>
      </c>
      <c r="N159" s="108">
        <f>SUM(N146:N158)</f>
        <v>16189</v>
      </c>
      <c r="O159" s="109">
        <f>P159/N159</f>
        <v>3.6586960281672738</v>
      </c>
      <c r="P159" s="107">
        <f>ROUND(SUM(P146:P158),2)</f>
        <v>59230.63</v>
      </c>
      <c r="Q159" s="110">
        <f t="shared" ref="Q159:AN159" si="18">SUM(Q146:Q158)</f>
        <v>-73200</v>
      </c>
      <c r="R159" s="107">
        <f t="shared" si="18"/>
        <v>6000</v>
      </c>
      <c r="S159" s="107">
        <f t="shared" si="18"/>
        <v>0</v>
      </c>
      <c r="T159" s="107">
        <f t="shared" si="18"/>
        <v>-16073.45</v>
      </c>
      <c r="U159" s="107">
        <f t="shared" si="18"/>
        <v>-189200</v>
      </c>
      <c r="V159" s="107">
        <f t="shared" si="18"/>
        <v>-110100</v>
      </c>
      <c r="W159" s="107">
        <f t="shared" si="18"/>
        <v>0</v>
      </c>
      <c r="X159" s="107">
        <f t="shared" si="18"/>
        <v>0</v>
      </c>
      <c r="Y159" s="107">
        <f t="shared" si="18"/>
        <v>0</v>
      </c>
      <c r="Z159" s="107">
        <f t="shared" si="18"/>
        <v>0</v>
      </c>
      <c r="AA159" s="107">
        <f t="shared" si="18"/>
        <v>0</v>
      </c>
      <c r="AB159" s="107">
        <f t="shared" si="18"/>
        <v>0</v>
      </c>
      <c r="AC159" s="107">
        <f t="shared" si="18"/>
        <v>0</v>
      </c>
      <c r="AD159" s="107">
        <f t="shared" si="18"/>
        <v>0</v>
      </c>
      <c r="AE159" s="107">
        <f t="shared" si="18"/>
        <v>0</v>
      </c>
      <c r="AF159" s="107">
        <f t="shared" si="18"/>
        <v>0</v>
      </c>
      <c r="AG159" s="107">
        <f t="shared" si="18"/>
        <v>0</v>
      </c>
      <c r="AH159" s="107">
        <f t="shared" si="18"/>
        <v>0</v>
      </c>
      <c r="AI159" s="107">
        <f t="shared" si="18"/>
        <v>0</v>
      </c>
      <c r="AJ159" s="107">
        <f t="shared" si="18"/>
        <v>0</v>
      </c>
      <c r="AK159" s="107">
        <f t="shared" si="18"/>
        <v>0</v>
      </c>
      <c r="AL159" s="107">
        <f t="shared" si="18"/>
        <v>0</v>
      </c>
      <c r="AM159" s="107">
        <f t="shared" si="18"/>
        <v>0</v>
      </c>
      <c r="AN159" s="107">
        <f t="shared" si="18"/>
        <v>0</v>
      </c>
      <c r="AO159" s="111">
        <f>D159+E159+F159+G159+H159+I159+J159+M159+P159+SUM(Q159:AN159)</f>
        <v>-300698.61000000004</v>
      </c>
      <c r="AP159" s="4"/>
      <c r="AQ159" s="5"/>
      <c r="AR159" s="5"/>
      <c r="AS159" s="2" t="s">
        <v>6</v>
      </c>
    </row>
    <row r="160" spans="1:46" s="2" customFormat="1" ht="17.25" customHeight="1" thickTop="1" x14ac:dyDescent="0.25">
      <c r="A160" s="23">
        <f>A147+1</f>
        <v>45914</v>
      </c>
      <c r="B160" s="210" t="s">
        <v>64</v>
      </c>
      <c r="C160" s="203"/>
      <c r="D160" s="63">
        <v>10073.82</v>
      </c>
      <c r="E160" s="66"/>
      <c r="F160" s="66"/>
      <c r="G160" s="66"/>
      <c r="H160" s="66"/>
      <c r="I160" s="66">
        <f>-D160</f>
        <v>-10073.82</v>
      </c>
      <c r="J160" s="66"/>
      <c r="K160" s="18"/>
      <c r="L160" s="18"/>
      <c r="M160" s="66"/>
      <c r="N160" s="18"/>
      <c r="O160" s="18"/>
      <c r="P160" s="66"/>
      <c r="Q160" s="46"/>
      <c r="R160" s="46"/>
      <c r="S160" s="45"/>
      <c r="T160" s="18"/>
      <c r="U160" s="18"/>
      <c r="V160" s="18"/>
      <c r="W160" s="18"/>
      <c r="X160" s="18"/>
      <c r="Y160" s="14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31"/>
      <c r="AQ160" s="10"/>
      <c r="AR160" s="27"/>
    </row>
    <row r="161" spans="1:46" s="4" customFormat="1" ht="17.25" customHeight="1" x14ac:dyDescent="0.25">
      <c r="A161" s="23"/>
      <c r="B161" s="201" t="s">
        <v>96</v>
      </c>
      <c r="C161" s="202"/>
      <c r="D161" s="63"/>
      <c r="E161" s="64"/>
      <c r="F161" s="64"/>
      <c r="G161" s="64"/>
      <c r="H161" s="64"/>
      <c r="I161" s="117">
        <f>-I159-I160</f>
        <v>-262.14999999999964</v>
      </c>
      <c r="J161" s="64"/>
      <c r="K161" s="16"/>
      <c r="L161" s="92"/>
      <c r="M161" s="64"/>
      <c r="N161" s="16"/>
      <c r="O161" s="92"/>
      <c r="P161" s="64"/>
      <c r="Q161" s="40"/>
      <c r="R161" s="46"/>
      <c r="S161" s="39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22"/>
      <c r="AP161" s="30"/>
    </row>
    <row r="162" spans="1:46" s="2" customFormat="1" ht="17.25" customHeight="1" x14ac:dyDescent="0.2">
      <c r="A162" s="23"/>
      <c r="B162" s="201" t="s">
        <v>72</v>
      </c>
      <c r="C162" s="203"/>
      <c r="D162" s="63">
        <v>-10100</v>
      </c>
      <c r="E162" s="64"/>
      <c r="F162" s="74">
        <f>-D162</f>
        <v>10100</v>
      </c>
      <c r="G162" s="74">
        <f>-E162</f>
        <v>0</v>
      </c>
      <c r="H162" s="64"/>
      <c r="I162" s="64"/>
      <c r="J162" s="64"/>
      <c r="K162" s="16"/>
      <c r="L162" s="16"/>
      <c r="M162" s="64"/>
      <c r="N162" s="16"/>
      <c r="O162" s="16"/>
      <c r="P162" s="64"/>
      <c r="Q162" s="46"/>
      <c r="R162" s="39"/>
      <c r="S162" s="40"/>
      <c r="T162" s="16"/>
      <c r="U162" s="16"/>
      <c r="V162" s="16"/>
      <c r="W162" s="16"/>
      <c r="X162" s="16"/>
      <c r="Y162" s="19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35"/>
      <c r="AQ162" s="10"/>
      <c r="AR162" s="27"/>
    </row>
    <row r="163" spans="1:46" s="2" customFormat="1" ht="17.25" customHeight="1" thickBot="1" x14ac:dyDescent="0.25">
      <c r="A163" s="24"/>
      <c r="B163" s="216"/>
      <c r="C163" s="217"/>
      <c r="D163" s="83"/>
      <c r="E163" s="81"/>
      <c r="F163" s="81"/>
      <c r="G163" s="81"/>
      <c r="H163" s="81"/>
      <c r="I163" s="81"/>
      <c r="J163" s="81"/>
      <c r="K163" s="37"/>
      <c r="L163" s="93"/>
      <c r="M163" s="81"/>
      <c r="N163" s="37"/>
      <c r="O163" s="93"/>
      <c r="P163" s="81"/>
      <c r="Q163" s="40"/>
      <c r="R163" s="40"/>
      <c r="S163" s="39"/>
      <c r="T163" s="16"/>
      <c r="U163" s="16"/>
      <c r="V163" s="16"/>
      <c r="W163" s="16"/>
      <c r="X163" s="16"/>
      <c r="Y163" s="19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41"/>
      <c r="AQ163" s="10"/>
      <c r="AR163" s="11"/>
    </row>
    <row r="164" spans="1:46" s="4" customFormat="1" ht="17.25" customHeight="1" x14ac:dyDescent="0.25">
      <c r="A164" s="23"/>
      <c r="B164" s="210" t="s">
        <v>94</v>
      </c>
      <c r="C164" s="203"/>
      <c r="D164" s="66"/>
      <c r="E164" s="66"/>
      <c r="F164" s="117"/>
      <c r="G164" s="117"/>
      <c r="H164" s="66"/>
      <c r="I164" s="66"/>
      <c r="J164" s="66">
        <f>-M164</f>
        <v>6252.62</v>
      </c>
      <c r="K164" s="58">
        <v>-1067</v>
      </c>
      <c r="L164" s="89">
        <v>5.86</v>
      </c>
      <c r="M164" s="73">
        <f>K164*L164</f>
        <v>-6252.62</v>
      </c>
      <c r="N164" s="58"/>
      <c r="O164" s="89"/>
      <c r="P164" s="73"/>
      <c r="Q164" s="39"/>
      <c r="R164" s="39"/>
      <c r="S164" s="8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35"/>
      <c r="AP164" s="12" t="e">
        <f>#REF!</f>
        <v>#REF!</v>
      </c>
    </row>
    <row r="165" spans="1:46" s="4" customFormat="1" ht="17.25" customHeight="1" x14ac:dyDescent="0.25">
      <c r="A165" s="23"/>
      <c r="B165" s="201" t="s">
        <v>95</v>
      </c>
      <c r="C165" s="202"/>
      <c r="D165" s="64"/>
      <c r="E165" s="64"/>
      <c r="F165" s="117"/>
      <c r="G165" s="117"/>
      <c r="H165" s="64"/>
      <c r="I165" s="64"/>
      <c r="J165" s="64">
        <f>-P165</f>
        <v>4693.76</v>
      </c>
      <c r="K165" s="57"/>
      <c r="L165" s="88"/>
      <c r="M165" s="62"/>
      <c r="N165" s="57">
        <v>-1216</v>
      </c>
      <c r="O165" s="88">
        <v>3.86</v>
      </c>
      <c r="P165" s="62">
        <f>N165*O165</f>
        <v>-4693.76</v>
      </c>
      <c r="Q165" s="39"/>
      <c r="R165" s="39"/>
      <c r="S165" s="8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35"/>
      <c r="AP165" s="12" t="e">
        <f>#REF!</f>
        <v>#REF!</v>
      </c>
    </row>
    <row r="166" spans="1:46" s="4" customFormat="1" ht="17.25" customHeight="1" x14ac:dyDescent="0.25">
      <c r="A166" s="23"/>
      <c r="B166" s="201" t="s">
        <v>97</v>
      </c>
      <c r="C166" s="203"/>
      <c r="D166" s="64"/>
      <c r="E166" s="64"/>
      <c r="F166" s="64"/>
      <c r="G166" s="64"/>
      <c r="H166" s="64">
        <f>-J166-I166</f>
        <v>3285.8500000000013</v>
      </c>
      <c r="I166" s="64">
        <v>7660.53</v>
      </c>
      <c r="J166" s="64">
        <f>-SUM(J164:J165)</f>
        <v>-10946.380000000001</v>
      </c>
      <c r="K166" s="57"/>
      <c r="L166" s="88"/>
      <c r="M166" s="62"/>
      <c r="N166" s="57"/>
      <c r="O166" s="88"/>
      <c r="P166" s="62"/>
      <c r="Q166" s="39"/>
      <c r="R166" s="39"/>
      <c r="S166" s="39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22"/>
      <c r="AO166" s="43">
        <f>A143</f>
        <v>0</v>
      </c>
      <c r="AP166" s="12" t="e">
        <f>#REF!</f>
        <v>#REF!</v>
      </c>
      <c r="AT166" s="2"/>
    </row>
    <row r="167" spans="1:46" s="4" customFormat="1" ht="17.25" customHeight="1" x14ac:dyDescent="0.25">
      <c r="A167" s="23"/>
      <c r="B167" s="201" t="s">
        <v>93</v>
      </c>
      <c r="C167" s="202"/>
      <c r="D167" s="64"/>
      <c r="E167" s="64"/>
      <c r="F167" s="64"/>
      <c r="G167" s="64"/>
      <c r="H167" s="64"/>
      <c r="I167" s="64"/>
      <c r="J167" s="64"/>
      <c r="K167" s="57">
        <v>-11</v>
      </c>
      <c r="L167" s="88"/>
      <c r="M167" s="118">
        <f>(K170*L159)-M159-M164</f>
        <v>937.2233464955616</v>
      </c>
      <c r="N167" s="57">
        <v>-9</v>
      </c>
      <c r="O167" s="88"/>
      <c r="P167" s="118">
        <f>(N170*O159)-P159-P165</f>
        <v>211.85736549508692</v>
      </c>
      <c r="Q167" s="39"/>
      <c r="R167" s="39"/>
      <c r="S167" s="39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22"/>
      <c r="AO167" s="43">
        <f>A153</f>
        <v>0</v>
      </c>
      <c r="AP167" s="12" t="e">
        <f>#REF!</f>
        <v>#REF!</v>
      </c>
      <c r="AT167" s="2"/>
    </row>
    <row r="168" spans="1:46" s="2" customFormat="1" ht="17.25" customHeight="1" x14ac:dyDescent="0.2">
      <c r="A168" s="24"/>
      <c r="B168" s="201"/>
      <c r="C168" s="204"/>
      <c r="D168" s="63"/>
      <c r="E168" s="64"/>
      <c r="F168" s="64"/>
      <c r="G168" s="64"/>
      <c r="H168" s="64"/>
      <c r="I168" s="64"/>
      <c r="J168" s="64"/>
      <c r="K168" s="16"/>
      <c r="L168" s="16"/>
      <c r="M168" s="64"/>
      <c r="N168" s="16"/>
      <c r="O168" s="16"/>
      <c r="P168" s="64"/>
      <c r="Q168" s="46"/>
      <c r="R168" s="46"/>
      <c r="S168" s="39"/>
      <c r="T168" s="16"/>
      <c r="U168" s="16"/>
      <c r="V168" s="16"/>
      <c r="W168" s="16"/>
      <c r="X168" s="16"/>
      <c r="Y168" s="19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43">
        <f>A160</f>
        <v>45914</v>
      </c>
      <c r="AQ168" s="10"/>
      <c r="AR168" s="11"/>
    </row>
    <row r="169" spans="1:46" s="2" customFormat="1" ht="17.25" customHeight="1" thickBot="1" x14ac:dyDescent="0.3">
      <c r="A169" s="56"/>
      <c r="B169" s="101" t="s">
        <v>102</v>
      </c>
      <c r="C169" s="102">
        <f>D170+E170+F170+G170+H170+I170+J170+M170+P170</f>
        <v>82761.76999999999</v>
      </c>
      <c r="D169" s="84"/>
      <c r="E169" s="85"/>
      <c r="F169" s="85"/>
      <c r="G169" s="85"/>
      <c r="H169" s="85"/>
      <c r="I169" s="85"/>
      <c r="J169" s="85"/>
      <c r="K169" s="28"/>
      <c r="L169" s="28"/>
      <c r="M169" s="85"/>
      <c r="N169" s="28"/>
      <c r="O169" s="28"/>
      <c r="P169" s="85"/>
      <c r="Q169" s="48"/>
      <c r="R169" s="48"/>
      <c r="S169" s="51"/>
      <c r="T169" s="28"/>
      <c r="U169" s="28"/>
      <c r="V169" s="28"/>
      <c r="W169" s="28"/>
      <c r="X169" s="28"/>
      <c r="Y169" s="36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42">
        <f>SUM($Q159:AN169)</f>
        <v>-382573.45</v>
      </c>
      <c r="AQ169" s="10"/>
      <c r="AR169" s="11"/>
      <c r="AS169" s="2" t="s">
        <v>5</v>
      </c>
    </row>
    <row r="170" spans="1:46" s="2" customFormat="1" ht="17.25" customHeight="1" thickTop="1" thickBot="1" x14ac:dyDescent="0.3">
      <c r="A170" s="103"/>
      <c r="B170" s="104" t="s">
        <v>103</v>
      </c>
      <c r="C170" s="105">
        <f>AO170</f>
        <v>-299811.68000000005</v>
      </c>
      <c r="D170" s="106">
        <f t="shared" ref="D170:K170" si="19">SUM(D159:D169)</f>
        <v>62.649999999997817</v>
      </c>
      <c r="E170" s="107">
        <f t="shared" si="19"/>
        <v>-33101.680000000008</v>
      </c>
      <c r="F170" s="107">
        <f t="shared" si="19"/>
        <v>18466.43</v>
      </c>
      <c r="G170" s="107">
        <f t="shared" si="19"/>
        <v>-100</v>
      </c>
      <c r="H170" s="107">
        <f t="shared" si="19"/>
        <v>10371.140000000003</v>
      </c>
      <c r="I170" s="107">
        <f t="shared" si="19"/>
        <v>7660.53</v>
      </c>
      <c r="J170" s="107">
        <f t="shared" si="19"/>
        <v>0</v>
      </c>
      <c r="K170" s="108">
        <f t="shared" si="19"/>
        <v>5000</v>
      </c>
      <c r="L170" s="109">
        <f>M170/K170</f>
        <v>4.9307940000000006</v>
      </c>
      <c r="M170" s="107">
        <f>ROUND(SUM(M159:M169),2)</f>
        <v>24653.97</v>
      </c>
      <c r="N170" s="108">
        <f>SUM(N159:N169)</f>
        <v>14964</v>
      </c>
      <c r="O170" s="109">
        <f>P170/N170</f>
        <v>3.6586962042234701</v>
      </c>
      <c r="P170" s="107">
        <f>ROUND(SUM(P159:P169),2)</f>
        <v>54748.73</v>
      </c>
      <c r="Q170" s="110">
        <f t="shared" ref="Q170:AN170" si="20">SUM(Q159:Q169)</f>
        <v>-73200</v>
      </c>
      <c r="R170" s="107">
        <f t="shared" si="20"/>
        <v>6000</v>
      </c>
      <c r="S170" s="107">
        <f t="shared" si="20"/>
        <v>0</v>
      </c>
      <c r="T170" s="107">
        <f t="shared" si="20"/>
        <v>-16073.45</v>
      </c>
      <c r="U170" s="107">
        <f t="shared" si="20"/>
        <v>-189200</v>
      </c>
      <c r="V170" s="107">
        <f t="shared" si="20"/>
        <v>-110100</v>
      </c>
      <c r="W170" s="107">
        <f t="shared" si="20"/>
        <v>0</v>
      </c>
      <c r="X170" s="107">
        <f t="shared" si="20"/>
        <v>0</v>
      </c>
      <c r="Y170" s="107">
        <f t="shared" si="20"/>
        <v>0</v>
      </c>
      <c r="Z170" s="107">
        <f t="shared" si="20"/>
        <v>0</v>
      </c>
      <c r="AA170" s="107">
        <f t="shared" si="20"/>
        <v>0</v>
      </c>
      <c r="AB170" s="107">
        <f t="shared" si="20"/>
        <v>0</v>
      </c>
      <c r="AC170" s="107">
        <f t="shared" si="20"/>
        <v>0</v>
      </c>
      <c r="AD170" s="107">
        <f t="shared" si="20"/>
        <v>0</v>
      </c>
      <c r="AE170" s="107">
        <f t="shared" si="20"/>
        <v>0</v>
      </c>
      <c r="AF170" s="107">
        <f t="shared" si="20"/>
        <v>0</v>
      </c>
      <c r="AG170" s="107">
        <f t="shared" si="20"/>
        <v>0</v>
      </c>
      <c r="AH170" s="107">
        <f t="shared" si="20"/>
        <v>0</v>
      </c>
      <c r="AI170" s="107">
        <f t="shared" si="20"/>
        <v>0</v>
      </c>
      <c r="AJ170" s="107">
        <f t="shared" si="20"/>
        <v>0</v>
      </c>
      <c r="AK170" s="107">
        <f t="shared" si="20"/>
        <v>0</v>
      </c>
      <c r="AL170" s="107">
        <f t="shared" si="20"/>
        <v>0</v>
      </c>
      <c r="AM170" s="107">
        <f t="shared" si="20"/>
        <v>0</v>
      </c>
      <c r="AN170" s="107">
        <f t="shared" si="20"/>
        <v>0</v>
      </c>
      <c r="AO170" s="111">
        <f>D170+E170+F170+G170+H170+I170+J170+M170+P170+SUM(Q170:AN170)</f>
        <v>-299811.68000000005</v>
      </c>
      <c r="AP170" s="4"/>
      <c r="AQ170" s="5"/>
      <c r="AR170" s="5"/>
      <c r="AS170" s="2" t="s">
        <v>6</v>
      </c>
    </row>
    <row r="171" spans="1:46" s="2" customFormat="1" ht="17.25" customHeight="1" thickTop="1" x14ac:dyDescent="0.25">
      <c r="A171" s="29">
        <v>45915</v>
      </c>
      <c r="B171" s="208" t="s">
        <v>13</v>
      </c>
      <c r="C171" s="209"/>
      <c r="D171" s="63"/>
      <c r="E171" s="64">
        <f>50+60+20+13+20+20+50+20+30+60+50+50+16.04+50+150+50+30+40+30+50+30+50+10+20+30+40+15+13+218.8+61.5+20+70.18+23+15+38+10+50+25+50+20+153+10+150+16.3+20+50+50+20+100+20+100+16.1+50</f>
        <v>2423.9199999999996</v>
      </c>
      <c r="F171" s="66"/>
      <c r="G171" s="66"/>
      <c r="H171" s="66">
        <f>-E171</f>
        <v>-2423.9199999999996</v>
      </c>
      <c r="I171" s="66"/>
      <c r="J171" s="66"/>
      <c r="K171" s="18"/>
      <c r="L171" s="18"/>
      <c r="M171" s="66"/>
      <c r="N171" s="18"/>
      <c r="O171" s="18"/>
      <c r="P171" s="66"/>
      <c r="Q171" s="46"/>
      <c r="R171" s="46"/>
      <c r="S171" s="45"/>
      <c r="T171" s="18"/>
      <c r="U171" s="18"/>
      <c r="V171" s="18"/>
      <c r="W171" s="18"/>
      <c r="X171" s="18"/>
      <c r="Y171" s="14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31"/>
      <c r="AQ171" s="10"/>
      <c r="AR171" s="27"/>
    </row>
    <row r="172" spans="1:46" s="4" customFormat="1" ht="17.25" customHeight="1" x14ac:dyDescent="0.25">
      <c r="A172" s="29"/>
      <c r="B172" s="208" t="s">
        <v>27</v>
      </c>
      <c r="C172" s="251"/>
      <c r="D172" s="63"/>
      <c r="E172" s="64">
        <f>2000+2000+1900+2000</f>
        <v>7900</v>
      </c>
      <c r="F172" s="64"/>
      <c r="G172" s="64"/>
      <c r="H172" s="64">
        <f>-E172</f>
        <v>-7900</v>
      </c>
      <c r="I172" s="117"/>
      <c r="J172" s="64"/>
      <c r="K172" s="16"/>
      <c r="L172" s="92"/>
      <c r="M172" s="64"/>
      <c r="N172" s="16"/>
      <c r="O172" s="92"/>
      <c r="P172" s="64"/>
      <c r="Q172" s="40"/>
      <c r="R172" s="46"/>
      <c r="S172" s="39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22"/>
      <c r="AP172" s="30"/>
    </row>
    <row r="173" spans="1:46" s="2" customFormat="1" ht="17.25" customHeight="1" x14ac:dyDescent="0.2">
      <c r="A173" s="29"/>
      <c r="B173" s="211" t="s">
        <v>116</v>
      </c>
      <c r="C173" s="206"/>
      <c r="D173" s="63"/>
      <c r="E173" s="64">
        <v>-12900</v>
      </c>
      <c r="F173" s="74"/>
      <c r="G173" s="74"/>
      <c r="H173" s="64"/>
      <c r="I173" s="64"/>
      <c r="J173" s="64"/>
      <c r="K173" s="16"/>
      <c r="L173" s="16"/>
      <c r="M173" s="64"/>
      <c r="N173" s="16"/>
      <c r="O173" s="16"/>
      <c r="P173" s="64"/>
      <c r="Q173" s="46"/>
      <c r="R173" s="39"/>
      <c r="S173" s="40"/>
      <c r="T173" s="16"/>
      <c r="U173" s="20">
        <f>-E173</f>
        <v>12900</v>
      </c>
      <c r="V173" s="16"/>
      <c r="W173" s="16"/>
      <c r="X173" s="16"/>
      <c r="Y173" s="19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35"/>
      <c r="AQ173" s="10"/>
      <c r="AR173" s="27"/>
    </row>
    <row r="174" spans="1:46" s="2" customFormat="1" ht="17.25" customHeight="1" x14ac:dyDescent="0.2">
      <c r="A174" s="29"/>
      <c r="B174" s="208" t="s">
        <v>33</v>
      </c>
      <c r="C174" s="247"/>
      <c r="D174" s="63"/>
      <c r="E174" s="64">
        <v>-190.37</v>
      </c>
      <c r="F174" s="74"/>
      <c r="G174" s="74"/>
      <c r="H174" s="64"/>
      <c r="I174" s="64"/>
      <c r="J174" s="64"/>
      <c r="K174" s="16"/>
      <c r="L174" s="16"/>
      <c r="M174" s="64"/>
      <c r="N174" s="16"/>
      <c r="O174" s="16"/>
      <c r="P174" s="64"/>
      <c r="Q174" s="46"/>
      <c r="R174" s="39"/>
      <c r="S174" s="40"/>
      <c r="T174" s="16"/>
      <c r="U174" s="16"/>
      <c r="V174" s="16"/>
      <c r="W174" s="16"/>
      <c r="X174" s="16"/>
      <c r="Y174" s="19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35"/>
      <c r="AQ174" s="10"/>
      <c r="AR174" s="27"/>
    </row>
    <row r="175" spans="1:46" s="2" customFormat="1" ht="17.25" customHeight="1" x14ac:dyDescent="0.2">
      <c r="A175" s="29"/>
      <c r="B175" s="208" t="s">
        <v>40</v>
      </c>
      <c r="C175" s="247"/>
      <c r="D175" s="63"/>
      <c r="E175" s="64">
        <v>-100</v>
      </c>
      <c r="F175" s="74"/>
      <c r="G175" s="74"/>
      <c r="H175" s="64"/>
      <c r="I175" s="64"/>
      <c r="J175" s="64"/>
      <c r="K175" s="16"/>
      <c r="L175" s="16"/>
      <c r="M175" s="64"/>
      <c r="N175" s="16"/>
      <c r="O175" s="16"/>
      <c r="P175" s="64"/>
      <c r="Q175" s="46"/>
      <c r="R175" s="39"/>
      <c r="S175" s="40"/>
      <c r="T175" s="16"/>
      <c r="U175" s="16"/>
      <c r="V175" s="16"/>
      <c r="W175" s="16"/>
      <c r="X175" s="16"/>
      <c r="Y175" s="19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35"/>
      <c r="AQ175" s="10"/>
      <c r="AR175" s="27"/>
    </row>
    <row r="176" spans="1:46" s="2" customFormat="1" ht="17.25" customHeight="1" x14ac:dyDescent="0.2">
      <c r="A176" s="24"/>
      <c r="B176" s="208" t="s">
        <v>35</v>
      </c>
      <c r="C176" s="247"/>
      <c r="D176" s="63"/>
      <c r="E176" s="64">
        <v>-220.48</v>
      </c>
      <c r="F176" s="74"/>
      <c r="G176" s="74"/>
      <c r="H176" s="64"/>
      <c r="I176" s="64"/>
      <c r="J176" s="64"/>
      <c r="K176" s="16"/>
      <c r="L176" s="16"/>
      <c r="M176" s="64"/>
      <c r="N176" s="16"/>
      <c r="O176" s="16"/>
      <c r="P176" s="64"/>
      <c r="Q176" s="46"/>
      <c r="R176" s="39"/>
      <c r="S176" s="40"/>
      <c r="T176" s="16"/>
      <c r="U176" s="16"/>
      <c r="V176" s="16"/>
      <c r="W176" s="16"/>
      <c r="X176" s="16"/>
      <c r="Y176" s="19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35"/>
      <c r="AQ176" s="10"/>
      <c r="AR176" s="27"/>
    </row>
    <row r="177" spans="1:44" s="2" customFormat="1" ht="17.25" customHeight="1" x14ac:dyDescent="0.2">
      <c r="A177" s="24"/>
      <c r="B177" s="208" t="s">
        <v>15</v>
      </c>
      <c r="C177" s="209"/>
      <c r="D177" s="64"/>
      <c r="E177" s="64">
        <v>-101.41</v>
      </c>
      <c r="F177" s="74"/>
      <c r="G177" s="74"/>
      <c r="H177" s="64"/>
      <c r="I177" s="64"/>
      <c r="J177" s="64"/>
      <c r="K177" s="16"/>
      <c r="L177" s="16"/>
      <c r="M177" s="64"/>
      <c r="N177" s="16"/>
      <c r="O177" s="16"/>
      <c r="P177" s="64"/>
      <c r="Q177" s="46"/>
      <c r="R177" s="39"/>
      <c r="S177" s="40"/>
      <c r="T177" s="16"/>
      <c r="U177" s="16"/>
      <c r="V177" s="16"/>
      <c r="W177" s="16"/>
      <c r="X177" s="16"/>
      <c r="Y177" s="19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35"/>
      <c r="AQ177" s="10"/>
      <c r="AR177" s="27"/>
    </row>
    <row r="178" spans="1:44" s="2" customFormat="1" ht="17.25" customHeight="1" x14ac:dyDescent="0.2">
      <c r="A178" s="24"/>
      <c r="B178" s="208" t="s">
        <v>36</v>
      </c>
      <c r="C178" s="209"/>
      <c r="D178" s="64"/>
      <c r="E178" s="64">
        <v>-791.28</v>
      </c>
      <c r="F178" s="74"/>
      <c r="G178" s="74"/>
      <c r="H178" s="64"/>
      <c r="I178" s="64"/>
      <c r="J178" s="64"/>
      <c r="K178" s="16"/>
      <c r="L178" s="16"/>
      <c r="M178" s="64"/>
      <c r="N178" s="16"/>
      <c r="O178" s="16"/>
      <c r="P178" s="64"/>
      <c r="Q178" s="46"/>
      <c r="R178" s="39"/>
      <c r="S178" s="40"/>
      <c r="T178" s="16"/>
      <c r="U178" s="16"/>
      <c r="V178" s="16"/>
      <c r="W178" s="16"/>
      <c r="X178" s="16"/>
      <c r="Y178" s="19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35"/>
      <c r="AQ178" s="10"/>
      <c r="AR178" s="27"/>
    </row>
    <row r="179" spans="1:44" s="2" customFormat="1" ht="17.25" customHeight="1" x14ac:dyDescent="0.2">
      <c r="A179" s="24"/>
      <c r="B179" s="208" t="s">
        <v>36</v>
      </c>
      <c r="C179" s="209"/>
      <c r="D179" s="64"/>
      <c r="E179" s="64">
        <v>-115.05</v>
      </c>
      <c r="F179" s="74"/>
      <c r="G179" s="74"/>
      <c r="H179" s="64"/>
      <c r="I179" s="64"/>
      <c r="J179" s="64"/>
      <c r="K179" s="16"/>
      <c r="L179" s="16"/>
      <c r="M179" s="64"/>
      <c r="N179" s="16"/>
      <c r="O179" s="16"/>
      <c r="P179" s="64"/>
      <c r="Q179" s="46"/>
      <c r="R179" s="39"/>
      <c r="S179" s="40"/>
      <c r="T179" s="16"/>
      <c r="U179" s="16"/>
      <c r="V179" s="16"/>
      <c r="W179" s="16"/>
      <c r="X179" s="16"/>
      <c r="Y179" s="19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35"/>
      <c r="AQ179" s="10"/>
      <c r="AR179" s="27"/>
    </row>
    <row r="180" spans="1:44" s="2" customFormat="1" ht="17.25" customHeight="1" x14ac:dyDescent="0.2">
      <c r="A180" s="24"/>
      <c r="B180" s="208" t="s">
        <v>36</v>
      </c>
      <c r="C180" s="209"/>
      <c r="D180" s="64"/>
      <c r="E180" s="64">
        <v>-244.35</v>
      </c>
      <c r="F180" s="74"/>
      <c r="G180" s="74"/>
      <c r="H180" s="64"/>
      <c r="I180" s="64"/>
      <c r="J180" s="64"/>
      <c r="K180" s="16"/>
      <c r="L180" s="16"/>
      <c r="M180" s="64"/>
      <c r="N180" s="16"/>
      <c r="O180" s="16"/>
      <c r="P180" s="64"/>
      <c r="Q180" s="46"/>
      <c r="R180" s="39"/>
      <c r="S180" s="40"/>
      <c r="T180" s="16"/>
      <c r="U180" s="16"/>
      <c r="V180" s="16"/>
      <c r="W180" s="16"/>
      <c r="X180" s="16"/>
      <c r="Y180" s="19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35"/>
      <c r="AQ180" s="10"/>
      <c r="AR180" s="27"/>
    </row>
    <row r="181" spans="1:44" s="2" customFormat="1" ht="17.25" customHeight="1" x14ac:dyDescent="0.2">
      <c r="A181" s="24"/>
      <c r="B181" s="201" t="s">
        <v>37</v>
      </c>
      <c r="C181" s="202"/>
      <c r="D181" s="64"/>
      <c r="E181" s="64">
        <v>-24.63</v>
      </c>
      <c r="F181" s="74"/>
      <c r="G181" s="74"/>
      <c r="H181" s="64"/>
      <c r="I181" s="64"/>
      <c r="J181" s="64"/>
      <c r="K181" s="16"/>
      <c r="L181" s="16"/>
      <c r="M181" s="64"/>
      <c r="N181" s="16"/>
      <c r="O181" s="16"/>
      <c r="P181" s="64"/>
      <c r="Q181" s="46"/>
      <c r="R181" s="39"/>
      <c r="S181" s="40"/>
      <c r="T181" s="16"/>
      <c r="U181" s="16"/>
      <c r="V181" s="16"/>
      <c r="W181" s="16"/>
      <c r="X181" s="16"/>
      <c r="Y181" s="19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35"/>
      <c r="AQ181" s="10"/>
      <c r="AR181" s="27"/>
    </row>
    <row r="182" spans="1:44" s="2" customFormat="1" ht="17.25" customHeight="1" x14ac:dyDescent="0.2">
      <c r="A182" s="24"/>
      <c r="B182" s="201" t="s">
        <v>39</v>
      </c>
      <c r="C182" s="202"/>
      <c r="D182" s="64"/>
      <c r="E182" s="64">
        <v>-99.9</v>
      </c>
      <c r="F182" s="74"/>
      <c r="G182" s="74"/>
      <c r="H182" s="64"/>
      <c r="I182" s="64"/>
      <c r="J182" s="64"/>
      <c r="K182" s="16"/>
      <c r="L182" s="16"/>
      <c r="M182" s="64"/>
      <c r="N182" s="16"/>
      <c r="O182" s="16"/>
      <c r="P182" s="64"/>
      <c r="Q182" s="46"/>
      <c r="R182" s="39"/>
      <c r="S182" s="40"/>
      <c r="T182" s="16"/>
      <c r="U182" s="16"/>
      <c r="V182" s="16"/>
      <c r="W182" s="16"/>
      <c r="X182" s="16"/>
      <c r="Y182" s="19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35"/>
      <c r="AQ182" s="10"/>
      <c r="AR182" s="27"/>
    </row>
    <row r="183" spans="1:44" s="2" customFormat="1" ht="17.25" customHeight="1" x14ac:dyDescent="0.2">
      <c r="A183" s="24"/>
      <c r="B183" s="201" t="s">
        <v>38</v>
      </c>
      <c r="C183" s="202"/>
      <c r="D183" s="64"/>
      <c r="E183" s="64">
        <v>-24365.57</v>
      </c>
      <c r="F183" s="74"/>
      <c r="G183" s="74"/>
      <c r="H183" s="64"/>
      <c r="I183" s="64"/>
      <c r="J183" s="64"/>
      <c r="K183" s="16"/>
      <c r="L183" s="16"/>
      <c r="M183" s="64"/>
      <c r="N183" s="16"/>
      <c r="O183" s="16"/>
      <c r="P183" s="64"/>
      <c r="Q183" s="46"/>
      <c r="R183" s="39">
        <f>-E183</f>
        <v>24365.57</v>
      </c>
      <c r="S183" s="40"/>
      <c r="T183" s="16"/>
      <c r="U183" s="16"/>
      <c r="V183" s="16"/>
      <c r="W183" s="16"/>
      <c r="X183" s="16"/>
      <c r="Y183" s="19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35"/>
      <c r="AQ183" s="10"/>
      <c r="AR183" s="27"/>
    </row>
    <row r="184" spans="1:44" s="2" customFormat="1" ht="17.25" customHeight="1" x14ac:dyDescent="0.2">
      <c r="A184" s="23"/>
      <c r="B184" s="210" t="s">
        <v>64</v>
      </c>
      <c r="C184" s="203"/>
      <c r="D184" s="64">
        <v>7464.22</v>
      </c>
      <c r="E184" s="64"/>
      <c r="F184" s="74"/>
      <c r="G184" s="74"/>
      <c r="H184" s="64"/>
      <c r="I184" s="64">
        <f>-D184</f>
        <v>-7464.22</v>
      </c>
      <c r="J184" s="64"/>
      <c r="K184" s="16"/>
      <c r="L184" s="16"/>
      <c r="M184" s="64"/>
      <c r="N184" s="16"/>
      <c r="O184" s="16"/>
      <c r="P184" s="64"/>
      <c r="Q184" s="46"/>
      <c r="R184" s="39"/>
      <c r="S184" s="40"/>
      <c r="T184" s="16"/>
      <c r="U184" s="16"/>
      <c r="V184" s="16"/>
      <c r="W184" s="16"/>
      <c r="X184" s="16"/>
      <c r="Y184" s="19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35"/>
      <c r="AQ184" s="10"/>
      <c r="AR184" s="27"/>
    </row>
    <row r="185" spans="1:44" s="4" customFormat="1" ht="17.25" customHeight="1" x14ac:dyDescent="0.25">
      <c r="A185" s="23"/>
      <c r="B185" s="201" t="s">
        <v>96</v>
      </c>
      <c r="C185" s="202"/>
      <c r="D185" s="63"/>
      <c r="E185" s="64"/>
      <c r="F185" s="64"/>
      <c r="G185" s="64"/>
      <c r="H185" s="64"/>
      <c r="I185" s="117">
        <f>-I170-I184</f>
        <v>-196.30999999999949</v>
      </c>
      <c r="J185" s="64"/>
      <c r="K185" s="16"/>
      <c r="L185" s="92"/>
      <c r="M185" s="64"/>
      <c r="N185" s="16"/>
      <c r="O185" s="92"/>
      <c r="P185" s="64"/>
      <c r="Q185" s="40"/>
      <c r="R185" s="46"/>
      <c r="S185" s="39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22"/>
      <c r="AP185" s="30"/>
    </row>
    <row r="186" spans="1:44" s="2" customFormat="1" ht="17.25" customHeight="1" x14ac:dyDescent="0.2">
      <c r="A186" s="23"/>
      <c r="B186" s="201" t="s">
        <v>73</v>
      </c>
      <c r="C186" s="203"/>
      <c r="D186" s="64">
        <v>200</v>
      </c>
      <c r="E186" s="64"/>
      <c r="F186" s="74"/>
      <c r="G186" s="74"/>
      <c r="H186" s="64">
        <f>-D186</f>
        <v>-200</v>
      </c>
      <c r="I186" s="64"/>
      <c r="J186" s="64"/>
      <c r="K186" s="16"/>
      <c r="L186" s="16"/>
      <c r="M186" s="64"/>
      <c r="N186" s="16"/>
      <c r="O186" s="16"/>
      <c r="P186" s="64"/>
      <c r="Q186" s="46"/>
      <c r="R186" s="39"/>
      <c r="S186" s="40"/>
      <c r="T186" s="16"/>
      <c r="U186" s="16"/>
      <c r="V186" s="16"/>
      <c r="W186" s="16"/>
      <c r="X186" s="16"/>
      <c r="Y186" s="19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35"/>
      <c r="AQ186" s="10"/>
      <c r="AR186" s="27"/>
    </row>
    <row r="187" spans="1:44" s="2" customFormat="1" ht="17.25" customHeight="1" x14ac:dyDescent="0.2">
      <c r="A187" s="23"/>
      <c r="B187" s="208" t="s">
        <v>71</v>
      </c>
      <c r="C187" s="209"/>
      <c r="D187" s="64">
        <f>-1.6-4.9</f>
        <v>-6.5</v>
      </c>
      <c r="E187" s="64"/>
      <c r="F187" s="74"/>
      <c r="G187" s="74"/>
      <c r="H187" s="64"/>
      <c r="I187" s="64"/>
      <c r="J187" s="64"/>
      <c r="K187" s="16"/>
      <c r="L187" s="16"/>
      <c r="M187" s="64"/>
      <c r="N187" s="16"/>
      <c r="O187" s="16"/>
      <c r="P187" s="64"/>
      <c r="Q187" s="46"/>
      <c r="R187" s="39"/>
      <c r="S187" s="40"/>
      <c r="T187" s="16"/>
      <c r="U187" s="16"/>
      <c r="V187" s="16"/>
      <c r="W187" s="16"/>
      <c r="X187" s="16"/>
      <c r="Y187" s="19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35"/>
      <c r="AQ187" s="10"/>
      <c r="AR187" s="27"/>
    </row>
    <row r="188" spans="1:44" s="2" customFormat="1" ht="17.25" customHeight="1" x14ac:dyDescent="0.2">
      <c r="A188" s="23"/>
      <c r="B188" s="201" t="s">
        <v>74</v>
      </c>
      <c r="C188" s="203"/>
      <c r="D188" s="64">
        <v>26000</v>
      </c>
      <c r="E188" s="64"/>
      <c r="F188" s="74">
        <f>-D188</f>
        <v>-26000</v>
      </c>
      <c r="G188" s="74">
        <f>-E188</f>
        <v>0</v>
      </c>
      <c r="H188" s="64"/>
      <c r="I188" s="64"/>
      <c r="J188" s="64"/>
      <c r="K188" s="16"/>
      <c r="L188" s="16"/>
      <c r="M188" s="64"/>
      <c r="N188" s="16"/>
      <c r="O188" s="16"/>
      <c r="P188" s="64"/>
      <c r="Q188" s="46"/>
      <c r="R188" s="39"/>
      <c r="S188" s="40"/>
      <c r="T188" s="16"/>
      <c r="U188" s="16"/>
      <c r="V188" s="16"/>
      <c r="W188" s="16"/>
      <c r="X188" s="16"/>
      <c r="Y188" s="19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35"/>
      <c r="AQ188" s="10"/>
      <c r="AR188" s="27"/>
    </row>
    <row r="189" spans="1:44" s="2" customFormat="1" ht="17.25" customHeight="1" x14ac:dyDescent="0.2">
      <c r="A189" s="23"/>
      <c r="B189" s="208" t="s">
        <v>75</v>
      </c>
      <c r="C189" s="209"/>
      <c r="D189" s="64">
        <v>-26000</v>
      </c>
      <c r="E189" s="64">
        <f>-D189</f>
        <v>26000</v>
      </c>
      <c r="F189" s="74"/>
      <c r="G189" s="74"/>
      <c r="H189" s="64"/>
      <c r="I189" s="64"/>
      <c r="J189" s="64"/>
      <c r="K189" s="16"/>
      <c r="L189" s="16"/>
      <c r="M189" s="64"/>
      <c r="N189" s="16"/>
      <c r="O189" s="16"/>
      <c r="P189" s="64"/>
      <c r="Q189" s="46"/>
      <c r="R189" s="39"/>
      <c r="S189" s="40"/>
      <c r="T189" s="16"/>
      <c r="U189" s="16"/>
      <c r="V189" s="16"/>
      <c r="W189" s="16"/>
      <c r="X189" s="16"/>
      <c r="Y189" s="19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35"/>
      <c r="AQ189" s="10"/>
      <c r="AR189" s="27"/>
    </row>
    <row r="190" spans="1:44" s="2" customFormat="1" ht="17.25" customHeight="1" x14ac:dyDescent="0.2">
      <c r="A190" s="24"/>
      <c r="B190" s="208" t="s">
        <v>76</v>
      </c>
      <c r="C190" s="209"/>
      <c r="D190" s="64">
        <v>-7700</v>
      </c>
      <c r="E190" s="64"/>
      <c r="F190" s="74">
        <f>-D190</f>
        <v>7700</v>
      </c>
      <c r="G190" s="74">
        <f>-E190</f>
        <v>0</v>
      </c>
      <c r="H190" s="64"/>
      <c r="I190" s="64"/>
      <c r="J190" s="64"/>
      <c r="K190" s="16"/>
      <c r="L190" s="16"/>
      <c r="M190" s="64"/>
      <c r="N190" s="16"/>
      <c r="O190" s="16"/>
      <c r="P190" s="64"/>
      <c r="Q190" s="46"/>
      <c r="R190" s="39"/>
      <c r="S190" s="40"/>
      <c r="T190" s="16"/>
      <c r="U190" s="16"/>
      <c r="V190" s="16"/>
      <c r="W190" s="16"/>
      <c r="X190" s="16"/>
      <c r="Y190" s="19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35"/>
      <c r="AQ190" s="10"/>
      <c r="AR190" s="27"/>
    </row>
    <row r="191" spans="1:44" s="2" customFormat="1" ht="17.25" customHeight="1" x14ac:dyDescent="0.25">
      <c r="A191" s="24"/>
      <c r="B191" s="205" t="s">
        <v>109</v>
      </c>
      <c r="C191" s="206"/>
      <c r="D191" s="64"/>
      <c r="E191" s="64"/>
      <c r="F191" s="64"/>
      <c r="G191" s="64"/>
      <c r="H191" s="64"/>
      <c r="I191" s="64"/>
      <c r="J191" s="64"/>
      <c r="K191" s="57">
        <v>10000</v>
      </c>
      <c r="L191" s="88">
        <v>5</v>
      </c>
      <c r="M191" s="62">
        <f>K191*L191</f>
        <v>50000</v>
      </c>
      <c r="N191" s="57"/>
      <c r="O191" s="88"/>
      <c r="P191" s="62"/>
      <c r="Q191" s="39">
        <f>-M191</f>
        <v>-50000</v>
      </c>
      <c r="R191" s="39"/>
      <c r="S191" s="39"/>
      <c r="T191" s="16"/>
      <c r="U191" s="16">
        <f>-P191</f>
        <v>0</v>
      </c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22"/>
      <c r="AQ191" s="10"/>
      <c r="AR191" s="11"/>
    </row>
    <row r="192" spans="1:44" s="2" customFormat="1" ht="17.25" customHeight="1" thickBot="1" x14ac:dyDescent="0.25">
      <c r="A192" s="24"/>
      <c r="B192" s="216"/>
      <c r="C192" s="242"/>
      <c r="D192" s="83"/>
      <c r="E192" s="81"/>
      <c r="F192" s="81"/>
      <c r="G192" s="81"/>
      <c r="H192" s="81"/>
      <c r="I192" s="81"/>
      <c r="J192" s="81"/>
      <c r="K192" s="37"/>
      <c r="L192" s="93"/>
      <c r="M192" s="81"/>
      <c r="N192" s="37"/>
      <c r="O192" s="93"/>
      <c r="P192" s="81"/>
      <c r="Q192" s="40"/>
      <c r="R192" s="40"/>
      <c r="S192" s="39"/>
      <c r="T192" s="16"/>
      <c r="U192" s="16"/>
      <c r="V192" s="16"/>
      <c r="W192" s="16"/>
      <c r="X192" s="16"/>
      <c r="Y192" s="19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41"/>
      <c r="AQ192" s="10"/>
      <c r="AR192" s="11"/>
    </row>
    <row r="193" spans="1:46" s="4" customFormat="1" ht="17.25" customHeight="1" x14ac:dyDescent="0.25">
      <c r="A193" s="23"/>
      <c r="B193" s="248" t="s">
        <v>94</v>
      </c>
      <c r="C193" s="249"/>
      <c r="D193" s="66"/>
      <c r="E193" s="66"/>
      <c r="F193" s="117"/>
      <c r="G193" s="117"/>
      <c r="H193" s="66"/>
      <c r="I193" s="66"/>
      <c r="J193" s="66">
        <f>-M193</f>
        <v>6885.5</v>
      </c>
      <c r="K193" s="58">
        <v>-1175</v>
      </c>
      <c r="L193" s="89">
        <v>5.86</v>
      </c>
      <c r="M193" s="73">
        <f>K193*L193</f>
        <v>-6885.5</v>
      </c>
      <c r="N193" s="58"/>
      <c r="O193" s="89"/>
      <c r="P193" s="73"/>
      <c r="Q193" s="39"/>
      <c r="R193" s="39"/>
      <c r="S193" s="8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35"/>
      <c r="AP193" s="12" t="e">
        <f>#REF!</f>
        <v>#REF!</v>
      </c>
    </row>
    <row r="194" spans="1:46" s="4" customFormat="1" ht="17.25" customHeight="1" x14ac:dyDescent="0.25">
      <c r="A194" s="23"/>
      <c r="B194" s="201" t="s">
        <v>95</v>
      </c>
      <c r="C194" s="202"/>
      <c r="D194" s="64"/>
      <c r="E194" s="64"/>
      <c r="F194" s="117"/>
      <c r="G194" s="117"/>
      <c r="H194" s="64"/>
      <c r="I194" s="64"/>
      <c r="J194" s="64">
        <f>-P194</f>
        <v>5759.12</v>
      </c>
      <c r="K194" s="57"/>
      <c r="L194" s="88"/>
      <c r="M194" s="62"/>
      <c r="N194" s="57">
        <v>-1492</v>
      </c>
      <c r="O194" s="88">
        <v>3.86</v>
      </c>
      <c r="P194" s="62">
        <f>N194*O194</f>
        <v>-5759.12</v>
      </c>
      <c r="Q194" s="39"/>
      <c r="R194" s="39"/>
      <c r="S194" s="8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35"/>
      <c r="AP194" s="12" t="e">
        <f>#REF!</f>
        <v>#REF!</v>
      </c>
    </row>
    <row r="195" spans="1:46" s="4" customFormat="1" ht="17.25" customHeight="1" x14ac:dyDescent="0.25">
      <c r="A195" s="23"/>
      <c r="B195" s="201" t="s">
        <v>97</v>
      </c>
      <c r="C195" s="202"/>
      <c r="D195" s="64"/>
      <c r="E195" s="64"/>
      <c r="F195" s="64"/>
      <c r="G195" s="64"/>
      <c r="H195" s="64">
        <f>-J195-I195</f>
        <v>4247.0200000000004</v>
      </c>
      <c r="I195" s="64">
        <f>30397.6-22000</f>
        <v>8397.5999999999985</v>
      </c>
      <c r="J195" s="64">
        <f>-SUM(J193:J194)</f>
        <v>-12644.619999999999</v>
      </c>
      <c r="K195" s="57"/>
      <c r="L195" s="88"/>
      <c r="M195" s="62"/>
      <c r="N195" s="57"/>
      <c r="O195" s="88"/>
      <c r="P195" s="62"/>
      <c r="Q195" s="39"/>
      <c r="R195" s="39"/>
      <c r="S195" s="39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22"/>
      <c r="AO195" s="43">
        <f>A156</f>
        <v>0</v>
      </c>
      <c r="AP195" s="12" t="e">
        <f>#REF!</f>
        <v>#REF!</v>
      </c>
      <c r="AT195" s="2"/>
    </row>
    <row r="196" spans="1:46" s="4" customFormat="1" ht="17.25" customHeight="1" x14ac:dyDescent="0.25">
      <c r="A196" s="23"/>
      <c r="B196" s="201" t="s">
        <v>93</v>
      </c>
      <c r="C196" s="202"/>
      <c r="D196" s="64"/>
      <c r="E196" s="64"/>
      <c r="F196" s="64"/>
      <c r="G196" s="64"/>
      <c r="H196" s="64"/>
      <c r="I196" s="64"/>
      <c r="J196" s="64"/>
      <c r="K196" s="57">
        <v>10</v>
      </c>
      <c r="L196" s="88"/>
      <c r="M196" s="118">
        <f>(K199*4.976931)-M170-M193-M191</f>
        <v>1087.370385000002</v>
      </c>
      <c r="N196" s="57">
        <v>-68</v>
      </c>
      <c r="O196" s="88"/>
      <c r="P196" s="118">
        <f>(N199*O170)-P170-P194</f>
        <v>51.553921411393276</v>
      </c>
      <c r="Q196" s="39"/>
      <c r="R196" s="39"/>
      <c r="S196" s="39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22"/>
      <c r="AO196" s="43">
        <f>A164</f>
        <v>0</v>
      </c>
      <c r="AP196" s="12" t="e">
        <f>#REF!</f>
        <v>#REF!</v>
      </c>
      <c r="AT196" s="2"/>
    </row>
    <row r="197" spans="1:46" s="2" customFormat="1" ht="17.25" customHeight="1" x14ac:dyDescent="0.2">
      <c r="A197" s="24"/>
      <c r="B197" s="201" t="s">
        <v>110</v>
      </c>
      <c r="C197" s="204"/>
      <c r="D197" s="63"/>
      <c r="E197" s="64"/>
      <c r="F197" s="64"/>
      <c r="G197" s="64"/>
      <c r="H197" s="64"/>
      <c r="I197" s="64">
        <v>22000</v>
      </c>
      <c r="J197" s="64"/>
      <c r="K197" s="16"/>
      <c r="L197" s="16"/>
      <c r="M197" s="64"/>
      <c r="N197" s="16"/>
      <c r="O197" s="16"/>
      <c r="P197" s="64"/>
      <c r="Q197" s="46"/>
      <c r="R197" s="46">
        <f>-I197</f>
        <v>-22000</v>
      </c>
      <c r="S197" s="39"/>
      <c r="T197" s="16"/>
      <c r="U197" s="16"/>
      <c r="V197" s="16"/>
      <c r="W197" s="16"/>
      <c r="X197" s="16"/>
      <c r="Y197" s="19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43">
        <f>A171</f>
        <v>45915</v>
      </c>
      <c r="AQ197" s="10"/>
      <c r="AR197" s="11"/>
    </row>
    <row r="198" spans="1:46" s="2" customFormat="1" ht="17.25" customHeight="1" thickBot="1" x14ac:dyDescent="0.3">
      <c r="A198" s="56"/>
      <c r="B198" s="101" t="s">
        <v>102</v>
      </c>
      <c r="C198" s="102">
        <f>D199+E199+F199+G199+H199+I199+J199+M199+P199</f>
        <v>116544.83999999998</v>
      </c>
      <c r="D198" s="84"/>
      <c r="E198" s="85"/>
      <c r="F198" s="85"/>
      <c r="G198" s="85"/>
      <c r="H198" s="85"/>
      <c r="I198" s="85"/>
      <c r="J198" s="85"/>
      <c r="K198" s="28"/>
      <c r="L198" s="28"/>
      <c r="M198" s="85"/>
      <c r="N198" s="28"/>
      <c r="O198" s="28"/>
      <c r="P198" s="85"/>
      <c r="Q198" s="48"/>
      <c r="R198" s="48"/>
      <c r="S198" s="51"/>
      <c r="T198" s="28"/>
      <c r="U198" s="28"/>
      <c r="V198" s="28"/>
      <c r="W198" s="28"/>
      <c r="X198" s="28"/>
      <c r="Y198" s="36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42">
        <f>SUM($Q170:AN198)</f>
        <v>-417307.88</v>
      </c>
      <c r="AQ198" s="10"/>
      <c r="AR198" s="11"/>
      <c r="AS198" s="2" t="s">
        <v>5</v>
      </c>
    </row>
    <row r="199" spans="1:46" s="2" customFormat="1" ht="17.25" customHeight="1" thickTop="1" thickBot="1" x14ac:dyDescent="0.3">
      <c r="A199" s="103"/>
      <c r="B199" s="104" t="s">
        <v>103</v>
      </c>
      <c r="C199" s="105">
        <f>AO199</f>
        <v>-300763.04000000004</v>
      </c>
      <c r="D199" s="106">
        <f t="shared" ref="D199:K199" si="21">SUM(D170:D198)</f>
        <v>20.369999999995343</v>
      </c>
      <c r="E199" s="107">
        <f t="shared" si="21"/>
        <v>-35930.800000000017</v>
      </c>
      <c r="F199" s="107">
        <f t="shared" si="21"/>
        <v>166.43000000000029</v>
      </c>
      <c r="G199" s="107">
        <f t="shared" si="21"/>
        <v>-100</v>
      </c>
      <c r="H199" s="107">
        <f t="shared" si="21"/>
        <v>4094.2400000000034</v>
      </c>
      <c r="I199" s="107">
        <f t="shared" si="21"/>
        <v>30397.599999999999</v>
      </c>
      <c r="J199" s="107">
        <f t="shared" si="21"/>
        <v>0</v>
      </c>
      <c r="K199" s="108">
        <f t="shared" si="21"/>
        <v>13835</v>
      </c>
      <c r="L199" s="109">
        <f>M199/K199</f>
        <v>4.9769309721720276</v>
      </c>
      <c r="M199" s="107">
        <f>ROUND(SUM(M170:M198),2)</f>
        <v>68855.839999999997</v>
      </c>
      <c r="N199" s="108">
        <f>SUM(N170:N198)</f>
        <v>13404</v>
      </c>
      <c r="O199" s="109">
        <f>P199/N199</f>
        <v>3.658695911668159</v>
      </c>
      <c r="P199" s="107">
        <f>ROUND(SUM(P170:P198),2)</f>
        <v>49041.16</v>
      </c>
      <c r="Q199" s="110">
        <f t="shared" ref="Q199:AN199" si="22">SUM(Q170:Q198)</f>
        <v>-123200</v>
      </c>
      <c r="R199" s="107">
        <f t="shared" si="22"/>
        <v>8365.57</v>
      </c>
      <c r="S199" s="107">
        <f t="shared" si="22"/>
        <v>0</v>
      </c>
      <c r="T199" s="107">
        <f t="shared" si="22"/>
        <v>-16073.45</v>
      </c>
      <c r="U199" s="107">
        <f t="shared" si="22"/>
        <v>-176300</v>
      </c>
      <c r="V199" s="107">
        <f t="shared" si="22"/>
        <v>-110100</v>
      </c>
      <c r="W199" s="107">
        <f t="shared" si="22"/>
        <v>0</v>
      </c>
      <c r="X199" s="107">
        <f t="shared" si="22"/>
        <v>0</v>
      </c>
      <c r="Y199" s="107">
        <f t="shared" si="22"/>
        <v>0</v>
      </c>
      <c r="Z199" s="107">
        <f t="shared" si="22"/>
        <v>0</v>
      </c>
      <c r="AA199" s="107">
        <f t="shared" si="22"/>
        <v>0</v>
      </c>
      <c r="AB199" s="107">
        <f t="shared" si="22"/>
        <v>0</v>
      </c>
      <c r="AC199" s="107">
        <f t="shared" si="22"/>
        <v>0</v>
      </c>
      <c r="AD199" s="107">
        <f t="shared" si="22"/>
        <v>0</v>
      </c>
      <c r="AE199" s="107">
        <f t="shared" si="22"/>
        <v>0</v>
      </c>
      <c r="AF199" s="107">
        <f t="shared" si="22"/>
        <v>0</v>
      </c>
      <c r="AG199" s="107">
        <f t="shared" si="22"/>
        <v>0</v>
      </c>
      <c r="AH199" s="107">
        <f t="shared" si="22"/>
        <v>0</v>
      </c>
      <c r="AI199" s="107">
        <f t="shared" si="22"/>
        <v>0</v>
      </c>
      <c r="AJ199" s="107">
        <f t="shared" si="22"/>
        <v>0</v>
      </c>
      <c r="AK199" s="107">
        <f t="shared" si="22"/>
        <v>0</v>
      </c>
      <c r="AL199" s="107">
        <f t="shared" si="22"/>
        <v>0</v>
      </c>
      <c r="AM199" s="107">
        <f t="shared" si="22"/>
        <v>0</v>
      </c>
      <c r="AN199" s="107">
        <f t="shared" si="22"/>
        <v>0</v>
      </c>
      <c r="AO199" s="111">
        <f>D199+E199+F199+G199+H199+I199+J199+M199+P199+SUM(Q199:AN199)</f>
        <v>-300763.04000000004</v>
      </c>
      <c r="AP199" s="4"/>
      <c r="AQ199" s="5"/>
      <c r="AR199" s="5"/>
      <c r="AS199" s="2" t="s">
        <v>6</v>
      </c>
    </row>
    <row r="200" spans="1:46" s="2" customFormat="1" ht="17.25" customHeight="1" thickTop="1" x14ac:dyDescent="0.25">
      <c r="A200" s="23">
        <f>A171+1</f>
        <v>45916</v>
      </c>
      <c r="B200" s="210" t="s">
        <v>64</v>
      </c>
      <c r="C200" s="203"/>
      <c r="D200" s="63">
        <v>8879.4</v>
      </c>
      <c r="E200" s="66"/>
      <c r="F200" s="66"/>
      <c r="G200" s="66"/>
      <c r="H200" s="66"/>
      <c r="I200" s="66">
        <f>-D200</f>
        <v>-8879.4</v>
      </c>
      <c r="J200" s="66"/>
      <c r="K200" s="18"/>
      <c r="L200" s="18"/>
      <c r="M200" s="66"/>
      <c r="N200" s="18"/>
      <c r="O200" s="18"/>
      <c r="P200" s="66"/>
      <c r="Q200" s="46"/>
      <c r="R200" s="46"/>
      <c r="S200" s="45"/>
      <c r="T200" s="18"/>
      <c r="U200" s="18"/>
      <c r="V200" s="18"/>
      <c r="W200" s="18"/>
      <c r="X200" s="18"/>
      <c r="Y200" s="14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31"/>
      <c r="AQ200" s="10"/>
      <c r="AR200" s="27"/>
    </row>
    <row r="201" spans="1:46" s="4" customFormat="1" ht="17.25" customHeight="1" x14ac:dyDescent="0.25">
      <c r="A201" s="23"/>
      <c r="B201" s="201" t="s">
        <v>96</v>
      </c>
      <c r="C201" s="202"/>
      <c r="D201" s="63"/>
      <c r="E201" s="64"/>
      <c r="F201" s="64"/>
      <c r="G201" s="64"/>
      <c r="H201" s="64"/>
      <c r="I201" s="117">
        <v>-304.58</v>
      </c>
      <c r="J201" s="64"/>
      <c r="K201" s="16"/>
      <c r="L201" s="92"/>
      <c r="M201" s="64"/>
      <c r="N201" s="16"/>
      <c r="O201" s="92"/>
      <c r="P201" s="64"/>
      <c r="Q201" s="40"/>
      <c r="R201" s="46"/>
      <c r="S201" s="39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22"/>
      <c r="AP201" s="30"/>
    </row>
    <row r="202" spans="1:46" s="2" customFormat="1" ht="17.25" customHeight="1" x14ac:dyDescent="0.2">
      <c r="A202" s="23"/>
      <c r="B202" s="210" t="s">
        <v>64</v>
      </c>
      <c r="C202" s="203"/>
      <c r="D202" s="63">
        <v>20415.689999999999</v>
      </c>
      <c r="E202" s="64"/>
      <c r="F202" s="74"/>
      <c r="G202" s="74"/>
      <c r="H202" s="64"/>
      <c r="I202" s="64">
        <f>-D202</f>
        <v>-20415.689999999999</v>
      </c>
      <c r="J202" s="64"/>
      <c r="K202" s="16"/>
      <c r="L202" s="16"/>
      <c r="M202" s="64"/>
      <c r="N202" s="16"/>
      <c r="O202" s="16"/>
      <c r="P202" s="64"/>
      <c r="Q202" s="46"/>
      <c r="R202" s="39"/>
      <c r="S202" s="40"/>
      <c r="T202" s="16"/>
      <c r="U202" s="16"/>
      <c r="V202" s="16"/>
      <c r="W202" s="16"/>
      <c r="X202" s="16"/>
      <c r="Y202" s="19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35"/>
      <c r="AQ202" s="10"/>
      <c r="AR202" s="27"/>
    </row>
    <row r="203" spans="1:46" s="2" customFormat="1" ht="17.25" customHeight="1" x14ac:dyDescent="0.2">
      <c r="A203" s="23"/>
      <c r="B203" s="201" t="s">
        <v>96</v>
      </c>
      <c r="C203" s="202"/>
      <c r="D203" s="63"/>
      <c r="E203" s="64"/>
      <c r="F203" s="74"/>
      <c r="G203" s="74"/>
      <c r="H203" s="64"/>
      <c r="I203" s="64">
        <v>-797.93</v>
      </c>
      <c r="J203" s="64"/>
      <c r="K203" s="16"/>
      <c r="L203" s="16"/>
      <c r="M203" s="64"/>
      <c r="N203" s="16"/>
      <c r="O203" s="16"/>
      <c r="P203" s="64"/>
      <c r="Q203" s="46"/>
      <c r="R203" s="39"/>
      <c r="S203" s="40"/>
      <c r="T203" s="16"/>
      <c r="U203" s="16"/>
      <c r="V203" s="16"/>
      <c r="W203" s="16"/>
      <c r="X203" s="16"/>
      <c r="Y203" s="19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35"/>
      <c r="AQ203" s="10"/>
      <c r="AR203" s="27"/>
    </row>
    <row r="204" spans="1:46" s="2" customFormat="1" ht="17.25" customHeight="1" x14ac:dyDescent="0.2">
      <c r="A204" s="23"/>
      <c r="B204" s="201" t="s">
        <v>72</v>
      </c>
      <c r="C204" s="203"/>
      <c r="D204" s="63">
        <v>-29300.080000000002</v>
      </c>
      <c r="E204" s="64"/>
      <c r="F204" s="74">
        <f>-D204</f>
        <v>29300.080000000002</v>
      </c>
      <c r="G204" s="74">
        <f>-E204</f>
        <v>0</v>
      </c>
      <c r="H204" s="64"/>
      <c r="I204" s="64"/>
      <c r="J204" s="64"/>
      <c r="K204" s="16"/>
      <c r="L204" s="16"/>
      <c r="M204" s="64"/>
      <c r="N204" s="16"/>
      <c r="O204" s="16"/>
      <c r="P204" s="64"/>
      <c r="Q204" s="46"/>
      <c r="R204" s="39"/>
      <c r="S204" s="40"/>
      <c r="T204" s="16"/>
      <c r="U204" s="16"/>
      <c r="V204" s="16"/>
      <c r="W204" s="16"/>
      <c r="X204" s="16"/>
      <c r="Y204" s="19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35"/>
      <c r="AQ204" s="10"/>
      <c r="AR204" s="27"/>
    </row>
    <row r="205" spans="1:46" s="2" customFormat="1" ht="17.25" customHeight="1" x14ac:dyDescent="0.2">
      <c r="A205" s="24"/>
      <c r="B205" s="211" t="s">
        <v>117</v>
      </c>
      <c r="C205" s="206"/>
      <c r="D205" s="63"/>
      <c r="E205" s="64"/>
      <c r="F205" s="64">
        <v>-11669</v>
      </c>
      <c r="G205" s="64"/>
      <c r="H205" s="64"/>
      <c r="I205" s="64"/>
      <c r="J205" s="64"/>
      <c r="K205" s="16"/>
      <c r="L205" s="16"/>
      <c r="M205" s="64"/>
      <c r="N205" s="16"/>
      <c r="O205" s="16"/>
      <c r="P205" s="64"/>
      <c r="Q205" s="40"/>
      <c r="R205" s="40"/>
      <c r="S205" s="39"/>
      <c r="T205" s="16"/>
      <c r="U205" s="20">
        <f>-F205</f>
        <v>11669</v>
      </c>
      <c r="V205" s="16"/>
      <c r="W205" s="16"/>
      <c r="X205" s="16"/>
      <c r="Y205" s="19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41"/>
      <c r="AQ205" s="10"/>
      <c r="AR205" s="11"/>
    </row>
    <row r="206" spans="1:46" s="2" customFormat="1" ht="17.25" customHeight="1" x14ac:dyDescent="0.2">
      <c r="A206" s="24"/>
      <c r="B206" s="211" t="s">
        <v>118</v>
      </c>
      <c r="C206" s="206"/>
      <c r="D206" s="63"/>
      <c r="E206" s="64"/>
      <c r="F206" s="64">
        <v>-11665.5</v>
      </c>
      <c r="G206" s="64"/>
      <c r="H206" s="64"/>
      <c r="I206" s="64"/>
      <c r="J206" s="64"/>
      <c r="K206" s="16"/>
      <c r="L206" s="16"/>
      <c r="M206" s="64"/>
      <c r="N206" s="16"/>
      <c r="O206" s="16"/>
      <c r="P206" s="64"/>
      <c r="Q206" s="40"/>
      <c r="R206" s="40"/>
      <c r="S206" s="39"/>
      <c r="T206" s="16"/>
      <c r="U206" s="20">
        <f>-F206</f>
        <v>11665.5</v>
      </c>
      <c r="V206" s="16"/>
      <c r="W206" s="16"/>
      <c r="X206" s="16"/>
      <c r="Y206" s="19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41"/>
      <c r="AQ206" s="10"/>
      <c r="AR206" s="11"/>
    </row>
    <row r="207" spans="1:46" s="2" customFormat="1" ht="17.25" customHeight="1" x14ac:dyDescent="0.2">
      <c r="A207" s="24"/>
      <c r="B207" s="210" t="s">
        <v>119</v>
      </c>
      <c r="C207" s="203"/>
      <c r="D207" s="63"/>
      <c r="E207" s="64"/>
      <c r="F207" s="64">
        <v>-654.5</v>
      </c>
      <c r="G207" s="64"/>
      <c r="H207" s="64"/>
      <c r="I207" s="64"/>
      <c r="J207" s="64"/>
      <c r="K207" s="16"/>
      <c r="L207" s="16"/>
      <c r="M207" s="64"/>
      <c r="N207" s="16"/>
      <c r="O207" s="16"/>
      <c r="P207" s="64"/>
      <c r="Q207" s="40"/>
      <c r="R207" s="40"/>
      <c r="S207" s="39"/>
      <c r="T207" s="16"/>
      <c r="U207" s="16"/>
      <c r="V207" s="16"/>
      <c r="W207" s="16"/>
      <c r="X207" s="16"/>
      <c r="Y207" s="19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41"/>
      <c r="AQ207" s="10"/>
      <c r="AR207" s="11"/>
    </row>
    <row r="208" spans="1:46" s="2" customFormat="1" ht="17.25" customHeight="1" x14ac:dyDescent="0.2">
      <c r="A208" s="23"/>
      <c r="B208" s="208" t="s">
        <v>13</v>
      </c>
      <c r="C208" s="209"/>
      <c r="D208" s="63"/>
      <c r="E208" s="64">
        <f>30+100+50+19+76.85+132.65+30+12+30+10+50+60+50+20+20+100+13+107+35+70+80+50+95+80+15</f>
        <v>1335.5</v>
      </c>
      <c r="F208" s="74"/>
      <c r="G208" s="74"/>
      <c r="H208" s="64">
        <f>-E208</f>
        <v>-1335.5</v>
      </c>
      <c r="I208" s="64"/>
      <c r="J208" s="64"/>
      <c r="K208" s="16"/>
      <c r="L208" s="16"/>
      <c r="M208" s="64"/>
      <c r="N208" s="16"/>
      <c r="O208" s="16"/>
      <c r="P208" s="64"/>
      <c r="Q208" s="46"/>
      <c r="R208" s="39"/>
      <c r="S208" s="40"/>
      <c r="T208" s="16"/>
      <c r="U208" s="16"/>
      <c r="V208" s="16"/>
      <c r="W208" s="16"/>
      <c r="X208" s="16"/>
      <c r="Y208" s="19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35"/>
      <c r="AQ208" s="10"/>
      <c r="AR208" s="27"/>
    </row>
    <row r="209" spans="1:46" s="2" customFormat="1" ht="17.25" customHeight="1" x14ac:dyDescent="0.2">
      <c r="A209" s="23"/>
      <c r="B209" s="201" t="s">
        <v>133</v>
      </c>
      <c r="C209" s="203"/>
      <c r="D209" s="63"/>
      <c r="E209" s="64">
        <v>-363.42</v>
      </c>
      <c r="F209" s="74"/>
      <c r="G209" s="74"/>
      <c r="H209" s="64"/>
      <c r="I209" s="64"/>
      <c r="J209" s="64"/>
      <c r="K209" s="16"/>
      <c r="L209" s="16"/>
      <c r="M209" s="64"/>
      <c r="N209" s="16"/>
      <c r="O209" s="16"/>
      <c r="P209" s="64"/>
      <c r="Q209" s="46"/>
      <c r="R209" s="39"/>
      <c r="S209" s="40"/>
      <c r="T209" s="16"/>
      <c r="U209" s="16"/>
      <c r="V209" s="16"/>
      <c r="W209" s="16"/>
      <c r="X209" s="16"/>
      <c r="Y209" s="19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35"/>
      <c r="AQ209" s="10"/>
      <c r="AR209" s="27"/>
    </row>
    <row r="210" spans="1:46" s="2" customFormat="1" ht="17.25" customHeight="1" x14ac:dyDescent="0.2">
      <c r="A210" s="23"/>
      <c r="B210" s="201" t="s">
        <v>41</v>
      </c>
      <c r="C210" s="202"/>
      <c r="D210" s="63"/>
      <c r="E210" s="64">
        <v>-462.65</v>
      </c>
      <c r="F210" s="74"/>
      <c r="G210" s="74"/>
      <c r="H210" s="64"/>
      <c r="I210" s="64"/>
      <c r="J210" s="64"/>
      <c r="K210" s="16"/>
      <c r="L210" s="16"/>
      <c r="M210" s="64"/>
      <c r="N210" s="16"/>
      <c r="O210" s="16"/>
      <c r="P210" s="64"/>
      <c r="Q210" s="46"/>
      <c r="R210" s="39"/>
      <c r="S210" s="40"/>
      <c r="T210" s="16"/>
      <c r="U210" s="16"/>
      <c r="V210" s="16"/>
      <c r="W210" s="16"/>
      <c r="X210" s="16"/>
      <c r="Y210" s="19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35"/>
      <c r="AQ210" s="10"/>
      <c r="AR210" s="27"/>
    </row>
    <row r="211" spans="1:46" s="2" customFormat="1" ht="17.25" customHeight="1" thickBot="1" x14ac:dyDescent="0.25">
      <c r="A211" s="24"/>
      <c r="B211" s="216"/>
      <c r="C211" s="217"/>
      <c r="D211" s="83"/>
      <c r="E211" s="81"/>
      <c r="F211" s="81"/>
      <c r="G211" s="81"/>
      <c r="H211" s="81"/>
      <c r="I211" s="81"/>
      <c r="J211" s="81"/>
      <c r="K211" s="37"/>
      <c r="L211" s="93"/>
      <c r="M211" s="81"/>
      <c r="N211" s="37"/>
      <c r="O211" s="93"/>
      <c r="P211" s="81"/>
      <c r="Q211" s="40"/>
      <c r="R211" s="40"/>
      <c r="S211" s="39"/>
      <c r="T211" s="16"/>
      <c r="U211" s="16"/>
      <c r="V211" s="16"/>
      <c r="W211" s="16"/>
      <c r="X211" s="16"/>
      <c r="Y211" s="19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41"/>
      <c r="AQ211" s="10"/>
      <c r="AR211" s="11"/>
    </row>
    <row r="212" spans="1:46" s="4" customFormat="1" ht="17.25" customHeight="1" x14ac:dyDescent="0.25">
      <c r="A212" s="23"/>
      <c r="B212" s="210" t="s">
        <v>94</v>
      </c>
      <c r="C212" s="203"/>
      <c r="D212" s="66"/>
      <c r="E212" s="66"/>
      <c r="F212" s="117"/>
      <c r="G212" s="117"/>
      <c r="H212" s="66"/>
      <c r="I212" s="66"/>
      <c r="J212" s="66">
        <f>-M212</f>
        <v>7301.19</v>
      </c>
      <c r="K212" s="58">
        <v>-1261</v>
      </c>
      <c r="L212" s="89">
        <v>5.79</v>
      </c>
      <c r="M212" s="73">
        <f>K212*L212</f>
        <v>-7301.19</v>
      </c>
      <c r="N212" s="58"/>
      <c r="O212" s="89"/>
      <c r="P212" s="73"/>
      <c r="Q212" s="39"/>
      <c r="R212" s="39"/>
      <c r="S212" s="8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35"/>
      <c r="AP212" s="12" t="e">
        <f>#REF!</f>
        <v>#REF!</v>
      </c>
    </row>
    <row r="213" spans="1:46" s="4" customFormat="1" ht="17.25" customHeight="1" x14ac:dyDescent="0.25">
      <c r="A213" s="23"/>
      <c r="B213" s="201" t="s">
        <v>95</v>
      </c>
      <c r="C213" s="202"/>
      <c r="D213" s="64"/>
      <c r="E213" s="64"/>
      <c r="F213" s="117"/>
      <c r="G213" s="117"/>
      <c r="H213" s="64"/>
      <c r="I213" s="64"/>
      <c r="J213" s="64">
        <f>-P213</f>
        <v>7132.78</v>
      </c>
      <c r="K213" s="57"/>
      <c r="L213" s="88"/>
      <c r="M213" s="62"/>
      <c r="N213" s="57">
        <v>-1882</v>
      </c>
      <c r="O213" s="88">
        <v>3.79</v>
      </c>
      <c r="P213" s="62">
        <f>N213*O213</f>
        <v>-7132.78</v>
      </c>
      <c r="Q213" s="39"/>
      <c r="R213" s="39"/>
      <c r="S213" s="8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35"/>
      <c r="AP213" s="12" t="e">
        <f>#REF!</f>
        <v>#REF!</v>
      </c>
    </row>
    <row r="214" spans="1:46" s="4" customFormat="1" ht="17.25" customHeight="1" x14ac:dyDescent="0.25">
      <c r="A214" s="23"/>
      <c r="B214" s="201" t="s">
        <v>97</v>
      </c>
      <c r="C214" s="203"/>
      <c r="D214" s="64"/>
      <c r="E214" s="64"/>
      <c r="F214" s="64"/>
      <c r="G214" s="64"/>
      <c r="H214" s="64">
        <f>-J214-I214</f>
        <v>5680.4299999999985</v>
      </c>
      <c r="I214" s="64">
        <v>8753.5400000000009</v>
      </c>
      <c r="J214" s="64">
        <f>-SUM(J212:J213)</f>
        <v>-14433.97</v>
      </c>
      <c r="K214" s="57"/>
      <c r="L214" s="88"/>
      <c r="M214" s="62"/>
      <c r="N214" s="57"/>
      <c r="O214" s="88"/>
      <c r="P214" s="62"/>
      <c r="Q214" s="39"/>
      <c r="R214" s="39"/>
      <c r="S214" s="39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22"/>
      <c r="AO214" s="43">
        <f>A167</f>
        <v>0</v>
      </c>
      <c r="AP214" s="12" t="e">
        <f>#REF!</f>
        <v>#REF!</v>
      </c>
      <c r="AT214" s="2"/>
    </row>
    <row r="215" spans="1:46" s="4" customFormat="1" ht="17.25" customHeight="1" x14ac:dyDescent="0.25">
      <c r="A215" s="23"/>
      <c r="B215" s="201" t="s">
        <v>93</v>
      </c>
      <c r="C215" s="202"/>
      <c r="D215" s="64"/>
      <c r="E215" s="64"/>
      <c r="F215" s="64"/>
      <c r="G215" s="64"/>
      <c r="H215" s="64"/>
      <c r="I215" s="64"/>
      <c r="J215" s="64"/>
      <c r="K215" s="57">
        <v>-57</v>
      </c>
      <c r="L215" s="88"/>
      <c r="M215" s="118">
        <f>(K218*L199)-M199-M212</f>
        <v>741.5949786772735</v>
      </c>
      <c r="N215" s="57">
        <v>-122</v>
      </c>
      <c r="O215" s="88"/>
      <c r="P215" s="118">
        <f>(N218*O199)-P199-P213</f>
        <v>-199.24660698298885</v>
      </c>
      <c r="Q215" s="39"/>
      <c r="R215" s="39"/>
      <c r="S215" s="39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22"/>
      <c r="AO215" s="43">
        <f>A193</f>
        <v>0</v>
      </c>
      <c r="AP215" s="12" t="e">
        <f>#REF!</f>
        <v>#REF!</v>
      </c>
      <c r="AT215" s="2"/>
    </row>
    <row r="216" spans="1:46" s="2" customFormat="1" ht="17.25" customHeight="1" x14ac:dyDescent="0.2">
      <c r="A216" s="24"/>
      <c r="B216" s="201"/>
      <c r="C216" s="204"/>
      <c r="D216" s="63"/>
      <c r="E216" s="64"/>
      <c r="F216" s="64"/>
      <c r="G216" s="64"/>
      <c r="H216" s="64"/>
      <c r="I216" s="64"/>
      <c r="J216" s="64"/>
      <c r="K216" s="16"/>
      <c r="L216" s="16"/>
      <c r="M216" s="64"/>
      <c r="N216" s="16"/>
      <c r="O216" s="16"/>
      <c r="P216" s="64"/>
      <c r="Q216" s="46"/>
      <c r="R216" s="46"/>
      <c r="S216" s="39"/>
      <c r="T216" s="16"/>
      <c r="U216" s="16"/>
      <c r="V216" s="16"/>
      <c r="W216" s="16"/>
      <c r="X216" s="16"/>
      <c r="Y216" s="19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43">
        <f>A200</f>
        <v>45916</v>
      </c>
      <c r="AQ216" s="10"/>
      <c r="AR216" s="11"/>
    </row>
    <row r="217" spans="1:46" s="2" customFormat="1" ht="17.25" customHeight="1" thickBot="1" x14ac:dyDescent="0.3">
      <c r="A217" s="56"/>
      <c r="B217" s="101" t="s">
        <v>102</v>
      </c>
      <c r="C217" s="102">
        <f>D218+E218+F218+G218+H218+I218+J218+M218+P218</f>
        <v>91169.599999999977</v>
      </c>
      <c r="D217" s="84"/>
      <c r="E217" s="85"/>
      <c r="F217" s="85"/>
      <c r="G217" s="85"/>
      <c r="H217" s="85"/>
      <c r="I217" s="85"/>
      <c r="J217" s="85"/>
      <c r="K217" s="28"/>
      <c r="L217" s="28"/>
      <c r="M217" s="85"/>
      <c r="N217" s="28"/>
      <c r="O217" s="28"/>
      <c r="P217" s="85"/>
      <c r="Q217" s="48"/>
      <c r="R217" s="48"/>
      <c r="S217" s="51"/>
      <c r="T217" s="28"/>
      <c r="U217" s="28"/>
      <c r="V217" s="28"/>
      <c r="W217" s="28"/>
      <c r="X217" s="28"/>
      <c r="Y217" s="36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42">
        <f>SUM($Q199:AN217)</f>
        <v>-393973.38</v>
      </c>
      <c r="AQ217" s="10"/>
      <c r="AR217" s="11"/>
      <c r="AS217" s="2" t="s">
        <v>5</v>
      </c>
    </row>
    <row r="218" spans="1:46" s="2" customFormat="1" ht="17.25" customHeight="1" thickTop="1" thickBot="1" x14ac:dyDescent="0.3">
      <c r="A218" s="103"/>
      <c r="B218" s="104" t="s">
        <v>103</v>
      </c>
      <c r="C218" s="105">
        <f>AO218</f>
        <v>-302803.78000000003</v>
      </c>
      <c r="D218" s="106">
        <f t="shared" ref="D218:K218" si="23">SUM(D199:D217)</f>
        <v>15.379999999990105</v>
      </c>
      <c r="E218" s="107">
        <f t="shared" si="23"/>
        <v>-35421.370000000017</v>
      </c>
      <c r="F218" s="107">
        <f t="shared" si="23"/>
        <v>5477.510000000002</v>
      </c>
      <c r="G218" s="107">
        <f t="shared" si="23"/>
        <v>-100</v>
      </c>
      <c r="H218" s="107">
        <f t="shared" si="23"/>
        <v>8439.1700000000019</v>
      </c>
      <c r="I218" s="107">
        <f t="shared" si="23"/>
        <v>8753.5399999999972</v>
      </c>
      <c r="J218" s="107">
        <f t="shared" si="23"/>
        <v>0</v>
      </c>
      <c r="K218" s="108">
        <f t="shared" si="23"/>
        <v>12517</v>
      </c>
      <c r="L218" s="109">
        <f>M218/K218</f>
        <v>4.9769305744187902</v>
      </c>
      <c r="M218" s="107">
        <f>ROUND(SUM(M199:M217),2)</f>
        <v>62296.24</v>
      </c>
      <c r="N218" s="108">
        <f>SUM(N199:N217)</f>
        <v>11400</v>
      </c>
      <c r="O218" s="109">
        <f>P218/N218</f>
        <v>3.6586956140350875</v>
      </c>
      <c r="P218" s="107">
        <f>ROUND(SUM(P199:P217),2)</f>
        <v>41709.129999999997</v>
      </c>
      <c r="Q218" s="110">
        <f t="shared" ref="Q218:AN218" si="24">SUM(Q199:Q217)</f>
        <v>-123200</v>
      </c>
      <c r="R218" s="107">
        <f t="shared" si="24"/>
        <v>8365.57</v>
      </c>
      <c r="S218" s="107">
        <f t="shared" si="24"/>
        <v>0</v>
      </c>
      <c r="T218" s="107">
        <f t="shared" si="24"/>
        <v>-16073.45</v>
      </c>
      <c r="U218" s="107">
        <f t="shared" si="24"/>
        <v>-152965.5</v>
      </c>
      <c r="V218" s="107">
        <f t="shared" si="24"/>
        <v>-110100</v>
      </c>
      <c r="W218" s="107">
        <f t="shared" si="24"/>
        <v>0</v>
      </c>
      <c r="X218" s="107">
        <f t="shared" si="24"/>
        <v>0</v>
      </c>
      <c r="Y218" s="107">
        <f t="shared" si="24"/>
        <v>0</v>
      </c>
      <c r="Z218" s="107">
        <f t="shared" si="24"/>
        <v>0</v>
      </c>
      <c r="AA218" s="107">
        <f t="shared" si="24"/>
        <v>0</v>
      </c>
      <c r="AB218" s="107">
        <f t="shared" si="24"/>
        <v>0</v>
      </c>
      <c r="AC218" s="107">
        <f t="shared" si="24"/>
        <v>0</v>
      </c>
      <c r="AD218" s="107">
        <f t="shared" si="24"/>
        <v>0</v>
      </c>
      <c r="AE218" s="107">
        <f t="shared" si="24"/>
        <v>0</v>
      </c>
      <c r="AF218" s="107">
        <f t="shared" si="24"/>
        <v>0</v>
      </c>
      <c r="AG218" s="107">
        <f t="shared" si="24"/>
        <v>0</v>
      </c>
      <c r="AH218" s="107">
        <f t="shared" si="24"/>
        <v>0</v>
      </c>
      <c r="AI218" s="107">
        <f t="shared" si="24"/>
        <v>0</v>
      </c>
      <c r="AJ218" s="107">
        <f t="shared" si="24"/>
        <v>0</v>
      </c>
      <c r="AK218" s="107">
        <f t="shared" si="24"/>
        <v>0</v>
      </c>
      <c r="AL218" s="107">
        <f t="shared" si="24"/>
        <v>0</v>
      </c>
      <c r="AM218" s="107">
        <f t="shared" si="24"/>
        <v>0</v>
      </c>
      <c r="AN218" s="107">
        <f t="shared" si="24"/>
        <v>0</v>
      </c>
      <c r="AO218" s="111">
        <f>D218+E218+F218+G218+H218+I218+J218+M218+P218+SUM(Q218:AN218)</f>
        <v>-302803.78000000003</v>
      </c>
      <c r="AP218" s="4"/>
      <c r="AQ218" s="5"/>
      <c r="AR218" s="5"/>
      <c r="AS218" s="2" t="s">
        <v>6</v>
      </c>
    </row>
    <row r="219" spans="1:46" s="2" customFormat="1" ht="17.25" customHeight="1" thickTop="1" x14ac:dyDescent="0.25">
      <c r="A219" s="23">
        <f>A200+1</f>
        <v>45917</v>
      </c>
      <c r="B219" s="210" t="s">
        <v>64</v>
      </c>
      <c r="C219" s="203"/>
      <c r="D219" s="63">
        <v>8544.3700000000008</v>
      </c>
      <c r="E219" s="64"/>
      <c r="F219" s="66"/>
      <c r="G219" s="66"/>
      <c r="H219" s="66"/>
      <c r="I219" s="66">
        <f>-D219</f>
        <v>-8544.3700000000008</v>
      </c>
      <c r="J219" s="66"/>
      <c r="K219" s="18"/>
      <c r="L219" s="18"/>
      <c r="M219" s="66"/>
      <c r="N219" s="18"/>
      <c r="O219" s="18"/>
      <c r="P219" s="66"/>
      <c r="Q219" s="46"/>
      <c r="R219" s="46"/>
      <c r="S219" s="45"/>
      <c r="T219" s="18"/>
      <c r="U219" s="18"/>
      <c r="V219" s="18"/>
      <c r="W219" s="18"/>
      <c r="X219" s="18"/>
      <c r="Y219" s="14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31"/>
      <c r="AQ219" s="10"/>
      <c r="AR219" s="27"/>
    </row>
    <row r="220" spans="1:46" s="4" customFormat="1" ht="17.25" customHeight="1" x14ac:dyDescent="0.25">
      <c r="A220" s="23"/>
      <c r="B220" s="201" t="s">
        <v>96</v>
      </c>
      <c r="C220" s="202"/>
      <c r="D220" s="63"/>
      <c r="E220" s="64"/>
      <c r="F220" s="64"/>
      <c r="G220" s="64"/>
      <c r="H220" s="64"/>
      <c r="I220" s="117">
        <f>-I218-I219</f>
        <v>-209.16999999999643</v>
      </c>
      <c r="J220" s="64"/>
      <c r="K220" s="16"/>
      <c r="L220" s="92"/>
      <c r="M220" s="64"/>
      <c r="N220" s="16"/>
      <c r="O220" s="92"/>
      <c r="P220" s="64"/>
      <c r="Q220" s="40"/>
      <c r="R220" s="46"/>
      <c r="S220" s="39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22"/>
      <c r="AP220" s="30"/>
    </row>
    <row r="221" spans="1:46" s="2" customFormat="1" ht="17.25" customHeight="1" x14ac:dyDescent="0.2">
      <c r="A221" s="23"/>
      <c r="B221" s="201" t="s">
        <v>72</v>
      </c>
      <c r="C221" s="203"/>
      <c r="D221" s="63">
        <v>-8500</v>
      </c>
      <c r="E221" s="64"/>
      <c r="F221" s="74">
        <f>-D221</f>
        <v>8500</v>
      </c>
      <c r="G221" s="74"/>
      <c r="H221" s="64"/>
      <c r="I221" s="64"/>
      <c r="J221" s="64"/>
      <c r="K221" s="16"/>
      <c r="L221" s="16"/>
      <c r="M221" s="64"/>
      <c r="N221" s="16"/>
      <c r="O221" s="16"/>
      <c r="P221" s="64"/>
      <c r="Q221" s="46"/>
      <c r="R221" s="39"/>
      <c r="S221" s="40"/>
      <c r="T221" s="16"/>
      <c r="U221" s="16"/>
      <c r="V221" s="16"/>
      <c r="W221" s="16"/>
      <c r="X221" s="16"/>
      <c r="Y221" s="19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35"/>
      <c r="AQ221" s="10"/>
      <c r="AR221" s="27"/>
    </row>
    <row r="222" spans="1:46" s="2" customFormat="1" ht="17.25" customHeight="1" x14ac:dyDescent="0.2">
      <c r="A222" s="23"/>
      <c r="B222" s="208" t="s">
        <v>13</v>
      </c>
      <c r="C222" s="209"/>
      <c r="D222" s="63"/>
      <c r="E222" s="64">
        <f>100+100+30+30+50+120+30+20+50+40+110+100+10+25+10+50+50+51.77+100+60+100</f>
        <v>1236.77</v>
      </c>
      <c r="F222" s="74"/>
      <c r="G222" s="74"/>
      <c r="H222" s="64">
        <f>-E222</f>
        <v>-1236.77</v>
      </c>
      <c r="I222" s="64"/>
      <c r="J222" s="64"/>
      <c r="K222" s="16"/>
      <c r="L222" s="16"/>
      <c r="M222" s="64"/>
      <c r="N222" s="16"/>
      <c r="O222" s="16"/>
      <c r="P222" s="64"/>
      <c r="Q222" s="46"/>
      <c r="R222" s="39"/>
      <c r="S222" s="40"/>
      <c r="T222" s="16"/>
      <c r="U222" s="16"/>
      <c r="V222" s="16"/>
      <c r="W222" s="16"/>
      <c r="X222" s="16"/>
      <c r="Y222" s="19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35"/>
      <c r="AQ222" s="10"/>
      <c r="AR222" s="27"/>
    </row>
    <row r="223" spans="1:46" s="2" customFormat="1" ht="17.25" customHeight="1" x14ac:dyDescent="0.2">
      <c r="A223" s="23"/>
      <c r="B223" s="201" t="s">
        <v>42</v>
      </c>
      <c r="C223" s="203"/>
      <c r="D223" s="63"/>
      <c r="E223" s="64">
        <v>-34</v>
      </c>
      <c r="F223" s="74"/>
      <c r="G223" s="74"/>
      <c r="H223" s="64"/>
      <c r="I223" s="64"/>
      <c r="J223" s="64"/>
      <c r="K223" s="16"/>
      <c r="L223" s="16"/>
      <c r="M223" s="64"/>
      <c r="N223" s="16"/>
      <c r="O223" s="16"/>
      <c r="P223" s="64"/>
      <c r="Q223" s="46"/>
      <c r="R223" s="39"/>
      <c r="S223" s="40"/>
      <c r="T223" s="16"/>
      <c r="U223" s="16"/>
      <c r="V223" s="16"/>
      <c r="W223" s="16"/>
      <c r="X223" s="16"/>
      <c r="Y223" s="19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35"/>
      <c r="AQ223" s="10"/>
      <c r="AR223" s="27"/>
    </row>
    <row r="224" spans="1:46" s="2" customFormat="1" ht="17.25" customHeight="1" thickBot="1" x14ac:dyDescent="0.25">
      <c r="A224" s="24"/>
      <c r="B224" s="216"/>
      <c r="C224" s="217"/>
      <c r="D224" s="83"/>
      <c r="E224" s="81"/>
      <c r="F224" s="81"/>
      <c r="G224" s="81"/>
      <c r="H224" s="81"/>
      <c r="I224" s="81"/>
      <c r="J224" s="81"/>
      <c r="K224" s="37"/>
      <c r="L224" s="93"/>
      <c r="M224" s="81"/>
      <c r="N224" s="37"/>
      <c r="O224" s="93"/>
      <c r="P224" s="81"/>
      <c r="Q224" s="40"/>
      <c r="R224" s="40"/>
      <c r="S224" s="39"/>
      <c r="T224" s="16"/>
      <c r="U224" s="16"/>
      <c r="V224" s="16"/>
      <c r="W224" s="16"/>
      <c r="X224" s="16"/>
      <c r="Y224" s="19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41"/>
      <c r="AQ224" s="10"/>
      <c r="AR224" s="11"/>
    </row>
    <row r="225" spans="1:46" s="4" customFormat="1" ht="17.25" customHeight="1" x14ac:dyDescent="0.25">
      <c r="A225" s="23"/>
      <c r="B225" s="210" t="s">
        <v>94</v>
      </c>
      <c r="C225" s="203"/>
      <c r="D225" s="66"/>
      <c r="E225" s="66"/>
      <c r="F225" s="117"/>
      <c r="G225" s="117"/>
      <c r="H225" s="66"/>
      <c r="I225" s="66"/>
      <c r="J225" s="66">
        <f>-M225</f>
        <v>5882.64</v>
      </c>
      <c r="K225" s="58">
        <v>-1016</v>
      </c>
      <c r="L225" s="89">
        <v>5.79</v>
      </c>
      <c r="M225" s="73">
        <f>K225*L225</f>
        <v>-5882.64</v>
      </c>
      <c r="N225" s="58"/>
      <c r="O225" s="89"/>
      <c r="P225" s="73"/>
      <c r="Q225" s="39"/>
      <c r="R225" s="39"/>
      <c r="S225" s="8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35"/>
      <c r="AP225" s="12" t="e">
        <f>#REF!</f>
        <v>#REF!</v>
      </c>
    </row>
    <row r="226" spans="1:46" s="4" customFormat="1" ht="17.25" customHeight="1" x14ac:dyDescent="0.25">
      <c r="A226" s="23"/>
      <c r="B226" s="201" t="s">
        <v>95</v>
      </c>
      <c r="C226" s="202"/>
      <c r="D226" s="64"/>
      <c r="E226" s="64"/>
      <c r="F226" s="117"/>
      <c r="G226" s="117"/>
      <c r="H226" s="64"/>
      <c r="I226" s="64"/>
      <c r="J226" s="64">
        <f>-P226</f>
        <v>8489.6</v>
      </c>
      <c r="K226" s="57"/>
      <c r="L226" s="88"/>
      <c r="M226" s="62"/>
      <c r="N226" s="57">
        <v>-2240</v>
      </c>
      <c r="O226" s="88">
        <v>3.79</v>
      </c>
      <c r="P226" s="62">
        <f>N226*O226</f>
        <v>-8489.6</v>
      </c>
      <c r="Q226" s="39"/>
      <c r="R226" s="39"/>
      <c r="S226" s="8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35"/>
      <c r="AP226" s="12" t="e">
        <f>#REF!</f>
        <v>#REF!</v>
      </c>
    </row>
    <row r="227" spans="1:46" s="4" customFormat="1" ht="17.25" customHeight="1" x14ac:dyDescent="0.25">
      <c r="A227" s="23"/>
      <c r="B227" s="201" t="s">
        <v>97</v>
      </c>
      <c r="C227" s="203"/>
      <c r="D227" s="64"/>
      <c r="E227" s="64"/>
      <c r="F227" s="64"/>
      <c r="G227" s="64"/>
      <c r="H227" s="64">
        <f>-J227-I227</f>
        <v>4611.2800000000025</v>
      </c>
      <c r="I227" s="64">
        <v>9760.9599999999991</v>
      </c>
      <c r="J227" s="64">
        <f>-SUM(J225:J226)</f>
        <v>-14372.240000000002</v>
      </c>
      <c r="K227" s="57"/>
      <c r="L227" s="88"/>
      <c r="M227" s="62"/>
      <c r="N227" s="57"/>
      <c r="O227" s="88"/>
      <c r="P227" s="62"/>
      <c r="Q227" s="39"/>
      <c r="R227" s="39"/>
      <c r="S227" s="39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22"/>
      <c r="AO227" s="43">
        <f>A196</f>
        <v>0</v>
      </c>
      <c r="AP227" s="12" t="e">
        <f>#REF!</f>
        <v>#REF!</v>
      </c>
      <c r="AT227" s="2"/>
    </row>
    <row r="228" spans="1:46" s="4" customFormat="1" ht="17.25" customHeight="1" x14ac:dyDescent="0.25">
      <c r="A228" s="23"/>
      <c r="B228" s="201" t="s">
        <v>93</v>
      </c>
      <c r="C228" s="202"/>
      <c r="D228" s="64"/>
      <c r="E228" s="64"/>
      <c r="F228" s="64"/>
      <c r="G228" s="64"/>
      <c r="H228" s="64"/>
      <c r="I228" s="64"/>
      <c r="J228" s="64"/>
      <c r="K228" s="57">
        <v>-33</v>
      </c>
      <c r="L228" s="88"/>
      <c r="M228" s="118">
        <f>(K231*L218)-M218-M225</f>
        <v>661.83982743468459</v>
      </c>
      <c r="N228" s="57">
        <v>-16</v>
      </c>
      <c r="O228" s="88"/>
      <c r="P228" s="118">
        <f>(N231*O218)-P218-P226</f>
        <v>235.58269473684231</v>
      </c>
      <c r="Q228" s="39"/>
      <c r="R228" s="39"/>
      <c r="S228" s="39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22"/>
      <c r="AO228" s="43">
        <f>A212</f>
        <v>0</v>
      </c>
      <c r="AP228" s="12" t="e">
        <f>#REF!</f>
        <v>#REF!</v>
      </c>
      <c r="AT228" s="2"/>
    </row>
    <row r="229" spans="1:46" s="2" customFormat="1" ht="17.25" customHeight="1" x14ac:dyDescent="0.2">
      <c r="A229" s="24"/>
      <c r="B229" s="201"/>
      <c r="C229" s="204"/>
      <c r="D229" s="63"/>
      <c r="E229" s="64"/>
      <c r="F229" s="64"/>
      <c r="G229" s="64"/>
      <c r="H229" s="64"/>
      <c r="I229" s="64"/>
      <c r="J229" s="64"/>
      <c r="K229" s="16"/>
      <c r="L229" s="16"/>
      <c r="M229" s="64"/>
      <c r="N229" s="16"/>
      <c r="O229" s="16"/>
      <c r="P229" s="64"/>
      <c r="Q229" s="46"/>
      <c r="R229" s="46"/>
      <c r="S229" s="39"/>
      <c r="T229" s="16"/>
      <c r="U229" s="16"/>
      <c r="V229" s="16"/>
      <c r="W229" s="16"/>
      <c r="X229" s="16"/>
      <c r="Y229" s="19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43">
        <f>A219</f>
        <v>45917</v>
      </c>
      <c r="AQ229" s="10"/>
      <c r="AR229" s="11"/>
    </row>
    <row r="230" spans="1:46" s="2" customFormat="1" ht="17.25" customHeight="1" thickBot="1" x14ac:dyDescent="0.3">
      <c r="A230" s="56"/>
      <c r="B230" s="101" t="s">
        <v>102</v>
      </c>
      <c r="C230" s="102">
        <f>D231+E231+F231+G231+H231+I231+J231+M231+P231</f>
        <v>91823.849999999977</v>
      </c>
      <c r="D230" s="84"/>
      <c r="E230" s="85"/>
      <c r="F230" s="85"/>
      <c r="G230" s="85"/>
      <c r="H230" s="85"/>
      <c r="I230" s="85"/>
      <c r="J230" s="85"/>
      <c r="K230" s="28"/>
      <c r="L230" s="28"/>
      <c r="M230" s="85"/>
      <c r="N230" s="28"/>
      <c r="O230" s="28"/>
      <c r="P230" s="85"/>
      <c r="Q230" s="48"/>
      <c r="R230" s="48"/>
      <c r="S230" s="51"/>
      <c r="T230" s="28"/>
      <c r="U230" s="28"/>
      <c r="V230" s="28"/>
      <c r="W230" s="28"/>
      <c r="X230" s="28"/>
      <c r="Y230" s="36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42">
        <f>SUM($Q218:AN230)</f>
        <v>-393973.38</v>
      </c>
      <c r="AQ230" s="10"/>
      <c r="AR230" s="11"/>
      <c r="AS230" s="2" t="s">
        <v>5</v>
      </c>
    </row>
    <row r="231" spans="1:46" s="2" customFormat="1" ht="17.25" customHeight="1" thickTop="1" thickBot="1" x14ac:dyDescent="0.3">
      <c r="A231" s="103"/>
      <c r="B231" s="104" t="s">
        <v>103</v>
      </c>
      <c r="C231" s="105">
        <f>AO231</f>
        <v>-302149.53000000003</v>
      </c>
      <c r="D231" s="106">
        <f t="shared" ref="D231:K231" si="25">SUM(D218:D230)</f>
        <v>59.749999999990905</v>
      </c>
      <c r="E231" s="107">
        <f t="shared" si="25"/>
        <v>-34218.60000000002</v>
      </c>
      <c r="F231" s="107">
        <f t="shared" si="25"/>
        <v>13977.510000000002</v>
      </c>
      <c r="G231" s="107">
        <f t="shared" si="25"/>
        <v>-100</v>
      </c>
      <c r="H231" s="107">
        <f t="shared" si="25"/>
        <v>11813.680000000004</v>
      </c>
      <c r="I231" s="107">
        <f t="shared" si="25"/>
        <v>9760.9599999999991</v>
      </c>
      <c r="J231" s="107">
        <f t="shared" si="25"/>
        <v>0</v>
      </c>
      <c r="K231" s="108">
        <f t="shared" si="25"/>
        <v>11468</v>
      </c>
      <c r="L231" s="109">
        <f>M231/K231</f>
        <v>4.9769305894663409</v>
      </c>
      <c r="M231" s="107">
        <f>ROUND(SUM(M218:M230),2)</f>
        <v>57075.44</v>
      </c>
      <c r="N231" s="108">
        <f>SUM(N218:N230)</f>
        <v>9144</v>
      </c>
      <c r="O231" s="109">
        <f>P231/N231</f>
        <v>3.6586953193350831</v>
      </c>
      <c r="P231" s="107">
        <f>ROUND(SUM(P218:P230),2)</f>
        <v>33455.11</v>
      </c>
      <c r="Q231" s="110">
        <f t="shared" ref="Q231:AN231" si="26">SUM(Q218:Q230)</f>
        <v>-123200</v>
      </c>
      <c r="R231" s="107">
        <f t="shared" si="26"/>
        <v>8365.57</v>
      </c>
      <c r="S231" s="107">
        <f t="shared" si="26"/>
        <v>0</v>
      </c>
      <c r="T231" s="107">
        <f t="shared" si="26"/>
        <v>-16073.45</v>
      </c>
      <c r="U231" s="107">
        <f t="shared" si="26"/>
        <v>-152965.5</v>
      </c>
      <c r="V231" s="107">
        <f t="shared" si="26"/>
        <v>-110100</v>
      </c>
      <c r="W231" s="107">
        <f t="shared" si="26"/>
        <v>0</v>
      </c>
      <c r="X231" s="107">
        <f t="shared" si="26"/>
        <v>0</v>
      </c>
      <c r="Y231" s="107">
        <f t="shared" si="26"/>
        <v>0</v>
      </c>
      <c r="Z231" s="107">
        <f t="shared" si="26"/>
        <v>0</v>
      </c>
      <c r="AA231" s="107">
        <f t="shared" si="26"/>
        <v>0</v>
      </c>
      <c r="AB231" s="107">
        <f t="shared" si="26"/>
        <v>0</v>
      </c>
      <c r="AC231" s="107">
        <f t="shared" si="26"/>
        <v>0</v>
      </c>
      <c r="AD231" s="107">
        <f t="shared" si="26"/>
        <v>0</v>
      </c>
      <c r="AE231" s="107">
        <f t="shared" si="26"/>
        <v>0</v>
      </c>
      <c r="AF231" s="107">
        <f t="shared" si="26"/>
        <v>0</v>
      </c>
      <c r="AG231" s="107">
        <f t="shared" si="26"/>
        <v>0</v>
      </c>
      <c r="AH231" s="107">
        <f t="shared" si="26"/>
        <v>0</v>
      </c>
      <c r="AI231" s="107">
        <f t="shared" si="26"/>
        <v>0</v>
      </c>
      <c r="AJ231" s="107">
        <f t="shared" si="26"/>
        <v>0</v>
      </c>
      <c r="AK231" s="107">
        <f t="shared" si="26"/>
        <v>0</v>
      </c>
      <c r="AL231" s="107">
        <f t="shared" si="26"/>
        <v>0</v>
      </c>
      <c r="AM231" s="107">
        <f t="shared" si="26"/>
        <v>0</v>
      </c>
      <c r="AN231" s="107">
        <f t="shared" si="26"/>
        <v>0</v>
      </c>
      <c r="AO231" s="111">
        <f>D231+E231+F231+G231+H231+I231+J231+M231+P231+SUM(Q231:AN231)</f>
        <v>-302149.53000000003</v>
      </c>
      <c r="AP231" s="4"/>
      <c r="AQ231" s="5"/>
      <c r="AR231" s="5"/>
      <c r="AS231" s="2" t="s">
        <v>6</v>
      </c>
    </row>
    <row r="232" spans="1:46" s="2" customFormat="1" ht="17.25" customHeight="1" thickTop="1" x14ac:dyDescent="0.25">
      <c r="A232" s="23">
        <f>A219+1</f>
        <v>45918</v>
      </c>
      <c r="B232" s="210" t="s">
        <v>64</v>
      </c>
      <c r="C232" s="203"/>
      <c r="D232" s="63">
        <v>9506.14</v>
      </c>
      <c r="E232" s="66"/>
      <c r="F232" s="66"/>
      <c r="G232" s="66"/>
      <c r="H232" s="66"/>
      <c r="I232" s="66">
        <f>-D232</f>
        <v>-9506.14</v>
      </c>
      <c r="J232" s="66"/>
      <c r="K232" s="18"/>
      <c r="L232" s="18"/>
      <c r="M232" s="66"/>
      <c r="N232" s="18"/>
      <c r="O232" s="18"/>
      <c r="P232" s="66"/>
      <c r="Q232" s="46"/>
      <c r="R232" s="46"/>
      <c r="S232" s="45"/>
      <c r="T232" s="18"/>
      <c r="U232" s="18"/>
      <c r="V232" s="18"/>
      <c r="W232" s="18"/>
      <c r="X232" s="18"/>
      <c r="Y232" s="14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31"/>
      <c r="AQ232" s="10"/>
      <c r="AR232" s="27"/>
    </row>
    <row r="233" spans="1:46" s="4" customFormat="1" ht="17.25" customHeight="1" x14ac:dyDescent="0.25">
      <c r="A233" s="23"/>
      <c r="B233" s="201" t="s">
        <v>96</v>
      </c>
      <c r="C233" s="202"/>
      <c r="D233" s="63"/>
      <c r="E233" s="64"/>
      <c r="F233" s="64"/>
      <c r="G233" s="64"/>
      <c r="H233" s="64"/>
      <c r="I233" s="117">
        <f>-I231-I232</f>
        <v>-254.81999999999971</v>
      </c>
      <c r="J233" s="64"/>
      <c r="K233" s="16"/>
      <c r="L233" s="92"/>
      <c r="M233" s="64"/>
      <c r="N233" s="16"/>
      <c r="O233" s="92"/>
      <c r="P233" s="64"/>
      <c r="Q233" s="40"/>
      <c r="R233" s="46"/>
      <c r="S233" s="39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22"/>
      <c r="AP233" s="30"/>
    </row>
    <row r="234" spans="1:46" s="2" customFormat="1" ht="17.25" customHeight="1" x14ac:dyDescent="0.2">
      <c r="A234" s="23"/>
      <c r="B234" s="201" t="s">
        <v>72</v>
      </c>
      <c r="C234" s="202"/>
      <c r="D234" s="63">
        <v>-9500</v>
      </c>
      <c r="E234" s="64"/>
      <c r="F234" s="74">
        <f>-D234</f>
        <v>9500</v>
      </c>
      <c r="G234" s="74"/>
      <c r="H234" s="64"/>
      <c r="I234" s="64"/>
      <c r="J234" s="64"/>
      <c r="K234" s="16"/>
      <c r="L234" s="16"/>
      <c r="M234" s="64"/>
      <c r="N234" s="16"/>
      <c r="O234" s="16"/>
      <c r="P234" s="64"/>
      <c r="Q234" s="46"/>
      <c r="R234" s="39"/>
      <c r="S234" s="40"/>
      <c r="T234" s="16"/>
      <c r="U234" s="16"/>
      <c r="V234" s="16"/>
      <c r="W234" s="16"/>
      <c r="X234" s="16"/>
      <c r="Y234" s="19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35"/>
      <c r="AQ234" s="10"/>
      <c r="AR234" s="27"/>
    </row>
    <row r="235" spans="1:46" s="2" customFormat="1" ht="17.25" customHeight="1" x14ac:dyDescent="0.2">
      <c r="A235" s="23"/>
      <c r="B235" s="208" t="s">
        <v>13</v>
      </c>
      <c r="C235" s="209"/>
      <c r="D235" s="63"/>
      <c r="E235" s="64">
        <f>40+50+60+20+12+65+50+17+15+20+50+50+50+14+35+50+30+50+258+50+50+50</f>
        <v>1086</v>
      </c>
      <c r="F235" s="74"/>
      <c r="G235" s="74"/>
      <c r="H235" s="64">
        <f>-E235</f>
        <v>-1086</v>
      </c>
      <c r="I235" s="64"/>
      <c r="J235" s="64"/>
      <c r="K235" s="16"/>
      <c r="L235" s="16"/>
      <c r="M235" s="64"/>
      <c r="N235" s="16"/>
      <c r="O235" s="16"/>
      <c r="P235" s="64"/>
      <c r="Q235" s="46"/>
      <c r="R235" s="39"/>
      <c r="S235" s="40"/>
      <c r="T235" s="16"/>
      <c r="U235" s="16"/>
      <c r="V235" s="16"/>
      <c r="W235" s="16"/>
      <c r="X235" s="16"/>
      <c r="Y235" s="19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35"/>
      <c r="AQ235" s="10"/>
      <c r="AR235" s="27"/>
    </row>
    <row r="236" spans="1:46" s="2" customFormat="1" ht="17.25" customHeight="1" x14ac:dyDescent="0.2">
      <c r="A236" s="23"/>
      <c r="B236" s="201" t="s">
        <v>43</v>
      </c>
      <c r="C236" s="203"/>
      <c r="D236" s="63"/>
      <c r="E236" s="64">
        <f>1080+1800+2000+1800+1350</f>
        <v>8030</v>
      </c>
      <c r="F236" s="74"/>
      <c r="G236" s="74"/>
      <c r="H236" s="64">
        <f>-E236</f>
        <v>-8030</v>
      </c>
      <c r="I236" s="64"/>
      <c r="J236" s="64"/>
      <c r="K236" s="16"/>
      <c r="L236" s="16"/>
      <c r="M236" s="64"/>
      <c r="N236" s="16"/>
      <c r="O236" s="16"/>
      <c r="P236" s="64"/>
      <c r="Q236" s="46"/>
      <c r="R236" s="39"/>
      <c r="S236" s="40"/>
      <c r="T236" s="16"/>
      <c r="U236" s="16"/>
      <c r="V236" s="16"/>
      <c r="W236" s="16"/>
      <c r="X236" s="16"/>
      <c r="Y236" s="19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35"/>
      <c r="AQ236" s="10"/>
      <c r="AR236" s="27"/>
    </row>
    <row r="237" spans="1:46" s="2" customFormat="1" ht="17.25" customHeight="1" x14ac:dyDescent="0.2">
      <c r="A237" s="23"/>
      <c r="B237" s="201" t="s">
        <v>44</v>
      </c>
      <c r="C237" s="203"/>
      <c r="D237" s="63"/>
      <c r="E237" s="64">
        <v>1298.56</v>
      </c>
      <c r="F237" s="74"/>
      <c r="G237" s="74"/>
      <c r="H237" s="64">
        <f>-E237</f>
        <v>-1298.56</v>
      </c>
      <c r="I237" s="64"/>
      <c r="J237" s="64"/>
      <c r="K237" s="16"/>
      <c r="L237" s="16"/>
      <c r="M237" s="64"/>
      <c r="N237" s="16"/>
      <c r="O237" s="16"/>
      <c r="P237" s="64"/>
      <c r="Q237" s="46"/>
      <c r="R237" s="39"/>
      <c r="S237" s="40"/>
      <c r="T237" s="16"/>
      <c r="U237" s="16"/>
      <c r="V237" s="16"/>
      <c r="W237" s="16"/>
      <c r="X237" s="16"/>
      <c r="Y237" s="19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35"/>
      <c r="AQ237" s="10"/>
      <c r="AR237" s="27"/>
    </row>
    <row r="238" spans="1:46" s="2" customFormat="1" ht="17.25" customHeight="1" x14ac:dyDescent="0.2">
      <c r="A238" s="23"/>
      <c r="B238" s="211" t="s">
        <v>123</v>
      </c>
      <c r="C238" s="206"/>
      <c r="D238" s="64"/>
      <c r="E238" s="64">
        <v>-11665.5</v>
      </c>
      <c r="F238" s="74"/>
      <c r="G238" s="74"/>
      <c r="H238" s="64"/>
      <c r="I238" s="64"/>
      <c r="J238" s="64"/>
      <c r="K238" s="16"/>
      <c r="L238" s="16"/>
      <c r="M238" s="64"/>
      <c r="N238" s="16"/>
      <c r="O238" s="16"/>
      <c r="P238" s="64"/>
      <c r="Q238" s="46"/>
      <c r="R238" s="39"/>
      <c r="S238" s="40"/>
      <c r="T238" s="16"/>
      <c r="U238" s="20">
        <f>-E238</f>
        <v>11665.5</v>
      </c>
      <c r="V238" s="16"/>
      <c r="W238" s="16"/>
      <c r="X238" s="16"/>
      <c r="Y238" s="19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35"/>
      <c r="AQ238" s="10"/>
      <c r="AR238" s="27"/>
    </row>
    <row r="239" spans="1:46" s="2" customFormat="1" ht="17.25" customHeight="1" x14ac:dyDescent="0.2">
      <c r="A239" s="23"/>
      <c r="B239" s="201" t="s">
        <v>41</v>
      </c>
      <c r="C239" s="202"/>
      <c r="D239" s="63"/>
      <c r="E239" s="64">
        <v>-1187.06</v>
      </c>
      <c r="F239" s="74"/>
      <c r="G239" s="74"/>
      <c r="H239" s="64"/>
      <c r="I239" s="64"/>
      <c r="J239" s="64"/>
      <c r="K239" s="16"/>
      <c r="L239" s="16"/>
      <c r="M239" s="64"/>
      <c r="N239" s="16"/>
      <c r="O239" s="16"/>
      <c r="P239" s="64"/>
      <c r="Q239" s="46"/>
      <c r="R239" s="39"/>
      <c r="S239" s="40"/>
      <c r="T239" s="16"/>
      <c r="U239" s="16"/>
      <c r="V239" s="16"/>
      <c r="W239" s="16"/>
      <c r="X239" s="16"/>
      <c r="Y239" s="19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35"/>
      <c r="AQ239" s="10"/>
      <c r="AR239" s="27"/>
    </row>
    <row r="240" spans="1:46" s="2" customFormat="1" ht="17.25" customHeight="1" x14ac:dyDescent="0.2">
      <c r="A240" s="23"/>
      <c r="B240" s="201" t="s">
        <v>122</v>
      </c>
      <c r="C240" s="203"/>
      <c r="D240" s="63"/>
      <c r="E240" s="64">
        <v>-409.61</v>
      </c>
      <c r="F240" s="74"/>
      <c r="G240" s="74"/>
      <c r="H240" s="64"/>
      <c r="I240" s="64"/>
      <c r="J240" s="64"/>
      <c r="K240" s="16"/>
      <c r="L240" s="16"/>
      <c r="M240" s="64"/>
      <c r="N240" s="16"/>
      <c r="O240" s="16"/>
      <c r="P240" s="64"/>
      <c r="Q240" s="46"/>
      <c r="R240" s="39"/>
      <c r="S240" s="40"/>
      <c r="T240" s="16"/>
      <c r="U240" s="16"/>
      <c r="V240" s="16"/>
      <c r="W240" s="16"/>
      <c r="X240" s="16"/>
      <c r="Y240" s="19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35"/>
      <c r="AQ240" s="10"/>
      <c r="AR240" s="27"/>
    </row>
    <row r="241" spans="1:46" s="2" customFormat="1" ht="17.25" customHeight="1" x14ac:dyDescent="0.2">
      <c r="A241" s="23"/>
      <c r="B241" s="201" t="s">
        <v>134</v>
      </c>
      <c r="C241" s="203"/>
      <c r="D241" s="63"/>
      <c r="E241" s="64">
        <v>-231.99</v>
      </c>
      <c r="F241" s="74"/>
      <c r="G241" s="74"/>
      <c r="H241" s="64"/>
      <c r="I241" s="64"/>
      <c r="J241" s="64"/>
      <c r="K241" s="16"/>
      <c r="L241" s="16"/>
      <c r="M241" s="64"/>
      <c r="N241" s="16"/>
      <c r="O241" s="16"/>
      <c r="P241" s="64"/>
      <c r="Q241" s="46"/>
      <c r="R241" s="39"/>
      <c r="S241" s="40"/>
      <c r="T241" s="16"/>
      <c r="U241" s="16"/>
      <c r="V241" s="16"/>
      <c r="W241" s="16"/>
      <c r="X241" s="16"/>
      <c r="Y241" s="19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35"/>
      <c r="AQ241" s="10"/>
      <c r="AR241" s="27"/>
    </row>
    <row r="242" spans="1:46" s="2" customFormat="1" ht="17.25" customHeight="1" x14ac:dyDescent="0.2">
      <c r="A242" s="23"/>
      <c r="B242" s="201" t="s">
        <v>45</v>
      </c>
      <c r="C242" s="203"/>
      <c r="D242" s="63"/>
      <c r="E242" s="64">
        <f>-372.04-66.6</f>
        <v>-438.64</v>
      </c>
      <c r="F242" s="74"/>
      <c r="G242" s="74"/>
      <c r="H242" s="64"/>
      <c r="I242" s="64"/>
      <c r="J242" s="64"/>
      <c r="K242" s="16"/>
      <c r="L242" s="16"/>
      <c r="M242" s="64"/>
      <c r="N242" s="16"/>
      <c r="O242" s="16"/>
      <c r="P242" s="64"/>
      <c r="Q242" s="46"/>
      <c r="R242" s="39"/>
      <c r="S242" s="40"/>
      <c r="T242" s="16"/>
      <c r="U242" s="16"/>
      <c r="V242" s="16"/>
      <c r="W242" s="16"/>
      <c r="X242" s="16"/>
      <c r="Y242" s="19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35"/>
      <c r="AQ242" s="10"/>
      <c r="AR242" s="27"/>
    </row>
    <row r="243" spans="1:46" s="2" customFormat="1" ht="17.25" customHeight="1" x14ac:dyDescent="0.2">
      <c r="A243" s="23"/>
      <c r="B243" s="201" t="s">
        <v>46</v>
      </c>
      <c r="C243" s="203"/>
      <c r="D243" s="63"/>
      <c r="E243" s="64">
        <v>-220.8</v>
      </c>
      <c r="F243" s="74"/>
      <c r="G243" s="74"/>
      <c r="H243" s="64"/>
      <c r="I243" s="64"/>
      <c r="J243" s="64"/>
      <c r="K243" s="16"/>
      <c r="L243" s="16"/>
      <c r="M243" s="64"/>
      <c r="N243" s="16"/>
      <c r="O243" s="16"/>
      <c r="P243" s="64"/>
      <c r="Q243" s="46"/>
      <c r="R243" s="39"/>
      <c r="S243" s="40"/>
      <c r="T243" s="16"/>
      <c r="U243" s="16"/>
      <c r="V243" s="16"/>
      <c r="W243" s="16"/>
      <c r="X243" s="16"/>
      <c r="Y243" s="19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35"/>
      <c r="AQ243" s="10"/>
      <c r="AR243" s="27"/>
    </row>
    <row r="244" spans="1:46" s="2" customFormat="1" ht="17.25" customHeight="1" x14ac:dyDescent="0.2">
      <c r="A244" s="23"/>
      <c r="B244" s="201" t="s">
        <v>47</v>
      </c>
      <c r="C244" s="203"/>
      <c r="D244" s="63"/>
      <c r="E244" s="64">
        <v>-312.81</v>
      </c>
      <c r="F244" s="74"/>
      <c r="G244" s="74"/>
      <c r="H244" s="64"/>
      <c r="I244" s="64"/>
      <c r="J244" s="64"/>
      <c r="K244" s="16"/>
      <c r="L244" s="16"/>
      <c r="M244" s="64"/>
      <c r="N244" s="16"/>
      <c r="O244" s="16"/>
      <c r="P244" s="64"/>
      <c r="Q244" s="46"/>
      <c r="R244" s="39"/>
      <c r="S244" s="40"/>
      <c r="T244" s="16"/>
      <c r="U244" s="16"/>
      <c r="V244" s="16"/>
      <c r="W244" s="16"/>
      <c r="X244" s="16"/>
      <c r="Y244" s="19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35"/>
      <c r="AQ244" s="10"/>
      <c r="AR244" s="27"/>
    </row>
    <row r="245" spans="1:46" s="2" customFormat="1" ht="17.25" customHeight="1" x14ac:dyDescent="0.2">
      <c r="A245" s="23"/>
      <c r="B245" s="201" t="s">
        <v>48</v>
      </c>
      <c r="C245" s="203"/>
      <c r="D245" s="63"/>
      <c r="E245" s="64">
        <v>-136.44</v>
      </c>
      <c r="F245" s="74"/>
      <c r="G245" s="74"/>
      <c r="H245" s="64"/>
      <c r="I245" s="64"/>
      <c r="J245" s="64"/>
      <c r="K245" s="16"/>
      <c r="L245" s="16"/>
      <c r="M245" s="64"/>
      <c r="N245" s="16"/>
      <c r="O245" s="16"/>
      <c r="P245" s="64"/>
      <c r="Q245" s="46"/>
      <c r="R245" s="39"/>
      <c r="S245" s="40"/>
      <c r="T245" s="16"/>
      <c r="U245" s="16"/>
      <c r="V245" s="16"/>
      <c r="W245" s="16"/>
      <c r="X245" s="16"/>
      <c r="Y245" s="19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35"/>
      <c r="AQ245" s="10"/>
      <c r="AR245" s="27"/>
    </row>
    <row r="246" spans="1:46" s="2" customFormat="1" ht="17.25" customHeight="1" x14ac:dyDescent="0.2">
      <c r="A246" s="24"/>
      <c r="B246" s="211" t="s">
        <v>120</v>
      </c>
      <c r="C246" s="206"/>
      <c r="D246" s="63"/>
      <c r="E246" s="64"/>
      <c r="F246" s="64">
        <v>-11665.5</v>
      </c>
      <c r="G246" s="64"/>
      <c r="H246" s="64"/>
      <c r="I246" s="64"/>
      <c r="J246" s="64"/>
      <c r="K246" s="16"/>
      <c r="L246" s="16"/>
      <c r="M246" s="64"/>
      <c r="N246" s="16"/>
      <c r="O246" s="16"/>
      <c r="P246" s="64"/>
      <c r="Q246" s="40"/>
      <c r="R246" s="40"/>
      <c r="S246" s="39"/>
      <c r="T246" s="16"/>
      <c r="U246" s="20">
        <f>-F246</f>
        <v>11665.5</v>
      </c>
      <c r="V246" s="16"/>
      <c r="W246" s="16"/>
      <c r="X246" s="16"/>
      <c r="Y246" s="19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41"/>
      <c r="AQ246" s="10"/>
      <c r="AR246" s="11"/>
    </row>
    <row r="247" spans="1:46" s="2" customFormat="1" ht="17.25" customHeight="1" x14ac:dyDescent="0.2">
      <c r="A247" s="24"/>
      <c r="B247" s="211" t="s">
        <v>121</v>
      </c>
      <c r="C247" s="206"/>
      <c r="D247" s="63"/>
      <c r="E247" s="64"/>
      <c r="F247" s="64">
        <v>-11665.5</v>
      </c>
      <c r="G247" s="64"/>
      <c r="H247" s="64"/>
      <c r="I247" s="64"/>
      <c r="J247" s="64"/>
      <c r="K247" s="16"/>
      <c r="L247" s="16"/>
      <c r="M247" s="64"/>
      <c r="N247" s="16"/>
      <c r="O247" s="16"/>
      <c r="P247" s="64"/>
      <c r="Q247" s="40"/>
      <c r="R247" s="40"/>
      <c r="S247" s="39"/>
      <c r="T247" s="16"/>
      <c r="U247" s="20">
        <f>-F247</f>
        <v>11665.5</v>
      </c>
      <c r="V247" s="16"/>
      <c r="W247" s="16"/>
      <c r="X247" s="16"/>
      <c r="Y247" s="19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41"/>
      <c r="AQ247" s="10"/>
      <c r="AR247" s="11"/>
    </row>
    <row r="248" spans="1:46" s="2" customFormat="1" ht="17.25" customHeight="1" x14ac:dyDescent="0.2">
      <c r="A248" s="24"/>
      <c r="B248" s="210" t="s">
        <v>122</v>
      </c>
      <c r="C248" s="203"/>
      <c r="D248" s="63"/>
      <c r="E248" s="64"/>
      <c r="F248" s="64">
        <v>-44.24</v>
      </c>
      <c r="G248" s="64"/>
      <c r="H248" s="64"/>
      <c r="I248" s="64"/>
      <c r="J248" s="64"/>
      <c r="K248" s="16"/>
      <c r="L248" s="16"/>
      <c r="M248" s="64"/>
      <c r="N248" s="16"/>
      <c r="O248" s="16"/>
      <c r="P248" s="64"/>
      <c r="Q248" s="40"/>
      <c r="R248" s="40"/>
      <c r="S248" s="39"/>
      <c r="T248" s="16"/>
      <c r="U248" s="16"/>
      <c r="V248" s="16"/>
      <c r="W248" s="16"/>
      <c r="X248" s="16"/>
      <c r="Y248" s="19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41"/>
      <c r="AQ248" s="10"/>
      <c r="AR248" s="11"/>
    </row>
    <row r="249" spans="1:46" s="2" customFormat="1" ht="17.25" customHeight="1" x14ac:dyDescent="0.2">
      <c r="A249" s="23"/>
      <c r="B249" s="214"/>
      <c r="C249" s="215"/>
      <c r="D249" s="63"/>
      <c r="E249" s="64"/>
      <c r="F249" s="74"/>
      <c r="G249" s="74"/>
      <c r="H249" s="64"/>
      <c r="I249" s="64"/>
      <c r="J249" s="64"/>
      <c r="K249" s="16"/>
      <c r="L249" s="16"/>
      <c r="M249" s="64"/>
      <c r="N249" s="16"/>
      <c r="O249" s="16"/>
      <c r="P249" s="64"/>
      <c r="Q249" s="46"/>
      <c r="R249" s="39"/>
      <c r="S249" s="40"/>
      <c r="T249" s="16"/>
      <c r="U249" s="16"/>
      <c r="V249" s="16"/>
      <c r="W249" s="16"/>
      <c r="X249" s="16"/>
      <c r="Y249" s="19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35"/>
      <c r="AQ249" s="10"/>
      <c r="AR249" s="27"/>
    </row>
    <row r="250" spans="1:46" s="2" customFormat="1" ht="17.25" customHeight="1" thickBot="1" x14ac:dyDescent="0.25">
      <c r="A250" s="24"/>
      <c r="B250" s="216"/>
      <c r="C250" s="217"/>
      <c r="D250" s="83"/>
      <c r="E250" s="81"/>
      <c r="F250" s="81"/>
      <c r="G250" s="81"/>
      <c r="H250" s="81"/>
      <c r="I250" s="81"/>
      <c r="J250" s="81"/>
      <c r="K250" s="37"/>
      <c r="L250" s="93"/>
      <c r="M250" s="81"/>
      <c r="N250" s="37"/>
      <c r="O250" s="93"/>
      <c r="P250" s="81"/>
      <c r="Q250" s="40"/>
      <c r="R250" s="40"/>
      <c r="S250" s="39"/>
      <c r="T250" s="16"/>
      <c r="U250" s="16"/>
      <c r="V250" s="16"/>
      <c r="W250" s="16"/>
      <c r="X250" s="16"/>
      <c r="Y250" s="19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41"/>
      <c r="AQ250" s="10"/>
      <c r="AR250" s="11"/>
    </row>
    <row r="251" spans="1:46" s="4" customFormat="1" ht="17.25" customHeight="1" x14ac:dyDescent="0.25">
      <c r="A251" s="23"/>
      <c r="B251" s="210" t="s">
        <v>94</v>
      </c>
      <c r="C251" s="203"/>
      <c r="D251" s="66"/>
      <c r="E251" s="66"/>
      <c r="F251" s="117"/>
      <c r="G251" s="117"/>
      <c r="H251" s="66"/>
      <c r="I251" s="66"/>
      <c r="J251" s="66">
        <f>-M251</f>
        <v>6444.27</v>
      </c>
      <c r="K251" s="58">
        <v>-1113</v>
      </c>
      <c r="L251" s="89">
        <v>5.79</v>
      </c>
      <c r="M251" s="73">
        <f>K251*L251</f>
        <v>-6444.27</v>
      </c>
      <c r="N251" s="58"/>
      <c r="O251" s="89"/>
      <c r="P251" s="73"/>
      <c r="Q251" s="39"/>
      <c r="R251" s="39"/>
      <c r="S251" s="8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35"/>
      <c r="AP251" s="12" t="e">
        <f>#REF!</f>
        <v>#REF!</v>
      </c>
    </row>
    <row r="252" spans="1:46" s="4" customFormat="1" ht="17.25" customHeight="1" x14ac:dyDescent="0.25">
      <c r="A252" s="23"/>
      <c r="B252" s="201" t="s">
        <v>95</v>
      </c>
      <c r="C252" s="202"/>
      <c r="D252" s="64"/>
      <c r="E252" s="64"/>
      <c r="F252" s="117"/>
      <c r="G252" s="117"/>
      <c r="H252" s="64"/>
      <c r="I252" s="64"/>
      <c r="J252" s="64">
        <f>-P252</f>
        <v>8421.3799999999992</v>
      </c>
      <c r="K252" s="57"/>
      <c r="L252" s="88"/>
      <c r="M252" s="62"/>
      <c r="N252" s="57">
        <v>-2222</v>
      </c>
      <c r="O252" s="88">
        <v>3.79</v>
      </c>
      <c r="P252" s="62">
        <f>N252*O252</f>
        <v>-8421.3799999999992</v>
      </c>
      <c r="Q252" s="39"/>
      <c r="R252" s="39"/>
      <c r="S252" s="8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35"/>
      <c r="AP252" s="12" t="e">
        <f>#REF!</f>
        <v>#REF!</v>
      </c>
    </row>
    <row r="253" spans="1:46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>
        <f>-J253-I253</f>
        <v>4806.2099999999991</v>
      </c>
      <c r="I253" s="64">
        <v>10059.44</v>
      </c>
      <c r="J253" s="64">
        <f>-SUM(J251:J252)</f>
        <v>-14865.65</v>
      </c>
      <c r="K253" s="57"/>
      <c r="L253" s="88"/>
      <c r="M253" s="62"/>
      <c r="N253" s="57"/>
      <c r="O253" s="88"/>
      <c r="P253" s="62"/>
      <c r="Q253" s="39"/>
      <c r="R253" s="39"/>
      <c r="S253" s="39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22"/>
      <c r="AO253" s="43">
        <f>A215</f>
        <v>0</v>
      </c>
      <c r="AP253" s="12" t="e">
        <f>#REF!</f>
        <v>#REF!</v>
      </c>
      <c r="AT253" s="2"/>
    </row>
    <row r="254" spans="1:46" s="4" customFormat="1" ht="17.25" customHeight="1" x14ac:dyDescent="0.25">
      <c r="A254" s="23"/>
      <c r="B254" s="201" t="s">
        <v>93</v>
      </c>
      <c r="C254" s="202"/>
      <c r="D254" s="64"/>
      <c r="E254" s="64"/>
      <c r="F254" s="64"/>
      <c r="G254" s="64"/>
      <c r="H254" s="64"/>
      <c r="I254" s="64"/>
      <c r="J254" s="64"/>
      <c r="K254" s="57">
        <v>-129</v>
      </c>
      <c r="L254" s="88"/>
      <c r="M254" s="118">
        <f>(K257*L231)-M231-M251</f>
        <v>262.92220788279883</v>
      </c>
      <c r="N254" s="57">
        <v>278</v>
      </c>
      <c r="O254" s="88"/>
      <c r="P254" s="118">
        <f>(N257*O231)-P231-P252</f>
        <v>1308.8762992125976</v>
      </c>
      <c r="Q254" s="39"/>
      <c r="R254" s="39"/>
      <c r="S254" s="39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22"/>
      <c r="AO254" s="43">
        <f>A225</f>
        <v>0</v>
      </c>
      <c r="AP254" s="12" t="e">
        <f>#REF!</f>
        <v>#REF!</v>
      </c>
      <c r="AT254" s="2"/>
    </row>
    <row r="255" spans="1:46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46"/>
      <c r="R255" s="46"/>
      <c r="S255" s="39"/>
      <c r="T255" s="16"/>
      <c r="U255" s="16"/>
      <c r="V255" s="16"/>
      <c r="W255" s="16"/>
      <c r="X255" s="16"/>
      <c r="Y255" s="19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43">
        <f>A232</f>
        <v>45918</v>
      </c>
      <c r="AQ255" s="10"/>
      <c r="AR255" s="11"/>
    </row>
    <row r="256" spans="1:46" s="2" customFormat="1" ht="17.25" customHeight="1" thickBot="1" x14ac:dyDescent="0.3">
      <c r="A256" s="56"/>
      <c r="B256" s="101" t="s">
        <v>102</v>
      </c>
      <c r="C256" s="102">
        <f>D257+E257+F257+G257+H257+I257+J257+M257+P257</f>
        <v>55162.739999999976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48"/>
      <c r="R256" s="48"/>
      <c r="S256" s="51"/>
      <c r="T256" s="28"/>
      <c r="U256" s="28"/>
      <c r="V256" s="28"/>
      <c r="W256" s="28"/>
      <c r="X256" s="28"/>
      <c r="Y256" s="36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42">
        <f>SUM($Q231:AN256)</f>
        <v>-358976.88</v>
      </c>
      <c r="AQ256" s="10"/>
      <c r="AR256" s="11"/>
      <c r="AS256" s="2" t="s">
        <v>5</v>
      </c>
    </row>
    <row r="257" spans="1:45" s="2" customFormat="1" ht="17.25" customHeight="1" thickTop="1" thickBot="1" x14ac:dyDescent="0.3">
      <c r="A257" s="103"/>
      <c r="B257" s="104" t="s">
        <v>103</v>
      </c>
      <c r="C257" s="105">
        <f>AO257</f>
        <v>-303814.14</v>
      </c>
      <c r="D257" s="106">
        <f t="shared" ref="D257:K257" si="27">SUM(D231:D256)</f>
        <v>65.889999999990323</v>
      </c>
      <c r="E257" s="107">
        <f t="shared" si="27"/>
        <v>-38406.890000000021</v>
      </c>
      <c r="F257" s="107">
        <f t="shared" si="27"/>
        <v>102.27000000000203</v>
      </c>
      <c r="G257" s="107">
        <f t="shared" si="27"/>
        <v>-100</v>
      </c>
      <c r="H257" s="107">
        <f t="shared" si="27"/>
        <v>6205.3300000000036</v>
      </c>
      <c r="I257" s="107">
        <f t="shared" si="27"/>
        <v>10059.44</v>
      </c>
      <c r="J257" s="107">
        <f t="shared" si="27"/>
        <v>0</v>
      </c>
      <c r="K257" s="108">
        <f t="shared" si="27"/>
        <v>10226</v>
      </c>
      <c r="L257" s="109">
        <f>M257/K257</f>
        <v>4.9769303735575976</v>
      </c>
      <c r="M257" s="107">
        <f>ROUND(SUM(M231:M256),2)</f>
        <v>50894.09</v>
      </c>
      <c r="N257" s="108">
        <f>SUM(N231:N256)</f>
        <v>7200</v>
      </c>
      <c r="O257" s="109">
        <f>P257/N257</f>
        <v>3.6586958333333333</v>
      </c>
      <c r="P257" s="107">
        <f>ROUND(SUM(P231:P256),2)</f>
        <v>26342.61</v>
      </c>
      <c r="Q257" s="110">
        <f t="shared" ref="Q257:AN257" si="28">SUM(Q231:Q256)</f>
        <v>-123200</v>
      </c>
      <c r="R257" s="107">
        <f t="shared" si="28"/>
        <v>8365.57</v>
      </c>
      <c r="S257" s="107">
        <f t="shared" si="28"/>
        <v>0</v>
      </c>
      <c r="T257" s="107">
        <f t="shared" si="28"/>
        <v>-16073.45</v>
      </c>
      <c r="U257" s="107">
        <f t="shared" si="28"/>
        <v>-117969</v>
      </c>
      <c r="V257" s="107">
        <f t="shared" si="28"/>
        <v>-110100</v>
      </c>
      <c r="W257" s="107">
        <f t="shared" si="28"/>
        <v>0</v>
      </c>
      <c r="X257" s="107">
        <f t="shared" si="28"/>
        <v>0</v>
      </c>
      <c r="Y257" s="107">
        <f t="shared" si="28"/>
        <v>0</v>
      </c>
      <c r="Z257" s="107">
        <f t="shared" si="28"/>
        <v>0</v>
      </c>
      <c r="AA257" s="107">
        <f t="shared" si="28"/>
        <v>0</v>
      </c>
      <c r="AB257" s="107">
        <f t="shared" si="28"/>
        <v>0</v>
      </c>
      <c r="AC257" s="107">
        <f t="shared" si="28"/>
        <v>0</v>
      </c>
      <c r="AD257" s="107">
        <f t="shared" si="28"/>
        <v>0</v>
      </c>
      <c r="AE257" s="107">
        <f t="shared" si="28"/>
        <v>0</v>
      </c>
      <c r="AF257" s="107">
        <f t="shared" si="28"/>
        <v>0</v>
      </c>
      <c r="AG257" s="107">
        <f t="shared" si="28"/>
        <v>0</v>
      </c>
      <c r="AH257" s="107">
        <f t="shared" si="28"/>
        <v>0</v>
      </c>
      <c r="AI257" s="107">
        <f t="shared" si="28"/>
        <v>0</v>
      </c>
      <c r="AJ257" s="107">
        <f t="shared" si="28"/>
        <v>0</v>
      </c>
      <c r="AK257" s="107">
        <f t="shared" si="28"/>
        <v>0</v>
      </c>
      <c r="AL257" s="107">
        <f t="shared" si="28"/>
        <v>0</v>
      </c>
      <c r="AM257" s="107">
        <f t="shared" si="28"/>
        <v>0</v>
      </c>
      <c r="AN257" s="107">
        <f t="shared" si="28"/>
        <v>0</v>
      </c>
      <c r="AO257" s="111">
        <f>D257+E257+F257+G257+H257+I257+J257+M257+P257+SUM(Q257:AN257)</f>
        <v>-303814.14</v>
      </c>
      <c r="AP257" s="4"/>
      <c r="AQ257" s="5"/>
      <c r="AR257" s="5"/>
      <c r="AS257" s="2" t="s">
        <v>6</v>
      </c>
    </row>
    <row r="258" spans="1:45" s="2" customFormat="1" ht="17.25" customHeight="1" thickTop="1" x14ac:dyDescent="0.25">
      <c r="A258" s="23">
        <f>A232+1</f>
        <v>45919</v>
      </c>
      <c r="B258" s="210" t="s">
        <v>64</v>
      </c>
      <c r="C258" s="203"/>
      <c r="D258" s="63">
        <v>9816</v>
      </c>
      <c r="E258" s="66"/>
      <c r="F258" s="66"/>
      <c r="G258" s="66"/>
      <c r="H258" s="66"/>
      <c r="I258" s="66">
        <f>-D258</f>
        <v>-9816</v>
      </c>
      <c r="J258" s="66"/>
      <c r="K258" s="18"/>
      <c r="L258" s="18"/>
      <c r="M258" s="66"/>
      <c r="N258" s="18"/>
      <c r="O258" s="18"/>
      <c r="P258" s="66"/>
      <c r="Q258" s="46"/>
      <c r="R258" s="46"/>
      <c r="S258" s="45"/>
      <c r="T258" s="18"/>
      <c r="U258" s="18"/>
      <c r="V258" s="18"/>
      <c r="W258" s="18"/>
      <c r="X258" s="18"/>
      <c r="Y258" s="14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31"/>
      <c r="AQ258" s="10"/>
      <c r="AR258" s="27"/>
    </row>
    <row r="259" spans="1:45" s="4" customFormat="1" ht="17.25" customHeight="1" x14ac:dyDescent="0.25">
      <c r="A259" s="23"/>
      <c r="B259" s="201" t="s">
        <v>96</v>
      </c>
      <c r="C259" s="202"/>
      <c r="D259" s="63"/>
      <c r="E259" s="64"/>
      <c r="F259" s="64"/>
      <c r="G259" s="64"/>
      <c r="H259" s="64"/>
      <c r="I259" s="117">
        <f>-I257-I258</f>
        <v>-243.44000000000051</v>
      </c>
      <c r="J259" s="64"/>
      <c r="K259" s="16"/>
      <c r="L259" s="92"/>
      <c r="M259" s="64"/>
      <c r="N259" s="16"/>
      <c r="O259" s="92"/>
      <c r="P259" s="64"/>
      <c r="Q259" s="40"/>
      <c r="R259" s="46"/>
      <c r="S259" s="39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22"/>
      <c r="AP259" s="30"/>
    </row>
    <row r="260" spans="1:45" s="2" customFormat="1" ht="17.25" customHeight="1" x14ac:dyDescent="0.2">
      <c r="A260" s="23"/>
      <c r="B260" s="201" t="s">
        <v>124</v>
      </c>
      <c r="C260" s="203"/>
      <c r="D260" s="63">
        <v>-9800</v>
      </c>
      <c r="E260" s="64">
        <f>-D260</f>
        <v>9800</v>
      </c>
      <c r="F260" s="74"/>
      <c r="G260" s="74"/>
      <c r="H260" s="64"/>
      <c r="I260" s="64"/>
      <c r="J260" s="64"/>
      <c r="K260" s="16"/>
      <c r="L260" s="16"/>
      <c r="M260" s="64"/>
      <c r="N260" s="16"/>
      <c r="O260" s="16"/>
      <c r="P260" s="64"/>
      <c r="Q260" s="46"/>
      <c r="R260" s="39"/>
      <c r="S260" s="40"/>
      <c r="T260" s="16"/>
      <c r="U260" s="16"/>
      <c r="V260" s="16"/>
      <c r="W260" s="16"/>
      <c r="X260" s="16"/>
      <c r="Y260" s="19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35"/>
      <c r="AQ260" s="10"/>
      <c r="AR260" s="27"/>
    </row>
    <row r="261" spans="1:45" s="2" customFormat="1" ht="17.25" customHeight="1" x14ac:dyDescent="0.2">
      <c r="A261" s="23"/>
      <c r="B261" s="208" t="s">
        <v>13</v>
      </c>
      <c r="C261" s="209"/>
      <c r="D261" s="63"/>
      <c r="E261" s="64">
        <f>40+10+20+20+100+100+80.2+30+30+30+10+4.26+10+25+50+80+60+50+100+30+3+10+50+30+100+21+100+10.5+50+20+100+10+18.06+167+185+50</f>
        <v>1804.02</v>
      </c>
      <c r="F261" s="74"/>
      <c r="G261" s="74"/>
      <c r="H261" s="64">
        <f>-E261</f>
        <v>-1804.02</v>
      </c>
      <c r="I261" s="64"/>
      <c r="J261" s="64"/>
      <c r="K261" s="16"/>
      <c r="L261" s="16"/>
      <c r="M261" s="64"/>
      <c r="N261" s="16"/>
      <c r="O261" s="16"/>
      <c r="P261" s="64"/>
      <c r="Q261" s="46"/>
      <c r="R261" s="39"/>
      <c r="S261" s="40"/>
      <c r="T261" s="16"/>
      <c r="U261" s="16"/>
      <c r="V261" s="16"/>
      <c r="W261" s="16"/>
      <c r="X261" s="16"/>
      <c r="Y261" s="19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35"/>
      <c r="AQ261" s="10"/>
      <c r="AR261" s="27"/>
    </row>
    <row r="262" spans="1:45" s="2" customFormat="1" ht="17.25" customHeight="1" x14ac:dyDescent="0.2">
      <c r="A262" s="23"/>
      <c r="B262" s="201" t="s">
        <v>49</v>
      </c>
      <c r="C262" s="203"/>
      <c r="D262" s="63"/>
      <c r="E262" s="64">
        <v>1678.8</v>
      </c>
      <c r="F262" s="74"/>
      <c r="G262" s="74"/>
      <c r="H262" s="64">
        <f>-E262</f>
        <v>-1678.8</v>
      </c>
      <c r="I262" s="64"/>
      <c r="J262" s="64"/>
      <c r="K262" s="16"/>
      <c r="L262" s="16"/>
      <c r="M262" s="64"/>
      <c r="N262" s="16"/>
      <c r="O262" s="16"/>
      <c r="P262" s="64"/>
      <c r="Q262" s="46"/>
      <c r="R262" s="39"/>
      <c r="S262" s="40"/>
      <c r="T262" s="16"/>
      <c r="U262" s="16"/>
      <c r="V262" s="16"/>
      <c r="W262" s="16"/>
      <c r="X262" s="16"/>
      <c r="Y262" s="19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35"/>
      <c r="AQ262" s="10"/>
      <c r="AR262" s="27"/>
    </row>
    <row r="263" spans="1:45" s="2" customFormat="1" ht="17.25" customHeight="1" x14ac:dyDescent="0.2">
      <c r="A263" s="23"/>
      <c r="B263" s="201" t="s">
        <v>50</v>
      </c>
      <c r="C263" s="203"/>
      <c r="D263" s="63"/>
      <c r="E263" s="64">
        <v>1263</v>
      </c>
      <c r="F263" s="74"/>
      <c r="G263" s="74"/>
      <c r="H263" s="64">
        <f>-E263</f>
        <v>-1263</v>
      </c>
      <c r="I263" s="64"/>
      <c r="J263" s="64"/>
      <c r="K263" s="16"/>
      <c r="L263" s="16"/>
      <c r="M263" s="64"/>
      <c r="N263" s="16"/>
      <c r="O263" s="16"/>
      <c r="P263" s="64"/>
      <c r="Q263" s="46"/>
      <c r="R263" s="39"/>
      <c r="S263" s="40"/>
      <c r="T263" s="16"/>
      <c r="U263" s="16"/>
      <c r="V263" s="16"/>
      <c r="W263" s="16"/>
      <c r="X263" s="16"/>
      <c r="Y263" s="19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35"/>
      <c r="AQ263" s="10"/>
      <c r="AR263" s="27"/>
    </row>
    <row r="264" spans="1:45" s="2" customFormat="1" ht="17.25" customHeight="1" x14ac:dyDescent="0.2">
      <c r="A264" s="23"/>
      <c r="B264" s="201" t="s">
        <v>51</v>
      </c>
      <c r="C264" s="202"/>
      <c r="D264" s="63"/>
      <c r="E264" s="64">
        <v>1000</v>
      </c>
      <c r="F264" s="74"/>
      <c r="G264" s="74"/>
      <c r="H264" s="64">
        <f>-E264</f>
        <v>-1000</v>
      </c>
      <c r="I264" s="64"/>
      <c r="J264" s="64"/>
      <c r="K264" s="16"/>
      <c r="L264" s="16"/>
      <c r="M264" s="64"/>
      <c r="N264" s="16"/>
      <c r="O264" s="16"/>
      <c r="P264" s="64"/>
      <c r="Q264" s="46"/>
      <c r="R264" s="39"/>
      <c r="S264" s="40"/>
      <c r="T264" s="16"/>
      <c r="U264" s="16"/>
      <c r="V264" s="16"/>
      <c r="W264" s="16"/>
      <c r="X264" s="16"/>
      <c r="Y264" s="19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35"/>
      <c r="AQ264" s="10"/>
      <c r="AR264" s="27"/>
    </row>
    <row r="265" spans="1:45" s="2" customFormat="1" ht="17.25" customHeight="1" x14ac:dyDescent="0.2">
      <c r="A265" s="23"/>
      <c r="B265" s="201" t="s">
        <v>52</v>
      </c>
      <c r="C265" s="202"/>
      <c r="D265" s="64"/>
      <c r="E265" s="64">
        <v>120</v>
      </c>
      <c r="F265" s="74"/>
      <c r="G265" s="74"/>
      <c r="H265" s="64">
        <f>-E265</f>
        <v>-120</v>
      </c>
      <c r="I265" s="64"/>
      <c r="J265" s="64"/>
      <c r="K265" s="16"/>
      <c r="L265" s="16"/>
      <c r="M265" s="64"/>
      <c r="N265" s="16"/>
      <c r="O265" s="16"/>
      <c r="P265" s="64"/>
      <c r="Q265" s="46"/>
      <c r="R265" s="39"/>
      <c r="S265" s="40"/>
      <c r="T265" s="16"/>
      <c r="U265" s="16"/>
      <c r="V265" s="16"/>
      <c r="W265" s="16"/>
      <c r="X265" s="16"/>
      <c r="Y265" s="19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35"/>
      <c r="AQ265" s="10"/>
      <c r="AR265" s="27"/>
    </row>
    <row r="266" spans="1:45" s="2" customFormat="1" ht="17.25" customHeight="1" x14ac:dyDescent="0.2">
      <c r="A266" s="23"/>
      <c r="B266" s="211" t="s">
        <v>125</v>
      </c>
      <c r="C266" s="206"/>
      <c r="D266" s="64"/>
      <c r="E266" s="64">
        <v>-11669</v>
      </c>
      <c r="F266" s="74"/>
      <c r="G266" s="74"/>
      <c r="H266" s="64"/>
      <c r="I266" s="64"/>
      <c r="J266" s="64"/>
      <c r="K266" s="16"/>
      <c r="L266" s="16"/>
      <c r="M266" s="64"/>
      <c r="N266" s="16"/>
      <c r="O266" s="16"/>
      <c r="P266" s="64"/>
      <c r="Q266" s="46"/>
      <c r="R266" s="39"/>
      <c r="S266" s="40"/>
      <c r="T266" s="16"/>
      <c r="U266" s="20">
        <f>-E266</f>
        <v>11669</v>
      </c>
      <c r="V266" s="16"/>
      <c r="W266" s="16"/>
      <c r="X266" s="16"/>
      <c r="Y266" s="19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35"/>
      <c r="AQ266" s="10"/>
      <c r="AR266" s="27"/>
    </row>
    <row r="267" spans="1:45" s="2" customFormat="1" ht="17.25" customHeight="1" x14ac:dyDescent="0.2">
      <c r="A267" s="23"/>
      <c r="B267" s="201" t="s">
        <v>77</v>
      </c>
      <c r="C267" s="203"/>
      <c r="D267" s="63"/>
      <c r="E267" s="64">
        <v>-86.96</v>
      </c>
      <c r="F267" s="74"/>
      <c r="G267" s="74"/>
      <c r="H267" s="64"/>
      <c r="I267" s="64"/>
      <c r="J267" s="64"/>
      <c r="K267" s="16"/>
      <c r="L267" s="16"/>
      <c r="M267" s="64"/>
      <c r="N267" s="16"/>
      <c r="O267" s="16"/>
      <c r="P267" s="64"/>
      <c r="Q267" s="46"/>
      <c r="R267" s="39"/>
      <c r="S267" s="40"/>
      <c r="T267" s="16"/>
      <c r="U267" s="16"/>
      <c r="V267" s="16"/>
      <c r="W267" s="16"/>
      <c r="X267" s="16"/>
      <c r="Y267" s="19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35"/>
      <c r="AQ267" s="10"/>
      <c r="AR267" s="27"/>
    </row>
    <row r="268" spans="1:45" s="2" customFormat="1" ht="17.25" customHeight="1" x14ac:dyDescent="0.2">
      <c r="A268" s="23"/>
      <c r="B268" s="201" t="s">
        <v>78</v>
      </c>
      <c r="C268" s="203"/>
      <c r="D268" s="63">
        <v>300</v>
      </c>
      <c r="E268" s="64">
        <v>-300</v>
      </c>
      <c r="F268" s="74"/>
      <c r="G268" s="74"/>
      <c r="H268" s="64"/>
      <c r="I268" s="64"/>
      <c r="J268" s="64"/>
      <c r="K268" s="16"/>
      <c r="L268" s="16"/>
      <c r="M268" s="64"/>
      <c r="N268" s="16"/>
      <c r="O268" s="16"/>
      <c r="P268" s="64"/>
      <c r="Q268" s="46"/>
      <c r="R268" s="39"/>
      <c r="S268" s="40"/>
      <c r="T268" s="16"/>
      <c r="U268" s="16"/>
      <c r="V268" s="16"/>
      <c r="W268" s="16"/>
      <c r="X268" s="16"/>
      <c r="Y268" s="19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35"/>
      <c r="AQ268" s="10"/>
      <c r="AR268" s="27"/>
    </row>
    <row r="269" spans="1:45" s="2" customFormat="1" ht="17.25" customHeight="1" x14ac:dyDescent="0.2">
      <c r="A269" s="23"/>
      <c r="B269" s="201" t="s">
        <v>65</v>
      </c>
      <c r="C269" s="203"/>
      <c r="D269" s="63">
        <v>-4.9000000000000004</v>
      </c>
      <c r="E269" s="64"/>
      <c r="F269" s="74"/>
      <c r="G269" s="74"/>
      <c r="H269" s="64"/>
      <c r="I269" s="64"/>
      <c r="J269" s="64"/>
      <c r="K269" s="16"/>
      <c r="L269" s="16"/>
      <c r="M269" s="64"/>
      <c r="N269" s="16"/>
      <c r="O269" s="16"/>
      <c r="P269" s="64"/>
      <c r="Q269" s="46"/>
      <c r="R269" s="39"/>
      <c r="S269" s="40"/>
      <c r="T269" s="16"/>
      <c r="U269" s="16"/>
      <c r="V269" s="16"/>
      <c r="W269" s="16"/>
      <c r="X269" s="16"/>
      <c r="Y269" s="19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35"/>
      <c r="AQ269" s="10"/>
      <c r="AR269" s="27"/>
    </row>
    <row r="270" spans="1:45" s="2" customFormat="1" ht="17.25" customHeight="1" x14ac:dyDescent="0.2">
      <c r="A270" s="23"/>
      <c r="B270" s="201" t="s">
        <v>79</v>
      </c>
      <c r="C270" s="203"/>
      <c r="D270" s="63">
        <v>34440</v>
      </c>
      <c r="E270" s="64"/>
      <c r="F270" s="74"/>
      <c r="G270" s="74"/>
      <c r="H270" s="64"/>
      <c r="I270" s="64"/>
      <c r="J270" s="64"/>
      <c r="K270" s="16"/>
      <c r="L270" s="16"/>
      <c r="M270" s="64"/>
      <c r="N270" s="16"/>
      <c r="O270" s="16"/>
      <c r="P270" s="64"/>
      <c r="Q270" s="46">
        <f>-D270</f>
        <v>-34440</v>
      </c>
      <c r="R270" s="39"/>
      <c r="S270" s="40"/>
      <c r="T270" s="16"/>
      <c r="U270" s="16"/>
      <c r="V270" s="16"/>
      <c r="W270" s="16"/>
      <c r="X270" s="16"/>
      <c r="Y270" s="19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35"/>
      <c r="AQ270" s="10"/>
      <c r="AR270" s="27"/>
    </row>
    <row r="271" spans="1:45" s="2" customFormat="1" ht="17.25" customHeight="1" x14ac:dyDescent="0.2">
      <c r="A271" s="23"/>
      <c r="B271" s="201" t="s">
        <v>80</v>
      </c>
      <c r="C271" s="203"/>
      <c r="D271" s="63">
        <v>-275.52</v>
      </c>
      <c r="E271" s="64"/>
      <c r="F271" s="74"/>
      <c r="G271" s="74"/>
      <c r="H271" s="64"/>
      <c r="I271" s="64"/>
      <c r="J271" s="64"/>
      <c r="K271" s="16"/>
      <c r="L271" s="16"/>
      <c r="M271" s="64"/>
      <c r="N271" s="16"/>
      <c r="O271" s="16"/>
      <c r="P271" s="64"/>
      <c r="Q271" s="46"/>
      <c r="R271" s="39"/>
      <c r="S271" s="40"/>
      <c r="T271" s="16"/>
      <c r="U271" s="16"/>
      <c r="V271" s="16"/>
      <c r="W271" s="16"/>
      <c r="X271" s="16"/>
      <c r="Y271" s="19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35"/>
      <c r="AQ271" s="10"/>
      <c r="AR271" s="27"/>
    </row>
    <row r="272" spans="1:45" s="2" customFormat="1" ht="17.25" customHeight="1" x14ac:dyDescent="0.2">
      <c r="A272" s="23"/>
      <c r="B272" s="205" t="s">
        <v>402</v>
      </c>
      <c r="C272" s="206"/>
      <c r="D272" s="64">
        <v>-34400</v>
      </c>
      <c r="E272" s="64"/>
      <c r="F272" s="74"/>
      <c r="G272" s="74"/>
      <c r="H272" s="64"/>
      <c r="I272" s="64"/>
      <c r="J272" s="64"/>
      <c r="K272" s="16"/>
      <c r="L272" s="16"/>
      <c r="M272" s="64"/>
      <c r="N272" s="57">
        <v>10000</v>
      </c>
      <c r="O272" s="88">
        <v>3.44</v>
      </c>
      <c r="P272" s="62">
        <f>N272*O272</f>
        <v>34400</v>
      </c>
      <c r="Q272" s="46"/>
      <c r="R272" s="39"/>
      <c r="S272" s="40"/>
      <c r="T272" s="16"/>
      <c r="U272" s="16"/>
      <c r="V272" s="16"/>
      <c r="W272" s="16"/>
      <c r="X272" s="16"/>
      <c r="Y272" s="19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35"/>
      <c r="AQ272" s="10"/>
      <c r="AR272" s="27"/>
    </row>
    <row r="273" spans="1:46" s="2" customFormat="1" ht="17.25" customHeight="1" x14ac:dyDescent="0.2">
      <c r="A273" s="23"/>
      <c r="B273" s="201" t="s">
        <v>67</v>
      </c>
      <c r="C273" s="203"/>
      <c r="D273" s="64">
        <v>-4.9000000000000004</v>
      </c>
      <c r="E273" s="64"/>
      <c r="F273" s="74"/>
      <c r="G273" s="74"/>
      <c r="H273" s="64"/>
      <c r="I273" s="64"/>
      <c r="J273" s="64"/>
      <c r="K273" s="16"/>
      <c r="L273" s="16"/>
      <c r="M273" s="64"/>
      <c r="N273" s="16"/>
      <c r="O273" s="16"/>
      <c r="P273" s="64"/>
      <c r="Q273" s="46"/>
      <c r="R273" s="39"/>
      <c r="S273" s="40"/>
      <c r="T273" s="16"/>
      <c r="U273" s="16"/>
      <c r="V273" s="16"/>
      <c r="W273" s="16"/>
      <c r="X273" s="16"/>
      <c r="Y273" s="19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35"/>
      <c r="AQ273" s="10"/>
      <c r="AR273" s="27"/>
    </row>
    <row r="274" spans="1:46" s="2" customFormat="1" ht="17.25" customHeight="1" x14ac:dyDescent="0.2">
      <c r="A274" s="23"/>
      <c r="B274" s="201" t="s">
        <v>80</v>
      </c>
      <c r="C274" s="203"/>
      <c r="D274" s="63">
        <v>-2.4</v>
      </c>
      <c r="E274" s="64"/>
      <c r="F274" s="74"/>
      <c r="G274" s="74"/>
      <c r="H274" s="64"/>
      <c r="I274" s="64"/>
      <c r="J274" s="64"/>
      <c r="K274" s="16"/>
      <c r="L274" s="16"/>
      <c r="M274" s="64"/>
      <c r="N274" s="16"/>
      <c r="O274" s="16"/>
      <c r="P274" s="64"/>
      <c r="Q274" s="46"/>
      <c r="R274" s="39"/>
      <c r="S274" s="40"/>
      <c r="T274" s="16"/>
      <c r="U274" s="16"/>
      <c r="V274" s="16"/>
      <c r="W274" s="16"/>
      <c r="X274" s="16"/>
      <c r="Y274" s="19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35"/>
      <c r="AQ274" s="10"/>
      <c r="AR274" s="27"/>
    </row>
    <row r="275" spans="1:46" s="2" customFormat="1" ht="17.25" customHeight="1" thickBot="1" x14ac:dyDescent="0.25">
      <c r="A275" s="24"/>
      <c r="B275" s="216"/>
      <c r="C275" s="217"/>
      <c r="D275" s="83"/>
      <c r="E275" s="81"/>
      <c r="F275" s="81"/>
      <c r="G275" s="81"/>
      <c r="H275" s="81"/>
      <c r="I275" s="81"/>
      <c r="J275" s="81"/>
      <c r="K275" s="37"/>
      <c r="L275" s="93"/>
      <c r="M275" s="81"/>
      <c r="N275" s="37"/>
      <c r="O275" s="93"/>
      <c r="P275" s="81"/>
      <c r="Q275" s="40"/>
      <c r="R275" s="40"/>
      <c r="S275" s="39"/>
      <c r="T275" s="16"/>
      <c r="U275" s="16"/>
      <c r="V275" s="16"/>
      <c r="W275" s="16"/>
      <c r="X275" s="16"/>
      <c r="Y275" s="19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41"/>
      <c r="AQ275" s="10"/>
      <c r="AR275" s="11"/>
    </row>
    <row r="276" spans="1:46" s="4" customFormat="1" ht="17.25" customHeight="1" x14ac:dyDescent="0.25">
      <c r="A276" s="23"/>
      <c r="B276" s="210" t="s">
        <v>94</v>
      </c>
      <c r="C276" s="203"/>
      <c r="D276" s="66"/>
      <c r="E276" s="66"/>
      <c r="F276" s="117"/>
      <c r="G276" s="117"/>
      <c r="H276" s="66"/>
      <c r="I276" s="66"/>
      <c r="J276" s="66">
        <f>-M276</f>
        <v>9987.75</v>
      </c>
      <c r="K276" s="58">
        <v>-1725</v>
      </c>
      <c r="L276" s="89">
        <v>5.79</v>
      </c>
      <c r="M276" s="73">
        <f>K276*L276</f>
        <v>-9987.75</v>
      </c>
      <c r="N276" s="58"/>
      <c r="O276" s="89"/>
      <c r="P276" s="73"/>
      <c r="Q276" s="39"/>
      <c r="R276" s="39"/>
      <c r="S276" s="8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35"/>
      <c r="AP276" s="12" t="e">
        <f>#REF!</f>
        <v>#REF!</v>
      </c>
    </row>
    <row r="277" spans="1:46" s="4" customFormat="1" ht="17.25" customHeight="1" x14ac:dyDescent="0.25">
      <c r="A277" s="23"/>
      <c r="B277" s="201" t="s">
        <v>95</v>
      </c>
      <c r="C277" s="202"/>
      <c r="D277" s="64"/>
      <c r="E277" s="64"/>
      <c r="F277" s="117"/>
      <c r="G277" s="117"/>
      <c r="H277" s="64"/>
      <c r="I277" s="64"/>
      <c r="J277" s="64">
        <f>-P277</f>
        <v>10483.14</v>
      </c>
      <c r="K277" s="57"/>
      <c r="L277" s="88"/>
      <c r="M277" s="62"/>
      <c r="N277" s="57">
        <v>-2766</v>
      </c>
      <c r="O277" s="88">
        <v>3.79</v>
      </c>
      <c r="P277" s="62">
        <f>N277*O277</f>
        <v>-10483.14</v>
      </c>
      <c r="Q277" s="39"/>
      <c r="R277" s="39"/>
      <c r="S277" s="8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35"/>
      <c r="AP277" s="12" t="e">
        <f>#REF!</f>
        <v>#REF!</v>
      </c>
    </row>
    <row r="278" spans="1:46" s="4" customFormat="1" ht="17.25" customHeight="1" x14ac:dyDescent="0.25">
      <c r="A278" s="23"/>
      <c r="B278" s="201" t="s">
        <v>97</v>
      </c>
      <c r="C278" s="203"/>
      <c r="D278" s="64"/>
      <c r="E278" s="64"/>
      <c r="F278" s="64"/>
      <c r="G278" s="64"/>
      <c r="H278" s="64">
        <f>-J278-I278</f>
        <v>6754.6299999999992</v>
      </c>
      <c r="I278" s="64">
        <v>13716.26</v>
      </c>
      <c r="J278" s="64">
        <f>-SUM(J276:J277)</f>
        <v>-20470.89</v>
      </c>
      <c r="K278" s="57"/>
      <c r="L278" s="88"/>
      <c r="M278" s="62"/>
      <c r="N278" s="57"/>
      <c r="O278" s="88"/>
      <c r="P278" s="62"/>
      <c r="Q278" s="39"/>
      <c r="R278" s="39"/>
      <c r="S278" s="39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22"/>
      <c r="AO278" s="43">
        <f>A228</f>
        <v>0</v>
      </c>
      <c r="AP278" s="12" t="e">
        <f>#REF!</f>
        <v>#REF!</v>
      </c>
      <c r="AT278" s="2"/>
    </row>
    <row r="279" spans="1:46" s="4" customFormat="1" ht="17.25" customHeight="1" x14ac:dyDescent="0.25">
      <c r="A279" s="23"/>
      <c r="B279" s="201" t="s">
        <v>93</v>
      </c>
      <c r="C279" s="202"/>
      <c r="D279" s="64"/>
      <c r="E279" s="64"/>
      <c r="F279" s="64"/>
      <c r="G279" s="64"/>
      <c r="H279" s="64"/>
      <c r="I279" s="64"/>
      <c r="J279" s="64"/>
      <c r="K279" s="57">
        <v>91</v>
      </c>
      <c r="L279" s="88"/>
      <c r="M279" s="118">
        <f>(K282*L257)-M257-M276</f>
        <v>1855.4457696068785</v>
      </c>
      <c r="N279" s="57">
        <v>94</v>
      </c>
      <c r="O279" s="88"/>
      <c r="P279" s="118">
        <f>(N282*3.531547)-P257-P277-P272</f>
        <v>1046.8448160000044</v>
      </c>
      <c r="Q279" s="39"/>
      <c r="R279" s="39"/>
      <c r="S279" s="39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22"/>
      <c r="AO279" s="43">
        <f>A251</f>
        <v>0</v>
      </c>
      <c r="AP279" s="12" t="e">
        <f>#REF!</f>
        <v>#REF!</v>
      </c>
      <c r="AT279" s="2"/>
    </row>
    <row r="280" spans="1:46" s="2" customFormat="1" ht="17.25" customHeight="1" x14ac:dyDescent="0.2">
      <c r="A280" s="24"/>
      <c r="B280" s="201"/>
      <c r="C280" s="204"/>
      <c r="D280" s="63"/>
      <c r="E280" s="64"/>
      <c r="F280" s="64"/>
      <c r="G280" s="64"/>
      <c r="H280" s="64"/>
      <c r="I280" s="64"/>
      <c r="J280" s="64"/>
      <c r="K280" s="16"/>
      <c r="L280" s="16"/>
      <c r="M280" s="64"/>
      <c r="N280" s="16"/>
      <c r="O280" s="16"/>
      <c r="P280" s="64"/>
      <c r="Q280" s="46"/>
      <c r="R280" s="46"/>
      <c r="S280" s="39"/>
      <c r="T280" s="16"/>
      <c r="U280" s="16"/>
      <c r="V280" s="16"/>
      <c r="W280" s="16"/>
      <c r="X280" s="16"/>
      <c r="Y280" s="19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43">
        <f>A258</f>
        <v>45919</v>
      </c>
      <c r="AQ280" s="10"/>
      <c r="AR280" s="11"/>
    </row>
    <row r="281" spans="1:46" s="2" customFormat="1" ht="17.25" customHeight="1" thickBot="1" x14ac:dyDescent="0.3">
      <c r="A281" s="56"/>
      <c r="B281" s="101" t="s">
        <v>102</v>
      </c>
      <c r="C281" s="102">
        <f>D282+E282+F282+G282+H282+I282+J282+M282+P282</f>
        <v>80217.909999999974</v>
      </c>
      <c r="D281" s="84"/>
      <c r="E281" s="85"/>
      <c r="F281" s="85"/>
      <c r="G281" s="85"/>
      <c r="H281" s="85"/>
      <c r="I281" s="85"/>
      <c r="J281" s="85"/>
      <c r="K281" s="28"/>
      <c r="L281" s="28"/>
      <c r="M281" s="85"/>
      <c r="N281" s="28"/>
      <c r="O281" s="28"/>
      <c r="P281" s="85"/>
      <c r="Q281" s="48"/>
      <c r="R281" s="48"/>
      <c r="S281" s="51"/>
      <c r="T281" s="28"/>
      <c r="U281" s="28"/>
      <c r="V281" s="28"/>
      <c r="W281" s="28"/>
      <c r="X281" s="28"/>
      <c r="Y281" s="36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42">
        <f>SUM($Q257:AN281)</f>
        <v>-381747.88</v>
      </c>
      <c r="AQ281" s="10"/>
      <c r="AR281" s="11"/>
      <c r="AS281" s="2" t="s">
        <v>5</v>
      </c>
    </row>
    <row r="282" spans="1:46" s="2" customFormat="1" ht="17.25" customHeight="1" thickTop="1" thickBot="1" x14ac:dyDescent="0.3">
      <c r="A282" s="103"/>
      <c r="B282" s="104" t="s">
        <v>103</v>
      </c>
      <c r="C282" s="105">
        <f>AO282</f>
        <v>-301529.97000000003</v>
      </c>
      <c r="D282" s="106">
        <f t="shared" ref="D282:K282" si="29">SUM(D257:D281)</f>
        <v>134.16999999999388</v>
      </c>
      <c r="E282" s="107">
        <f t="shared" si="29"/>
        <v>-34797.030000000021</v>
      </c>
      <c r="F282" s="107">
        <f t="shared" si="29"/>
        <v>102.27000000000203</v>
      </c>
      <c r="G282" s="107">
        <f t="shared" si="29"/>
        <v>-100</v>
      </c>
      <c r="H282" s="107">
        <f t="shared" si="29"/>
        <v>7094.1400000000021</v>
      </c>
      <c r="I282" s="107">
        <f t="shared" si="29"/>
        <v>13716.26</v>
      </c>
      <c r="J282" s="107">
        <f t="shared" si="29"/>
        <v>0</v>
      </c>
      <c r="K282" s="108">
        <f t="shared" si="29"/>
        <v>8592</v>
      </c>
      <c r="L282" s="109">
        <f>M282/K282</f>
        <v>4.9769308659217879</v>
      </c>
      <c r="M282" s="107">
        <f>ROUND(SUM(M257:M281),2)</f>
        <v>42761.79</v>
      </c>
      <c r="N282" s="108">
        <f>SUM(N257:N281)</f>
        <v>14528</v>
      </c>
      <c r="O282" s="109">
        <f>P282/N282</f>
        <v>3.5315466685022026</v>
      </c>
      <c r="P282" s="107">
        <f>ROUND(SUM(P257:P281),2)</f>
        <v>51306.31</v>
      </c>
      <c r="Q282" s="110">
        <f t="shared" ref="Q282:AN282" si="30">SUM(Q257:Q281)</f>
        <v>-157640</v>
      </c>
      <c r="R282" s="107">
        <f t="shared" si="30"/>
        <v>8365.57</v>
      </c>
      <c r="S282" s="107">
        <f t="shared" si="30"/>
        <v>0</v>
      </c>
      <c r="T282" s="107">
        <f t="shared" si="30"/>
        <v>-16073.45</v>
      </c>
      <c r="U282" s="107">
        <f t="shared" si="30"/>
        <v>-106300</v>
      </c>
      <c r="V282" s="107">
        <f t="shared" si="30"/>
        <v>-110100</v>
      </c>
      <c r="W282" s="107">
        <f t="shared" si="30"/>
        <v>0</v>
      </c>
      <c r="X282" s="107">
        <f t="shared" si="30"/>
        <v>0</v>
      </c>
      <c r="Y282" s="107">
        <f t="shared" si="30"/>
        <v>0</v>
      </c>
      <c r="Z282" s="107">
        <f t="shared" si="30"/>
        <v>0</v>
      </c>
      <c r="AA282" s="107">
        <f t="shared" si="30"/>
        <v>0</v>
      </c>
      <c r="AB282" s="107">
        <f t="shared" si="30"/>
        <v>0</v>
      </c>
      <c r="AC282" s="107">
        <f t="shared" si="30"/>
        <v>0</v>
      </c>
      <c r="AD282" s="107">
        <f t="shared" si="30"/>
        <v>0</v>
      </c>
      <c r="AE282" s="107">
        <f t="shared" si="30"/>
        <v>0</v>
      </c>
      <c r="AF282" s="107">
        <f t="shared" si="30"/>
        <v>0</v>
      </c>
      <c r="AG282" s="107">
        <f t="shared" si="30"/>
        <v>0</v>
      </c>
      <c r="AH282" s="107">
        <f t="shared" si="30"/>
        <v>0</v>
      </c>
      <c r="AI282" s="107">
        <f t="shared" si="30"/>
        <v>0</v>
      </c>
      <c r="AJ282" s="107">
        <f t="shared" si="30"/>
        <v>0</v>
      </c>
      <c r="AK282" s="107">
        <f t="shared" si="30"/>
        <v>0</v>
      </c>
      <c r="AL282" s="107">
        <f t="shared" si="30"/>
        <v>0</v>
      </c>
      <c r="AM282" s="107">
        <f t="shared" si="30"/>
        <v>0</v>
      </c>
      <c r="AN282" s="107">
        <f t="shared" si="30"/>
        <v>0</v>
      </c>
      <c r="AO282" s="111">
        <f>D282+E282+F282+G282+H282+I282+J282+M282+P282+SUM(Q282:AN282)</f>
        <v>-301529.97000000003</v>
      </c>
      <c r="AP282" s="4"/>
      <c r="AQ282" s="5"/>
      <c r="AR282" s="5"/>
      <c r="AS282" s="2" t="s">
        <v>6</v>
      </c>
    </row>
    <row r="283" spans="1:46" s="2" customFormat="1" ht="17.25" customHeight="1" thickTop="1" x14ac:dyDescent="0.25">
      <c r="A283" s="23">
        <f>A258+1</f>
        <v>45920</v>
      </c>
      <c r="B283" s="210" t="s">
        <v>64</v>
      </c>
      <c r="C283" s="203"/>
      <c r="D283" s="63">
        <v>13370.86</v>
      </c>
      <c r="E283" s="66"/>
      <c r="F283" s="66"/>
      <c r="G283" s="66"/>
      <c r="H283" s="66"/>
      <c r="I283" s="66">
        <f>-D283</f>
        <v>-13370.86</v>
      </c>
      <c r="J283" s="66"/>
      <c r="K283" s="18"/>
      <c r="L283" s="18"/>
      <c r="M283" s="66"/>
      <c r="N283" s="18"/>
      <c r="O283" s="18"/>
      <c r="P283" s="66"/>
      <c r="Q283" s="46"/>
      <c r="R283" s="46"/>
      <c r="S283" s="45"/>
      <c r="T283" s="18"/>
      <c r="U283" s="18"/>
      <c r="V283" s="18"/>
      <c r="W283" s="18"/>
      <c r="X283" s="18"/>
      <c r="Y283" s="14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31"/>
      <c r="AQ283" s="10"/>
      <c r="AR283" s="27"/>
    </row>
    <row r="284" spans="1:46" s="4" customFormat="1" ht="17.25" customHeight="1" x14ac:dyDescent="0.25">
      <c r="A284" s="23"/>
      <c r="B284" s="201" t="s">
        <v>96</v>
      </c>
      <c r="C284" s="202"/>
      <c r="D284" s="63"/>
      <c r="E284" s="64"/>
      <c r="F284" s="64"/>
      <c r="G284" s="64"/>
      <c r="H284" s="64"/>
      <c r="I284" s="117">
        <f>-I282-I283</f>
        <v>-345.39999999999964</v>
      </c>
      <c r="J284" s="64"/>
      <c r="K284" s="16"/>
      <c r="L284" s="92"/>
      <c r="M284" s="64"/>
      <c r="N284" s="16"/>
      <c r="O284" s="92"/>
      <c r="P284" s="64"/>
      <c r="Q284" s="40"/>
      <c r="R284" s="46"/>
      <c r="S284" s="39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22"/>
      <c r="AP284" s="30"/>
    </row>
    <row r="285" spans="1:46" s="2" customFormat="1" ht="17.25" customHeight="1" thickBot="1" x14ac:dyDescent="0.25">
      <c r="A285" s="24"/>
      <c r="B285" s="216"/>
      <c r="C285" s="217"/>
      <c r="D285" s="83"/>
      <c r="E285" s="81"/>
      <c r="F285" s="81"/>
      <c r="G285" s="81"/>
      <c r="H285" s="81"/>
      <c r="I285" s="81"/>
      <c r="J285" s="81"/>
      <c r="K285" s="37"/>
      <c r="L285" s="93"/>
      <c r="M285" s="81"/>
      <c r="N285" s="37"/>
      <c r="O285" s="93"/>
      <c r="P285" s="81"/>
      <c r="Q285" s="40"/>
      <c r="R285" s="40"/>
      <c r="S285" s="39"/>
      <c r="T285" s="16"/>
      <c r="U285" s="16"/>
      <c r="V285" s="16"/>
      <c r="W285" s="16"/>
      <c r="X285" s="16"/>
      <c r="Y285" s="19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41"/>
      <c r="AQ285" s="10"/>
      <c r="AR285" s="11"/>
    </row>
    <row r="286" spans="1:46" s="4" customFormat="1" ht="17.25" customHeight="1" x14ac:dyDescent="0.25">
      <c r="A286" s="23"/>
      <c r="B286" s="210" t="s">
        <v>94</v>
      </c>
      <c r="C286" s="203"/>
      <c r="D286" s="66"/>
      <c r="E286" s="66"/>
      <c r="F286" s="117"/>
      <c r="G286" s="117"/>
      <c r="H286" s="66"/>
      <c r="I286" s="66"/>
      <c r="J286" s="66">
        <f>-M286</f>
        <v>7208.55</v>
      </c>
      <c r="K286" s="58">
        <v>-1245</v>
      </c>
      <c r="L286" s="89">
        <v>5.79</v>
      </c>
      <c r="M286" s="73">
        <f>K286*L286</f>
        <v>-7208.55</v>
      </c>
      <c r="N286" s="58"/>
      <c r="O286" s="89"/>
      <c r="P286" s="73"/>
      <c r="Q286" s="39"/>
      <c r="R286" s="39"/>
      <c r="S286" s="8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35"/>
      <c r="AP286" s="12" t="e">
        <f>#REF!</f>
        <v>#REF!</v>
      </c>
    </row>
    <row r="287" spans="1:46" s="4" customFormat="1" ht="17.25" customHeight="1" x14ac:dyDescent="0.25">
      <c r="A287" s="23"/>
      <c r="B287" s="201" t="s">
        <v>95</v>
      </c>
      <c r="C287" s="202"/>
      <c r="D287" s="64"/>
      <c r="E287" s="64"/>
      <c r="F287" s="117"/>
      <c r="G287" s="117"/>
      <c r="H287" s="64"/>
      <c r="I287" s="64"/>
      <c r="J287" s="64">
        <f>-P287</f>
        <v>8770.06</v>
      </c>
      <c r="K287" s="57"/>
      <c r="L287" s="88"/>
      <c r="M287" s="62"/>
      <c r="N287" s="57">
        <v>-2314</v>
      </c>
      <c r="O287" s="88">
        <v>3.79</v>
      </c>
      <c r="P287" s="62">
        <f>N287*O287</f>
        <v>-8770.06</v>
      </c>
      <c r="Q287" s="39"/>
      <c r="R287" s="39"/>
      <c r="S287" s="8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35"/>
      <c r="AP287" s="12" t="e">
        <f>#REF!</f>
        <v>#REF!</v>
      </c>
    </row>
    <row r="288" spans="1:46" s="4" customFormat="1" ht="17.25" customHeight="1" x14ac:dyDescent="0.25">
      <c r="A288" s="23"/>
      <c r="B288" s="201" t="s">
        <v>97</v>
      </c>
      <c r="C288" s="203"/>
      <c r="D288" s="64"/>
      <c r="E288" s="64"/>
      <c r="F288" s="64"/>
      <c r="G288" s="64"/>
      <c r="H288" s="64">
        <f>-J288-I288</f>
        <v>4936.8900000000012</v>
      </c>
      <c r="I288" s="64">
        <v>11041.72</v>
      </c>
      <c r="J288" s="64">
        <f>-SUM(J286:J287)</f>
        <v>-15978.61</v>
      </c>
      <c r="K288" s="57"/>
      <c r="L288" s="88"/>
      <c r="M288" s="62"/>
      <c r="N288" s="57"/>
      <c r="O288" s="88"/>
      <c r="P288" s="62"/>
      <c r="Q288" s="39"/>
      <c r="R288" s="39"/>
      <c r="S288" s="39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22"/>
      <c r="AO288" s="43">
        <f>A254</f>
        <v>0</v>
      </c>
      <c r="AP288" s="12" t="e">
        <f>#REF!</f>
        <v>#REF!</v>
      </c>
      <c r="AT288" s="2"/>
    </row>
    <row r="289" spans="1:46" s="4" customFormat="1" ht="17.25" customHeight="1" x14ac:dyDescent="0.25">
      <c r="A289" s="23"/>
      <c r="B289" s="201" t="s">
        <v>93</v>
      </c>
      <c r="C289" s="202"/>
      <c r="D289" s="64"/>
      <c r="E289" s="64"/>
      <c r="F289" s="64"/>
      <c r="G289" s="64"/>
      <c r="H289" s="64"/>
      <c r="I289" s="64"/>
      <c r="J289" s="64"/>
      <c r="K289" s="57">
        <v>-79</v>
      </c>
      <c r="L289" s="88"/>
      <c r="M289" s="118">
        <f>(K292*L282)-M282-M286</f>
        <v>619.09353351955087</v>
      </c>
      <c r="N289" s="57">
        <v>-31</v>
      </c>
      <c r="O289" s="88"/>
      <c r="P289" s="118">
        <f>(N292*O282)-P282-P287</f>
        <v>488.58306236233511</v>
      </c>
      <c r="Q289" s="39"/>
      <c r="R289" s="39"/>
      <c r="S289" s="39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22"/>
      <c r="AO289" s="43">
        <f>A276</f>
        <v>0</v>
      </c>
      <c r="AP289" s="12" t="e">
        <f>#REF!</f>
        <v>#REF!</v>
      </c>
      <c r="AT289" s="2"/>
    </row>
    <row r="290" spans="1:46" s="2" customFormat="1" ht="17.25" customHeight="1" x14ac:dyDescent="0.2">
      <c r="A290" s="24"/>
      <c r="B290" s="201"/>
      <c r="C290" s="204"/>
      <c r="D290" s="63"/>
      <c r="E290" s="64"/>
      <c r="F290" s="64"/>
      <c r="G290" s="64"/>
      <c r="H290" s="64"/>
      <c r="I290" s="64"/>
      <c r="J290" s="64"/>
      <c r="K290" s="16"/>
      <c r="L290" s="16"/>
      <c r="M290" s="64"/>
      <c r="N290" s="16"/>
      <c r="O290" s="16"/>
      <c r="P290" s="64"/>
      <c r="Q290" s="46"/>
      <c r="R290" s="46"/>
      <c r="S290" s="39"/>
      <c r="T290" s="16"/>
      <c r="U290" s="16"/>
      <c r="V290" s="16"/>
      <c r="W290" s="16"/>
      <c r="X290" s="16"/>
      <c r="Y290" s="19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43">
        <f>A283</f>
        <v>45920</v>
      </c>
      <c r="AQ290" s="10"/>
      <c r="AR290" s="11"/>
    </row>
    <row r="291" spans="1:46" s="2" customFormat="1" ht="17.25" customHeight="1" thickBot="1" x14ac:dyDescent="0.3">
      <c r="A291" s="56"/>
      <c r="B291" s="101" t="s">
        <v>102</v>
      </c>
      <c r="C291" s="102">
        <f>D292+E292+F292+G292+H292+I292+J292+M292+P292</f>
        <v>80980.179999999978</v>
      </c>
      <c r="D291" s="84"/>
      <c r="E291" s="85"/>
      <c r="F291" s="85"/>
      <c r="G291" s="85"/>
      <c r="H291" s="85"/>
      <c r="I291" s="85"/>
      <c r="J291" s="85"/>
      <c r="K291" s="28"/>
      <c r="L291" s="28"/>
      <c r="M291" s="85"/>
      <c r="N291" s="28"/>
      <c r="O291" s="28"/>
      <c r="P291" s="85"/>
      <c r="Q291" s="48"/>
      <c r="R291" s="48"/>
      <c r="S291" s="51"/>
      <c r="T291" s="28"/>
      <c r="U291" s="28"/>
      <c r="V291" s="28"/>
      <c r="W291" s="28"/>
      <c r="X291" s="28"/>
      <c r="Y291" s="36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42">
        <f>SUM($Q282:AN291)</f>
        <v>-381747.88</v>
      </c>
      <c r="AQ291" s="10"/>
      <c r="AR291" s="11"/>
      <c r="AS291" s="2" t="s">
        <v>5</v>
      </c>
    </row>
    <row r="292" spans="1:46" s="2" customFormat="1" ht="17.25" customHeight="1" thickTop="1" thickBot="1" x14ac:dyDescent="0.3">
      <c r="A292" s="103"/>
      <c r="B292" s="104" t="s">
        <v>103</v>
      </c>
      <c r="C292" s="105">
        <f>AO292</f>
        <v>-300767.7</v>
      </c>
      <c r="D292" s="106">
        <f t="shared" ref="D292:K292" si="31">SUM(D282:D291)</f>
        <v>13505.029999999995</v>
      </c>
      <c r="E292" s="107">
        <f t="shared" si="31"/>
        <v>-34797.030000000021</v>
      </c>
      <c r="F292" s="107">
        <f t="shared" si="31"/>
        <v>102.27000000000203</v>
      </c>
      <c r="G292" s="107">
        <f t="shared" si="31"/>
        <v>-100</v>
      </c>
      <c r="H292" s="107">
        <f t="shared" si="31"/>
        <v>12031.030000000002</v>
      </c>
      <c r="I292" s="107">
        <f t="shared" si="31"/>
        <v>11041.72</v>
      </c>
      <c r="J292" s="107">
        <f t="shared" si="31"/>
        <v>0</v>
      </c>
      <c r="K292" s="108">
        <f t="shared" si="31"/>
        <v>7268</v>
      </c>
      <c r="L292" s="109">
        <f>M292/K292</f>
        <v>4.9769303797468361</v>
      </c>
      <c r="M292" s="107">
        <f>ROUND(SUM(M282:M291),2)</f>
        <v>36172.33</v>
      </c>
      <c r="N292" s="108">
        <f>SUM(N282:N291)</f>
        <v>12183</v>
      </c>
      <c r="O292" s="109">
        <f>P292/N292</f>
        <v>3.5315464171386362</v>
      </c>
      <c r="P292" s="107">
        <f>ROUND(SUM(P282:P291),2)</f>
        <v>43024.83</v>
      </c>
      <c r="Q292" s="110">
        <f t="shared" ref="Q292:AN292" si="32">SUM(Q282:Q291)</f>
        <v>-157640</v>
      </c>
      <c r="R292" s="107">
        <f t="shared" si="32"/>
        <v>8365.57</v>
      </c>
      <c r="S292" s="107">
        <f t="shared" si="32"/>
        <v>0</v>
      </c>
      <c r="T292" s="107">
        <f t="shared" si="32"/>
        <v>-16073.45</v>
      </c>
      <c r="U292" s="107">
        <f t="shared" si="32"/>
        <v>-106300</v>
      </c>
      <c r="V292" s="107">
        <f t="shared" si="32"/>
        <v>-110100</v>
      </c>
      <c r="W292" s="107">
        <f t="shared" si="32"/>
        <v>0</v>
      </c>
      <c r="X292" s="107">
        <f t="shared" si="32"/>
        <v>0</v>
      </c>
      <c r="Y292" s="107">
        <f t="shared" si="32"/>
        <v>0</v>
      </c>
      <c r="Z292" s="107">
        <f t="shared" si="32"/>
        <v>0</v>
      </c>
      <c r="AA292" s="107">
        <f t="shared" si="32"/>
        <v>0</v>
      </c>
      <c r="AB292" s="107">
        <f t="shared" si="32"/>
        <v>0</v>
      </c>
      <c r="AC292" s="107">
        <f t="shared" si="32"/>
        <v>0</v>
      </c>
      <c r="AD292" s="107">
        <f t="shared" si="32"/>
        <v>0</v>
      </c>
      <c r="AE292" s="107">
        <f t="shared" si="32"/>
        <v>0</v>
      </c>
      <c r="AF292" s="107">
        <f t="shared" si="32"/>
        <v>0</v>
      </c>
      <c r="AG292" s="107">
        <f t="shared" si="32"/>
        <v>0</v>
      </c>
      <c r="AH292" s="107">
        <f t="shared" si="32"/>
        <v>0</v>
      </c>
      <c r="AI292" s="107">
        <f t="shared" si="32"/>
        <v>0</v>
      </c>
      <c r="AJ292" s="107">
        <f t="shared" si="32"/>
        <v>0</v>
      </c>
      <c r="AK292" s="107">
        <f t="shared" si="32"/>
        <v>0</v>
      </c>
      <c r="AL292" s="107">
        <f t="shared" si="32"/>
        <v>0</v>
      </c>
      <c r="AM292" s="107">
        <f t="shared" si="32"/>
        <v>0</v>
      </c>
      <c r="AN292" s="107">
        <f t="shared" si="32"/>
        <v>0</v>
      </c>
      <c r="AO292" s="111">
        <f>D292+E292+F292+G292+H292+I292+J292+M292+P292+SUM(Q292:AN292)</f>
        <v>-300767.7</v>
      </c>
      <c r="AP292" s="4"/>
      <c r="AQ292" s="5"/>
      <c r="AR292" s="5"/>
      <c r="AS292" s="2" t="s">
        <v>6</v>
      </c>
    </row>
    <row r="293" spans="1:46" s="2" customFormat="1" ht="17.25" customHeight="1" thickTop="1" x14ac:dyDescent="0.25">
      <c r="A293" s="23">
        <f>A283+1</f>
        <v>45921</v>
      </c>
      <c r="B293" s="210" t="s">
        <v>64</v>
      </c>
      <c r="C293" s="203"/>
      <c r="D293" s="63">
        <v>10782.46</v>
      </c>
      <c r="E293" s="66"/>
      <c r="F293" s="66"/>
      <c r="G293" s="66"/>
      <c r="H293" s="66"/>
      <c r="I293" s="66">
        <f>-D293</f>
        <v>-10782.46</v>
      </c>
      <c r="J293" s="66"/>
      <c r="K293" s="18"/>
      <c r="L293" s="18"/>
      <c r="M293" s="66"/>
      <c r="N293" s="18"/>
      <c r="O293" s="18"/>
      <c r="P293" s="66"/>
      <c r="Q293" s="46"/>
      <c r="R293" s="46"/>
      <c r="S293" s="45"/>
      <c r="T293" s="18"/>
      <c r="U293" s="18"/>
      <c r="V293" s="18"/>
      <c r="W293" s="18"/>
      <c r="X293" s="18"/>
      <c r="Y293" s="14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31"/>
      <c r="AQ293" s="10"/>
      <c r="AR293" s="27"/>
    </row>
    <row r="294" spans="1:46" s="4" customFormat="1" ht="17.25" customHeight="1" x14ac:dyDescent="0.25">
      <c r="A294" s="23"/>
      <c r="B294" s="201" t="s">
        <v>96</v>
      </c>
      <c r="C294" s="202"/>
      <c r="D294" s="63"/>
      <c r="E294" s="64"/>
      <c r="F294" s="64"/>
      <c r="G294" s="64"/>
      <c r="H294" s="64"/>
      <c r="I294" s="117">
        <f>-I292-I293</f>
        <v>-259.26000000000022</v>
      </c>
      <c r="J294" s="64"/>
      <c r="K294" s="16"/>
      <c r="L294" s="92"/>
      <c r="M294" s="64"/>
      <c r="N294" s="16"/>
      <c r="O294" s="92"/>
      <c r="P294" s="64"/>
      <c r="Q294" s="40"/>
      <c r="R294" s="46"/>
      <c r="S294" s="39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22"/>
      <c r="AP294" s="30"/>
    </row>
    <row r="295" spans="1:46" s="2" customFormat="1" ht="17.25" customHeight="1" thickBot="1" x14ac:dyDescent="0.25">
      <c r="A295" s="24"/>
      <c r="B295" s="216"/>
      <c r="C295" s="217"/>
      <c r="D295" s="83"/>
      <c r="E295" s="81"/>
      <c r="F295" s="81"/>
      <c r="G295" s="81"/>
      <c r="H295" s="81"/>
      <c r="I295" s="81"/>
      <c r="J295" s="81"/>
      <c r="K295" s="37"/>
      <c r="L295" s="93"/>
      <c r="M295" s="81"/>
      <c r="N295" s="37"/>
      <c r="O295" s="93"/>
      <c r="P295" s="81"/>
      <c r="Q295" s="40"/>
      <c r="R295" s="40"/>
      <c r="S295" s="39"/>
      <c r="T295" s="16"/>
      <c r="U295" s="16"/>
      <c r="V295" s="16"/>
      <c r="W295" s="16"/>
      <c r="X295" s="16"/>
      <c r="Y295" s="19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41"/>
      <c r="AQ295" s="10"/>
      <c r="AR295" s="11"/>
    </row>
    <row r="296" spans="1:46" s="4" customFormat="1" ht="17.25" customHeight="1" x14ac:dyDescent="0.25">
      <c r="A296" s="23"/>
      <c r="B296" s="210" t="s">
        <v>94</v>
      </c>
      <c r="C296" s="203"/>
      <c r="D296" s="66"/>
      <c r="E296" s="66"/>
      <c r="F296" s="117"/>
      <c r="G296" s="117"/>
      <c r="H296" s="66"/>
      <c r="I296" s="66"/>
      <c r="J296" s="66">
        <f>-M296</f>
        <v>5616.3</v>
      </c>
      <c r="K296" s="58">
        <v>-970</v>
      </c>
      <c r="L296" s="89">
        <v>5.79</v>
      </c>
      <c r="M296" s="73">
        <f>K296*L296</f>
        <v>-5616.3</v>
      </c>
      <c r="N296" s="58"/>
      <c r="O296" s="89"/>
      <c r="P296" s="73"/>
      <c r="Q296" s="39"/>
      <c r="R296" s="39"/>
      <c r="S296" s="8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35"/>
      <c r="AP296" s="12" t="e">
        <f>#REF!</f>
        <v>#REF!</v>
      </c>
    </row>
    <row r="297" spans="1:46" s="4" customFormat="1" ht="17.25" customHeight="1" x14ac:dyDescent="0.25">
      <c r="A297" s="23"/>
      <c r="B297" s="201" t="s">
        <v>95</v>
      </c>
      <c r="C297" s="202"/>
      <c r="D297" s="64"/>
      <c r="E297" s="64"/>
      <c r="F297" s="117"/>
      <c r="G297" s="117"/>
      <c r="H297" s="64"/>
      <c r="I297" s="64"/>
      <c r="J297" s="64">
        <f>-P297</f>
        <v>5722.9</v>
      </c>
      <c r="K297" s="57"/>
      <c r="L297" s="88"/>
      <c r="M297" s="62"/>
      <c r="N297" s="57">
        <v>-1510</v>
      </c>
      <c r="O297" s="88">
        <v>3.79</v>
      </c>
      <c r="P297" s="62">
        <f>N297*O297</f>
        <v>-5722.9</v>
      </c>
      <c r="Q297" s="39"/>
      <c r="R297" s="39"/>
      <c r="S297" s="8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35"/>
      <c r="AP297" s="12" t="e">
        <f>#REF!</f>
        <v>#REF!</v>
      </c>
    </row>
    <row r="298" spans="1:46" s="4" customFormat="1" ht="17.25" customHeight="1" x14ac:dyDescent="0.25">
      <c r="A298" s="23"/>
      <c r="B298" s="201" t="s">
        <v>97</v>
      </c>
      <c r="C298" s="203"/>
      <c r="D298" s="64"/>
      <c r="E298" s="64"/>
      <c r="F298" s="64"/>
      <c r="G298" s="64"/>
      <c r="H298" s="64">
        <f>-J298-I298</f>
        <v>4431.5200000000004</v>
      </c>
      <c r="I298" s="64">
        <v>6907.68</v>
      </c>
      <c r="J298" s="64">
        <f>-SUM(J296:J297)</f>
        <v>-11339.2</v>
      </c>
      <c r="K298" s="57"/>
      <c r="L298" s="88"/>
      <c r="M298" s="62"/>
      <c r="N298" s="57"/>
      <c r="O298" s="88"/>
      <c r="P298" s="62"/>
      <c r="Q298" s="39"/>
      <c r="R298" s="39"/>
      <c r="S298" s="39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22"/>
      <c r="AO298" s="43">
        <f>A279</f>
        <v>0</v>
      </c>
      <c r="AP298" s="12" t="e">
        <f>#REF!</f>
        <v>#REF!</v>
      </c>
      <c r="AT298" s="2"/>
    </row>
    <row r="299" spans="1:46" s="4" customFormat="1" ht="17.25" customHeight="1" x14ac:dyDescent="0.25">
      <c r="A299" s="23"/>
      <c r="B299" s="201" t="s">
        <v>93</v>
      </c>
      <c r="C299" s="202"/>
      <c r="D299" s="64"/>
      <c r="E299" s="64"/>
      <c r="F299" s="64"/>
      <c r="G299" s="64"/>
      <c r="H299" s="64"/>
      <c r="I299" s="64"/>
      <c r="J299" s="64"/>
      <c r="K299" s="57">
        <v>-46</v>
      </c>
      <c r="L299" s="88"/>
      <c r="M299" s="118">
        <f>(K302*L292)-M292-M296</f>
        <v>559.73873417721643</v>
      </c>
      <c r="N299" s="57">
        <v>111</v>
      </c>
      <c r="O299" s="88"/>
      <c r="P299" s="118">
        <f>(N302*O292)-P292-P297</f>
        <v>782.26656242304853</v>
      </c>
      <c r="Q299" s="39"/>
      <c r="R299" s="39"/>
      <c r="S299" s="39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22"/>
      <c r="AO299" s="43">
        <f>A286</f>
        <v>0</v>
      </c>
      <c r="AP299" s="12" t="e">
        <f>#REF!</f>
        <v>#REF!</v>
      </c>
      <c r="AT299" s="2"/>
    </row>
    <row r="300" spans="1:46" s="2" customFormat="1" ht="17.25" customHeight="1" x14ac:dyDescent="0.2">
      <c r="A300" s="24"/>
      <c r="B300" s="201"/>
      <c r="C300" s="204"/>
      <c r="D300" s="63"/>
      <c r="E300" s="64"/>
      <c r="F300" s="64"/>
      <c r="G300" s="64"/>
      <c r="H300" s="64"/>
      <c r="I300" s="64"/>
      <c r="J300" s="64"/>
      <c r="K300" s="16"/>
      <c r="L300" s="16"/>
      <c r="M300" s="64"/>
      <c r="N300" s="16"/>
      <c r="O300" s="16"/>
      <c r="P300" s="64"/>
      <c r="Q300" s="46"/>
      <c r="R300" s="46"/>
      <c r="S300" s="39"/>
      <c r="T300" s="16"/>
      <c r="U300" s="16"/>
      <c r="V300" s="16"/>
      <c r="W300" s="16"/>
      <c r="X300" s="16"/>
      <c r="Y300" s="19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43">
        <f>A293</f>
        <v>45921</v>
      </c>
      <c r="AQ300" s="10"/>
      <c r="AR300" s="11"/>
    </row>
    <row r="301" spans="1:46" s="2" customFormat="1" ht="17.25" customHeight="1" thickBot="1" x14ac:dyDescent="0.3">
      <c r="A301" s="56"/>
      <c r="B301" s="101" t="s">
        <v>102</v>
      </c>
      <c r="C301" s="102">
        <f>D302+E302+F302+G302+H302+I302+J302+M302+P302</f>
        <v>82062.929999999978</v>
      </c>
      <c r="D301" s="84"/>
      <c r="E301" s="85"/>
      <c r="F301" s="85"/>
      <c r="G301" s="85"/>
      <c r="H301" s="85"/>
      <c r="I301" s="85"/>
      <c r="J301" s="85"/>
      <c r="K301" s="28"/>
      <c r="L301" s="28"/>
      <c r="M301" s="85"/>
      <c r="N301" s="28"/>
      <c r="O301" s="28"/>
      <c r="P301" s="85"/>
      <c r="Q301" s="48"/>
      <c r="R301" s="48"/>
      <c r="S301" s="51"/>
      <c r="T301" s="28"/>
      <c r="U301" s="28"/>
      <c r="V301" s="28"/>
      <c r="W301" s="28"/>
      <c r="X301" s="28"/>
      <c r="Y301" s="36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42">
        <f>SUM($Q292:AN301)</f>
        <v>-381747.88</v>
      </c>
      <c r="AQ301" s="10"/>
      <c r="AR301" s="11"/>
      <c r="AS301" s="2" t="s">
        <v>5</v>
      </c>
    </row>
    <row r="302" spans="1:46" s="2" customFormat="1" ht="17.25" customHeight="1" thickTop="1" thickBot="1" x14ac:dyDescent="0.3">
      <c r="A302" s="103"/>
      <c r="B302" s="104" t="s">
        <v>103</v>
      </c>
      <c r="C302" s="105">
        <f>AO302</f>
        <v>-299684.95</v>
      </c>
      <c r="D302" s="106">
        <f t="shared" ref="D302:K302" si="33">SUM(D292:D301)</f>
        <v>24287.489999999994</v>
      </c>
      <c r="E302" s="107">
        <f t="shared" si="33"/>
        <v>-34797.030000000021</v>
      </c>
      <c r="F302" s="107">
        <f t="shared" si="33"/>
        <v>102.27000000000203</v>
      </c>
      <c r="G302" s="107">
        <f t="shared" si="33"/>
        <v>-100</v>
      </c>
      <c r="H302" s="107">
        <f t="shared" si="33"/>
        <v>16462.550000000003</v>
      </c>
      <c r="I302" s="107">
        <f t="shared" si="33"/>
        <v>6907.68</v>
      </c>
      <c r="J302" s="107">
        <f t="shared" si="33"/>
        <v>0</v>
      </c>
      <c r="K302" s="108">
        <f t="shared" si="33"/>
        <v>6252</v>
      </c>
      <c r="L302" s="109">
        <f>M302/K302</f>
        <v>4.9769305822136918</v>
      </c>
      <c r="M302" s="107">
        <f>ROUND(SUM(M292:M301),2)</f>
        <v>31115.77</v>
      </c>
      <c r="N302" s="108">
        <f>SUM(N292:N301)</f>
        <v>10784</v>
      </c>
      <c r="O302" s="109">
        <f>P302/N302</f>
        <v>3.5315467359050441</v>
      </c>
      <c r="P302" s="107">
        <f>ROUND(SUM(P292:P301),2)</f>
        <v>38084.199999999997</v>
      </c>
      <c r="Q302" s="110">
        <f t="shared" ref="Q302:AN302" si="34">SUM(Q292:Q301)</f>
        <v>-157640</v>
      </c>
      <c r="R302" s="107">
        <f t="shared" si="34"/>
        <v>8365.57</v>
      </c>
      <c r="S302" s="107">
        <f t="shared" si="34"/>
        <v>0</v>
      </c>
      <c r="T302" s="107">
        <f t="shared" si="34"/>
        <v>-16073.45</v>
      </c>
      <c r="U302" s="107">
        <f t="shared" si="34"/>
        <v>-106300</v>
      </c>
      <c r="V302" s="107">
        <f t="shared" si="34"/>
        <v>-110100</v>
      </c>
      <c r="W302" s="107">
        <f t="shared" si="34"/>
        <v>0</v>
      </c>
      <c r="X302" s="107">
        <f t="shared" si="34"/>
        <v>0</v>
      </c>
      <c r="Y302" s="107">
        <f t="shared" si="34"/>
        <v>0</v>
      </c>
      <c r="Z302" s="107">
        <f t="shared" si="34"/>
        <v>0</v>
      </c>
      <c r="AA302" s="107">
        <f t="shared" si="34"/>
        <v>0</v>
      </c>
      <c r="AB302" s="107">
        <f t="shared" si="34"/>
        <v>0</v>
      </c>
      <c r="AC302" s="107">
        <f t="shared" si="34"/>
        <v>0</v>
      </c>
      <c r="AD302" s="107">
        <f t="shared" si="34"/>
        <v>0</v>
      </c>
      <c r="AE302" s="107">
        <f t="shared" si="34"/>
        <v>0</v>
      </c>
      <c r="AF302" s="107">
        <f t="shared" si="34"/>
        <v>0</v>
      </c>
      <c r="AG302" s="107">
        <f t="shared" si="34"/>
        <v>0</v>
      </c>
      <c r="AH302" s="107">
        <f t="shared" si="34"/>
        <v>0</v>
      </c>
      <c r="AI302" s="107">
        <f t="shared" si="34"/>
        <v>0</v>
      </c>
      <c r="AJ302" s="107">
        <f t="shared" si="34"/>
        <v>0</v>
      </c>
      <c r="AK302" s="107">
        <f t="shared" si="34"/>
        <v>0</v>
      </c>
      <c r="AL302" s="107">
        <f t="shared" si="34"/>
        <v>0</v>
      </c>
      <c r="AM302" s="107">
        <f t="shared" si="34"/>
        <v>0</v>
      </c>
      <c r="AN302" s="107">
        <f t="shared" si="34"/>
        <v>0</v>
      </c>
      <c r="AO302" s="111">
        <f>D302+E302+F302+G302+H302+I302+J302+M302+P302+SUM(Q302:AN302)</f>
        <v>-299684.95</v>
      </c>
      <c r="AP302" s="4"/>
      <c r="AQ302" s="5"/>
      <c r="AR302" s="5"/>
      <c r="AS302" s="2" t="s">
        <v>6</v>
      </c>
    </row>
    <row r="303" spans="1:46" s="2" customFormat="1" ht="17.25" customHeight="1" thickTop="1" x14ac:dyDescent="0.25">
      <c r="A303" s="23">
        <f>A293+1</f>
        <v>45922</v>
      </c>
      <c r="B303" s="210" t="s">
        <v>64</v>
      </c>
      <c r="C303" s="203"/>
      <c r="D303" s="63">
        <v>6740.24</v>
      </c>
      <c r="E303" s="66"/>
      <c r="F303" s="66"/>
      <c r="G303" s="66"/>
      <c r="H303" s="66"/>
      <c r="I303" s="66">
        <f>-D303</f>
        <v>-6740.24</v>
      </c>
      <c r="J303" s="66"/>
      <c r="K303" s="18"/>
      <c r="L303" s="18"/>
      <c r="M303" s="66"/>
      <c r="N303" s="18"/>
      <c r="O303" s="18"/>
      <c r="P303" s="66"/>
      <c r="Q303" s="46"/>
      <c r="R303" s="46"/>
      <c r="S303" s="45"/>
      <c r="T303" s="18"/>
      <c r="U303" s="18"/>
      <c r="V303" s="18"/>
      <c r="W303" s="18"/>
      <c r="X303" s="18"/>
      <c r="Y303" s="14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31"/>
      <c r="AQ303" s="10"/>
      <c r="AR303" s="27"/>
    </row>
    <row r="304" spans="1:46" s="4" customFormat="1" ht="17.25" customHeight="1" x14ac:dyDescent="0.25">
      <c r="A304" s="23"/>
      <c r="B304" s="201" t="s">
        <v>96</v>
      </c>
      <c r="C304" s="202"/>
      <c r="D304" s="63"/>
      <c r="E304" s="64"/>
      <c r="F304" s="64"/>
      <c r="G304" s="64"/>
      <c r="H304" s="64"/>
      <c r="I304" s="117">
        <f>-I302-I303</f>
        <v>-167.44000000000051</v>
      </c>
      <c r="J304" s="64"/>
      <c r="K304" s="16"/>
      <c r="L304" s="92"/>
      <c r="M304" s="64"/>
      <c r="N304" s="16"/>
      <c r="O304" s="92"/>
      <c r="P304" s="64"/>
      <c r="Q304" s="40"/>
      <c r="R304" s="46"/>
      <c r="S304" s="39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22"/>
      <c r="AP304" s="30"/>
    </row>
    <row r="305" spans="1:44" s="2" customFormat="1" ht="17.25" customHeight="1" x14ac:dyDescent="0.2">
      <c r="A305" s="23"/>
      <c r="B305" s="201" t="s">
        <v>81</v>
      </c>
      <c r="C305" s="203"/>
      <c r="D305" s="64">
        <v>300</v>
      </c>
      <c r="E305" s="64"/>
      <c r="F305" s="74">
        <v>-300</v>
      </c>
      <c r="G305" s="74"/>
      <c r="H305" s="64"/>
      <c r="I305" s="64"/>
      <c r="J305" s="64"/>
      <c r="K305" s="16"/>
      <c r="L305" s="16"/>
      <c r="M305" s="64"/>
      <c r="N305" s="16"/>
      <c r="O305" s="16"/>
      <c r="P305" s="64"/>
      <c r="Q305" s="46"/>
      <c r="R305" s="39"/>
      <c r="S305" s="40"/>
      <c r="T305" s="16"/>
      <c r="U305" s="16"/>
      <c r="V305" s="16"/>
      <c r="W305" s="16"/>
      <c r="X305" s="16"/>
      <c r="Y305" s="19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35"/>
      <c r="AQ305" s="10"/>
      <c r="AR305" s="27"/>
    </row>
    <row r="306" spans="1:44" s="2" customFormat="1" ht="17.25" customHeight="1" x14ac:dyDescent="0.2">
      <c r="A306" s="23"/>
      <c r="B306" s="201" t="s">
        <v>165</v>
      </c>
      <c r="C306" s="203"/>
      <c r="D306" s="64">
        <v>-309.60000000000002</v>
      </c>
      <c r="E306" s="64"/>
      <c r="F306" s="74"/>
      <c r="G306" s="74"/>
      <c r="H306" s="64"/>
      <c r="I306" s="64"/>
      <c r="J306" s="64"/>
      <c r="K306" s="16"/>
      <c r="L306" s="16"/>
      <c r="M306" s="64"/>
      <c r="N306" s="16"/>
      <c r="O306" s="16"/>
      <c r="P306" s="64"/>
      <c r="Q306" s="46"/>
      <c r="R306" s="39"/>
      <c r="S306" s="40"/>
      <c r="T306" s="16"/>
      <c r="U306" s="16"/>
      <c r="V306" s="16"/>
      <c r="W306" s="16"/>
      <c r="X306" s="16"/>
      <c r="Y306" s="19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35"/>
      <c r="AQ306" s="10"/>
      <c r="AR306" s="27"/>
    </row>
    <row r="307" spans="1:44" s="2" customFormat="1" ht="17.25" customHeight="1" x14ac:dyDescent="0.2">
      <c r="A307" s="23"/>
      <c r="B307" s="208" t="s">
        <v>13</v>
      </c>
      <c r="C307" s="209"/>
      <c r="D307" s="63"/>
      <c r="E307" s="64">
        <f>29+50+10+50+58+20+16.1+25+13+150+30+50+20+20+40+50+50+50+100+150+110+5+50+50+22.96+18+20+19.75+50+50+11+166+50+20+50+231.48+123+60+30+90+100+76+60+50+30+20+9.5+20+50+100+50+10+50+70+50+30+12.67+20+20+20+50+50+100+100+50+30+30+50+52.44</f>
        <v>3568.9</v>
      </c>
      <c r="F307" s="74"/>
      <c r="G307" s="74"/>
      <c r="H307" s="64">
        <f>-E307</f>
        <v>-3568.9</v>
      </c>
      <c r="I307" s="64"/>
      <c r="J307" s="64"/>
      <c r="K307" s="16"/>
      <c r="L307" s="16"/>
      <c r="M307" s="64"/>
      <c r="N307" s="16"/>
      <c r="O307" s="16"/>
      <c r="P307" s="64"/>
      <c r="Q307" s="46"/>
      <c r="R307" s="39"/>
      <c r="S307" s="40"/>
      <c r="T307" s="16"/>
      <c r="U307" s="16"/>
      <c r="V307" s="16"/>
      <c r="W307" s="16"/>
      <c r="X307" s="16"/>
      <c r="Y307" s="19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35"/>
      <c r="AQ307" s="10"/>
      <c r="AR307" s="27"/>
    </row>
    <row r="308" spans="1:44" s="2" customFormat="1" ht="17.25" customHeight="1" x14ac:dyDescent="0.2">
      <c r="A308" s="23"/>
      <c r="B308" s="201" t="s">
        <v>43</v>
      </c>
      <c r="C308" s="203"/>
      <c r="D308" s="63"/>
      <c r="E308" s="64">
        <f>2000+2000+2000+2000+2000</f>
        <v>10000</v>
      </c>
      <c r="F308" s="74"/>
      <c r="G308" s="74"/>
      <c r="H308" s="64">
        <f>-E308</f>
        <v>-10000</v>
      </c>
      <c r="I308" s="64"/>
      <c r="J308" s="64"/>
      <c r="K308" s="16"/>
      <c r="L308" s="16"/>
      <c r="M308" s="64"/>
      <c r="N308" s="16"/>
      <c r="O308" s="16"/>
      <c r="P308" s="64"/>
      <c r="Q308" s="46"/>
      <c r="R308" s="39"/>
      <c r="S308" s="40"/>
      <c r="T308" s="16"/>
      <c r="U308" s="16"/>
      <c r="V308" s="16"/>
      <c r="W308" s="16"/>
      <c r="X308" s="16"/>
      <c r="Y308" s="19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35"/>
      <c r="AQ308" s="10"/>
      <c r="AR308" s="27"/>
    </row>
    <row r="309" spans="1:44" s="2" customFormat="1" ht="17.25" customHeight="1" x14ac:dyDescent="0.2">
      <c r="A309" s="23"/>
      <c r="B309" s="201" t="s">
        <v>154</v>
      </c>
      <c r="C309" s="203"/>
      <c r="D309" s="63"/>
      <c r="E309" s="64">
        <f>1687.88+704</f>
        <v>2391.88</v>
      </c>
      <c r="F309" s="74"/>
      <c r="G309" s="74"/>
      <c r="H309" s="64">
        <f>-E309</f>
        <v>-2391.88</v>
      </c>
      <c r="I309" s="64"/>
      <c r="J309" s="64"/>
      <c r="K309" s="16"/>
      <c r="L309" s="16"/>
      <c r="M309" s="64"/>
      <c r="N309" s="16"/>
      <c r="O309" s="16"/>
      <c r="P309" s="64"/>
      <c r="Q309" s="46"/>
      <c r="R309" s="39"/>
      <c r="S309" s="40"/>
      <c r="T309" s="16"/>
      <c r="U309" s="16"/>
      <c r="V309" s="16"/>
      <c r="W309" s="16"/>
      <c r="X309" s="16"/>
      <c r="Y309" s="19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35"/>
      <c r="AQ309" s="10"/>
      <c r="AR309" s="27"/>
    </row>
    <row r="310" spans="1:44" s="2" customFormat="1" ht="17.25" customHeight="1" x14ac:dyDescent="0.2">
      <c r="A310" s="23"/>
      <c r="B310" s="201" t="s">
        <v>166</v>
      </c>
      <c r="C310" s="203"/>
      <c r="D310" s="63"/>
      <c r="E310" s="64">
        <v>-1639.97</v>
      </c>
      <c r="F310" s="74"/>
      <c r="G310" s="74"/>
      <c r="H310" s="64"/>
      <c r="I310" s="64"/>
      <c r="J310" s="64"/>
      <c r="K310" s="16"/>
      <c r="L310" s="16"/>
      <c r="M310" s="64"/>
      <c r="N310" s="16"/>
      <c r="O310" s="16"/>
      <c r="P310" s="64"/>
      <c r="Q310" s="46"/>
      <c r="R310" s="39"/>
      <c r="S310" s="40"/>
      <c r="T310" s="16"/>
      <c r="U310" s="16"/>
      <c r="V310" s="16"/>
      <c r="W310" s="16"/>
      <c r="X310" s="16"/>
      <c r="Y310" s="19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35"/>
      <c r="AQ310" s="10"/>
      <c r="AR310" s="27"/>
    </row>
    <row r="311" spans="1:44" s="2" customFormat="1" ht="17.25" customHeight="1" x14ac:dyDescent="0.2">
      <c r="A311" s="23"/>
      <c r="B311" s="211" t="s">
        <v>128</v>
      </c>
      <c r="C311" s="206"/>
      <c r="D311" s="63"/>
      <c r="E311" s="64">
        <v>-8825</v>
      </c>
      <c r="F311" s="74"/>
      <c r="G311" s="74"/>
      <c r="H311" s="64"/>
      <c r="I311" s="64"/>
      <c r="J311" s="64"/>
      <c r="K311" s="16"/>
      <c r="L311" s="16"/>
      <c r="M311" s="64"/>
      <c r="N311" s="16"/>
      <c r="O311" s="16"/>
      <c r="P311" s="64"/>
      <c r="Q311" s="46"/>
      <c r="R311" s="39"/>
      <c r="S311" s="40"/>
      <c r="T311" s="16"/>
      <c r="U311" s="20">
        <f>-E311</f>
        <v>8825</v>
      </c>
      <c r="V311" s="16"/>
      <c r="W311" s="16"/>
      <c r="X311" s="16"/>
      <c r="Y311" s="19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35"/>
      <c r="AQ311" s="10"/>
      <c r="AR311" s="27"/>
    </row>
    <row r="312" spans="1:44" s="2" customFormat="1" ht="17.25" customHeight="1" x14ac:dyDescent="0.2">
      <c r="A312" s="23"/>
      <c r="B312" s="211" t="s">
        <v>129</v>
      </c>
      <c r="C312" s="206"/>
      <c r="D312" s="63"/>
      <c r="E312" s="64">
        <v>-8825</v>
      </c>
      <c r="F312" s="74"/>
      <c r="G312" s="74"/>
      <c r="H312" s="64"/>
      <c r="I312" s="64"/>
      <c r="J312" s="64"/>
      <c r="K312" s="16"/>
      <c r="L312" s="16"/>
      <c r="M312" s="64"/>
      <c r="N312" s="16"/>
      <c r="O312" s="16"/>
      <c r="P312" s="64"/>
      <c r="Q312" s="46"/>
      <c r="R312" s="39"/>
      <c r="S312" s="40"/>
      <c r="T312" s="16"/>
      <c r="U312" s="20">
        <f>-E312</f>
        <v>8825</v>
      </c>
      <c r="V312" s="16"/>
      <c r="W312" s="16"/>
      <c r="X312" s="16"/>
      <c r="Y312" s="19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35"/>
      <c r="AQ312" s="10"/>
      <c r="AR312" s="27"/>
    </row>
    <row r="313" spans="1:44" s="2" customFormat="1" ht="17.25" customHeight="1" x14ac:dyDescent="0.2">
      <c r="A313" s="23"/>
      <c r="B313" s="201" t="s">
        <v>54</v>
      </c>
      <c r="C313" s="202"/>
      <c r="D313" s="63"/>
      <c r="E313" s="64">
        <v>-160</v>
      </c>
      <c r="F313" s="74"/>
      <c r="G313" s="74"/>
      <c r="H313" s="64"/>
      <c r="I313" s="64"/>
      <c r="J313" s="64"/>
      <c r="K313" s="16"/>
      <c r="L313" s="16"/>
      <c r="M313" s="64"/>
      <c r="N313" s="16"/>
      <c r="O313" s="16"/>
      <c r="P313" s="64"/>
      <c r="Q313" s="46"/>
      <c r="R313" s="39"/>
      <c r="S313" s="40"/>
      <c r="T313" s="16"/>
      <c r="U313" s="16"/>
      <c r="V313" s="16"/>
      <c r="W313" s="16"/>
      <c r="X313" s="16"/>
      <c r="Y313" s="19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35"/>
      <c r="AQ313" s="10"/>
      <c r="AR313" s="27"/>
    </row>
    <row r="314" spans="1:44" s="2" customFormat="1" ht="17.25" customHeight="1" x14ac:dyDescent="0.2">
      <c r="A314" s="23"/>
      <c r="B314" s="201" t="s">
        <v>55</v>
      </c>
      <c r="C314" s="203"/>
      <c r="D314" s="63"/>
      <c r="E314" s="64">
        <v>-64</v>
      </c>
      <c r="F314" s="74"/>
      <c r="G314" s="74"/>
      <c r="H314" s="64"/>
      <c r="I314" s="64"/>
      <c r="J314" s="64"/>
      <c r="K314" s="16"/>
      <c r="L314" s="16"/>
      <c r="M314" s="64"/>
      <c r="N314" s="16"/>
      <c r="O314" s="16"/>
      <c r="P314" s="64"/>
      <c r="Q314" s="46"/>
      <c r="R314" s="39"/>
      <c r="S314" s="40"/>
      <c r="T314" s="16"/>
      <c r="U314" s="16"/>
      <c r="V314" s="16"/>
      <c r="W314" s="16"/>
      <c r="X314" s="16"/>
      <c r="Y314" s="19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35"/>
      <c r="AQ314" s="10"/>
      <c r="AR314" s="27"/>
    </row>
    <row r="315" spans="1:44" s="2" customFormat="1" ht="17.25" customHeight="1" x14ac:dyDescent="0.2">
      <c r="A315" s="23"/>
      <c r="B315" s="201" t="s">
        <v>72</v>
      </c>
      <c r="C315" s="203"/>
      <c r="D315" s="63">
        <v>-31000</v>
      </c>
      <c r="E315" s="64"/>
      <c r="F315" s="74">
        <f>-D315</f>
        <v>31000</v>
      </c>
      <c r="G315" s="74"/>
      <c r="H315" s="64"/>
      <c r="I315" s="64"/>
      <c r="J315" s="64"/>
      <c r="K315" s="16"/>
      <c r="L315" s="16"/>
      <c r="M315" s="64"/>
      <c r="N315" s="16"/>
      <c r="O315" s="16"/>
      <c r="P315" s="64"/>
      <c r="Q315" s="46"/>
      <c r="R315" s="39"/>
      <c r="S315" s="40"/>
      <c r="T315" s="16"/>
      <c r="U315" s="16"/>
      <c r="V315" s="16"/>
      <c r="W315" s="16"/>
      <c r="X315" s="16"/>
      <c r="Y315" s="19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35"/>
      <c r="AQ315" s="10"/>
      <c r="AR315" s="27"/>
    </row>
    <row r="316" spans="1:44" s="2" customFormat="1" ht="17.25" customHeight="1" x14ac:dyDescent="0.2">
      <c r="A316" s="24"/>
      <c r="B316" s="211" t="s">
        <v>126</v>
      </c>
      <c r="C316" s="206"/>
      <c r="D316" s="63"/>
      <c r="E316" s="64"/>
      <c r="F316" s="64">
        <v>-11798.82</v>
      </c>
      <c r="G316" s="64"/>
      <c r="H316" s="64"/>
      <c r="I316" s="64"/>
      <c r="J316" s="64"/>
      <c r="K316" s="16"/>
      <c r="L316" s="16"/>
      <c r="M316" s="64"/>
      <c r="N316" s="16"/>
      <c r="O316" s="16"/>
      <c r="P316" s="64"/>
      <c r="Q316" s="40"/>
      <c r="R316" s="40"/>
      <c r="S316" s="39"/>
      <c r="T316" s="16"/>
      <c r="U316" s="20">
        <f>-F316</f>
        <v>11798.82</v>
      </c>
      <c r="V316" s="16"/>
      <c r="W316" s="16"/>
      <c r="X316" s="16"/>
      <c r="Y316" s="19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41"/>
      <c r="AQ316" s="10"/>
      <c r="AR316" s="11"/>
    </row>
    <row r="317" spans="1:44" s="2" customFormat="1" ht="17.25" customHeight="1" x14ac:dyDescent="0.2">
      <c r="A317" s="24"/>
      <c r="B317" s="211" t="s">
        <v>127</v>
      </c>
      <c r="C317" s="206"/>
      <c r="D317" s="63"/>
      <c r="E317" s="64"/>
      <c r="F317" s="64">
        <v>-11798.82</v>
      </c>
      <c r="G317" s="64"/>
      <c r="H317" s="64"/>
      <c r="I317" s="64"/>
      <c r="J317" s="64"/>
      <c r="K317" s="16"/>
      <c r="L317" s="16"/>
      <c r="M317" s="64"/>
      <c r="N317" s="16"/>
      <c r="O317" s="16"/>
      <c r="P317" s="64"/>
      <c r="Q317" s="40"/>
      <c r="R317" s="40"/>
      <c r="S317" s="39"/>
      <c r="T317" s="16"/>
      <c r="U317" s="20">
        <f>-F317</f>
        <v>11798.82</v>
      </c>
      <c r="V317" s="16"/>
      <c r="W317" s="16"/>
      <c r="X317" s="16"/>
      <c r="Y317" s="19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41"/>
      <c r="AQ317" s="10"/>
      <c r="AR317" s="11"/>
    </row>
    <row r="318" spans="1:44" s="2" customFormat="1" ht="17.25" customHeight="1" x14ac:dyDescent="0.2">
      <c r="A318" s="23"/>
      <c r="B318" s="201" t="s">
        <v>130</v>
      </c>
      <c r="C318" s="204"/>
      <c r="D318" s="63"/>
      <c r="E318" s="64"/>
      <c r="F318" s="74">
        <v>-2000</v>
      </c>
      <c r="G318" s="74">
        <f>-F318</f>
        <v>2000</v>
      </c>
      <c r="H318" s="64"/>
      <c r="I318" s="64"/>
      <c r="J318" s="64"/>
      <c r="K318" s="16"/>
      <c r="L318" s="16"/>
      <c r="M318" s="64"/>
      <c r="N318" s="16"/>
      <c r="O318" s="16"/>
      <c r="P318" s="64"/>
      <c r="Q318" s="46"/>
      <c r="R318" s="39"/>
      <c r="S318" s="40"/>
      <c r="T318" s="16"/>
      <c r="U318" s="16"/>
      <c r="V318" s="16"/>
      <c r="W318" s="16"/>
      <c r="X318" s="16"/>
      <c r="Y318" s="19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35"/>
      <c r="AQ318" s="10"/>
      <c r="AR318" s="27"/>
    </row>
    <row r="319" spans="1:44" s="2" customFormat="1" ht="17.25" customHeight="1" x14ac:dyDescent="0.2">
      <c r="A319" s="23"/>
      <c r="B319" s="201" t="s">
        <v>131</v>
      </c>
      <c r="C319" s="204"/>
      <c r="D319" s="63"/>
      <c r="E319" s="64"/>
      <c r="F319" s="74">
        <v>-236.75</v>
      </c>
      <c r="G319" s="74"/>
      <c r="H319" s="64"/>
      <c r="I319" s="64"/>
      <c r="J319" s="64"/>
      <c r="K319" s="16"/>
      <c r="L319" s="16"/>
      <c r="M319" s="64"/>
      <c r="N319" s="16"/>
      <c r="O319" s="16"/>
      <c r="P319" s="64"/>
      <c r="Q319" s="46"/>
      <c r="R319" s="39"/>
      <c r="S319" s="40"/>
      <c r="T319" s="16"/>
      <c r="U319" s="16"/>
      <c r="V319" s="16"/>
      <c r="W319" s="16"/>
      <c r="X319" s="16"/>
      <c r="Y319" s="19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35"/>
      <c r="AQ319" s="10"/>
      <c r="AR319" s="27"/>
    </row>
    <row r="320" spans="1:44" s="2" customFormat="1" ht="17.25" customHeight="1" x14ac:dyDescent="0.2">
      <c r="A320" s="23"/>
      <c r="B320" s="201" t="s">
        <v>132</v>
      </c>
      <c r="C320" s="204"/>
      <c r="D320" s="63"/>
      <c r="E320" s="64"/>
      <c r="F320" s="74">
        <v>-767.77</v>
      </c>
      <c r="G320" s="74"/>
      <c r="H320" s="64"/>
      <c r="I320" s="64"/>
      <c r="J320" s="64"/>
      <c r="K320" s="16"/>
      <c r="L320" s="16"/>
      <c r="M320" s="64"/>
      <c r="N320" s="16"/>
      <c r="O320" s="16"/>
      <c r="P320" s="64"/>
      <c r="Q320" s="46"/>
      <c r="R320" s="39"/>
      <c r="S320" s="40"/>
      <c r="T320" s="16"/>
      <c r="U320" s="16"/>
      <c r="V320" s="16"/>
      <c r="W320" s="16"/>
      <c r="X320" s="16"/>
      <c r="Y320" s="19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35"/>
      <c r="AQ320" s="10"/>
      <c r="AR320" s="27"/>
    </row>
    <row r="321" spans="1:46" s="2" customFormat="1" ht="17.25" customHeight="1" thickBot="1" x14ac:dyDescent="0.25">
      <c r="A321" s="24"/>
      <c r="B321" s="216"/>
      <c r="C321" s="217"/>
      <c r="D321" s="83"/>
      <c r="E321" s="81"/>
      <c r="F321" s="81"/>
      <c r="G321" s="81"/>
      <c r="H321" s="81"/>
      <c r="I321" s="81"/>
      <c r="J321" s="81"/>
      <c r="K321" s="37"/>
      <c r="L321" s="93"/>
      <c r="M321" s="81"/>
      <c r="N321" s="37"/>
      <c r="O321" s="93"/>
      <c r="P321" s="81"/>
      <c r="Q321" s="40"/>
      <c r="R321" s="40"/>
      <c r="S321" s="39"/>
      <c r="T321" s="16"/>
      <c r="U321" s="16"/>
      <c r="V321" s="16"/>
      <c r="W321" s="16"/>
      <c r="X321" s="16"/>
      <c r="Y321" s="19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41"/>
      <c r="AQ321" s="10"/>
      <c r="AR321" s="11"/>
    </row>
    <row r="322" spans="1:46" s="4" customFormat="1" ht="17.25" customHeight="1" x14ac:dyDescent="0.25">
      <c r="A322" s="23"/>
      <c r="B322" s="210" t="s">
        <v>94</v>
      </c>
      <c r="C322" s="203"/>
      <c r="D322" s="66"/>
      <c r="E322" s="66"/>
      <c r="F322" s="117"/>
      <c r="G322" s="117"/>
      <c r="H322" s="66"/>
      <c r="I322" s="66"/>
      <c r="J322" s="66">
        <f>-M322</f>
        <v>7191.18</v>
      </c>
      <c r="K322" s="58">
        <v>-1242</v>
      </c>
      <c r="L322" s="89">
        <v>5.79</v>
      </c>
      <c r="M322" s="73">
        <f>K322*L322</f>
        <v>-7191.18</v>
      </c>
      <c r="N322" s="58"/>
      <c r="O322" s="89"/>
      <c r="P322" s="73"/>
      <c r="Q322" s="39"/>
      <c r="R322" s="39"/>
      <c r="S322" s="8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35"/>
      <c r="AP322" s="12" t="e">
        <f>#REF!</f>
        <v>#REF!</v>
      </c>
    </row>
    <row r="323" spans="1:46" s="4" customFormat="1" ht="17.25" customHeight="1" x14ac:dyDescent="0.25">
      <c r="A323" s="23"/>
      <c r="B323" s="201" t="s">
        <v>95</v>
      </c>
      <c r="C323" s="202"/>
      <c r="D323" s="64"/>
      <c r="E323" s="64"/>
      <c r="F323" s="117"/>
      <c r="G323" s="117"/>
      <c r="H323" s="64"/>
      <c r="I323" s="64"/>
      <c r="J323" s="64">
        <f>-P323</f>
        <v>8550.24</v>
      </c>
      <c r="K323" s="57"/>
      <c r="L323" s="88"/>
      <c r="M323" s="62"/>
      <c r="N323" s="57">
        <v>-2256</v>
      </c>
      <c r="O323" s="88">
        <v>3.79</v>
      </c>
      <c r="P323" s="62">
        <f>N323*O323</f>
        <v>-8550.24</v>
      </c>
      <c r="Q323" s="39"/>
      <c r="R323" s="39"/>
      <c r="S323" s="8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35"/>
      <c r="AP323" s="12" t="e">
        <f>#REF!</f>
        <v>#REF!</v>
      </c>
    </row>
    <row r="324" spans="1:46" s="4" customFormat="1" ht="17.25" customHeight="1" x14ac:dyDescent="0.25">
      <c r="A324" s="23"/>
      <c r="B324" s="201" t="s">
        <v>97</v>
      </c>
      <c r="C324" s="203"/>
      <c r="D324" s="64"/>
      <c r="E324" s="64"/>
      <c r="F324" s="64"/>
      <c r="G324" s="64"/>
      <c r="H324" s="64">
        <f>-J324-I324</f>
        <v>6127.25</v>
      </c>
      <c r="I324" s="64">
        <v>9614.17</v>
      </c>
      <c r="J324" s="64">
        <f>-SUM(J322:J323)</f>
        <v>-15741.42</v>
      </c>
      <c r="K324" s="57"/>
      <c r="L324" s="88"/>
      <c r="M324" s="62"/>
      <c r="N324" s="57"/>
      <c r="O324" s="88"/>
      <c r="P324" s="62"/>
      <c r="Q324" s="39"/>
      <c r="R324" s="39"/>
      <c r="S324" s="39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22"/>
      <c r="AO324" s="43">
        <f>A289</f>
        <v>0</v>
      </c>
      <c r="AP324" s="12" t="e">
        <f>#REF!</f>
        <v>#REF!</v>
      </c>
      <c r="AT324" s="2"/>
    </row>
    <row r="325" spans="1:46" s="4" customFormat="1" ht="17.25" customHeight="1" x14ac:dyDescent="0.25">
      <c r="A325" s="23"/>
      <c r="B325" s="201" t="s">
        <v>93</v>
      </c>
      <c r="C325" s="202"/>
      <c r="D325" s="64"/>
      <c r="E325" s="64"/>
      <c r="F325" s="64"/>
      <c r="G325" s="64"/>
      <c r="H325" s="64"/>
      <c r="I325" s="64"/>
      <c r="J325" s="64"/>
      <c r="K325" s="57">
        <v>-11</v>
      </c>
      <c r="L325" s="88"/>
      <c r="M325" s="118">
        <f>(K328*L302)-M302-M322</f>
        <v>955.08598048624481</v>
      </c>
      <c r="N325" s="57">
        <v>-40</v>
      </c>
      <c r="O325" s="88"/>
      <c r="P325" s="118">
        <f>(N328*O302)-P302-P323</f>
        <v>441.80869436201647</v>
      </c>
      <c r="Q325" s="39"/>
      <c r="R325" s="39"/>
      <c r="S325" s="39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22"/>
      <c r="AO325" s="43">
        <f>A296</f>
        <v>0</v>
      </c>
      <c r="AP325" s="12" t="e">
        <f>#REF!</f>
        <v>#REF!</v>
      </c>
      <c r="AT325" s="2"/>
    </row>
    <row r="326" spans="1:46" s="2" customFormat="1" ht="17.25" customHeight="1" x14ac:dyDescent="0.2">
      <c r="A326" s="24"/>
      <c r="B326" s="201"/>
      <c r="C326" s="204"/>
      <c r="D326" s="63"/>
      <c r="E326" s="64"/>
      <c r="F326" s="64"/>
      <c r="G326" s="64"/>
      <c r="H326" s="64"/>
      <c r="I326" s="64"/>
      <c r="J326" s="64"/>
      <c r="K326" s="16"/>
      <c r="L326" s="16"/>
      <c r="M326" s="64"/>
      <c r="N326" s="16"/>
      <c r="O326" s="16"/>
      <c r="P326" s="64"/>
      <c r="Q326" s="46"/>
      <c r="R326" s="46"/>
      <c r="S326" s="39"/>
      <c r="T326" s="16"/>
      <c r="U326" s="16"/>
      <c r="V326" s="16"/>
      <c r="W326" s="16"/>
      <c r="X326" s="16"/>
      <c r="Y326" s="19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43">
        <f>A303</f>
        <v>45922</v>
      </c>
      <c r="AQ326" s="10"/>
      <c r="AR326" s="11"/>
    </row>
    <row r="327" spans="1:46" s="2" customFormat="1" ht="17.25" customHeight="1" thickBot="1" x14ac:dyDescent="0.3">
      <c r="A327" s="56"/>
      <c r="B327" s="101" t="s">
        <v>102</v>
      </c>
      <c r="C327" s="102">
        <f>D328+E328+F328+G328+H328+I328+J328+M328+P328</f>
        <v>38866.659999999989</v>
      </c>
      <c r="D327" s="84"/>
      <c r="E327" s="85"/>
      <c r="F327" s="85"/>
      <c r="G327" s="85"/>
      <c r="H327" s="85"/>
      <c r="I327" s="85"/>
      <c r="J327" s="85"/>
      <c r="K327" s="28"/>
      <c r="L327" s="28"/>
      <c r="M327" s="85"/>
      <c r="N327" s="28"/>
      <c r="O327" s="28"/>
      <c r="P327" s="85"/>
      <c r="Q327" s="48"/>
      <c r="R327" s="48"/>
      <c r="S327" s="51"/>
      <c r="T327" s="28"/>
      <c r="U327" s="28"/>
      <c r="V327" s="28"/>
      <c r="W327" s="28"/>
      <c r="X327" s="28"/>
      <c r="Y327" s="36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42">
        <f>SUM($Q302:AN327)</f>
        <v>-340500.24</v>
      </c>
      <c r="AQ327" s="10"/>
      <c r="AR327" s="11"/>
      <c r="AS327" s="2" t="s">
        <v>5</v>
      </c>
    </row>
    <row r="328" spans="1:46" s="2" customFormat="1" ht="17.25" customHeight="1" thickTop="1" thickBot="1" x14ac:dyDescent="0.3">
      <c r="A328" s="103"/>
      <c r="B328" s="104" t="s">
        <v>103</v>
      </c>
      <c r="C328" s="105">
        <f>AO328</f>
        <v>-301633.58</v>
      </c>
      <c r="D328" s="106">
        <f t="shared" ref="D328:K328" si="35">SUM(D302:D327)</f>
        <v>18.129999999997381</v>
      </c>
      <c r="E328" s="107">
        <f t="shared" si="35"/>
        <v>-38350.220000000016</v>
      </c>
      <c r="F328" s="107">
        <f t="shared" si="35"/>
        <v>4200.1100000000006</v>
      </c>
      <c r="G328" s="107">
        <f t="shared" si="35"/>
        <v>1900</v>
      </c>
      <c r="H328" s="107">
        <f t="shared" si="35"/>
        <v>6629.0200000000032</v>
      </c>
      <c r="I328" s="107">
        <f t="shared" si="35"/>
        <v>9614.17</v>
      </c>
      <c r="J328" s="107">
        <f t="shared" si="35"/>
        <v>0</v>
      </c>
      <c r="K328" s="108">
        <f t="shared" si="35"/>
        <v>4999</v>
      </c>
      <c r="L328" s="109">
        <f>M328/K328</f>
        <v>4.976931386277256</v>
      </c>
      <c r="M328" s="107">
        <f>ROUND(SUM(M302:M327),2)</f>
        <v>24879.68</v>
      </c>
      <c r="N328" s="108">
        <f>SUM(N302:N327)</f>
        <v>8488</v>
      </c>
      <c r="O328" s="109">
        <f>P328/N328</f>
        <v>3.5315468897266729</v>
      </c>
      <c r="P328" s="107">
        <f>ROUND(SUM(P302:P327),2)</f>
        <v>29975.77</v>
      </c>
      <c r="Q328" s="110">
        <f t="shared" ref="Q328:AN328" si="36">SUM(Q302:Q327)</f>
        <v>-157640</v>
      </c>
      <c r="R328" s="107">
        <f t="shared" si="36"/>
        <v>8365.57</v>
      </c>
      <c r="S328" s="107">
        <f t="shared" si="36"/>
        <v>0</v>
      </c>
      <c r="T328" s="107">
        <f t="shared" si="36"/>
        <v>-16073.45</v>
      </c>
      <c r="U328" s="107">
        <f t="shared" si="36"/>
        <v>-65052.359999999993</v>
      </c>
      <c r="V328" s="107">
        <f t="shared" si="36"/>
        <v>-110100</v>
      </c>
      <c r="W328" s="107">
        <f t="shared" si="36"/>
        <v>0</v>
      </c>
      <c r="X328" s="107">
        <f t="shared" si="36"/>
        <v>0</v>
      </c>
      <c r="Y328" s="107">
        <f t="shared" si="36"/>
        <v>0</v>
      </c>
      <c r="Z328" s="107">
        <f t="shared" si="36"/>
        <v>0</v>
      </c>
      <c r="AA328" s="107">
        <f t="shared" si="36"/>
        <v>0</v>
      </c>
      <c r="AB328" s="107">
        <f t="shared" si="36"/>
        <v>0</v>
      </c>
      <c r="AC328" s="107">
        <f t="shared" si="36"/>
        <v>0</v>
      </c>
      <c r="AD328" s="107">
        <f t="shared" si="36"/>
        <v>0</v>
      </c>
      <c r="AE328" s="107">
        <f t="shared" si="36"/>
        <v>0</v>
      </c>
      <c r="AF328" s="107">
        <f t="shared" si="36"/>
        <v>0</v>
      </c>
      <c r="AG328" s="107">
        <f t="shared" si="36"/>
        <v>0</v>
      </c>
      <c r="AH328" s="107">
        <f t="shared" si="36"/>
        <v>0</v>
      </c>
      <c r="AI328" s="107">
        <f t="shared" si="36"/>
        <v>0</v>
      </c>
      <c r="AJ328" s="107">
        <f t="shared" si="36"/>
        <v>0</v>
      </c>
      <c r="AK328" s="107">
        <f t="shared" si="36"/>
        <v>0</v>
      </c>
      <c r="AL328" s="107">
        <f t="shared" si="36"/>
        <v>0</v>
      </c>
      <c r="AM328" s="107">
        <f t="shared" si="36"/>
        <v>0</v>
      </c>
      <c r="AN328" s="107">
        <f t="shared" si="36"/>
        <v>0</v>
      </c>
      <c r="AO328" s="111">
        <f>D328+E328+F328+G328+H328+I328+J328+M328+P328+SUM(Q328:AN328)</f>
        <v>-301633.58</v>
      </c>
      <c r="AP328" s="4"/>
      <c r="AQ328" s="5"/>
      <c r="AR328" s="5"/>
      <c r="AS328" s="2" t="s">
        <v>6</v>
      </c>
    </row>
    <row r="329" spans="1:46" s="2" customFormat="1" ht="17.25" customHeight="1" thickTop="1" x14ac:dyDescent="0.25">
      <c r="A329" s="23">
        <f>A303+1</f>
        <v>45923</v>
      </c>
      <c r="B329" s="210" t="s">
        <v>64</v>
      </c>
      <c r="C329" s="203"/>
      <c r="D329" s="63">
        <v>9409.5499999999993</v>
      </c>
      <c r="E329" s="66"/>
      <c r="F329" s="66"/>
      <c r="G329" s="66"/>
      <c r="H329" s="66"/>
      <c r="I329" s="66">
        <f>-D329</f>
        <v>-9409.5499999999993</v>
      </c>
      <c r="J329" s="66"/>
      <c r="K329" s="18"/>
      <c r="L329" s="18"/>
      <c r="M329" s="66"/>
      <c r="N329" s="18"/>
      <c r="O329" s="18"/>
      <c r="P329" s="66"/>
      <c r="Q329" s="46"/>
      <c r="R329" s="46"/>
      <c r="S329" s="45"/>
      <c r="T329" s="18"/>
      <c r="U329" s="18"/>
      <c r="V329" s="18"/>
      <c r="W329" s="18"/>
      <c r="X329" s="18"/>
      <c r="Y329" s="14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31"/>
      <c r="AQ329" s="10"/>
      <c r="AR329" s="27"/>
    </row>
    <row r="330" spans="1:46" s="4" customFormat="1" ht="17.25" customHeight="1" x14ac:dyDescent="0.25">
      <c r="A330" s="23"/>
      <c r="B330" s="201" t="s">
        <v>96</v>
      </c>
      <c r="C330" s="202"/>
      <c r="D330" s="63"/>
      <c r="E330" s="64"/>
      <c r="F330" s="64"/>
      <c r="G330" s="64"/>
      <c r="H330" s="64"/>
      <c r="I330" s="117">
        <f>-I328-I329</f>
        <v>-204.6200000000008</v>
      </c>
      <c r="J330" s="64"/>
      <c r="K330" s="16"/>
      <c r="L330" s="92"/>
      <c r="M330" s="64"/>
      <c r="N330" s="16"/>
      <c r="O330" s="92"/>
      <c r="P330" s="64"/>
      <c r="Q330" s="40"/>
      <c r="R330" s="46"/>
      <c r="S330" s="39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22"/>
      <c r="AP330" s="30"/>
    </row>
    <row r="331" spans="1:46" s="2" customFormat="1" ht="17.25" customHeight="1" x14ac:dyDescent="0.2">
      <c r="A331" s="23"/>
      <c r="B331" s="201" t="s">
        <v>72</v>
      </c>
      <c r="C331" s="203"/>
      <c r="D331" s="63">
        <v>-9400</v>
      </c>
      <c r="E331" s="64"/>
      <c r="F331" s="74">
        <f>-D331</f>
        <v>9400</v>
      </c>
      <c r="G331" s="74"/>
      <c r="H331" s="64"/>
      <c r="I331" s="64"/>
      <c r="J331" s="64"/>
      <c r="K331" s="16"/>
      <c r="L331" s="16"/>
      <c r="M331" s="64"/>
      <c r="N331" s="16"/>
      <c r="O331" s="16"/>
      <c r="P331" s="64"/>
      <c r="Q331" s="46"/>
      <c r="R331" s="39"/>
      <c r="S331" s="40"/>
      <c r="T331" s="16"/>
      <c r="U331" s="16"/>
      <c r="V331" s="16"/>
      <c r="W331" s="16"/>
      <c r="X331" s="16"/>
      <c r="Y331" s="19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35"/>
      <c r="AQ331" s="10"/>
      <c r="AR331" s="27"/>
    </row>
    <row r="332" spans="1:46" s="2" customFormat="1" ht="17.25" customHeight="1" x14ac:dyDescent="0.2">
      <c r="A332" s="23"/>
      <c r="B332" s="201" t="s">
        <v>79</v>
      </c>
      <c r="C332" s="203"/>
      <c r="D332" s="63">
        <v>48800</v>
      </c>
      <c r="E332" s="64"/>
      <c r="F332" s="74"/>
      <c r="G332" s="74"/>
      <c r="H332" s="64"/>
      <c r="I332" s="64"/>
      <c r="J332" s="64"/>
      <c r="K332" s="16"/>
      <c r="L332" s="16"/>
      <c r="M332" s="64"/>
      <c r="N332" s="16"/>
      <c r="O332" s="16"/>
      <c r="P332" s="64"/>
      <c r="Q332" s="46">
        <f>-D332</f>
        <v>-48800</v>
      </c>
      <c r="R332" s="39"/>
      <c r="S332" s="40"/>
      <c r="T332" s="16"/>
      <c r="U332" s="16"/>
      <c r="V332" s="16"/>
      <c r="W332" s="16"/>
      <c r="X332" s="16"/>
      <c r="Y332" s="19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35"/>
      <c r="AQ332" s="10"/>
      <c r="AR332" s="27"/>
    </row>
    <row r="333" spans="1:46" s="2" customFormat="1" ht="17.25" customHeight="1" x14ac:dyDescent="0.2">
      <c r="A333" s="23"/>
      <c r="B333" s="201" t="s">
        <v>80</v>
      </c>
      <c r="C333" s="203"/>
      <c r="D333" s="63">
        <v>-390.4</v>
      </c>
      <c r="E333" s="64"/>
      <c r="F333" s="74"/>
      <c r="G333" s="74"/>
      <c r="H333" s="64"/>
      <c r="I333" s="64"/>
      <c r="J333" s="64"/>
      <c r="K333" s="16"/>
      <c r="L333" s="16"/>
      <c r="M333" s="64"/>
      <c r="N333" s="16"/>
      <c r="O333" s="16"/>
      <c r="P333" s="64"/>
      <c r="Q333" s="46"/>
      <c r="R333" s="39"/>
      <c r="S333" s="40"/>
      <c r="T333" s="16"/>
      <c r="U333" s="16"/>
      <c r="V333" s="16"/>
      <c r="W333" s="16"/>
      <c r="X333" s="16"/>
      <c r="Y333" s="19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35"/>
      <c r="AQ333" s="10"/>
      <c r="AR333" s="27"/>
    </row>
    <row r="334" spans="1:46" s="2" customFormat="1" ht="17.25" customHeight="1" x14ac:dyDescent="0.25">
      <c r="A334" s="24"/>
      <c r="B334" s="205" t="s">
        <v>135</v>
      </c>
      <c r="C334" s="206"/>
      <c r="D334" s="64">
        <v>-48800</v>
      </c>
      <c r="E334" s="64"/>
      <c r="F334" s="64"/>
      <c r="G334" s="64"/>
      <c r="H334" s="64"/>
      <c r="I334" s="64"/>
      <c r="J334" s="64"/>
      <c r="K334" s="57">
        <v>10000</v>
      </c>
      <c r="L334" s="88">
        <v>4.88</v>
      </c>
      <c r="M334" s="62">
        <f>K334*L334</f>
        <v>48800</v>
      </c>
      <c r="N334" s="57"/>
      <c r="O334" s="88"/>
      <c r="P334" s="62"/>
      <c r="Q334" s="39"/>
      <c r="R334" s="39"/>
      <c r="S334" s="39"/>
      <c r="T334" s="16"/>
      <c r="U334" s="16">
        <f>-P334</f>
        <v>0</v>
      </c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22"/>
      <c r="AQ334" s="10"/>
      <c r="AR334" s="11"/>
    </row>
    <row r="335" spans="1:46" s="2" customFormat="1" ht="17.25" customHeight="1" x14ac:dyDescent="0.2">
      <c r="A335" s="23"/>
      <c r="B335" s="205" t="s">
        <v>201</v>
      </c>
      <c r="C335" s="206"/>
      <c r="D335" s="64"/>
      <c r="E335" s="64"/>
      <c r="F335" s="74"/>
      <c r="G335" s="74"/>
      <c r="H335" s="64"/>
      <c r="I335" s="64"/>
      <c r="J335" s="64"/>
      <c r="K335" s="16"/>
      <c r="L335" s="16"/>
      <c r="M335" s="64"/>
      <c r="N335" s="57">
        <v>10000</v>
      </c>
      <c r="O335" s="88">
        <v>3.55</v>
      </c>
      <c r="P335" s="62">
        <f>N335*O335</f>
        <v>35500</v>
      </c>
      <c r="Q335" s="46">
        <f>-P335</f>
        <v>-35500</v>
      </c>
      <c r="R335" s="39"/>
      <c r="S335" s="40"/>
      <c r="T335" s="16"/>
      <c r="U335" s="16"/>
      <c r="V335" s="16"/>
      <c r="W335" s="16"/>
      <c r="X335" s="16"/>
      <c r="Y335" s="19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35"/>
      <c r="AQ335" s="10"/>
      <c r="AR335" s="27"/>
    </row>
    <row r="336" spans="1:46" s="2" customFormat="1" ht="17.25" customHeight="1" x14ac:dyDescent="0.2">
      <c r="A336" s="23"/>
      <c r="B336" s="201" t="s">
        <v>67</v>
      </c>
      <c r="C336" s="203"/>
      <c r="D336" s="64">
        <v>-4.9000000000000004</v>
      </c>
      <c r="E336" s="64"/>
      <c r="F336" s="74"/>
      <c r="G336" s="74"/>
      <c r="H336" s="64"/>
      <c r="I336" s="64"/>
      <c r="J336" s="64"/>
      <c r="K336" s="16"/>
      <c r="L336" s="16"/>
      <c r="M336" s="64"/>
      <c r="N336" s="16"/>
      <c r="O336" s="16"/>
      <c r="P336" s="64"/>
      <c r="Q336" s="46"/>
      <c r="R336" s="39"/>
      <c r="S336" s="40"/>
      <c r="T336" s="16"/>
      <c r="U336" s="16"/>
      <c r="V336" s="16"/>
      <c r="W336" s="16"/>
      <c r="X336" s="16"/>
      <c r="Y336" s="19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35"/>
      <c r="AQ336" s="10"/>
      <c r="AR336" s="27"/>
    </row>
    <row r="337" spans="1:46" s="2" customFormat="1" ht="17.25" customHeight="1" x14ac:dyDescent="0.2">
      <c r="A337" s="23"/>
      <c r="B337" s="201" t="s">
        <v>153</v>
      </c>
      <c r="C337" s="203"/>
      <c r="D337" s="64">
        <v>400</v>
      </c>
      <c r="E337" s="64">
        <v>-400</v>
      </c>
      <c r="F337" s="74"/>
      <c r="G337" s="74"/>
      <c r="H337" s="64"/>
      <c r="I337" s="64"/>
      <c r="J337" s="64"/>
      <c r="K337" s="16"/>
      <c r="L337" s="16"/>
      <c r="M337" s="64"/>
      <c r="N337" s="16"/>
      <c r="O337" s="16"/>
      <c r="P337" s="64"/>
      <c r="Q337" s="46"/>
      <c r="R337" s="39"/>
      <c r="S337" s="40"/>
      <c r="T337" s="16"/>
      <c r="U337" s="16"/>
      <c r="V337" s="16"/>
      <c r="W337" s="16"/>
      <c r="X337" s="16"/>
      <c r="Y337" s="19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35"/>
      <c r="AQ337" s="10"/>
      <c r="AR337" s="27"/>
    </row>
    <row r="338" spans="1:46" s="2" customFormat="1" ht="17.25" customHeight="1" x14ac:dyDescent="0.2">
      <c r="A338" s="23"/>
      <c r="B338" s="201" t="s">
        <v>80</v>
      </c>
      <c r="C338" s="203"/>
      <c r="D338" s="64">
        <v>-3.2</v>
      </c>
      <c r="E338" s="64"/>
      <c r="F338" s="74"/>
      <c r="G338" s="74"/>
      <c r="H338" s="64"/>
      <c r="I338" s="64"/>
      <c r="J338" s="64"/>
      <c r="K338" s="16"/>
      <c r="L338" s="16"/>
      <c r="M338" s="64"/>
      <c r="N338" s="16"/>
      <c r="O338" s="16"/>
      <c r="P338" s="64"/>
      <c r="Q338" s="46"/>
      <c r="R338" s="39"/>
      <c r="S338" s="40"/>
      <c r="T338" s="16"/>
      <c r="U338" s="16"/>
      <c r="V338" s="16"/>
      <c r="W338" s="16"/>
      <c r="X338" s="16"/>
      <c r="Y338" s="19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35"/>
      <c r="AQ338" s="10"/>
      <c r="AR338" s="27"/>
    </row>
    <row r="339" spans="1:46" s="2" customFormat="1" ht="17.25" customHeight="1" x14ac:dyDescent="0.2">
      <c r="A339" s="23"/>
      <c r="B339" s="208" t="s">
        <v>13</v>
      </c>
      <c r="C339" s="209"/>
      <c r="D339" s="63"/>
      <c r="E339" s="64">
        <f>133.5+35+50+20+60+100+50+5+125+100+10+20+3+30+100+84+30+100+10+30+12+20+100+70+50+215+60</f>
        <v>1622.5</v>
      </c>
      <c r="F339" s="74"/>
      <c r="G339" s="74"/>
      <c r="H339" s="64">
        <f>-E339</f>
        <v>-1622.5</v>
      </c>
      <c r="I339" s="64"/>
      <c r="J339" s="64"/>
      <c r="K339" s="16"/>
      <c r="L339" s="16"/>
      <c r="M339" s="64"/>
      <c r="N339" s="16"/>
      <c r="O339" s="16"/>
      <c r="P339" s="64"/>
      <c r="Q339" s="46"/>
      <c r="R339" s="39"/>
      <c r="S339" s="40"/>
      <c r="T339" s="16"/>
      <c r="U339" s="16"/>
      <c r="V339" s="16"/>
      <c r="W339" s="16"/>
      <c r="X339" s="16"/>
      <c r="Y339" s="19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35"/>
      <c r="AQ339" s="10"/>
      <c r="AR339" s="27"/>
    </row>
    <row r="340" spans="1:46" s="2" customFormat="1" ht="17.25" customHeight="1" x14ac:dyDescent="0.2">
      <c r="A340" s="23"/>
      <c r="B340" s="201" t="s">
        <v>56</v>
      </c>
      <c r="C340" s="203"/>
      <c r="D340" s="63"/>
      <c r="E340" s="64">
        <v>860</v>
      </c>
      <c r="F340" s="74"/>
      <c r="G340" s="74"/>
      <c r="H340" s="64">
        <f>-E340</f>
        <v>-860</v>
      </c>
      <c r="I340" s="64"/>
      <c r="J340" s="64"/>
      <c r="K340" s="16"/>
      <c r="L340" s="16"/>
      <c r="M340" s="64"/>
      <c r="N340" s="16"/>
      <c r="O340" s="16"/>
      <c r="P340" s="64"/>
      <c r="Q340" s="46"/>
      <c r="R340" s="39"/>
      <c r="S340" s="40"/>
      <c r="T340" s="16"/>
      <c r="U340" s="16"/>
      <c r="V340" s="16"/>
      <c r="W340" s="16"/>
      <c r="X340" s="16"/>
      <c r="Y340" s="19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35"/>
      <c r="AQ340" s="10"/>
      <c r="AR340" s="27"/>
    </row>
    <row r="341" spans="1:46" s="2" customFormat="1" ht="17.25" customHeight="1" x14ac:dyDescent="0.2">
      <c r="A341" s="24"/>
      <c r="B341" s="211" t="s">
        <v>136</v>
      </c>
      <c r="C341" s="206"/>
      <c r="D341" s="63"/>
      <c r="E341" s="64"/>
      <c r="F341" s="64">
        <v>-11802.36</v>
      </c>
      <c r="G341" s="64"/>
      <c r="H341" s="64"/>
      <c r="I341" s="64"/>
      <c r="J341" s="64"/>
      <c r="K341" s="16"/>
      <c r="L341" s="16"/>
      <c r="M341" s="64"/>
      <c r="N341" s="16"/>
      <c r="O341" s="16"/>
      <c r="P341" s="64"/>
      <c r="Q341" s="40"/>
      <c r="R341" s="40"/>
      <c r="S341" s="39"/>
      <c r="T341" s="16"/>
      <c r="U341" s="20">
        <f>-F341</f>
        <v>11802.36</v>
      </c>
      <c r="V341" s="16"/>
      <c r="W341" s="16"/>
      <c r="X341" s="16"/>
      <c r="Y341" s="19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41"/>
      <c r="AQ341" s="10"/>
      <c r="AR341" s="11"/>
    </row>
    <row r="342" spans="1:46" s="2" customFormat="1" ht="17.25" customHeight="1" thickBot="1" x14ac:dyDescent="0.25">
      <c r="A342" s="24"/>
      <c r="B342" s="216"/>
      <c r="C342" s="217"/>
      <c r="D342" s="83"/>
      <c r="E342" s="81"/>
      <c r="F342" s="81"/>
      <c r="G342" s="81"/>
      <c r="H342" s="81"/>
      <c r="I342" s="81"/>
      <c r="J342" s="81"/>
      <c r="K342" s="37"/>
      <c r="L342" s="93"/>
      <c r="M342" s="81"/>
      <c r="N342" s="37"/>
      <c r="O342" s="93"/>
      <c r="P342" s="81"/>
      <c r="Q342" s="40"/>
      <c r="R342" s="40"/>
      <c r="S342" s="39"/>
      <c r="T342" s="16"/>
      <c r="U342" s="16"/>
      <c r="V342" s="16"/>
      <c r="W342" s="16"/>
      <c r="X342" s="16"/>
      <c r="Y342" s="19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41"/>
      <c r="AQ342" s="10"/>
      <c r="AR342" s="11"/>
    </row>
    <row r="343" spans="1:46" s="4" customFormat="1" ht="17.25" customHeight="1" x14ac:dyDescent="0.25">
      <c r="A343" s="23"/>
      <c r="B343" s="210" t="s">
        <v>94</v>
      </c>
      <c r="C343" s="203"/>
      <c r="D343" s="66"/>
      <c r="E343" s="66"/>
      <c r="F343" s="117"/>
      <c r="G343" s="117"/>
      <c r="H343" s="66"/>
      <c r="I343" s="66"/>
      <c r="J343" s="66">
        <f>-M343</f>
        <v>7330.14</v>
      </c>
      <c r="K343" s="58">
        <v>-1266</v>
      </c>
      <c r="L343" s="89">
        <v>5.79</v>
      </c>
      <c r="M343" s="73">
        <f>K343*L343</f>
        <v>-7330.14</v>
      </c>
      <c r="N343" s="58"/>
      <c r="O343" s="89"/>
      <c r="P343" s="73"/>
      <c r="Q343" s="39"/>
      <c r="R343" s="39"/>
      <c r="S343" s="8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35"/>
      <c r="AP343" s="12" t="e">
        <f>#REF!</f>
        <v>#REF!</v>
      </c>
    </row>
    <row r="344" spans="1:46" s="4" customFormat="1" ht="17.25" customHeight="1" x14ac:dyDescent="0.25">
      <c r="A344" s="23"/>
      <c r="B344" s="201" t="s">
        <v>95</v>
      </c>
      <c r="C344" s="202"/>
      <c r="D344" s="64"/>
      <c r="E344" s="64"/>
      <c r="F344" s="117"/>
      <c r="G344" s="117"/>
      <c r="H344" s="64"/>
      <c r="I344" s="64"/>
      <c r="J344" s="64">
        <f>-P344</f>
        <v>7140.36</v>
      </c>
      <c r="K344" s="57"/>
      <c r="L344" s="88"/>
      <c r="M344" s="62"/>
      <c r="N344" s="57">
        <v>-1884</v>
      </c>
      <c r="O344" s="88">
        <v>3.79</v>
      </c>
      <c r="P344" s="62">
        <f>N344*O344</f>
        <v>-7140.36</v>
      </c>
      <c r="Q344" s="39"/>
      <c r="R344" s="39"/>
      <c r="S344" s="8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35"/>
      <c r="AP344" s="12" t="e">
        <f>#REF!</f>
        <v>#REF!</v>
      </c>
    </row>
    <row r="345" spans="1:46" s="4" customFormat="1" ht="17.25" customHeight="1" x14ac:dyDescent="0.25">
      <c r="A345" s="23"/>
      <c r="B345" s="201" t="s">
        <v>97</v>
      </c>
      <c r="C345" s="203"/>
      <c r="D345" s="64"/>
      <c r="E345" s="64"/>
      <c r="F345" s="64"/>
      <c r="G345" s="64"/>
      <c r="H345" s="64">
        <f>-J345-I345</f>
        <v>4956.8099999999995</v>
      </c>
      <c r="I345" s="64">
        <v>9513.69</v>
      </c>
      <c r="J345" s="64">
        <f>-SUM(J343:J344)</f>
        <v>-14470.5</v>
      </c>
      <c r="K345" s="57"/>
      <c r="L345" s="88"/>
      <c r="M345" s="62"/>
      <c r="N345" s="57"/>
      <c r="O345" s="88"/>
      <c r="P345" s="62"/>
      <c r="Q345" s="39"/>
      <c r="R345" s="39"/>
      <c r="S345" s="39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22"/>
      <c r="AO345" s="43">
        <f>A299</f>
        <v>0</v>
      </c>
      <c r="AP345" s="12" t="e">
        <f>#REF!</f>
        <v>#REF!</v>
      </c>
      <c r="AT345" s="2"/>
    </row>
    <row r="346" spans="1:46" s="4" customFormat="1" ht="17.25" customHeight="1" x14ac:dyDescent="0.25">
      <c r="A346" s="23"/>
      <c r="B346" s="201" t="s">
        <v>93</v>
      </c>
      <c r="C346" s="202"/>
      <c r="D346" s="64"/>
      <c r="E346" s="64"/>
      <c r="F346" s="64"/>
      <c r="G346" s="64"/>
      <c r="H346" s="64"/>
      <c r="I346" s="64"/>
      <c r="J346" s="64"/>
      <c r="K346" s="57">
        <v>102</v>
      </c>
      <c r="L346" s="88"/>
      <c r="M346" s="118">
        <f>(K349*L328)-M328-M343-M334</f>
        <v>2506.3057291458317</v>
      </c>
      <c r="N346" s="57">
        <v>102</v>
      </c>
      <c r="O346" s="88"/>
      <c r="P346" s="118">
        <f>(N349*O328)-P328-P344-P335</f>
        <v>662.61233977379015</v>
      </c>
      <c r="Q346" s="39"/>
      <c r="R346" s="39"/>
      <c r="S346" s="39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22"/>
      <c r="AO346" s="43">
        <f>A322</f>
        <v>0</v>
      </c>
      <c r="AP346" s="12" t="e">
        <f>#REF!</f>
        <v>#REF!</v>
      </c>
      <c r="AT346" s="2"/>
    </row>
    <row r="347" spans="1:46" s="2" customFormat="1" ht="17.25" customHeight="1" x14ac:dyDescent="0.2">
      <c r="A347" s="24"/>
      <c r="B347" s="201"/>
      <c r="C347" s="204"/>
      <c r="D347" s="63"/>
      <c r="E347" s="64"/>
      <c r="F347" s="64"/>
      <c r="G347" s="64"/>
      <c r="H347" s="64"/>
      <c r="I347" s="64"/>
      <c r="J347" s="64"/>
      <c r="K347" s="16"/>
      <c r="L347" s="16"/>
      <c r="M347" s="64"/>
      <c r="N347" s="16"/>
      <c r="O347" s="16"/>
      <c r="P347" s="64"/>
      <c r="Q347" s="46"/>
      <c r="R347" s="46"/>
      <c r="S347" s="39"/>
      <c r="T347" s="16"/>
      <c r="U347" s="16"/>
      <c r="V347" s="16"/>
      <c r="W347" s="16"/>
      <c r="X347" s="16"/>
      <c r="Y347" s="19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43">
        <f>A329</f>
        <v>45923</v>
      </c>
      <c r="AQ347" s="10"/>
      <c r="AR347" s="11"/>
    </row>
    <row r="348" spans="1:46" s="2" customFormat="1" ht="17.25" customHeight="1" thickBot="1" x14ac:dyDescent="0.3">
      <c r="A348" s="56"/>
      <c r="B348" s="101" t="s">
        <v>102</v>
      </c>
      <c r="C348" s="102">
        <f>D349+E349+F349+G349+H349+I349+J349+M349+P349</f>
        <v>113930.09999999998</v>
      </c>
      <c r="D348" s="84"/>
      <c r="E348" s="85"/>
      <c r="F348" s="85"/>
      <c r="G348" s="85"/>
      <c r="H348" s="85"/>
      <c r="I348" s="85"/>
      <c r="J348" s="85"/>
      <c r="K348" s="28"/>
      <c r="L348" s="28"/>
      <c r="M348" s="85"/>
      <c r="N348" s="28"/>
      <c r="O348" s="28"/>
      <c r="P348" s="85"/>
      <c r="Q348" s="48"/>
      <c r="R348" s="48"/>
      <c r="S348" s="51"/>
      <c r="T348" s="28"/>
      <c r="U348" s="28"/>
      <c r="V348" s="28"/>
      <c r="W348" s="28"/>
      <c r="X348" s="28"/>
      <c r="Y348" s="36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42">
        <f>SUM($Q328:AN348)</f>
        <v>-412997.88</v>
      </c>
      <c r="AQ348" s="10"/>
      <c r="AR348" s="11"/>
      <c r="AS348" s="2" t="s">
        <v>5</v>
      </c>
    </row>
    <row r="349" spans="1:46" s="2" customFormat="1" ht="17.25" customHeight="1" thickTop="1" thickBot="1" x14ac:dyDescent="0.3">
      <c r="A349" s="103"/>
      <c r="B349" s="104" t="s">
        <v>103</v>
      </c>
      <c r="C349" s="105">
        <f>AO349</f>
        <v>-299067.78000000003</v>
      </c>
      <c r="D349" s="106">
        <f t="shared" ref="D349:K349" si="37">SUM(D328:D348)</f>
        <v>29.179999999991583</v>
      </c>
      <c r="E349" s="107">
        <f t="shared" si="37"/>
        <v>-36267.720000000016</v>
      </c>
      <c r="F349" s="107">
        <f t="shared" si="37"/>
        <v>1797.75</v>
      </c>
      <c r="G349" s="107">
        <f t="shared" si="37"/>
        <v>1900</v>
      </c>
      <c r="H349" s="107">
        <f t="shared" si="37"/>
        <v>9103.3300000000017</v>
      </c>
      <c r="I349" s="107">
        <f t="shared" si="37"/>
        <v>9513.69</v>
      </c>
      <c r="J349" s="107">
        <f t="shared" si="37"/>
        <v>0</v>
      </c>
      <c r="K349" s="108">
        <f t="shared" si="37"/>
        <v>13835</v>
      </c>
      <c r="L349" s="109">
        <f>M349/K349</f>
        <v>4.9769316949765097</v>
      </c>
      <c r="M349" s="107">
        <f>ROUND(SUM(M328:M348),2)</f>
        <v>68855.850000000006</v>
      </c>
      <c r="N349" s="108">
        <f>SUM(N328:N348)</f>
        <v>16706</v>
      </c>
      <c r="O349" s="109">
        <f>P349/N349</f>
        <v>3.5315467496707766</v>
      </c>
      <c r="P349" s="107">
        <f>ROUND(SUM(P328:P348),2)</f>
        <v>58998.02</v>
      </c>
      <c r="Q349" s="110">
        <f t="shared" ref="Q349:AN349" si="38">SUM(Q328:Q348)</f>
        <v>-241940</v>
      </c>
      <c r="R349" s="107">
        <f t="shared" si="38"/>
        <v>8365.57</v>
      </c>
      <c r="S349" s="107">
        <f t="shared" si="38"/>
        <v>0</v>
      </c>
      <c r="T349" s="107">
        <f t="shared" si="38"/>
        <v>-16073.45</v>
      </c>
      <c r="U349" s="107">
        <f t="shared" si="38"/>
        <v>-53249.999999999993</v>
      </c>
      <c r="V349" s="107">
        <f t="shared" si="38"/>
        <v>-110100</v>
      </c>
      <c r="W349" s="107">
        <f t="shared" si="38"/>
        <v>0</v>
      </c>
      <c r="X349" s="107">
        <f t="shared" si="38"/>
        <v>0</v>
      </c>
      <c r="Y349" s="107">
        <f t="shared" si="38"/>
        <v>0</v>
      </c>
      <c r="Z349" s="107">
        <f t="shared" si="38"/>
        <v>0</v>
      </c>
      <c r="AA349" s="107">
        <f t="shared" si="38"/>
        <v>0</v>
      </c>
      <c r="AB349" s="107">
        <f t="shared" si="38"/>
        <v>0</v>
      </c>
      <c r="AC349" s="107">
        <f t="shared" si="38"/>
        <v>0</v>
      </c>
      <c r="AD349" s="107">
        <f t="shared" si="38"/>
        <v>0</v>
      </c>
      <c r="AE349" s="107">
        <f t="shared" si="38"/>
        <v>0</v>
      </c>
      <c r="AF349" s="107">
        <f t="shared" si="38"/>
        <v>0</v>
      </c>
      <c r="AG349" s="107">
        <f t="shared" si="38"/>
        <v>0</v>
      </c>
      <c r="AH349" s="107">
        <f t="shared" si="38"/>
        <v>0</v>
      </c>
      <c r="AI349" s="107">
        <f t="shared" si="38"/>
        <v>0</v>
      </c>
      <c r="AJ349" s="107">
        <f t="shared" si="38"/>
        <v>0</v>
      </c>
      <c r="AK349" s="107">
        <f t="shared" si="38"/>
        <v>0</v>
      </c>
      <c r="AL349" s="107">
        <f t="shared" si="38"/>
        <v>0</v>
      </c>
      <c r="AM349" s="107">
        <f t="shared" si="38"/>
        <v>0</v>
      </c>
      <c r="AN349" s="107">
        <f t="shared" si="38"/>
        <v>0</v>
      </c>
      <c r="AO349" s="111">
        <f>D349+E349+F349+G349+H349+I349+J349+M349+P349+SUM(Q349:AN349)</f>
        <v>-299067.78000000003</v>
      </c>
      <c r="AP349" s="4"/>
      <c r="AQ349" s="5"/>
      <c r="AR349" s="5"/>
      <c r="AS349" s="2" t="s">
        <v>6</v>
      </c>
    </row>
    <row r="350" spans="1:46" s="2" customFormat="1" ht="17.25" customHeight="1" thickTop="1" x14ac:dyDescent="0.25">
      <c r="A350" s="23">
        <f>A329+1</f>
        <v>45924</v>
      </c>
      <c r="B350" s="210" t="s">
        <v>64</v>
      </c>
      <c r="C350" s="203"/>
      <c r="D350" s="63">
        <v>9271.9</v>
      </c>
      <c r="E350" s="66"/>
      <c r="F350" s="66"/>
      <c r="G350" s="66"/>
      <c r="H350" s="66"/>
      <c r="I350" s="66">
        <f>-D350</f>
        <v>-9271.9</v>
      </c>
      <c r="J350" s="66"/>
      <c r="K350" s="18"/>
      <c r="L350" s="18"/>
      <c r="M350" s="66"/>
      <c r="N350" s="18"/>
      <c r="O350" s="18"/>
      <c r="P350" s="66"/>
      <c r="Q350" s="46"/>
      <c r="R350" s="46"/>
      <c r="S350" s="45"/>
      <c r="T350" s="18"/>
      <c r="U350" s="18"/>
      <c r="V350" s="18"/>
      <c r="W350" s="18"/>
      <c r="X350" s="18"/>
      <c r="Y350" s="14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31"/>
      <c r="AQ350" s="10"/>
      <c r="AR350" s="27"/>
    </row>
    <row r="351" spans="1:46" s="4" customFormat="1" ht="17.25" customHeight="1" x14ac:dyDescent="0.25">
      <c r="A351" s="23"/>
      <c r="B351" s="201" t="s">
        <v>96</v>
      </c>
      <c r="C351" s="202"/>
      <c r="D351" s="63"/>
      <c r="E351" s="64"/>
      <c r="F351" s="64"/>
      <c r="G351" s="64"/>
      <c r="H351" s="64"/>
      <c r="I351" s="117">
        <f>-I349-I350</f>
        <v>-241.79000000000087</v>
      </c>
      <c r="J351" s="64"/>
      <c r="K351" s="16"/>
      <c r="L351" s="92"/>
      <c r="M351" s="64"/>
      <c r="N351" s="16"/>
      <c r="O351" s="92"/>
      <c r="P351" s="64"/>
      <c r="Q351" s="40"/>
      <c r="R351" s="46"/>
      <c r="S351" s="39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22"/>
      <c r="AP351" s="30"/>
    </row>
    <row r="352" spans="1:46" s="2" customFormat="1" ht="17.25" customHeight="1" x14ac:dyDescent="0.2">
      <c r="A352" s="23"/>
      <c r="B352" s="208" t="s">
        <v>13</v>
      </c>
      <c r="C352" s="209"/>
      <c r="D352" s="63"/>
      <c r="E352" s="64">
        <v>1439.29</v>
      </c>
      <c r="F352" s="74"/>
      <c r="G352" s="74"/>
      <c r="H352" s="64">
        <f>-E352</f>
        <v>-1439.29</v>
      </c>
      <c r="I352" s="64"/>
      <c r="J352" s="64"/>
      <c r="K352" s="16"/>
      <c r="L352" s="16"/>
      <c r="M352" s="64"/>
      <c r="N352" s="16"/>
      <c r="O352" s="16"/>
      <c r="P352" s="64"/>
      <c r="Q352" s="46"/>
      <c r="R352" s="39"/>
      <c r="S352" s="40"/>
      <c r="T352" s="16"/>
      <c r="U352" s="16"/>
      <c r="V352" s="16"/>
      <c r="W352" s="16"/>
      <c r="X352" s="16"/>
      <c r="Y352" s="19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35"/>
      <c r="AQ352" s="10"/>
      <c r="AR352" s="27"/>
    </row>
    <row r="353" spans="1:46" s="2" customFormat="1" ht="17.25" customHeight="1" x14ac:dyDescent="0.2">
      <c r="A353" s="23"/>
      <c r="B353" s="201" t="s">
        <v>83</v>
      </c>
      <c r="C353" s="203"/>
      <c r="D353" s="63">
        <v>-9200</v>
      </c>
      <c r="E353" s="64">
        <f>-D353</f>
        <v>9200</v>
      </c>
      <c r="F353" s="74"/>
      <c r="G353" s="74"/>
      <c r="H353" s="64"/>
      <c r="I353" s="64"/>
      <c r="J353" s="64"/>
      <c r="K353" s="16"/>
      <c r="L353" s="16"/>
      <c r="M353" s="64"/>
      <c r="N353" s="16"/>
      <c r="O353" s="16"/>
      <c r="P353" s="64"/>
      <c r="Q353" s="46"/>
      <c r="R353" s="39"/>
      <c r="S353" s="40"/>
      <c r="T353" s="16"/>
      <c r="U353" s="16"/>
      <c r="V353" s="16"/>
      <c r="W353" s="16"/>
      <c r="X353" s="16"/>
      <c r="Y353" s="19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35"/>
      <c r="AQ353" s="10"/>
      <c r="AR353" s="27"/>
    </row>
    <row r="354" spans="1:46" s="2" customFormat="1" ht="17.25" customHeight="1" x14ac:dyDescent="0.2">
      <c r="A354" s="23"/>
      <c r="B354" s="201" t="s">
        <v>84</v>
      </c>
      <c r="C354" s="203"/>
      <c r="D354" s="63">
        <v>-4.9000000000000004</v>
      </c>
      <c r="E354" s="64"/>
      <c r="F354" s="74"/>
      <c r="G354" s="74"/>
      <c r="H354" s="64"/>
      <c r="I354" s="64"/>
      <c r="J354" s="64"/>
      <c r="K354" s="16"/>
      <c r="L354" s="16"/>
      <c r="M354" s="64"/>
      <c r="N354" s="16"/>
      <c r="O354" s="16"/>
      <c r="P354" s="64"/>
      <c r="Q354" s="46"/>
      <c r="R354" s="39"/>
      <c r="S354" s="40"/>
      <c r="T354" s="16"/>
      <c r="U354" s="16"/>
      <c r="V354" s="16"/>
      <c r="W354" s="16"/>
      <c r="X354" s="16"/>
      <c r="Y354" s="19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35"/>
      <c r="AQ354" s="10"/>
      <c r="AR354" s="27"/>
    </row>
    <row r="355" spans="1:46" s="2" customFormat="1" ht="17.25" customHeight="1" x14ac:dyDescent="0.2">
      <c r="A355" s="23"/>
      <c r="B355" s="201" t="s">
        <v>152</v>
      </c>
      <c r="C355" s="203"/>
      <c r="D355" s="63"/>
      <c r="E355" s="64">
        <v>-124.48</v>
      </c>
      <c r="F355" s="74"/>
      <c r="G355" s="74"/>
      <c r="H355" s="64"/>
      <c r="I355" s="64"/>
      <c r="J355" s="64"/>
      <c r="K355" s="16"/>
      <c r="L355" s="16"/>
      <c r="M355" s="64"/>
      <c r="N355" s="16"/>
      <c r="O355" s="16"/>
      <c r="P355" s="64"/>
      <c r="Q355" s="46"/>
      <c r="R355" s="39"/>
      <c r="S355" s="40"/>
      <c r="T355" s="16"/>
      <c r="U355" s="16"/>
      <c r="V355" s="16"/>
      <c r="W355" s="16"/>
      <c r="X355" s="16"/>
      <c r="Y355" s="19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35"/>
      <c r="AQ355" s="10"/>
      <c r="AR355" s="27"/>
    </row>
    <row r="356" spans="1:46" s="2" customFormat="1" ht="17.25" customHeight="1" x14ac:dyDescent="0.2">
      <c r="A356" s="23"/>
      <c r="B356" s="201" t="s">
        <v>82</v>
      </c>
      <c r="C356" s="202"/>
      <c r="D356" s="63"/>
      <c r="E356" s="64">
        <v>-45.5</v>
      </c>
      <c r="F356" s="74"/>
      <c r="G356" s="74"/>
      <c r="H356" s="64"/>
      <c r="I356" s="64"/>
      <c r="J356" s="64"/>
      <c r="K356" s="16"/>
      <c r="L356" s="16"/>
      <c r="M356" s="64"/>
      <c r="N356" s="16"/>
      <c r="O356" s="16"/>
      <c r="P356" s="64"/>
      <c r="Q356" s="46"/>
      <c r="R356" s="39"/>
      <c r="S356" s="40"/>
      <c r="T356" s="16"/>
      <c r="U356" s="16"/>
      <c r="V356" s="16"/>
      <c r="W356" s="16"/>
      <c r="X356" s="16"/>
      <c r="Y356" s="19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35"/>
      <c r="AQ356" s="10"/>
      <c r="AR356" s="27"/>
    </row>
    <row r="357" spans="1:46" s="2" customFormat="1" ht="17.25" customHeight="1" x14ac:dyDescent="0.2">
      <c r="A357" s="23"/>
      <c r="B357" s="214"/>
      <c r="C357" s="215"/>
      <c r="D357" s="63"/>
      <c r="E357" s="64"/>
      <c r="F357" s="74"/>
      <c r="G357" s="74"/>
      <c r="H357" s="64"/>
      <c r="I357" s="64"/>
      <c r="J357" s="64"/>
      <c r="K357" s="16"/>
      <c r="L357" s="16"/>
      <c r="M357" s="64"/>
      <c r="N357" s="16"/>
      <c r="O357" s="16"/>
      <c r="P357" s="64"/>
      <c r="Q357" s="46"/>
      <c r="R357" s="39"/>
      <c r="S357" s="40"/>
      <c r="T357" s="16"/>
      <c r="U357" s="16"/>
      <c r="V357" s="16"/>
      <c r="W357" s="16"/>
      <c r="X357" s="16"/>
      <c r="Y357" s="19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35"/>
      <c r="AQ357" s="10"/>
      <c r="AR357" s="27"/>
    </row>
    <row r="358" spans="1:46" s="2" customFormat="1" ht="17.25" customHeight="1" thickBot="1" x14ac:dyDescent="0.25">
      <c r="A358" s="24"/>
      <c r="B358" s="216"/>
      <c r="C358" s="217"/>
      <c r="D358" s="83"/>
      <c r="E358" s="81"/>
      <c r="F358" s="81"/>
      <c r="G358" s="81"/>
      <c r="H358" s="81"/>
      <c r="I358" s="81"/>
      <c r="J358" s="81"/>
      <c r="K358" s="37"/>
      <c r="L358" s="93"/>
      <c r="M358" s="81"/>
      <c r="N358" s="37"/>
      <c r="O358" s="93"/>
      <c r="P358" s="81"/>
      <c r="Q358" s="40"/>
      <c r="R358" s="40"/>
      <c r="S358" s="39"/>
      <c r="T358" s="16"/>
      <c r="U358" s="16"/>
      <c r="V358" s="16"/>
      <c r="W358" s="16"/>
      <c r="X358" s="16"/>
      <c r="Y358" s="19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41"/>
      <c r="AQ358" s="10"/>
      <c r="AR358" s="11"/>
    </row>
    <row r="359" spans="1:46" s="4" customFormat="1" ht="17.25" customHeight="1" x14ac:dyDescent="0.25">
      <c r="A359" s="23"/>
      <c r="B359" s="210" t="s">
        <v>94</v>
      </c>
      <c r="C359" s="203"/>
      <c r="D359" s="66"/>
      <c r="E359" s="66"/>
      <c r="F359" s="117"/>
      <c r="G359" s="117"/>
      <c r="H359" s="66"/>
      <c r="I359" s="66"/>
      <c r="J359" s="66">
        <f>-M359</f>
        <v>7538.58</v>
      </c>
      <c r="K359" s="58">
        <v>-1302</v>
      </c>
      <c r="L359" s="89">
        <v>5.79</v>
      </c>
      <c r="M359" s="73">
        <f>K359*L359</f>
        <v>-7538.58</v>
      </c>
      <c r="N359" s="58"/>
      <c r="O359" s="89"/>
      <c r="P359" s="73"/>
      <c r="Q359" s="39"/>
      <c r="R359" s="39"/>
      <c r="S359" s="8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35"/>
      <c r="AP359" s="12" t="e">
        <f>#REF!</f>
        <v>#REF!</v>
      </c>
    </row>
    <row r="360" spans="1:46" s="4" customFormat="1" ht="17.25" customHeight="1" x14ac:dyDescent="0.25">
      <c r="A360" s="23"/>
      <c r="B360" s="201" t="s">
        <v>95</v>
      </c>
      <c r="C360" s="202"/>
      <c r="D360" s="64"/>
      <c r="E360" s="64"/>
      <c r="F360" s="117"/>
      <c r="G360" s="117"/>
      <c r="H360" s="64"/>
      <c r="I360" s="64"/>
      <c r="J360" s="64">
        <f>-P360</f>
        <v>9565.9600000000009</v>
      </c>
      <c r="K360" s="57"/>
      <c r="L360" s="88"/>
      <c r="M360" s="62"/>
      <c r="N360" s="57">
        <v>-2524</v>
      </c>
      <c r="O360" s="88">
        <v>3.79</v>
      </c>
      <c r="P360" s="62">
        <f>N360*O360</f>
        <v>-9565.9600000000009</v>
      </c>
      <c r="Q360" s="39"/>
      <c r="R360" s="39"/>
      <c r="S360" s="8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35"/>
      <c r="AP360" s="12" t="e">
        <f>#REF!</f>
        <v>#REF!</v>
      </c>
    </row>
    <row r="361" spans="1:46" s="4" customFormat="1" ht="17.25" customHeight="1" x14ac:dyDescent="0.25">
      <c r="A361" s="23"/>
      <c r="B361" s="201" t="s">
        <v>97</v>
      </c>
      <c r="C361" s="203"/>
      <c r="D361" s="64"/>
      <c r="E361" s="64"/>
      <c r="F361" s="64"/>
      <c r="G361" s="64"/>
      <c r="H361" s="64">
        <f>-J361-I361</f>
        <v>4722.5300000000007</v>
      </c>
      <c r="I361" s="64">
        <v>12382.01</v>
      </c>
      <c r="J361" s="64">
        <f>-SUM(J359:J360)</f>
        <v>-17104.54</v>
      </c>
      <c r="K361" s="57"/>
      <c r="L361" s="88"/>
      <c r="M361" s="62"/>
      <c r="N361" s="57"/>
      <c r="O361" s="88"/>
      <c r="P361" s="62"/>
      <c r="Q361" s="39"/>
      <c r="R361" s="39"/>
      <c r="S361" s="39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22"/>
      <c r="AO361" s="43">
        <f>A325</f>
        <v>0</v>
      </c>
      <c r="AP361" s="12" t="e">
        <f>#REF!</f>
        <v>#REF!</v>
      </c>
      <c r="AT361" s="2"/>
    </row>
    <row r="362" spans="1:46" s="4" customFormat="1" ht="17.25" customHeight="1" x14ac:dyDescent="0.25">
      <c r="A362" s="23"/>
      <c r="B362" s="201" t="s">
        <v>93</v>
      </c>
      <c r="C362" s="202"/>
      <c r="D362" s="64"/>
      <c r="E362" s="64"/>
      <c r="F362" s="64"/>
      <c r="G362" s="64"/>
      <c r="H362" s="64"/>
      <c r="I362" s="64"/>
      <c r="J362" s="64"/>
      <c r="K362" s="57">
        <v>-16</v>
      </c>
      <c r="L362" s="88"/>
      <c r="M362" s="118">
        <f>(K365*L349)-M349-M359</f>
        <v>978.98402602096576</v>
      </c>
      <c r="N362" s="57">
        <v>33</v>
      </c>
      <c r="O362" s="88"/>
      <c r="P362" s="118">
        <f>(N365*O349)-P349-P360</f>
        <v>768.87704657009635</v>
      </c>
      <c r="Q362" s="39"/>
      <c r="R362" s="39"/>
      <c r="S362" s="39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22"/>
      <c r="AO362" s="43">
        <f>A343</f>
        <v>0</v>
      </c>
      <c r="AP362" s="12" t="e">
        <f>#REF!</f>
        <v>#REF!</v>
      </c>
      <c r="AT362" s="2"/>
    </row>
    <row r="363" spans="1:46" s="2" customFormat="1" ht="17.25" customHeight="1" x14ac:dyDescent="0.2">
      <c r="A363" s="24"/>
      <c r="B363" s="201"/>
      <c r="C363" s="204"/>
      <c r="D363" s="63"/>
      <c r="E363" s="64"/>
      <c r="F363" s="64"/>
      <c r="G363" s="64"/>
      <c r="H363" s="64"/>
      <c r="I363" s="64"/>
      <c r="J363" s="64"/>
      <c r="K363" s="16"/>
      <c r="L363" s="16"/>
      <c r="M363" s="64"/>
      <c r="N363" s="16"/>
      <c r="O363" s="16"/>
      <c r="P363" s="64"/>
      <c r="Q363" s="46"/>
      <c r="R363" s="46"/>
      <c r="S363" s="39"/>
      <c r="T363" s="16"/>
      <c r="U363" s="16"/>
      <c r="V363" s="16"/>
      <c r="W363" s="16"/>
      <c r="X363" s="16"/>
      <c r="Y363" s="19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43">
        <f>A350</f>
        <v>45924</v>
      </c>
      <c r="AQ363" s="10"/>
      <c r="AR363" s="11"/>
    </row>
    <row r="364" spans="1:46" s="2" customFormat="1" ht="17.25" customHeight="1" thickBot="1" x14ac:dyDescent="0.3">
      <c r="A364" s="56"/>
      <c r="B364" s="101" t="s">
        <v>102</v>
      </c>
      <c r="C364" s="102">
        <f>D365+E365+F365+G365+H365+I365+J365+M365+P365</f>
        <v>115261.28999999998</v>
      </c>
      <c r="D364" s="84"/>
      <c r="E364" s="85"/>
      <c r="F364" s="85"/>
      <c r="G364" s="85"/>
      <c r="H364" s="85"/>
      <c r="I364" s="85"/>
      <c r="J364" s="85"/>
      <c r="K364" s="28"/>
      <c r="L364" s="28"/>
      <c r="M364" s="85"/>
      <c r="N364" s="28"/>
      <c r="O364" s="28"/>
      <c r="P364" s="85"/>
      <c r="Q364" s="48"/>
      <c r="R364" s="48"/>
      <c r="S364" s="51"/>
      <c r="T364" s="28"/>
      <c r="U364" s="28"/>
      <c r="V364" s="28"/>
      <c r="W364" s="28"/>
      <c r="X364" s="28"/>
      <c r="Y364" s="36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42">
        <f>SUM($Q349:AN364)</f>
        <v>-412997.88</v>
      </c>
      <c r="AQ364" s="10"/>
      <c r="AR364" s="11"/>
      <c r="AS364" s="2" t="s">
        <v>5</v>
      </c>
    </row>
    <row r="365" spans="1:46" s="2" customFormat="1" ht="17.25" customHeight="1" thickTop="1" thickBot="1" x14ac:dyDescent="0.3">
      <c r="A365" s="103"/>
      <c r="B365" s="104" t="s">
        <v>103</v>
      </c>
      <c r="C365" s="105">
        <f>AO365</f>
        <v>-297736.59000000003</v>
      </c>
      <c r="D365" s="106">
        <f t="shared" ref="D365:K365" si="39">SUM(D349:D364)</f>
        <v>96.179999999990827</v>
      </c>
      <c r="E365" s="107">
        <f t="shared" si="39"/>
        <v>-25798.410000000014</v>
      </c>
      <c r="F365" s="107">
        <f t="shared" si="39"/>
        <v>1797.75</v>
      </c>
      <c r="G365" s="107">
        <f t="shared" si="39"/>
        <v>1900</v>
      </c>
      <c r="H365" s="107">
        <f t="shared" si="39"/>
        <v>12386.570000000003</v>
      </c>
      <c r="I365" s="107">
        <f t="shared" si="39"/>
        <v>12382.01</v>
      </c>
      <c r="J365" s="107">
        <f t="shared" si="39"/>
        <v>0</v>
      </c>
      <c r="K365" s="108">
        <f t="shared" si="39"/>
        <v>12517</v>
      </c>
      <c r="L365" s="109">
        <f>M365/K365</f>
        <v>4.9769313733322678</v>
      </c>
      <c r="M365" s="107">
        <f>ROUND(SUM(M349:M364),2)</f>
        <v>62296.25</v>
      </c>
      <c r="N365" s="108">
        <f>SUM(N349:N364)</f>
        <v>14215</v>
      </c>
      <c r="O365" s="109">
        <f>P365/N365</f>
        <v>3.5315469574393248</v>
      </c>
      <c r="P365" s="107">
        <f>ROUND(SUM(P349:P364),2)</f>
        <v>50200.94</v>
      </c>
      <c r="Q365" s="110">
        <f t="shared" ref="Q365:AN365" si="40">SUM(Q349:Q364)</f>
        <v>-241940</v>
      </c>
      <c r="R365" s="107">
        <f t="shared" si="40"/>
        <v>8365.57</v>
      </c>
      <c r="S365" s="107">
        <f t="shared" si="40"/>
        <v>0</v>
      </c>
      <c r="T365" s="107">
        <f t="shared" si="40"/>
        <v>-16073.45</v>
      </c>
      <c r="U365" s="107">
        <f t="shared" si="40"/>
        <v>-53249.999999999993</v>
      </c>
      <c r="V365" s="107">
        <f t="shared" si="40"/>
        <v>-110100</v>
      </c>
      <c r="W365" s="107">
        <f t="shared" si="40"/>
        <v>0</v>
      </c>
      <c r="X365" s="107">
        <f t="shared" si="40"/>
        <v>0</v>
      </c>
      <c r="Y365" s="107">
        <f t="shared" si="40"/>
        <v>0</v>
      </c>
      <c r="Z365" s="107">
        <f t="shared" si="40"/>
        <v>0</v>
      </c>
      <c r="AA365" s="107">
        <f t="shared" si="40"/>
        <v>0</v>
      </c>
      <c r="AB365" s="107">
        <f t="shared" si="40"/>
        <v>0</v>
      </c>
      <c r="AC365" s="107">
        <f t="shared" si="40"/>
        <v>0</v>
      </c>
      <c r="AD365" s="107">
        <f t="shared" si="40"/>
        <v>0</v>
      </c>
      <c r="AE365" s="107">
        <f t="shared" si="40"/>
        <v>0</v>
      </c>
      <c r="AF365" s="107">
        <f t="shared" si="40"/>
        <v>0</v>
      </c>
      <c r="AG365" s="107">
        <f t="shared" si="40"/>
        <v>0</v>
      </c>
      <c r="AH365" s="107">
        <f t="shared" si="40"/>
        <v>0</v>
      </c>
      <c r="AI365" s="107">
        <f t="shared" si="40"/>
        <v>0</v>
      </c>
      <c r="AJ365" s="107">
        <f t="shared" si="40"/>
        <v>0</v>
      </c>
      <c r="AK365" s="107">
        <f t="shared" si="40"/>
        <v>0</v>
      </c>
      <c r="AL365" s="107">
        <f t="shared" si="40"/>
        <v>0</v>
      </c>
      <c r="AM365" s="107">
        <f t="shared" si="40"/>
        <v>0</v>
      </c>
      <c r="AN365" s="107">
        <f t="shared" si="40"/>
        <v>0</v>
      </c>
      <c r="AO365" s="111">
        <f>D365+E365+F365+G365+H365+I365+J365+M365+P365+SUM(Q365:AN365)</f>
        <v>-297736.59000000003</v>
      </c>
      <c r="AP365" s="4"/>
      <c r="AQ365" s="5"/>
      <c r="AR365" s="5"/>
      <c r="AS365" s="2" t="s">
        <v>6</v>
      </c>
    </row>
    <row r="366" spans="1:46" s="2" customFormat="1" ht="17.25" customHeight="1" thickTop="1" x14ac:dyDescent="0.25">
      <c r="A366" s="23">
        <f>A350+1</f>
        <v>45925</v>
      </c>
      <c r="B366" s="210" t="s">
        <v>64</v>
      </c>
      <c r="C366" s="203"/>
      <c r="D366" s="63">
        <v>12080.12</v>
      </c>
      <c r="E366" s="66"/>
      <c r="F366" s="66"/>
      <c r="G366" s="66"/>
      <c r="H366" s="66"/>
      <c r="I366" s="66">
        <f>-D366</f>
        <v>-12080.12</v>
      </c>
      <c r="J366" s="66"/>
      <c r="K366" s="18"/>
      <c r="L366" s="18"/>
      <c r="M366" s="66"/>
      <c r="N366" s="18"/>
      <c r="O366" s="18"/>
      <c r="P366" s="66"/>
      <c r="Q366" s="46"/>
      <c r="R366" s="46"/>
      <c r="S366" s="45"/>
      <c r="T366" s="18"/>
      <c r="U366" s="18"/>
      <c r="V366" s="18"/>
      <c r="W366" s="18"/>
      <c r="X366" s="18"/>
      <c r="Y366" s="14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31"/>
      <c r="AQ366" s="10"/>
      <c r="AR366" s="27"/>
    </row>
    <row r="367" spans="1:46" s="4" customFormat="1" ht="17.25" customHeight="1" x14ac:dyDescent="0.25">
      <c r="A367" s="23"/>
      <c r="B367" s="201" t="s">
        <v>96</v>
      </c>
      <c r="C367" s="202"/>
      <c r="D367" s="63"/>
      <c r="E367" s="64"/>
      <c r="F367" s="64"/>
      <c r="G367" s="64"/>
      <c r="H367" s="64"/>
      <c r="I367" s="117">
        <f>-I365-I366</f>
        <v>-301.88999999999942</v>
      </c>
      <c r="J367" s="64"/>
      <c r="K367" s="16"/>
      <c r="L367" s="92"/>
      <c r="M367" s="64"/>
      <c r="N367" s="16"/>
      <c r="O367" s="92"/>
      <c r="P367" s="64"/>
      <c r="Q367" s="40"/>
      <c r="R367" s="46"/>
      <c r="S367" s="39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22"/>
      <c r="AP367" s="30"/>
    </row>
    <row r="368" spans="1:46" s="2" customFormat="1" ht="17.25" customHeight="1" x14ac:dyDescent="0.2">
      <c r="A368" s="23"/>
      <c r="B368" s="201" t="s">
        <v>85</v>
      </c>
      <c r="C368" s="203"/>
      <c r="D368" s="63">
        <v>4800</v>
      </c>
      <c r="E368" s="64">
        <f>-D368</f>
        <v>-4800</v>
      </c>
      <c r="F368" s="74"/>
      <c r="G368" s="74"/>
      <c r="H368" s="64"/>
      <c r="I368" s="64"/>
      <c r="J368" s="64"/>
      <c r="K368" s="16"/>
      <c r="L368" s="16"/>
      <c r="M368" s="64"/>
      <c r="N368" s="16"/>
      <c r="O368" s="16"/>
      <c r="P368" s="64"/>
      <c r="Q368" s="46"/>
      <c r="R368" s="39"/>
      <c r="S368" s="40"/>
      <c r="T368" s="16"/>
      <c r="U368" s="16"/>
      <c r="V368" s="16"/>
      <c r="W368" s="16"/>
      <c r="X368" s="16"/>
      <c r="Y368" s="19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35"/>
      <c r="AQ368" s="10"/>
      <c r="AR368" s="27"/>
    </row>
    <row r="369" spans="1:46" s="2" customFormat="1" ht="17.25" customHeight="1" x14ac:dyDescent="0.2">
      <c r="A369" s="23"/>
      <c r="B369" s="201" t="s">
        <v>80</v>
      </c>
      <c r="C369" s="203"/>
      <c r="D369" s="63">
        <v>-38.4</v>
      </c>
      <c r="E369" s="64"/>
      <c r="F369" s="74"/>
      <c r="G369" s="74"/>
      <c r="H369" s="64"/>
      <c r="I369" s="64"/>
      <c r="J369" s="64"/>
      <c r="K369" s="16"/>
      <c r="L369" s="16"/>
      <c r="M369" s="64"/>
      <c r="N369" s="16"/>
      <c r="O369" s="16"/>
      <c r="P369" s="64"/>
      <c r="Q369" s="46"/>
      <c r="R369" s="39"/>
      <c r="S369" s="40"/>
      <c r="T369" s="16"/>
      <c r="U369" s="16"/>
      <c r="V369" s="16"/>
      <c r="W369" s="16"/>
      <c r="X369" s="16"/>
      <c r="Y369" s="19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35"/>
      <c r="AQ369" s="10"/>
      <c r="AR369" s="27"/>
    </row>
    <row r="370" spans="1:46" s="2" customFormat="1" ht="17.25" customHeight="1" x14ac:dyDescent="0.2">
      <c r="A370" s="23"/>
      <c r="B370" s="201" t="s">
        <v>76</v>
      </c>
      <c r="C370" s="203"/>
      <c r="D370" s="63">
        <v>1000</v>
      </c>
      <c r="E370" s="64"/>
      <c r="F370" s="74">
        <f>-D370</f>
        <v>-1000</v>
      </c>
      <c r="G370" s="74"/>
      <c r="H370" s="64"/>
      <c r="I370" s="64"/>
      <c r="J370" s="64"/>
      <c r="K370" s="16"/>
      <c r="L370" s="16"/>
      <c r="M370" s="64"/>
      <c r="N370" s="16"/>
      <c r="O370" s="16"/>
      <c r="P370" s="64"/>
      <c r="Q370" s="46"/>
      <c r="R370" s="39"/>
      <c r="S370" s="40"/>
      <c r="T370" s="16"/>
      <c r="U370" s="16"/>
      <c r="V370" s="16"/>
      <c r="W370" s="16"/>
      <c r="X370" s="16"/>
      <c r="Y370" s="19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35"/>
      <c r="AQ370" s="10"/>
      <c r="AR370" s="27"/>
    </row>
    <row r="371" spans="1:46" s="2" customFormat="1" ht="17.25" customHeight="1" x14ac:dyDescent="0.2">
      <c r="A371" s="24"/>
      <c r="B371" s="211" t="s">
        <v>137</v>
      </c>
      <c r="C371" s="206"/>
      <c r="D371" s="63">
        <v>-17750</v>
      </c>
      <c r="E371" s="64"/>
      <c r="F371" s="64"/>
      <c r="G371" s="64"/>
      <c r="H371" s="64"/>
      <c r="I371" s="64"/>
      <c r="J371" s="64"/>
      <c r="K371" s="16"/>
      <c r="L371" s="16"/>
      <c r="M371" s="64"/>
      <c r="N371" s="16"/>
      <c r="O371" s="16"/>
      <c r="P371" s="64"/>
      <c r="Q371" s="40"/>
      <c r="R371" s="40"/>
      <c r="S371" s="39"/>
      <c r="T371" s="16"/>
      <c r="U371" s="20">
        <f>-D371</f>
        <v>17750</v>
      </c>
      <c r="V371" s="16"/>
      <c r="W371" s="16"/>
      <c r="X371" s="16"/>
      <c r="Y371" s="19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41"/>
      <c r="AQ371" s="10"/>
      <c r="AR371" s="11"/>
    </row>
    <row r="372" spans="1:46" s="2" customFormat="1" ht="17.25" customHeight="1" x14ac:dyDescent="0.2">
      <c r="A372" s="23"/>
      <c r="B372" s="208" t="s">
        <v>13</v>
      </c>
      <c r="C372" s="209"/>
      <c r="D372" s="63"/>
      <c r="E372" s="64">
        <f>100+80.5+100+180+45+10+10+50+20+20+20+51+66+10+20+20+19.98+50+10</f>
        <v>882.48</v>
      </c>
      <c r="F372" s="74"/>
      <c r="G372" s="74"/>
      <c r="H372" s="64">
        <f>-E372</f>
        <v>-882.48</v>
      </c>
      <c r="I372" s="64"/>
      <c r="J372" s="64"/>
      <c r="K372" s="16"/>
      <c r="L372" s="16"/>
      <c r="M372" s="64"/>
      <c r="N372" s="16"/>
      <c r="O372" s="16"/>
      <c r="P372" s="64"/>
      <c r="Q372" s="46"/>
      <c r="R372" s="39"/>
      <c r="S372" s="40"/>
      <c r="T372" s="16"/>
      <c r="U372" s="16"/>
      <c r="V372" s="16"/>
      <c r="W372" s="16"/>
      <c r="X372" s="16"/>
      <c r="Y372" s="19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35"/>
      <c r="AQ372" s="10"/>
      <c r="AR372" s="27"/>
    </row>
    <row r="373" spans="1:46" s="2" customFormat="1" ht="17.25" customHeight="1" x14ac:dyDescent="0.2">
      <c r="A373" s="23"/>
      <c r="B373" s="201" t="s">
        <v>34</v>
      </c>
      <c r="C373" s="203"/>
      <c r="D373" s="63"/>
      <c r="E373" s="64">
        <v>-7500</v>
      </c>
      <c r="F373" s="74"/>
      <c r="G373" s="74"/>
      <c r="H373" s="64"/>
      <c r="I373" s="64"/>
      <c r="J373" s="64"/>
      <c r="K373" s="16"/>
      <c r="L373" s="16"/>
      <c r="M373" s="64"/>
      <c r="N373" s="16"/>
      <c r="O373" s="16"/>
      <c r="P373" s="64"/>
      <c r="Q373" s="46"/>
      <c r="R373" s="39">
        <f>-E373</f>
        <v>7500</v>
      </c>
      <c r="S373" s="40"/>
      <c r="T373" s="16"/>
      <c r="U373" s="16"/>
      <c r="V373" s="16"/>
      <c r="W373" s="16"/>
      <c r="X373" s="16"/>
      <c r="Y373" s="19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35"/>
      <c r="AQ373" s="10"/>
      <c r="AR373" s="27"/>
    </row>
    <row r="374" spans="1:46" s="2" customFormat="1" ht="17.25" customHeight="1" x14ac:dyDescent="0.2">
      <c r="A374" s="23"/>
      <c r="B374" s="201" t="s">
        <v>58</v>
      </c>
      <c r="C374" s="202"/>
      <c r="D374" s="63"/>
      <c r="E374" s="64">
        <v>-730</v>
      </c>
      <c r="F374" s="74"/>
      <c r="G374" s="74"/>
      <c r="H374" s="64"/>
      <c r="I374" s="64"/>
      <c r="J374" s="64"/>
      <c r="K374" s="16"/>
      <c r="L374" s="16"/>
      <c r="M374" s="64"/>
      <c r="N374" s="16"/>
      <c r="O374" s="16"/>
      <c r="P374" s="64"/>
      <c r="Q374" s="46"/>
      <c r="R374" s="39"/>
      <c r="S374" s="40"/>
      <c r="T374" s="16"/>
      <c r="U374" s="16"/>
      <c r="V374" s="16"/>
      <c r="W374" s="16"/>
      <c r="X374" s="16"/>
      <c r="Y374" s="19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35"/>
      <c r="AQ374" s="10"/>
      <c r="AR374" s="27"/>
    </row>
    <row r="375" spans="1:46" s="2" customFormat="1" ht="17.25" customHeight="1" x14ac:dyDescent="0.2">
      <c r="A375" s="23"/>
      <c r="B375" s="201" t="s">
        <v>59</v>
      </c>
      <c r="C375" s="202"/>
      <c r="D375" s="63"/>
      <c r="E375" s="64">
        <v>-60</v>
      </c>
      <c r="F375" s="74"/>
      <c r="G375" s="74"/>
      <c r="H375" s="64"/>
      <c r="I375" s="64"/>
      <c r="J375" s="64"/>
      <c r="K375" s="16"/>
      <c r="L375" s="16"/>
      <c r="M375" s="64"/>
      <c r="N375" s="16"/>
      <c r="O375" s="16"/>
      <c r="P375" s="64"/>
      <c r="Q375" s="46"/>
      <c r="R375" s="39"/>
      <c r="S375" s="40"/>
      <c r="T375" s="16"/>
      <c r="U375" s="16"/>
      <c r="V375" s="16"/>
      <c r="W375" s="16"/>
      <c r="X375" s="16"/>
      <c r="Y375" s="19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35"/>
      <c r="AQ375" s="10"/>
      <c r="AR375" s="27"/>
    </row>
    <row r="376" spans="1:46" s="2" customFormat="1" ht="17.25" customHeight="1" x14ac:dyDescent="0.2">
      <c r="A376" s="23"/>
      <c r="B376" s="201" t="s">
        <v>167</v>
      </c>
      <c r="C376" s="202"/>
      <c r="D376" s="63"/>
      <c r="E376" s="64"/>
      <c r="F376" s="74"/>
      <c r="G376" s="74"/>
      <c r="H376" s="64"/>
      <c r="I376" s="64"/>
      <c r="J376" s="64"/>
      <c r="K376" s="16"/>
      <c r="L376" s="16"/>
      <c r="M376" s="64"/>
      <c r="N376" s="16"/>
      <c r="O376" s="16"/>
      <c r="P376" s="64"/>
      <c r="Q376" s="46"/>
      <c r="R376" s="39"/>
      <c r="S376" s="40"/>
      <c r="T376" s="16"/>
      <c r="U376" s="16"/>
      <c r="V376" s="16"/>
      <c r="W376" s="16"/>
      <c r="X376" s="16"/>
      <c r="Y376" s="19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35"/>
      <c r="AQ376" s="10"/>
      <c r="AR376" s="27"/>
    </row>
    <row r="377" spans="1:46" s="2" customFormat="1" ht="17.25" customHeight="1" thickBot="1" x14ac:dyDescent="0.25">
      <c r="A377" s="24"/>
      <c r="B377" s="216"/>
      <c r="C377" s="217"/>
      <c r="D377" s="83"/>
      <c r="E377" s="81"/>
      <c r="F377" s="81"/>
      <c r="G377" s="81"/>
      <c r="H377" s="81"/>
      <c r="I377" s="81"/>
      <c r="J377" s="81"/>
      <c r="K377" s="37"/>
      <c r="L377" s="93"/>
      <c r="M377" s="81"/>
      <c r="N377" s="37"/>
      <c r="O377" s="93"/>
      <c r="P377" s="81"/>
      <c r="Q377" s="40"/>
      <c r="R377" s="40"/>
      <c r="S377" s="39"/>
      <c r="T377" s="16"/>
      <c r="U377" s="16"/>
      <c r="V377" s="16"/>
      <c r="W377" s="16"/>
      <c r="X377" s="16"/>
      <c r="Y377" s="19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41"/>
      <c r="AQ377" s="10"/>
      <c r="AR377" s="11"/>
    </row>
    <row r="378" spans="1:46" s="4" customFormat="1" ht="17.25" customHeight="1" x14ac:dyDescent="0.25">
      <c r="A378" s="23"/>
      <c r="B378" s="210" t="s">
        <v>94</v>
      </c>
      <c r="C378" s="203"/>
      <c r="D378" s="66"/>
      <c r="E378" s="66"/>
      <c r="F378" s="117"/>
      <c r="G378" s="117"/>
      <c r="H378" s="66"/>
      <c r="I378" s="66"/>
      <c r="J378" s="66">
        <f>-M378</f>
        <v>7990.2</v>
      </c>
      <c r="K378" s="58">
        <v>-1380</v>
      </c>
      <c r="L378" s="89">
        <v>5.79</v>
      </c>
      <c r="M378" s="73">
        <f>K378*L378</f>
        <v>-7990.2</v>
      </c>
      <c r="N378" s="58"/>
      <c r="O378" s="89"/>
      <c r="P378" s="73"/>
      <c r="Q378" s="39"/>
      <c r="R378" s="39"/>
      <c r="S378" s="8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35"/>
      <c r="AP378" s="12" t="e">
        <f>#REF!</f>
        <v>#REF!</v>
      </c>
    </row>
    <row r="379" spans="1:46" s="4" customFormat="1" ht="17.25" customHeight="1" x14ac:dyDescent="0.25">
      <c r="A379" s="23"/>
      <c r="B379" s="201" t="s">
        <v>95</v>
      </c>
      <c r="C379" s="202"/>
      <c r="D379" s="64"/>
      <c r="E379" s="64"/>
      <c r="F379" s="117"/>
      <c r="G379" s="117"/>
      <c r="H379" s="64"/>
      <c r="I379" s="64"/>
      <c r="J379" s="64">
        <f>-P379</f>
        <v>7761.92</v>
      </c>
      <c r="K379" s="57"/>
      <c r="L379" s="88"/>
      <c r="M379" s="62"/>
      <c r="N379" s="57">
        <v>-2048</v>
      </c>
      <c r="O379" s="88">
        <v>3.79</v>
      </c>
      <c r="P379" s="62">
        <f>N379*O379</f>
        <v>-7761.92</v>
      </c>
      <c r="Q379" s="39"/>
      <c r="R379" s="39"/>
      <c r="S379" s="8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35"/>
      <c r="AP379" s="12" t="e">
        <f>#REF!</f>
        <v>#REF!</v>
      </c>
    </row>
    <row r="380" spans="1:46" s="4" customFormat="1" ht="17.25" customHeight="1" x14ac:dyDescent="0.25">
      <c r="A380" s="23"/>
      <c r="B380" s="201" t="s">
        <v>97</v>
      </c>
      <c r="C380" s="203"/>
      <c r="D380" s="64"/>
      <c r="E380" s="64"/>
      <c r="F380" s="64"/>
      <c r="G380" s="64"/>
      <c r="H380" s="64">
        <f>-J380-I380</f>
        <v>4918.4999999999982</v>
      </c>
      <c r="I380" s="64">
        <v>10833.62</v>
      </c>
      <c r="J380" s="64">
        <f>-SUM(J378:J379)</f>
        <v>-15752.119999999999</v>
      </c>
      <c r="K380" s="57"/>
      <c r="L380" s="88"/>
      <c r="M380" s="62"/>
      <c r="N380" s="57"/>
      <c r="O380" s="88"/>
      <c r="P380" s="62"/>
      <c r="Q380" s="39"/>
      <c r="R380" s="39"/>
      <c r="S380" s="39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22"/>
      <c r="AO380" s="43">
        <f>A346</f>
        <v>0</v>
      </c>
      <c r="AP380" s="12" t="e">
        <f>#REF!</f>
        <v>#REF!</v>
      </c>
      <c r="AT380" s="2"/>
    </row>
    <row r="381" spans="1:46" s="4" customFormat="1" ht="17.25" customHeight="1" x14ac:dyDescent="0.25">
      <c r="A381" s="23"/>
      <c r="B381" s="201" t="s">
        <v>93</v>
      </c>
      <c r="C381" s="202"/>
      <c r="D381" s="64"/>
      <c r="E381" s="64"/>
      <c r="F381" s="64"/>
      <c r="G381" s="64"/>
      <c r="H381" s="64"/>
      <c r="I381" s="64"/>
      <c r="J381" s="64"/>
      <c r="K381" s="57">
        <v>40</v>
      </c>
      <c r="L381" s="88"/>
      <c r="M381" s="118">
        <f>(K384*L365)-M365-M378</f>
        <v>1321.1119597347597</v>
      </c>
      <c r="N381" s="57">
        <v>-140</v>
      </c>
      <c r="O381" s="88"/>
      <c r="P381" s="118">
        <f>(N384*O365)-P365-P379</f>
        <v>34.895257122758267</v>
      </c>
      <c r="Q381" s="39"/>
      <c r="R381" s="39"/>
      <c r="S381" s="39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22"/>
      <c r="AO381" s="43">
        <f>A359</f>
        <v>0</v>
      </c>
      <c r="AP381" s="12" t="e">
        <f>#REF!</f>
        <v>#REF!</v>
      </c>
      <c r="AT381" s="2"/>
    </row>
    <row r="382" spans="1:46" s="2" customFormat="1" ht="17.25" customHeight="1" x14ac:dyDescent="0.2">
      <c r="A382" s="24"/>
      <c r="B382" s="201" t="s">
        <v>110</v>
      </c>
      <c r="C382" s="204"/>
      <c r="D382" s="63"/>
      <c r="E382" s="64"/>
      <c r="F382" s="64"/>
      <c r="G382" s="64"/>
      <c r="H382" s="64"/>
      <c r="I382" s="64">
        <v>8000</v>
      </c>
      <c r="J382" s="64"/>
      <c r="K382" s="16"/>
      <c r="L382" s="16"/>
      <c r="M382" s="64"/>
      <c r="N382" s="16"/>
      <c r="O382" s="16"/>
      <c r="P382" s="64"/>
      <c r="Q382" s="46"/>
      <c r="R382" s="46">
        <f>-I382</f>
        <v>-8000</v>
      </c>
      <c r="S382" s="39"/>
      <c r="T382" s="16"/>
      <c r="U382" s="16"/>
      <c r="V382" s="16"/>
      <c r="W382" s="16"/>
      <c r="X382" s="16"/>
      <c r="Y382" s="19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43">
        <f>A355</f>
        <v>0</v>
      </c>
      <c r="AQ382" s="10"/>
      <c r="AR382" s="11"/>
    </row>
    <row r="383" spans="1:46" s="2" customFormat="1" ht="17.25" customHeight="1" thickBot="1" x14ac:dyDescent="0.3">
      <c r="A383" s="56"/>
      <c r="B383" s="101" t="s">
        <v>102</v>
      </c>
      <c r="C383" s="102">
        <f>D384+E384+F384+G384+H384+I384+J384+M384+P384</f>
        <v>98237.00999999998</v>
      </c>
      <c r="D383" s="84"/>
      <c r="E383" s="85"/>
      <c r="F383" s="85"/>
      <c r="G383" s="85"/>
      <c r="H383" s="85"/>
      <c r="I383" s="85"/>
      <c r="J383" s="85"/>
      <c r="K383" s="28"/>
      <c r="L383" s="28"/>
      <c r="M383" s="85"/>
      <c r="N383" s="28"/>
      <c r="O383" s="28"/>
      <c r="P383" s="85"/>
      <c r="Q383" s="48"/>
      <c r="R383" s="48"/>
      <c r="S383" s="51"/>
      <c r="T383" s="28"/>
      <c r="U383" s="28"/>
      <c r="V383" s="28"/>
      <c r="W383" s="28"/>
      <c r="X383" s="28"/>
      <c r="Y383" s="36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42">
        <f>SUM($Q365:AN383)</f>
        <v>-395747.88</v>
      </c>
      <c r="AQ383" s="10"/>
      <c r="AR383" s="11"/>
      <c r="AS383" s="2" t="s">
        <v>5</v>
      </c>
    </row>
    <row r="384" spans="1:46" s="2" customFormat="1" ht="17.25" customHeight="1" thickTop="1" thickBot="1" x14ac:dyDescent="0.3">
      <c r="A384" s="103"/>
      <c r="B384" s="104" t="s">
        <v>103</v>
      </c>
      <c r="C384" s="105">
        <f>AO384</f>
        <v>-297510.87</v>
      </c>
      <c r="D384" s="106">
        <f t="shared" ref="D384:K384" si="41">SUM(D365:D383)</f>
        <v>187.89999999999054</v>
      </c>
      <c r="E384" s="107">
        <f t="shared" si="41"/>
        <v>-38005.930000000015</v>
      </c>
      <c r="F384" s="107">
        <f t="shared" si="41"/>
        <v>797.75</v>
      </c>
      <c r="G384" s="107">
        <f t="shared" si="41"/>
        <v>1900</v>
      </c>
      <c r="H384" s="107">
        <f t="shared" si="41"/>
        <v>16422.590000000004</v>
      </c>
      <c r="I384" s="107">
        <f t="shared" si="41"/>
        <v>18833.620000000003</v>
      </c>
      <c r="J384" s="107">
        <f t="shared" si="41"/>
        <v>0</v>
      </c>
      <c r="K384" s="108">
        <f t="shared" si="41"/>
        <v>11177</v>
      </c>
      <c r="L384" s="109">
        <f>M384/K384</f>
        <v>4.976931197995885</v>
      </c>
      <c r="M384" s="107">
        <f>ROUND(SUM(M365:M383),2)</f>
        <v>55627.16</v>
      </c>
      <c r="N384" s="108">
        <f>SUM(N365:N383)</f>
        <v>12027</v>
      </c>
      <c r="O384" s="109">
        <f>P384/N384</f>
        <v>3.5315473517918017</v>
      </c>
      <c r="P384" s="107">
        <f>ROUND(SUM(P365:P383),2)</f>
        <v>42473.919999999998</v>
      </c>
      <c r="Q384" s="110">
        <f t="shared" ref="Q384:AN384" si="42">SUM(Q365:Q383)</f>
        <v>-241940</v>
      </c>
      <c r="R384" s="107">
        <f t="shared" si="42"/>
        <v>7865.57</v>
      </c>
      <c r="S384" s="107">
        <f t="shared" si="42"/>
        <v>0</v>
      </c>
      <c r="T384" s="107">
        <f t="shared" si="42"/>
        <v>-16073.45</v>
      </c>
      <c r="U384" s="107">
        <f t="shared" si="42"/>
        <v>-35499.999999999993</v>
      </c>
      <c r="V384" s="107">
        <f t="shared" si="42"/>
        <v>-110100</v>
      </c>
      <c r="W384" s="107">
        <f t="shared" si="42"/>
        <v>0</v>
      </c>
      <c r="X384" s="107">
        <f t="shared" si="42"/>
        <v>0</v>
      </c>
      <c r="Y384" s="107">
        <f t="shared" si="42"/>
        <v>0</v>
      </c>
      <c r="Z384" s="107">
        <f t="shared" si="42"/>
        <v>0</v>
      </c>
      <c r="AA384" s="107">
        <f t="shared" si="42"/>
        <v>0</v>
      </c>
      <c r="AB384" s="107">
        <f t="shared" si="42"/>
        <v>0</v>
      </c>
      <c r="AC384" s="107">
        <f t="shared" si="42"/>
        <v>0</v>
      </c>
      <c r="AD384" s="107">
        <f t="shared" si="42"/>
        <v>0</v>
      </c>
      <c r="AE384" s="107">
        <f t="shared" si="42"/>
        <v>0</v>
      </c>
      <c r="AF384" s="107">
        <f t="shared" si="42"/>
        <v>0</v>
      </c>
      <c r="AG384" s="107">
        <f t="shared" si="42"/>
        <v>0</v>
      </c>
      <c r="AH384" s="107">
        <f t="shared" si="42"/>
        <v>0</v>
      </c>
      <c r="AI384" s="107">
        <f t="shared" si="42"/>
        <v>0</v>
      </c>
      <c r="AJ384" s="107">
        <f t="shared" si="42"/>
        <v>0</v>
      </c>
      <c r="AK384" s="107">
        <f t="shared" si="42"/>
        <v>0</v>
      </c>
      <c r="AL384" s="107">
        <f t="shared" si="42"/>
        <v>0</v>
      </c>
      <c r="AM384" s="107">
        <f t="shared" si="42"/>
        <v>0</v>
      </c>
      <c r="AN384" s="107">
        <f t="shared" si="42"/>
        <v>0</v>
      </c>
      <c r="AO384" s="111">
        <f>D384+E384+F384+G384+H384+I384+J384+M384+P384+SUM(Q384:AN384)</f>
        <v>-297510.87</v>
      </c>
      <c r="AP384" s="4"/>
      <c r="AQ384" s="5"/>
      <c r="AR384" s="5"/>
      <c r="AS384" s="2" t="s">
        <v>6</v>
      </c>
    </row>
    <row r="385" spans="1:46" s="2" customFormat="1" ht="17.25" customHeight="1" thickTop="1" x14ac:dyDescent="0.25">
      <c r="A385" s="23">
        <f>A366+1</f>
        <v>45926</v>
      </c>
      <c r="B385" s="210" t="s">
        <v>64</v>
      </c>
      <c r="C385" s="203"/>
      <c r="D385" s="63">
        <v>10494.3</v>
      </c>
      <c r="E385" s="66"/>
      <c r="F385" s="66"/>
      <c r="G385" s="66"/>
      <c r="H385" s="66"/>
      <c r="I385" s="66">
        <f>-D385</f>
        <v>-10494.3</v>
      </c>
      <c r="J385" s="66"/>
      <c r="K385" s="18"/>
      <c r="L385" s="18"/>
      <c r="M385" s="66"/>
      <c r="N385" s="18"/>
      <c r="O385" s="18"/>
      <c r="P385" s="66"/>
      <c r="Q385" s="46"/>
      <c r="R385" s="46"/>
      <c r="S385" s="45"/>
      <c r="T385" s="18"/>
      <c r="U385" s="18"/>
      <c r="V385" s="18"/>
      <c r="W385" s="18"/>
      <c r="X385" s="18"/>
      <c r="Y385" s="14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31"/>
      <c r="AQ385" s="10"/>
      <c r="AR385" s="27"/>
    </row>
    <row r="386" spans="1:46" s="4" customFormat="1" ht="17.25" customHeight="1" x14ac:dyDescent="0.25">
      <c r="A386" s="23"/>
      <c r="B386" s="201" t="s">
        <v>96</v>
      </c>
      <c r="C386" s="202"/>
      <c r="D386" s="63"/>
      <c r="E386" s="64"/>
      <c r="F386" s="64"/>
      <c r="G386" s="64"/>
      <c r="H386" s="64"/>
      <c r="I386" s="117">
        <v>-339.32</v>
      </c>
      <c r="J386" s="64"/>
      <c r="K386" s="16"/>
      <c r="L386" s="92"/>
      <c r="M386" s="64"/>
      <c r="N386" s="16"/>
      <c r="O386" s="92"/>
      <c r="P386" s="64"/>
      <c r="Q386" s="40"/>
      <c r="R386" s="46"/>
      <c r="S386" s="39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22"/>
      <c r="AP386" s="30"/>
    </row>
    <row r="387" spans="1:46" s="2" customFormat="1" ht="17.25" customHeight="1" x14ac:dyDescent="0.2">
      <c r="A387" s="23"/>
      <c r="B387" s="210" t="s">
        <v>64</v>
      </c>
      <c r="C387" s="203"/>
      <c r="D387" s="63">
        <v>7749.44</v>
      </c>
      <c r="E387" s="64"/>
      <c r="F387" s="74"/>
      <c r="G387" s="74"/>
      <c r="H387" s="64"/>
      <c r="I387" s="64">
        <f>-D387</f>
        <v>-7749.44</v>
      </c>
      <c r="J387" s="64"/>
      <c r="K387" s="16"/>
      <c r="L387" s="16"/>
      <c r="M387" s="64"/>
      <c r="N387" s="16"/>
      <c r="O387" s="16"/>
      <c r="P387" s="64"/>
      <c r="Q387" s="46"/>
      <c r="R387" s="39"/>
      <c r="S387" s="40"/>
      <c r="T387" s="16"/>
      <c r="U387" s="16"/>
      <c r="V387" s="16"/>
      <c r="W387" s="16"/>
      <c r="X387" s="16"/>
      <c r="Y387" s="19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35"/>
      <c r="AQ387" s="10"/>
      <c r="AR387" s="27"/>
    </row>
    <row r="388" spans="1:46" s="2" customFormat="1" ht="17.25" customHeight="1" x14ac:dyDescent="0.2">
      <c r="A388" s="23"/>
      <c r="B388" s="201" t="s">
        <v>96</v>
      </c>
      <c r="C388" s="202"/>
      <c r="D388" s="63"/>
      <c r="E388" s="64"/>
      <c r="F388" s="74"/>
      <c r="G388" s="74"/>
      <c r="H388" s="64"/>
      <c r="I388" s="64">
        <v>-250.56</v>
      </c>
      <c r="J388" s="64"/>
      <c r="K388" s="16"/>
      <c r="L388" s="16"/>
      <c r="M388" s="64"/>
      <c r="N388" s="16"/>
      <c r="O388" s="16"/>
      <c r="P388" s="64"/>
      <c r="Q388" s="46"/>
      <c r="R388" s="39"/>
      <c r="S388" s="40"/>
      <c r="T388" s="16"/>
      <c r="U388" s="16"/>
      <c r="V388" s="16"/>
      <c r="W388" s="16"/>
      <c r="X388" s="16"/>
      <c r="Y388" s="19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35"/>
      <c r="AQ388" s="10"/>
      <c r="AR388" s="27"/>
    </row>
    <row r="389" spans="1:46" s="2" customFormat="1" ht="17.25" customHeight="1" x14ac:dyDescent="0.2">
      <c r="A389" s="24"/>
      <c r="B389" s="211" t="s">
        <v>138</v>
      </c>
      <c r="C389" s="206"/>
      <c r="D389" s="63">
        <v>-17750</v>
      </c>
      <c r="E389" s="64"/>
      <c r="F389" s="64"/>
      <c r="G389" s="64"/>
      <c r="H389" s="64"/>
      <c r="I389" s="64"/>
      <c r="J389" s="64"/>
      <c r="K389" s="16"/>
      <c r="L389" s="16"/>
      <c r="M389" s="64"/>
      <c r="N389" s="16"/>
      <c r="O389" s="16"/>
      <c r="P389" s="64"/>
      <c r="Q389" s="40"/>
      <c r="R389" s="40"/>
      <c r="S389" s="39"/>
      <c r="T389" s="16"/>
      <c r="U389" s="20">
        <f>-D389</f>
        <v>17750</v>
      </c>
      <c r="V389" s="16"/>
      <c r="W389" s="16"/>
      <c r="X389" s="16"/>
      <c r="Y389" s="19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41"/>
      <c r="AQ389" s="10"/>
      <c r="AR389" s="11"/>
    </row>
    <row r="390" spans="1:46" s="2" customFormat="1" ht="17.25" customHeight="1" x14ac:dyDescent="0.2">
      <c r="A390" s="23"/>
      <c r="B390" s="208" t="s">
        <v>13</v>
      </c>
      <c r="C390" s="209"/>
      <c r="D390" s="63"/>
      <c r="E390" s="64">
        <f>35+100+60+60+60+50+20+15+30+50+122+10+10+100+50+50+25+20+30+100+50+100+20+20+117.09+15+40+70+20+60+70+30+116+50</f>
        <v>1775.09</v>
      </c>
      <c r="F390" s="74"/>
      <c r="G390" s="74"/>
      <c r="H390" s="64">
        <f>-E390</f>
        <v>-1775.09</v>
      </c>
      <c r="I390" s="64"/>
      <c r="J390" s="64"/>
      <c r="K390" s="16"/>
      <c r="L390" s="16"/>
      <c r="M390" s="64"/>
      <c r="N390" s="16"/>
      <c r="O390" s="16"/>
      <c r="P390" s="64"/>
      <c r="Q390" s="46"/>
      <c r="R390" s="39"/>
      <c r="S390" s="40"/>
      <c r="T390" s="16"/>
      <c r="U390" s="16"/>
      <c r="V390" s="16"/>
      <c r="W390" s="16"/>
      <c r="X390" s="16"/>
      <c r="Y390" s="19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35"/>
      <c r="AQ390" s="10"/>
      <c r="AR390" s="27"/>
    </row>
    <row r="391" spans="1:46" s="2" customFormat="1" ht="17.25" customHeight="1" x14ac:dyDescent="0.2">
      <c r="A391" s="23"/>
      <c r="B391" s="201" t="s">
        <v>60</v>
      </c>
      <c r="C391" s="203"/>
      <c r="D391" s="63"/>
      <c r="E391" s="64">
        <v>1000</v>
      </c>
      <c r="F391" s="74"/>
      <c r="G391" s="74"/>
      <c r="H391" s="64">
        <f>-E391</f>
        <v>-1000</v>
      </c>
      <c r="I391" s="64"/>
      <c r="J391" s="64"/>
      <c r="K391" s="16"/>
      <c r="L391" s="16"/>
      <c r="M391" s="64"/>
      <c r="N391" s="16"/>
      <c r="O391" s="16"/>
      <c r="P391" s="64"/>
      <c r="Q391" s="46"/>
      <c r="R391" s="39"/>
      <c r="S391" s="40"/>
      <c r="T391" s="16"/>
      <c r="U391" s="16"/>
      <c r="V391" s="16"/>
      <c r="W391" s="16"/>
      <c r="X391" s="16"/>
      <c r="Y391" s="19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35"/>
      <c r="AQ391" s="10"/>
      <c r="AR391" s="27"/>
    </row>
    <row r="392" spans="1:46" s="2" customFormat="1" ht="17.25" customHeight="1" x14ac:dyDescent="0.2">
      <c r="A392" s="23"/>
      <c r="B392" s="201" t="s">
        <v>43</v>
      </c>
      <c r="C392" s="203"/>
      <c r="D392" s="63"/>
      <c r="E392" s="64">
        <f>1100+1900</f>
        <v>3000</v>
      </c>
      <c r="F392" s="74"/>
      <c r="G392" s="74"/>
      <c r="H392" s="64">
        <f>-E392</f>
        <v>-3000</v>
      </c>
      <c r="I392" s="64"/>
      <c r="J392" s="64"/>
      <c r="K392" s="16"/>
      <c r="L392" s="16"/>
      <c r="M392" s="64"/>
      <c r="N392" s="16"/>
      <c r="O392" s="16"/>
      <c r="P392" s="64"/>
      <c r="Q392" s="46"/>
      <c r="R392" s="39"/>
      <c r="S392" s="40"/>
      <c r="T392" s="16"/>
      <c r="U392" s="16"/>
      <c r="V392" s="16"/>
      <c r="W392" s="16"/>
      <c r="X392" s="16"/>
      <c r="Y392" s="19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35"/>
      <c r="AQ392" s="10"/>
      <c r="AR392" s="27"/>
    </row>
    <row r="393" spans="1:46" s="2" customFormat="1" ht="17.25" customHeight="1" x14ac:dyDescent="0.2">
      <c r="A393" s="23"/>
      <c r="B393" s="201" t="s">
        <v>61</v>
      </c>
      <c r="C393" s="202"/>
      <c r="D393" s="63"/>
      <c r="E393" s="64">
        <v>1565.15</v>
      </c>
      <c r="F393" s="74"/>
      <c r="G393" s="74"/>
      <c r="H393" s="64">
        <f>-E393</f>
        <v>-1565.15</v>
      </c>
      <c r="I393" s="64"/>
      <c r="J393" s="64"/>
      <c r="K393" s="16"/>
      <c r="L393" s="16"/>
      <c r="M393" s="64"/>
      <c r="N393" s="16"/>
      <c r="O393" s="16"/>
      <c r="P393" s="64"/>
      <c r="Q393" s="46"/>
      <c r="R393" s="39"/>
      <c r="S393" s="40"/>
      <c r="T393" s="16"/>
      <c r="U393" s="16"/>
      <c r="V393" s="16"/>
      <c r="W393" s="16"/>
      <c r="X393" s="16"/>
      <c r="Y393" s="19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35"/>
      <c r="AQ393" s="10"/>
      <c r="AR393" s="27"/>
    </row>
    <row r="394" spans="1:46" s="2" customFormat="1" ht="17.25" customHeight="1" x14ac:dyDescent="0.2">
      <c r="A394" s="23"/>
      <c r="B394" s="201" t="s">
        <v>139</v>
      </c>
      <c r="C394" s="202"/>
      <c r="D394" s="63"/>
      <c r="E394" s="64"/>
      <c r="F394" s="74">
        <v>-148.59</v>
      </c>
      <c r="G394" s="74"/>
      <c r="H394" s="64"/>
      <c r="I394" s="64"/>
      <c r="J394" s="64"/>
      <c r="K394" s="16"/>
      <c r="L394" s="16"/>
      <c r="M394" s="64"/>
      <c r="N394" s="16"/>
      <c r="O394" s="16"/>
      <c r="P394" s="64"/>
      <c r="Q394" s="46"/>
      <c r="R394" s="39"/>
      <c r="S394" s="40"/>
      <c r="T394" s="16"/>
      <c r="U394" s="16"/>
      <c r="V394" s="16"/>
      <c r="W394" s="16"/>
      <c r="X394" s="16"/>
      <c r="Y394" s="19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35"/>
      <c r="AQ394" s="10"/>
      <c r="AR394" s="27"/>
    </row>
    <row r="395" spans="1:46" s="2" customFormat="1" ht="17.25" customHeight="1" x14ac:dyDescent="0.2">
      <c r="A395" s="23"/>
      <c r="B395" s="205" t="s">
        <v>140</v>
      </c>
      <c r="C395" s="206"/>
      <c r="D395" s="64"/>
      <c r="E395" s="64"/>
      <c r="F395" s="74"/>
      <c r="G395" s="74"/>
      <c r="H395" s="64"/>
      <c r="I395" s="64"/>
      <c r="J395" s="64"/>
      <c r="K395" s="16"/>
      <c r="L395" s="16"/>
      <c r="M395" s="64"/>
      <c r="N395" s="57">
        <v>2000</v>
      </c>
      <c r="O395" s="88">
        <v>3.44</v>
      </c>
      <c r="P395" s="62">
        <f>N395*O395</f>
        <v>6880</v>
      </c>
      <c r="Q395" s="46">
        <f>-P395</f>
        <v>-6880</v>
      </c>
      <c r="R395" s="39"/>
      <c r="S395" s="40"/>
      <c r="T395" s="16"/>
      <c r="U395" s="16"/>
      <c r="V395" s="16"/>
      <c r="W395" s="16"/>
      <c r="X395" s="16"/>
      <c r="Y395" s="19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35"/>
      <c r="AQ395" s="10"/>
      <c r="AR395" s="27"/>
    </row>
    <row r="396" spans="1:46" s="2" customFormat="1" ht="17.25" customHeight="1" thickBot="1" x14ac:dyDescent="0.25">
      <c r="A396" s="24"/>
      <c r="B396" s="216"/>
      <c r="C396" s="217"/>
      <c r="D396" s="83"/>
      <c r="E396" s="81"/>
      <c r="F396" s="81"/>
      <c r="G396" s="81"/>
      <c r="H396" s="81"/>
      <c r="I396" s="81"/>
      <c r="J396" s="81"/>
      <c r="K396" s="37"/>
      <c r="L396" s="93"/>
      <c r="M396" s="81"/>
      <c r="N396" s="37"/>
      <c r="O396" s="93"/>
      <c r="P396" s="81"/>
      <c r="Q396" s="40"/>
      <c r="R396" s="40"/>
      <c r="S396" s="39"/>
      <c r="T396" s="16"/>
      <c r="U396" s="16"/>
      <c r="V396" s="16"/>
      <c r="W396" s="16"/>
      <c r="X396" s="16"/>
      <c r="Y396" s="19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41"/>
      <c r="AQ396" s="10"/>
      <c r="AR396" s="11"/>
    </row>
    <row r="397" spans="1:46" s="4" customFormat="1" ht="17.25" customHeight="1" x14ac:dyDescent="0.25">
      <c r="A397" s="23"/>
      <c r="B397" s="210" t="s">
        <v>94</v>
      </c>
      <c r="C397" s="203"/>
      <c r="D397" s="66"/>
      <c r="E397" s="66"/>
      <c r="F397" s="117"/>
      <c r="G397" s="117"/>
      <c r="H397" s="66"/>
      <c r="I397" s="66"/>
      <c r="J397" s="66">
        <f>-M397</f>
        <v>8447.61</v>
      </c>
      <c r="K397" s="58">
        <v>-1459</v>
      </c>
      <c r="L397" s="89">
        <v>5.79</v>
      </c>
      <c r="M397" s="73">
        <f>K397*L397</f>
        <v>-8447.61</v>
      </c>
      <c r="N397" s="58"/>
      <c r="O397" s="89"/>
      <c r="P397" s="73"/>
      <c r="Q397" s="39"/>
      <c r="R397" s="39"/>
      <c r="S397" s="8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35"/>
      <c r="AP397" s="12" t="e">
        <f>#REF!</f>
        <v>#REF!</v>
      </c>
    </row>
    <row r="398" spans="1:46" s="4" customFormat="1" ht="17.25" customHeight="1" x14ac:dyDescent="0.25">
      <c r="A398" s="23"/>
      <c r="B398" s="201" t="s">
        <v>95</v>
      </c>
      <c r="C398" s="202"/>
      <c r="D398" s="64"/>
      <c r="E398" s="64"/>
      <c r="F398" s="117"/>
      <c r="G398" s="117"/>
      <c r="H398" s="64"/>
      <c r="I398" s="64"/>
      <c r="J398" s="64">
        <f>-P398</f>
        <v>7670.96</v>
      </c>
      <c r="K398" s="57"/>
      <c r="L398" s="88"/>
      <c r="M398" s="62"/>
      <c r="N398" s="57">
        <v>-2024</v>
      </c>
      <c r="O398" s="88">
        <v>3.79</v>
      </c>
      <c r="P398" s="62">
        <f>N398*O398</f>
        <v>-7670.96</v>
      </c>
      <c r="Q398" s="39"/>
      <c r="R398" s="39"/>
      <c r="S398" s="8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35"/>
      <c r="AP398" s="12" t="e">
        <f>#REF!</f>
        <v>#REF!</v>
      </c>
    </row>
    <row r="399" spans="1:46" s="4" customFormat="1" ht="17.25" customHeight="1" x14ac:dyDescent="0.25">
      <c r="A399" s="23"/>
      <c r="B399" s="201" t="s">
        <v>97</v>
      </c>
      <c r="C399" s="203"/>
      <c r="D399" s="64"/>
      <c r="E399" s="64"/>
      <c r="F399" s="64"/>
      <c r="G399" s="64"/>
      <c r="H399" s="64">
        <f>-J399-I399</f>
        <v>4915.3099999999995</v>
      </c>
      <c r="I399" s="64">
        <v>11203.26</v>
      </c>
      <c r="J399" s="64">
        <f>-SUM(J397:J398)</f>
        <v>-16118.57</v>
      </c>
      <c r="K399" s="57"/>
      <c r="L399" s="88"/>
      <c r="M399" s="62"/>
      <c r="N399" s="57"/>
      <c r="O399" s="88"/>
      <c r="P399" s="62"/>
      <c r="Q399" s="39"/>
      <c r="R399" s="39"/>
      <c r="S399" s="39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22"/>
      <c r="AO399" s="43">
        <f>A362</f>
        <v>0</v>
      </c>
      <c r="AP399" s="12" t="e">
        <f>#REF!</f>
        <v>#REF!</v>
      </c>
      <c r="AT399" s="2"/>
    </row>
    <row r="400" spans="1:46" s="4" customFormat="1" ht="17.25" customHeight="1" x14ac:dyDescent="0.25">
      <c r="A400" s="23"/>
      <c r="B400" s="201" t="s">
        <v>93</v>
      </c>
      <c r="C400" s="202"/>
      <c r="D400" s="64"/>
      <c r="E400" s="64"/>
      <c r="F400" s="64"/>
      <c r="G400" s="64"/>
      <c r="H400" s="64"/>
      <c r="I400" s="64"/>
      <c r="J400" s="64"/>
      <c r="K400" s="57">
        <v>6</v>
      </c>
      <c r="L400" s="88"/>
      <c r="M400" s="118">
        <f>(K403*L384)-M384-M397</f>
        <v>1216.1289693119834</v>
      </c>
      <c r="N400" s="57">
        <v>-145</v>
      </c>
      <c r="O400" s="88"/>
      <c r="P400" s="118">
        <f>(N403*O384)-P384-P398-P395</f>
        <v>194.12849754718718</v>
      </c>
      <c r="Q400" s="39"/>
      <c r="R400" s="39"/>
      <c r="S400" s="39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22"/>
      <c r="AO400" s="43">
        <f>A378</f>
        <v>0</v>
      </c>
      <c r="AP400" s="12" t="e">
        <f>#REF!</f>
        <v>#REF!</v>
      </c>
      <c r="AT400" s="2"/>
    </row>
    <row r="401" spans="1:46" s="2" customFormat="1" ht="17.25" customHeight="1" x14ac:dyDescent="0.2">
      <c r="A401" s="24"/>
      <c r="B401" s="201"/>
      <c r="C401" s="204"/>
      <c r="D401" s="63"/>
      <c r="E401" s="64"/>
      <c r="F401" s="64"/>
      <c r="G401" s="64"/>
      <c r="H401" s="64"/>
      <c r="I401" s="64"/>
      <c r="J401" s="64"/>
      <c r="K401" s="16"/>
      <c r="L401" s="16"/>
      <c r="M401" s="64"/>
      <c r="N401" s="16"/>
      <c r="O401" s="16"/>
      <c r="P401" s="64"/>
      <c r="Q401" s="46"/>
      <c r="R401" s="46"/>
      <c r="S401" s="39"/>
      <c r="T401" s="16"/>
      <c r="U401" s="16"/>
      <c r="V401" s="16"/>
      <c r="W401" s="16"/>
      <c r="X401" s="16"/>
      <c r="Y401" s="19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43">
        <f>A385</f>
        <v>45926</v>
      </c>
      <c r="AQ401" s="10"/>
      <c r="AR401" s="11"/>
    </row>
    <row r="402" spans="1:46" s="2" customFormat="1" ht="17.25" customHeight="1" thickBot="1" x14ac:dyDescent="0.3">
      <c r="A402" s="56"/>
      <c r="B402" s="101" t="s">
        <v>102</v>
      </c>
      <c r="C402" s="102">
        <f>D403+E403+F403+G403+H403+I403+J403+M403+P403</f>
        <v>88038.799999999974</v>
      </c>
      <c r="D402" s="84"/>
      <c r="E402" s="85"/>
      <c r="F402" s="85"/>
      <c r="G402" s="85"/>
      <c r="H402" s="85"/>
      <c r="I402" s="85"/>
      <c r="J402" s="85"/>
      <c r="K402" s="28"/>
      <c r="L402" s="28"/>
      <c r="M402" s="85"/>
      <c r="N402" s="28"/>
      <c r="O402" s="28"/>
      <c r="P402" s="85"/>
      <c r="Q402" s="48"/>
      <c r="R402" s="48"/>
      <c r="S402" s="51"/>
      <c r="T402" s="28"/>
      <c r="U402" s="28"/>
      <c r="V402" s="28"/>
      <c r="W402" s="28"/>
      <c r="X402" s="28"/>
      <c r="Y402" s="36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42">
        <f>SUM($Q384:AN402)</f>
        <v>-384877.88</v>
      </c>
      <c r="AQ402" s="10"/>
      <c r="AR402" s="11"/>
      <c r="AS402" s="2" t="s">
        <v>5</v>
      </c>
    </row>
    <row r="403" spans="1:46" s="2" customFormat="1" ht="17.25" customHeight="1" thickTop="1" thickBot="1" x14ac:dyDescent="0.3">
      <c r="A403" s="103"/>
      <c r="B403" s="104" t="s">
        <v>103</v>
      </c>
      <c r="C403" s="105">
        <f>AO403</f>
        <v>-296839.08</v>
      </c>
      <c r="D403" s="106">
        <f t="shared" ref="D403:K403" si="43">SUM(D384:D402)</f>
        <v>681.6399999999885</v>
      </c>
      <c r="E403" s="107">
        <f t="shared" si="43"/>
        <v>-30665.690000000017</v>
      </c>
      <c r="F403" s="107">
        <f t="shared" si="43"/>
        <v>649.16</v>
      </c>
      <c r="G403" s="107">
        <f t="shared" si="43"/>
        <v>1900</v>
      </c>
      <c r="H403" s="107">
        <f t="shared" si="43"/>
        <v>13997.660000000003</v>
      </c>
      <c r="I403" s="107">
        <f t="shared" si="43"/>
        <v>11203.260000000004</v>
      </c>
      <c r="J403" s="107">
        <f t="shared" si="43"/>
        <v>0</v>
      </c>
      <c r="K403" s="108">
        <f t="shared" si="43"/>
        <v>9724</v>
      </c>
      <c r="L403" s="109">
        <f>M403/K403</f>
        <v>4.9769313039901277</v>
      </c>
      <c r="M403" s="107">
        <f>ROUND(SUM(M384:M402),2)</f>
        <v>48395.68</v>
      </c>
      <c r="N403" s="108">
        <f>SUM(N384:N402)</f>
        <v>11858</v>
      </c>
      <c r="O403" s="109">
        <f>P403/N403</f>
        <v>3.5315474784955301</v>
      </c>
      <c r="P403" s="107">
        <f>ROUND(SUM(P384:P402),2)</f>
        <v>41877.089999999997</v>
      </c>
      <c r="Q403" s="110">
        <f t="shared" ref="Q403:AN403" si="44">SUM(Q384:Q402)</f>
        <v>-248820</v>
      </c>
      <c r="R403" s="107">
        <f t="shared" si="44"/>
        <v>7865.57</v>
      </c>
      <c r="S403" s="107">
        <f t="shared" si="44"/>
        <v>0</v>
      </c>
      <c r="T403" s="107">
        <f t="shared" si="44"/>
        <v>-16073.45</v>
      </c>
      <c r="U403" s="107">
        <f t="shared" si="44"/>
        <v>-17749.999999999993</v>
      </c>
      <c r="V403" s="107">
        <f t="shared" si="44"/>
        <v>-110100</v>
      </c>
      <c r="W403" s="107">
        <f t="shared" si="44"/>
        <v>0</v>
      </c>
      <c r="X403" s="107">
        <f t="shared" si="44"/>
        <v>0</v>
      </c>
      <c r="Y403" s="107">
        <f t="shared" si="44"/>
        <v>0</v>
      </c>
      <c r="Z403" s="107">
        <f t="shared" si="44"/>
        <v>0</v>
      </c>
      <c r="AA403" s="107">
        <f t="shared" si="44"/>
        <v>0</v>
      </c>
      <c r="AB403" s="107">
        <f t="shared" si="44"/>
        <v>0</v>
      </c>
      <c r="AC403" s="107">
        <f t="shared" si="44"/>
        <v>0</v>
      </c>
      <c r="AD403" s="107">
        <f t="shared" si="44"/>
        <v>0</v>
      </c>
      <c r="AE403" s="107">
        <f t="shared" si="44"/>
        <v>0</v>
      </c>
      <c r="AF403" s="107">
        <f t="shared" si="44"/>
        <v>0</v>
      </c>
      <c r="AG403" s="107">
        <f t="shared" si="44"/>
        <v>0</v>
      </c>
      <c r="AH403" s="107">
        <f t="shared" si="44"/>
        <v>0</v>
      </c>
      <c r="AI403" s="107">
        <f t="shared" si="44"/>
        <v>0</v>
      </c>
      <c r="AJ403" s="107">
        <f t="shared" si="44"/>
        <v>0</v>
      </c>
      <c r="AK403" s="107">
        <f t="shared" si="44"/>
        <v>0</v>
      </c>
      <c r="AL403" s="107">
        <f t="shared" si="44"/>
        <v>0</v>
      </c>
      <c r="AM403" s="107">
        <f t="shared" si="44"/>
        <v>0</v>
      </c>
      <c r="AN403" s="107">
        <f t="shared" si="44"/>
        <v>0</v>
      </c>
      <c r="AO403" s="111">
        <f>D403+E403+F403+G403+H403+I403+J403+M403+P403+SUM(Q403:AN403)</f>
        <v>-296839.08</v>
      </c>
      <c r="AP403" s="4"/>
      <c r="AQ403" s="5"/>
      <c r="AR403" s="5"/>
      <c r="AS403" s="2" t="s">
        <v>6</v>
      </c>
    </row>
    <row r="404" spans="1:46" s="2" customFormat="1" ht="17.25" customHeight="1" thickTop="1" x14ac:dyDescent="0.25">
      <c r="A404" s="23">
        <f>A385+1</f>
        <v>45927</v>
      </c>
      <c r="B404" s="210" t="s">
        <v>64</v>
      </c>
      <c r="C404" s="203"/>
      <c r="D404" s="63">
        <v>10948.98</v>
      </c>
      <c r="E404" s="66"/>
      <c r="F404" s="66"/>
      <c r="G404" s="66"/>
      <c r="H404" s="66"/>
      <c r="I404" s="66">
        <f>-D404</f>
        <v>-10948.98</v>
      </c>
      <c r="J404" s="66"/>
      <c r="K404" s="18"/>
      <c r="L404" s="18"/>
      <c r="M404" s="66"/>
      <c r="N404" s="18"/>
      <c r="O404" s="18"/>
      <c r="P404" s="66"/>
      <c r="Q404" s="46"/>
      <c r="R404" s="46"/>
      <c r="S404" s="45"/>
      <c r="T404" s="18"/>
      <c r="U404" s="18"/>
      <c r="V404" s="18"/>
      <c r="W404" s="18"/>
      <c r="X404" s="18"/>
      <c r="Y404" s="14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31"/>
      <c r="AQ404" s="10"/>
      <c r="AR404" s="27"/>
    </row>
    <row r="405" spans="1:46" s="4" customFormat="1" ht="17.25" customHeight="1" x14ac:dyDescent="0.25">
      <c r="A405" s="23"/>
      <c r="B405" s="201" t="s">
        <v>96</v>
      </c>
      <c r="C405" s="202"/>
      <c r="D405" s="63"/>
      <c r="E405" s="64"/>
      <c r="F405" s="64"/>
      <c r="G405" s="64"/>
      <c r="H405" s="64"/>
      <c r="I405" s="117">
        <f>-I403-I404</f>
        <v>-254.28000000000429</v>
      </c>
      <c r="J405" s="64"/>
      <c r="K405" s="16"/>
      <c r="L405" s="92"/>
      <c r="M405" s="64"/>
      <c r="N405" s="16"/>
      <c r="O405" s="92"/>
      <c r="P405" s="64"/>
      <c r="Q405" s="40"/>
      <c r="R405" s="46"/>
      <c r="S405" s="39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22"/>
      <c r="AP405" s="30"/>
    </row>
    <row r="406" spans="1:46" s="2" customFormat="1" ht="17.25" customHeight="1" thickBot="1" x14ac:dyDescent="0.25">
      <c r="A406" s="24"/>
      <c r="B406" s="216"/>
      <c r="C406" s="217"/>
      <c r="D406" s="83"/>
      <c r="E406" s="81"/>
      <c r="F406" s="81"/>
      <c r="G406" s="81"/>
      <c r="H406" s="81"/>
      <c r="I406" s="81"/>
      <c r="J406" s="81"/>
      <c r="K406" s="37"/>
      <c r="L406" s="93"/>
      <c r="M406" s="81"/>
      <c r="N406" s="37"/>
      <c r="O406" s="93"/>
      <c r="P406" s="81"/>
      <c r="Q406" s="40"/>
      <c r="R406" s="40"/>
      <c r="S406" s="39"/>
      <c r="T406" s="16"/>
      <c r="U406" s="16"/>
      <c r="V406" s="16"/>
      <c r="W406" s="16"/>
      <c r="X406" s="16"/>
      <c r="Y406" s="19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41"/>
      <c r="AQ406" s="10"/>
      <c r="AR406" s="11"/>
    </row>
    <row r="407" spans="1:46" s="4" customFormat="1" ht="17.25" customHeight="1" x14ac:dyDescent="0.25">
      <c r="A407" s="23"/>
      <c r="B407" s="210" t="s">
        <v>94</v>
      </c>
      <c r="C407" s="203"/>
      <c r="D407" s="66"/>
      <c r="E407" s="66"/>
      <c r="F407" s="117"/>
      <c r="G407" s="117"/>
      <c r="H407" s="66"/>
      <c r="I407" s="66"/>
      <c r="J407" s="66">
        <f>-M407</f>
        <v>7509.63</v>
      </c>
      <c r="K407" s="58">
        <v>-1297</v>
      </c>
      <c r="L407" s="89">
        <v>5.79</v>
      </c>
      <c r="M407" s="73">
        <f>K407*L407</f>
        <v>-7509.63</v>
      </c>
      <c r="N407" s="58"/>
      <c r="O407" s="89"/>
      <c r="P407" s="73"/>
      <c r="Q407" s="39"/>
      <c r="R407" s="39"/>
      <c r="S407" s="8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35"/>
      <c r="AP407" s="12" t="e">
        <f>#REF!</f>
        <v>#REF!</v>
      </c>
    </row>
    <row r="408" spans="1:46" s="4" customFormat="1" ht="17.25" customHeight="1" x14ac:dyDescent="0.25">
      <c r="A408" s="23"/>
      <c r="B408" s="201" t="s">
        <v>95</v>
      </c>
      <c r="C408" s="202"/>
      <c r="D408" s="64"/>
      <c r="E408" s="64"/>
      <c r="F408" s="117"/>
      <c r="G408" s="117"/>
      <c r="H408" s="64"/>
      <c r="I408" s="64"/>
      <c r="J408" s="64">
        <f>-P408</f>
        <v>8072.7</v>
      </c>
      <c r="K408" s="57"/>
      <c r="L408" s="88"/>
      <c r="M408" s="62"/>
      <c r="N408" s="57">
        <v>-2130</v>
      </c>
      <c r="O408" s="88">
        <v>3.79</v>
      </c>
      <c r="P408" s="62">
        <f>N408*O408</f>
        <v>-8072.7</v>
      </c>
      <c r="Q408" s="39"/>
      <c r="R408" s="39"/>
      <c r="S408" s="8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35"/>
      <c r="AP408" s="12" t="e">
        <f>#REF!</f>
        <v>#REF!</v>
      </c>
    </row>
    <row r="409" spans="1:46" s="4" customFormat="1" ht="17.25" customHeight="1" x14ac:dyDescent="0.25">
      <c r="A409" s="23"/>
      <c r="B409" s="201" t="s">
        <v>97</v>
      </c>
      <c r="C409" s="203"/>
      <c r="D409" s="64"/>
      <c r="E409" s="64"/>
      <c r="F409" s="64"/>
      <c r="G409" s="64"/>
      <c r="H409" s="64">
        <f>-J409-I409</f>
        <v>4666.32</v>
      </c>
      <c r="I409" s="64">
        <v>10916.01</v>
      </c>
      <c r="J409" s="64">
        <f>-SUM(J407:J408)</f>
        <v>-15582.33</v>
      </c>
      <c r="K409" s="57"/>
      <c r="L409" s="88"/>
      <c r="M409" s="62"/>
      <c r="N409" s="57"/>
      <c r="O409" s="88"/>
      <c r="P409" s="62"/>
      <c r="Q409" s="39"/>
      <c r="R409" s="39"/>
      <c r="S409" s="39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22"/>
      <c r="AO409" s="43">
        <f>A381</f>
        <v>0</v>
      </c>
      <c r="AP409" s="12" t="e">
        <f>#REF!</f>
        <v>#REF!</v>
      </c>
      <c r="AT409" s="2"/>
    </row>
    <row r="410" spans="1:46" s="4" customFormat="1" ht="17.25" customHeight="1" x14ac:dyDescent="0.25">
      <c r="A410" s="23"/>
      <c r="B410" s="201" t="s">
        <v>93</v>
      </c>
      <c r="C410" s="202"/>
      <c r="D410" s="64"/>
      <c r="E410" s="64"/>
      <c r="F410" s="64"/>
      <c r="G410" s="64"/>
      <c r="H410" s="64"/>
      <c r="I410" s="64"/>
      <c r="J410" s="64"/>
      <c r="K410" s="57">
        <v>-48</v>
      </c>
      <c r="L410" s="88"/>
      <c r="M410" s="118">
        <f>(K413*L403)-M403-M407</f>
        <v>815.65739613327878</v>
      </c>
      <c r="N410" s="57">
        <v>30</v>
      </c>
      <c r="O410" s="88"/>
      <c r="P410" s="118">
        <f>(N413*O403)-P403-P408</f>
        <v>656.45029515938495</v>
      </c>
      <c r="Q410" s="39"/>
      <c r="R410" s="39"/>
      <c r="S410" s="39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22"/>
      <c r="AO410" s="43">
        <f>A397</f>
        <v>0</v>
      </c>
      <c r="AP410" s="12" t="e">
        <f>#REF!</f>
        <v>#REF!</v>
      </c>
      <c r="AT410" s="2"/>
    </row>
    <row r="411" spans="1:46" s="2" customFormat="1" ht="17.25" customHeight="1" x14ac:dyDescent="0.2">
      <c r="A411" s="24"/>
      <c r="B411" s="201"/>
      <c r="C411" s="204"/>
      <c r="D411" s="63"/>
      <c r="E411" s="64"/>
      <c r="F411" s="64"/>
      <c r="G411" s="64"/>
      <c r="H411" s="64"/>
      <c r="I411" s="64"/>
      <c r="J411" s="64"/>
      <c r="K411" s="16"/>
      <c r="L411" s="16"/>
      <c r="M411" s="64"/>
      <c r="N411" s="16"/>
      <c r="O411" s="16"/>
      <c r="P411" s="64"/>
      <c r="Q411" s="46"/>
      <c r="R411" s="46"/>
      <c r="S411" s="39"/>
      <c r="T411" s="16"/>
      <c r="U411" s="16"/>
      <c r="V411" s="16"/>
      <c r="W411" s="16"/>
      <c r="X411" s="16"/>
      <c r="Y411" s="19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43">
        <f>A404</f>
        <v>45927</v>
      </c>
      <c r="AQ411" s="10"/>
      <c r="AR411" s="11"/>
    </row>
    <row r="412" spans="1:46" s="2" customFormat="1" ht="17.25" customHeight="1" thickBot="1" x14ac:dyDescent="0.3">
      <c r="A412" s="56"/>
      <c r="B412" s="101" t="s">
        <v>102</v>
      </c>
      <c r="C412" s="102">
        <f>D413+E413+F413+G413+H413+I413+J413+M413+P413</f>
        <v>89256.629999999976</v>
      </c>
      <c r="D412" s="84"/>
      <c r="E412" s="85"/>
      <c r="F412" s="85"/>
      <c r="G412" s="85"/>
      <c r="H412" s="85"/>
      <c r="I412" s="85"/>
      <c r="J412" s="85"/>
      <c r="K412" s="28"/>
      <c r="L412" s="28"/>
      <c r="M412" s="85"/>
      <c r="N412" s="28"/>
      <c r="O412" s="28"/>
      <c r="P412" s="85"/>
      <c r="Q412" s="48"/>
      <c r="R412" s="48"/>
      <c r="S412" s="51"/>
      <c r="T412" s="28"/>
      <c r="U412" s="28"/>
      <c r="V412" s="28"/>
      <c r="W412" s="28"/>
      <c r="X412" s="28"/>
      <c r="Y412" s="36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42">
        <f>SUM($Q403:AN412)</f>
        <v>-384877.88</v>
      </c>
      <c r="AQ412" s="10"/>
      <c r="AR412" s="11"/>
      <c r="AS412" s="2" t="s">
        <v>5</v>
      </c>
    </row>
    <row r="413" spans="1:46" s="2" customFormat="1" ht="17.25" customHeight="1" thickTop="1" thickBot="1" x14ac:dyDescent="0.3">
      <c r="A413" s="103"/>
      <c r="B413" s="104" t="s">
        <v>103</v>
      </c>
      <c r="C413" s="105">
        <f>AO413</f>
        <v>-295621.25</v>
      </c>
      <c r="D413" s="106">
        <f t="shared" ref="D413:K413" si="45">SUM(D403:D412)</f>
        <v>11630.619999999988</v>
      </c>
      <c r="E413" s="107">
        <f t="shared" si="45"/>
        <v>-30665.690000000017</v>
      </c>
      <c r="F413" s="107">
        <f t="shared" si="45"/>
        <v>649.16</v>
      </c>
      <c r="G413" s="107">
        <f t="shared" si="45"/>
        <v>1900</v>
      </c>
      <c r="H413" s="107">
        <f t="shared" si="45"/>
        <v>18663.980000000003</v>
      </c>
      <c r="I413" s="107">
        <f t="shared" si="45"/>
        <v>10916.01</v>
      </c>
      <c r="J413" s="107">
        <f t="shared" si="45"/>
        <v>0</v>
      </c>
      <c r="K413" s="108">
        <f t="shared" si="45"/>
        <v>8379</v>
      </c>
      <c r="L413" s="109">
        <f>M413/K413</f>
        <v>4.9769316147511633</v>
      </c>
      <c r="M413" s="107">
        <f>ROUND(SUM(M403:M412),2)</f>
        <v>41701.71</v>
      </c>
      <c r="N413" s="108">
        <f>SUM(N403:N412)</f>
        <v>9758</v>
      </c>
      <c r="O413" s="109">
        <f>P413/N413</f>
        <v>3.5315474482475913</v>
      </c>
      <c r="P413" s="107">
        <f>ROUND(SUM(P403:P412),2)</f>
        <v>34460.839999999997</v>
      </c>
      <c r="Q413" s="110">
        <f t="shared" ref="Q413:AN413" si="46">SUM(Q403:Q412)</f>
        <v>-248820</v>
      </c>
      <c r="R413" s="107">
        <f t="shared" si="46"/>
        <v>7865.57</v>
      </c>
      <c r="S413" s="107">
        <f t="shared" si="46"/>
        <v>0</v>
      </c>
      <c r="T413" s="107">
        <f t="shared" si="46"/>
        <v>-16073.45</v>
      </c>
      <c r="U413" s="107">
        <f t="shared" si="46"/>
        <v>-17749.999999999993</v>
      </c>
      <c r="V413" s="107">
        <f t="shared" si="46"/>
        <v>-110100</v>
      </c>
      <c r="W413" s="107">
        <f t="shared" si="46"/>
        <v>0</v>
      </c>
      <c r="X413" s="107">
        <f t="shared" si="46"/>
        <v>0</v>
      </c>
      <c r="Y413" s="107">
        <f t="shared" si="46"/>
        <v>0</v>
      </c>
      <c r="Z413" s="107">
        <f t="shared" si="46"/>
        <v>0</v>
      </c>
      <c r="AA413" s="107">
        <f t="shared" si="46"/>
        <v>0</v>
      </c>
      <c r="AB413" s="107">
        <f t="shared" si="46"/>
        <v>0</v>
      </c>
      <c r="AC413" s="107">
        <f t="shared" si="46"/>
        <v>0</v>
      </c>
      <c r="AD413" s="107">
        <f t="shared" si="46"/>
        <v>0</v>
      </c>
      <c r="AE413" s="107">
        <f t="shared" si="46"/>
        <v>0</v>
      </c>
      <c r="AF413" s="107">
        <f t="shared" si="46"/>
        <v>0</v>
      </c>
      <c r="AG413" s="107">
        <f t="shared" si="46"/>
        <v>0</v>
      </c>
      <c r="AH413" s="107">
        <f t="shared" si="46"/>
        <v>0</v>
      </c>
      <c r="AI413" s="107">
        <f t="shared" si="46"/>
        <v>0</v>
      </c>
      <c r="AJ413" s="107">
        <f t="shared" si="46"/>
        <v>0</v>
      </c>
      <c r="AK413" s="107">
        <f t="shared" si="46"/>
        <v>0</v>
      </c>
      <c r="AL413" s="107">
        <f t="shared" si="46"/>
        <v>0</v>
      </c>
      <c r="AM413" s="107">
        <f t="shared" si="46"/>
        <v>0</v>
      </c>
      <c r="AN413" s="107">
        <f t="shared" si="46"/>
        <v>0</v>
      </c>
      <c r="AO413" s="111">
        <f>D413+E413+F413+G413+H413+I413+J413+M413+P413+SUM(Q413:AN413)</f>
        <v>-295621.25</v>
      </c>
      <c r="AP413" s="4"/>
      <c r="AQ413" s="5"/>
      <c r="AR413" s="5"/>
      <c r="AS413" s="2" t="s">
        <v>6</v>
      </c>
    </row>
    <row r="414" spans="1:46" s="2" customFormat="1" ht="17.25" customHeight="1" thickTop="1" x14ac:dyDescent="0.25">
      <c r="A414" s="23">
        <f>A404+1</f>
        <v>45928</v>
      </c>
      <c r="B414" s="210" t="s">
        <v>64</v>
      </c>
      <c r="C414" s="203"/>
      <c r="D414" s="63">
        <v>10668.23</v>
      </c>
      <c r="E414" s="66"/>
      <c r="F414" s="66"/>
      <c r="G414" s="66"/>
      <c r="H414" s="66"/>
      <c r="I414" s="66">
        <f>-D414</f>
        <v>-10668.23</v>
      </c>
      <c r="J414" s="66"/>
      <c r="K414" s="18"/>
      <c r="L414" s="18"/>
      <c r="M414" s="66"/>
      <c r="N414" s="18"/>
      <c r="O414" s="18"/>
      <c r="P414" s="66"/>
      <c r="Q414" s="46"/>
      <c r="R414" s="46"/>
      <c r="S414" s="45"/>
      <c r="T414" s="18"/>
      <c r="U414" s="18"/>
      <c r="V414" s="18"/>
      <c r="W414" s="18"/>
      <c r="X414" s="18"/>
      <c r="Y414" s="14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31"/>
      <c r="AQ414" s="10"/>
      <c r="AR414" s="27"/>
    </row>
    <row r="415" spans="1:46" s="4" customFormat="1" ht="17.25" customHeight="1" x14ac:dyDescent="0.25">
      <c r="A415" s="23"/>
      <c r="B415" s="201" t="s">
        <v>96</v>
      </c>
      <c r="C415" s="202"/>
      <c r="D415" s="63"/>
      <c r="E415" s="64"/>
      <c r="F415" s="64"/>
      <c r="G415" s="64"/>
      <c r="H415" s="64"/>
      <c r="I415" s="117">
        <f>-I413-I414</f>
        <v>-247.78000000000065</v>
      </c>
      <c r="J415" s="64"/>
      <c r="K415" s="16"/>
      <c r="L415" s="92"/>
      <c r="M415" s="64"/>
      <c r="N415" s="16"/>
      <c r="O415" s="92"/>
      <c r="P415" s="64"/>
      <c r="Q415" s="40"/>
      <c r="R415" s="46"/>
      <c r="S415" s="39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22"/>
      <c r="AP415" s="30"/>
    </row>
    <row r="416" spans="1:46" s="2" customFormat="1" ht="17.25" customHeight="1" thickBot="1" x14ac:dyDescent="0.25">
      <c r="A416" s="24"/>
      <c r="B416" s="216"/>
      <c r="C416" s="217"/>
      <c r="D416" s="83"/>
      <c r="E416" s="81"/>
      <c r="F416" s="81"/>
      <c r="G416" s="81"/>
      <c r="H416" s="81"/>
      <c r="I416" s="81"/>
      <c r="J416" s="81"/>
      <c r="K416" s="37"/>
      <c r="L416" s="93"/>
      <c r="M416" s="81"/>
      <c r="N416" s="37"/>
      <c r="O416" s="93"/>
      <c r="P416" s="81"/>
      <c r="Q416" s="40"/>
      <c r="R416" s="40"/>
      <c r="S416" s="39"/>
      <c r="T416" s="16"/>
      <c r="U416" s="16"/>
      <c r="V416" s="16"/>
      <c r="W416" s="16"/>
      <c r="X416" s="16"/>
      <c r="Y416" s="19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41"/>
      <c r="AQ416" s="10"/>
      <c r="AR416" s="11"/>
    </row>
    <row r="417" spans="1:46" s="4" customFormat="1" ht="17.25" customHeight="1" x14ac:dyDescent="0.25">
      <c r="A417" s="23"/>
      <c r="B417" s="210" t="s">
        <v>94</v>
      </c>
      <c r="C417" s="203"/>
      <c r="D417" s="66"/>
      <c r="E417" s="66"/>
      <c r="F417" s="117"/>
      <c r="G417" s="117"/>
      <c r="H417" s="66"/>
      <c r="I417" s="66"/>
      <c r="J417" s="66">
        <f>-M417</f>
        <v>4545.1499999999996</v>
      </c>
      <c r="K417" s="58">
        <v>-785</v>
      </c>
      <c r="L417" s="89">
        <v>5.79</v>
      </c>
      <c r="M417" s="73">
        <f>K417*L417</f>
        <v>-4545.1499999999996</v>
      </c>
      <c r="N417" s="58"/>
      <c r="O417" s="89"/>
      <c r="P417" s="73"/>
      <c r="Q417" s="39"/>
      <c r="R417" s="39"/>
      <c r="S417" s="8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35"/>
      <c r="AP417" s="12" t="e">
        <f>#REF!</f>
        <v>#REF!</v>
      </c>
    </row>
    <row r="418" spans="1:46" s="4" customFormat="1" ht="17.25" customHeight="1" x14ac:dyDescent="0.25">
      <c r="A418" s="23"/>
      <c r="B418" s="201" t="s">
        <v>95</v>
      </c>
      <c r="C418" s="202"/>
      <c r="D418" s="64"/>
      <c r="E418" s="64"/>
      <c r="F418" s="117"/>
      <c r="G418" s="117"/>
      <c r="H418" s="64"/>
      <c r="I418" s="64"/>
      <c r="J418" s="64">
        <f>-P418</f>
        <v>5237.78</v>
      </c>
      <c r="K418" s="57"/>
      <c r="L418" s="88"/>
      <c r="M418" s="62"/>
      <c r="N418" s="57">
        <v>-1382</v>
      </c>
      <c r="O418" s="88">
        <v>3.79</v>
      </c>
      <c r="P418" s="62">
        <f>N418*O418</f>
        <v>-5237.78</v>
      </c>
      <c r="Q418" s="39"/>
      <c r="R418" s="39"/>
      <c r="S418" s="8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35"/>
      <c r="AP418" s="12" t="e">
        <f>#REF!</f>
        <v>#REF!</v>
      </c>
    </row>
    <row r="419" spans="1:46" s="4" customFormat="1" ht="17.25" customHeight="1" x14ac:dyDescent="0.25">
      <c r="A419" s="23"/>
      <c r="B419" s="201" t="s">
        <v>97</v>
      </c>
      <c r="C419" s="203"/>
      <c r="D419" s="64"/>
      <c r="E419" s="64"/>
      <c r="F419" s="64"/>
      <c r="G419" s="64"/>
      <c r="H419" s="64">
        <f>-J419-I419</f>
        <v>2677.4400000000005</v>
      </c>
      <c r="I419" s="64">
        <v>7105.49</v>
      </c>
      <c r="J419" s="64">
        <f>-SUM(J417:J418)</f>
        <v>-9782.93</v>
      </c>
      <c r="K419" s="57"/>
      <c r="L419" s="88"/>
      <c r="M419" s="62"/>
      <c r="N419" s="57"/>
      <c r="O419" s="88"/>
      <c r="P419" s="62"/>
      <c r="Q419" s="39"/>
      <c r="R419" s="39"/>
      <c r="S419" s="39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22"/>
      <c r="AO419" s="43">
        <f>A400</f>
        <v>0</v>
      </c>
      <c r="AP419" s="12" t="e">
        <f>#REF!</f>
        <v>#REF!</v>
      </c>
      <c r="AT419" s="2"/>
    </row>
    <row r="420" spans="1:46" s="4" customFormat="1" ht="17.25" customHeight="1" x14ac:dyDescent="0.25">
      <c r="A420" s="23"/>
      <c r="B420" s="201" t="s">
        <v>93</v>
      </c>
      <c r="C420" s="202"/>
      <c r="D420" s="64"/>
      <c r="E420" s="64"/>
      <c r="F420" s="64"/>
      <c r="G420" s="64"/>
      <c r="H420" s="64"/>
      <c r="I420" s="64"/>
      <c r="J420" s="64"/>
      <c r="K420" s="57">
        <v>-146</v>
      </c>
      <c r="L420" s="88"/>
      <c r="M420" s="118">
        <f>(K423*L413)-M413-M417</f>
        <v>-88.373333333338451</v>
      </c>
      <c r="N420" s="57">
        <v>-109</v>
      </c>
      <c r="O420" s="88"/>
      <c r="P420" s="118">
        <f>(N423*O413)-P413-P418</f>
        <v>-27.757245337160384</v>
      </c>
      <c r="Q420" s="39"/>
      <c r="R420" s="39"/>
      <c r="S420" s="39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22"/>
      <c r="AO420" s="43">
        <f>A407</f>
        <v>0</v>
      </c>
      <c r="AP420" s="12" t="e">
        <f>#REF!</f>
        <v>#REF!</v>
      </c>
      <c r="AT420" s="2"/>
    </row>
    <row r="421" spans="1:46" s="2" customFormat="1" ht="17.25" customHeight="1" x14ac:dyDescent="0.2">
      <c r="A421" s="24"/>
      <c r="B421" s="201"/>
      <c r="C421" s="204"/>
      <c r="D421" s="63"/>
      <c r="E421" s="64"/>
      <c r="F421" s="64"/>
      <c r="G421" s="64"/>
      <c r="H421" s="64"/>
      <c r="I421" s="64"/>
      <c r="J421" s="64"/>
      <c r="K421" s="16"/>
      <c r="L421" s="16"/>
      <c r="M421" s="64"/>
      <c r="N421" s="16"/>
      <c r="O421" s="16"/>
      <c r="P421" s="64"/>
      <c r="Q421" s="46"/>
      <c r="R421" s="46"/>
      <c r="S421" s="39"/>
      <c r="T421" s="16"/>
      <c r="U421" s="16"/>
      <c r="V421" s="16"/>
      <c r="W421" s="16"/>
      <c r="X421" s="16"/>
      <c r="Y421" s="19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43">
        <f>A414</f>
        <v>45928</v>
      </c>
      <c r="AQ421" s="10"/>
      <c r="AR421" s="11"/>
    </row>
    <row r="422" spans="1:46" s="2" customFormat="1" ht="17.25" customHeight="1" thickBot="1" x14ac:dyDescent="0.3">
      <c r="A422" s="56"/>
      <c r="B422" s="101" t="s">
        <v>102</v>
      </c>
      <c r="C422" s="102">
        <f>D423+E423+F423+G423+H423+I423+J423+M423+P423</f>
        <v>88892.719999999972</v>
      </c>
      <c r="D422" s="84"/>
      <c r="E422" s="85"/>
      <c r="F422" s="85"/>
      <c r="G422" s="85"/>
      <c r="H422" s="85"/>
      <c r="I422" s="85"/>
      <c r="J422" s="85"/>
      <c r="K422" s="28"/>
      <c r="L422" s="28"/>
      <c r="M422" s="85"/>
      <c r="N422" s="28"/>
      <c r="O422" s="28"/>
      <c r="P422" s="85"/>
      <c r="Q422" s="48"/>
      <c r="R422" s="48"/>
      <c r="S422" s="51"/>
      <c r="T422" s="28"/>
      <c r="U422" s="28"/>
      <c r="V422" s="28"/>
      <c r="W422" s="28"/>
      <c r="X422" s="28"/>
      <c r="Y422" s="36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42">
        <f>SUM($Q413:AN422)</f>
        <v>-384877.88</v>
      </c>
      <c r="AQ422" s="10"/>
      <c r="AR422" s="11"/>
      <c r="AS422" s="2" t="s">
        <v>5</v>
      </c>
    </row>
    <row r="423" spans="1:46" s="2" customFormat="1" ht="17.25" customHeight="1" thickTop="1" thickBot="1" x14ac:dyDescent="0.3">
      <c r="A423" s="103"/>
      <c r="B423" s="104" t="s">
        <v>103</v>
      </c>
      <c r="C423" s="105">
        <f>AO423</f>
        <v>-295985.16000000003</v>
      </c>
      <c r="D423" s="106">
        <f t="shared" ref="D423:K423" si="47">SUM(D413:D422)</f>
        <v>22298.849999999988</v>
      </c>
      <c r="E423" s="107">
        <f t="shared" si="47"/>
        <v>-30665.690000000017</v>
      </c>
      <c r="F423" s="107">
        <f t="shared" si="47"/>
        <v>649.16</v>
      </c>
      <c r="G423" s="107">
        <f t="shared" si="47"/>
        <v>1900</v>
      </c>
      <c r="H423" s="107">
        <f t="shared" si="47"/>
        <v>21341.420000000006</v>
      </c>
      <c r="I423" s="107">
        <f t="shared" si="47"/>
        <v>7105.49</v>
      </c>
      <c r="J423" s="107">
        <f t="shared" si="47"/>
        <v>0</v>
      </c>
      <c r="K423" s="108">
        <f t="shared" si="47"/>
        <v>7448</v>
      </c>
      <c r="L423" s="109">
        <f>M423/K423</f>
        <v>4.9769320622986042</v>
      </c>
      <c r="M423" s="107">
        <f>ROUND(SUM(M413:M422),2)</f>
        <v>37068.19</v>
      </c>
      <c r="N423" s="108">
        <f>SUM(N413:N422)</f>
        <v>8267</v>
      </c>
      <c r="O423" s="109">
        <f>P423/N423</f>
        <v>3.5315471150356839</v>
      </c>
      <c r="P423" s="107">
        <f>ROUND(SUM(P413:P422),2)</f>
        <v>29195.3</v>
      </c>
      <c r="Q423" s="110">
        <f t="shared" ref="Q423:AN423" si="48">SUM(Q413:Q422)</f>
        <v>-248820</v>
      </c>
      <c r="R423" s="107">
        <f t="shared" si="48"/>
        <v>7865.57</v>
      </c>
      <c r="S423" s="107">
        <f t="shared" si="48"/>
        <v>0</v>
      </c>
      <c r="T423" s="107">
        <f t="shared" si="48"/>
        <v>-16073.45</v>
      </c>
      <c r="U423" s="107">
        <f t="shared" si="48"/>
        <v>-17749.999999999993</v>
      </c>
      <c r="V423" s="107">
        <f t="shared" si="48"/>
        <v>-110100</v>
      </c>
      <c r="W423" s="107">
        <f t="shared" si="48"/>
        <v>0</v>
      </c>
      <c r="X423" s="107">
        <f t="shared" si="48"/>
        <v>0</v>
      </c>
      <c r="Y423" s="107">
        <f t="shared" si="48"/>
        <v>0</v>
      </c>
      <c r="Z423" s="107">
        <f t="shared" si="48"/>
        <v>0</v>
      </c>
      <c r="AA423" s="107">
        <f t="shared" si="48"/>
        <v>0</v>
      </c>
      <c r="AB423" s="107">
        <f t="shared" si="48"/>
        <v>0</v>
      </c>
      <c r="AC423" s="107">
        <f t="shared" si="48"/>
        <v>0</v>
      </c>
      <c r="AD423" s="107">
        <f t="shared" si="48"/>
        <v>0</v>
      </c>
      <c r="AE423" s="107">
        <f t="shared" si="48"/>
        <v>0</v>
      </c>
      <c r="AF423" s="107">
        <f t="shared" si="48"/>
        <v>0</v>
      </c>
      <c r="AG423" s="107">
        <f t="shared" si="48"/>
        <v>0</v>
      </c>
      <c r="AH423" s="107">
        <f t="shared" si="48"/>
        <v>0</v>
      </c>
      <c r="AI423" s="107">
        <f t="shared" si="48"/>
        <v>0</v>
      </c>
      <c r="AJ423" s="107">
        <f t="shared" si="48"/>
        <v>0</v>
      </c>
      <c r="AK423" s="107">
        <f t="shared" si="48"/>
        <v>0</v>
      </c>
      <c r="AL423" s="107">
        <f t="shared" si="48"/>
        <v>0</v>
      </c>
      <c r="AM423" s="107">
        <f t="shared" si="48"/>
        <v>0</v>
      </c>
      <c r="AN423" s="107">
        <f t="shared" si="48"/>
        <v>0</v>
      </c>
      <c r="AO423" s="111">
        <f>D423+E423+F423+G423+H423+I423+J423+M423+P423+SUM(Q423:AN423)</f>
        <v>-295985.16000000003</v>
      </c>
      <c r="AP423" s="4"/>
      <c r="AQ423" s="5"/>
      <c r="AR423" s="5"/>
      <c r="AS423" s="2" t="s">
        <v>6</v>
      </c>
    </row>
    <row r="424" spans="1:46" s="2" customFormat="1" ht="17.25" customHeight="1" thickTop="1" x14ac:dyDescent="0.25">
      <c r="A424" s="23">
        <f>A414+1</f>
        <v>45929</v>
      </c>
      <c r="B424" s="210" t="s">
        <v>64</v>
      </c>
      <c r="C424" s="203"/>
      <c r="D424" s="63">
        <v>6929.57</v>
      </c>
      <c r="E424" s="66"/>
      <c r="F424" s="66"/>
      <c r="G424" s="66"/>
      <c r="H424" s="66"/>
      <c r="I424" s="66">
        <f>-D424</f>
        <v>-6929.57</v>
      </c>
      <c r="J424" s="66"/>
      <c r="K424" s="18"/>
      <c r="L424" s="18"/>
      <c r="M424" s="66"/>
      <c r="N424" s="18"/>
      <c r="O424" s="18"/>
      <c r="P424" s="66"/>
      <c r="Q424" s="46"/>
      <c r="R424" s="46"/>
      <c r="S424" s="45"/>
      <c r="T424" s="18"/>
      <c r="U424" s="18"/>
      <c r="V424" s="18"/>
      <c r="W424" s="18"/>
      <c r="X424" s="18"/>
      <c r="Y424" s="14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31"/>
      <c r="AQ424" s="10"/>
      <c r="AR424" s="27"/>
    </row>
    <row r="425" spans="1:46" s="4" customFormat="1" ht="17.25" customHeight="1" x14ac:dyDescent="0.25">
      <c r="A425" s="23"/>
      <c r="B425" s="201" t="s">
        <v>96</v>
      </c>
      <c r="C425" s="202"/>
      <c r="D425" s="63"/>
      <c r="E425" s="64"/>
      <c r="F425" s="64"/>
      <c r="G425" s="64"/>
      <c r="H425" s="64"/>
      <c r="I425" s="117">
        <f>-I423-I424</f>
        <v>-175.92000000000007</v>
      </c>
      <c r="J425" s="64"/>
      <c r="K425" s="16"/>
      <c r="L425" s="92"/>
      <c r="M425" s="64"/>
      <c r="N425" s="16"/>
      <c r="O425" s="92"/>
      <c r="P425" s="64"/>
      <c r="Q425" s="40"/>
      <c r="R425" s="46"/>
      <c r="S425" s="39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22"/>
      <c r="AP425" s="30"/>
    </row>
    <row r="426" spans="1:46" s="2" customFormat="1" ht="17.25" customHeight="1" x14ac:dyDescent="0.2">
      <c r="A426" s="24"/>
      <c r="B426" s="211" t="s">
        <v>141</v>
      </c>
      <c r="C426" s="206"/>
      <c r="D426" s="63">
        <v>-17750</v>
      </c>
      <c r="E426" s="64"/>
      <c r="F426" s="64"/>
      <c r="G426" s="64"/>
      <c r="H426" s="64"/>
      <c r="I426" s="64"/>
      <c r="J426" s="64"/>
      <c r="K426" s="16"/>
      <c r="L426" s="16"/>
      <c r="M426" s="64"/>
      <c r="N426" s="16"/>
      <c r="O426" s="16"/>
      <c r="P426" s="64"/>
      <c r="Q426" s="40"/>
      <c r="R426" s="40"/>
      <c r="S426" s="39"/>
      <c r="T426" s="16"/>
      <c r="U426" s="20">
        <f>-D426</f>
        <v>17750</v>
      </c>
      <c r="V426" s="16"/>
      <c r="W426" s="16"/>
      <c r="X426" s="16"/>
      <c r="Y426" s="19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41"/>
      <c r="AQ426" s="10"/>
      <c r="AR426" s="11"/>
    </row>
    <row r="427" spans="1:46" s="2" customFormat="1" ht="17.25" customHeight="1" x14ac:dyDescent="0.2">
      <c r="A427" s="23"/>
      <c r="B427" s="208" t="s">
        <v>13</v>
      </c>
      <c r="C427" s="209"/>
      <c r="D427" s="63"/>
      <c r="E427" s="64">
        <f>40+40+40+50+100+60+90+50+50+20+18+50+100+35+100+63+15+133+30+10+40+20+30+53.3+35+31+30+15+30+10+36+50+15+40+15+30+20+50+20+41+14+40+50+15+65+10+10+50+50+5+30</f>
        <v>2044.3</v>
      </c>
      <c r="F427" s="74"/>
      <c r="G427" s="74"/>
      <c r="H427" s="64">
        <f>-E427</f>
        <v>-2044.3</v>
      </c>
      <c r="I427" s="64"/>
      <c r="J427" s="64"/>
      <c r="K427" s="16"/>
      <c r="L427" s="16"/>
      <c r="M427" s="64"/>
      <c r="N427" s="16"/>
      <c r="O427" s="16"/>
      <c r="P427" s="64"/>
      <c r="Q427" s="46"/>
      <c r="R427" s="39"/>
      <c r="S427" s="40"/>
      <c r="T427" s="16"/>
      <c r="U427" s="16"/>
      <c r="V427" s="16"/>
      <c r="W427" s="16"/>
      <c r="X427" s="16"/>
      <c r="Y427" s="19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35"/>
      <c r="AQ427" s="10"/>
      <c r="AR427" s="27"/>
    </row>
    <row r="428" spans="1:46" s="2" customFormat="1" ht="17.25" customHeight="1" x14ac:dyDescent="0.2">
      <c r="A428" s="23"/>
      <c r="B428" s="201" t="s">
        <v>43</v>
      </c>
      <c r="C428" s="203"/>
      <c r="D428" s="63"/>
      <c r="E428" s="64">
        <f>100+2000+1900+1900</f>
        <v>5900</v>
      </c>
      <c r="F428" s="74"/>
      <c r="G428" s="74"/>
      <c r="H428" s="64">
        <f>-E428</f>
        <v>-5900</v>
      </c>
      <c r="I428" s="64"/>
      <c r="J428" s="64"/>
      <c r="K428" s="16"/>
      <c r="L428" s="16"/>
      <c r="M428" s="64"/>
      <c r="N428" s="16"/>
      <c r="O428" s="16"/>
      <c r="P428" s="64"/>
      <c r="Q428" s="46"/>
      <c r="R428" s="39"/>
      <c r="S428" s="40"/>
      <c r="T428" s="16"/>
      <c r="U428" s="16"/>
      <c r="V428" s="16"/>
      <c r="W428" s="16"/>
      <c r="X428" s="16"/>
      <c r="Y428" s="19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35"/>
      <c r="AQ428" s="10"/>
      <c r="AR428" s="27"/>
    </row>
    <row r="429" spans="1:46" s="2" customFormat="1" ht="17.25" customHeight="1" x14ac:dyDescent="0.2">
      <c r="A429" s="23"/>
      <c r="B429" s="201" t="s">
        <v>51</v>
      </c>
      <c r="C429" s="203"/>
      <c r="D429" s="63"/>
      <c r="E429" s="64">
        <v>1000</v>
      </c>
      <c r="F429" s="74"/>
      <c r="G429" s="74"/>
      <c r="H429" s="64">
        <f>-E429</f>
        <v>-1000</v>
      </c>
      <c r="I429" s="64"/>
      <c r="J429" s="64"/>
      <c r="K429" s="16"/>
      <c r="L429" s="16"/>
      <c r="M429" s="64"/>
      <c r="N429" s="16"/>
      <c r="O429" s="16"/>
      <c r="P429" s="64"/>
      <c r="Q429" s="46"/>
      <c r="R429" s="39"/>
      <c r="S429" s="40"/>
      <c r="T429" s="16"/>
      <c r="U429" s="16"/>
      <c r="V429" s="16"/>
      <c r="W429" s="16"/>
      <c r="X429" s="16"/>
      <c r="Y429" s="19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35"/>
      <c r="AQ429" s="10"/>
      <c r="AR429" s="27"/>
    </row>
    <row r="430" spans="1:46" s="2" customFormat="1" ht="17.25" customHeight="1" x14ac:dyDescent="0.2">
      <c r="A430" s="23"/>
      <c r="B430" s="201" t="s">
        <v>63</v>
      </c>
      <c r="C430" s="202"/>
      <c r="D430" s="63"/>
      <c r="E430" s="64">
        <v>-20</v>
      </c>
      <c r="F430" s="74"/>
      <c r="G430" s="74"/>
      <c r="H430" s="64"/>
      <c r="I430" s="64"/>
      <c r="J430" s="64"/>
      <c r="K430" s="16"/>
      <c r="L430" s="16"/>
      <c r="M430" s="64"/>
      <c r="N430" s="16"/>
      <c r="O430" s="16"/>
      <c r="P430" s="64"/>
      <c r="Q430" s="46"/>
      <c r="R430" s="39"/>
      <c r="S430" s="40"/>
      <c r="T430" s="16"/>
      <c r="U430" s="16"/>
      <c r="V430" s="16"/>
      <c r="W430" s="16"/>
      <c r="X430" s="16"/>
      <c r="Y430" s="19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35"/>
      <c r="AQ430" s="10"/>
      <c r="AR430" s="27"/>
    </row>
    <row r="431" spans="1:46" s="2" customFormat="1" ht="17.25" customHeight="1" x14ac:dyDescent="0.2">
      <c r="A431" s="23"/>
      <c r="B431" s="201" t="s">
        <v>62</v>
      </c>
      <c r="C431" s="202"/>
      <c r="D431" s="63"/>
      <c r="E431" s="64">
        <v>263.47000000000003</v>
      </c>
      <c r="F431" s="74"/>
      <c r="G431" s="74">
        <f>-E431</f>
        <v>-263.47000000000003</v>
      </c>
      <c r="H431" s="64"/>
      <c r="I431" s="64"/>
      <c r="J431" s="64"/>
      <c r="K431" s="16"/>
      <c r="L431" s="16"/>
      <c r="M431" s="64"/>
      <c r="N431" s="16"/>
      <c r="O431" s="16"/>
      <c r="P431" s="64"/>
      <c r="Q431" s="46"/>
      <c r="R431" s="39"/>
      <c r="S431" s="40"/>
      <c r="T431" s="16"/>
      <c r="U431" s="16"/>
      <c r="V431" s="16"/>
      <c r="W431" s="16"/>
      <c r="X431" s="16"/>
      <c r="Y431" s="19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35"/>
      <c r="AQ431" s="10"/>
      <c r="AR431" s="27"/>
    </row>
    <row r="432" spans="1:46" s="2" customFormat="1" ht="17.25" customHeight="1" x14ac:dyDescent="0.2">
      <c r="A432" s="23"/>
      <c r="B432" s="214"/>
      <c r="C432" s="215"/>
      <c r="D432" s="63"/>
      <c r="E432" s="64"/>
      <c r="F432" s="74"/>
      <c r="G432" s="74"/>
      <c r="H432" s="64"/>
      <c r="I432" s="64"/>
      <c r="J432" s="64"/>
      <c r="K432" s="16"/>
      <c r="L432" s="16"/>
      <c r="M432" s="64"/>
      <c r="N432" s="16"/>
      <c r="O432" s="16"/>
      <c r="P432" s="64"/>
      <c r="Q432" s="46"/>
      <c r="R432" s="39"/>
      <c r="S432" s="40"/>
      <c r="T432" s="16"/>
      <c r="U432" s="16"/>
      <c r="V432" s="16"/>
      <c r="W432" s="16"/>
      <c r="X432" s="16"/>
      <c r="Y432" s="19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35"/>
      <c r="AQ432" s="10"/>
      <c r="AR432" s="27"/>
    </row>
    <row r="433" spans="1:46" s="2" customFormat="1" ht="17.25" customHeight="1" thickBot="1" x14ac:dyDescent="0.25">
      <c r="A433" s="24"/>
      <c r="B433" s="216"/>
      <c r="C433" s="217"/>
      <c r="D433" s="83"/>
      <c r="E433" s="81"/>
      <c r="F433" s="81"/>
      <c r="G433" s="81"/>
      <c r="H433" s="81"/>
      <c r="I433" s="81"/>
      <c r="J433" s="81"/>
      <c r="K433" s="37"/>
      <c r="L433" s="93"/>
      <c r="M433" s="81"/>
      <c r="N433" s="37"/>
      <c r="O433" s="93"/>
      <c r="P433" s="81"/>
      <c r="Q433" s="40"/>
      <c r="R433" s="40"/>
      <c r="S433" s="39"/>
      <c r="T433" s="16"/>
      <c r="U433" s="16"/>
      <c r="V433" s="16"/>
      <c r="W433" s="16"/>
      <c r="X433" s="16"/>
      <c r="Y433" s="19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41"/>
      <c r="AQ433" s="10"/>
      <c r="AR433" s="11"/>
    </row>
    <row r="434" spans="1:46" s="4" customFormat="1" ht="17.25" customHeight="1" x14ac:dyDescent="0.25">
      <c r="A434" s="23"/>
      <c r="B434" s="210" t="s">
        <v>94</v>
      </c>
      <c r="C434" s="203"/>
      <c r="D434" s="66"/>
      <c r="E434" s="66"/>
      <c r="F434" s="117"/>
      <c r="G434" s="117"/>
      <c r="H434" s="66"/>
      <c r="I434" s="66"/>
      <c r="J434" s="66">
        <f>-M434</f>
        <v>6328.47</v>
      </c>
      <c r="K434" s="58">
        <v>-1093</v>
      </c>
      <c r="L434" s="89">
        <v>5.79</v>
      </c>
      <c r="M434" s="73">
        <f>K434*L434</f>
        <v>-6328.47</v>
      </c>
      <c r="N434" s="58"/>
      <c r="O434" s="89"/>
      <c r="P434" s="73"/>
      <c r="Q434" s="39"/>
      <c r="R434" s="39"/>
      <c r="S434" s="8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35"/>
      <c r="AP434" s="12" t="e">
        <f>#REF!</f>
        <v>#REF!</v>
      </c>
    </row>
    <row r="435" spans="1:46" s="4" customFormat="1" ht="17.25" customHeight="1" x14ac:dyDescent="0.25">
      <c r="A435" s="23"/>
      <c r="B435" s="201" t="s">
        <v>95</v>
      </c>
      <c r="C435" s="202"/>
      <c r="D435" s="64"/>
      <c r="E435" s="64"/>
      <c r="F435" s="117"/>
      <c r="G435" s="117"/>
      <c r="H435" s="64"/>
      <c r="I435" s="64"/>
      <c r="J435" s="64">
        <f>-P435</f>
        <v>7902.15</v>
      </c>
      <c r="K435" s="57"/>
      <c r="L435" s="88"/>
      <c r="M435" s="62"/>
      <c r="N435" s="57">
        <v>-2085</v>
      </c>
      <c r="O435" s="88">
        <v>3.79</v>
      </c>
      <c r="P435" s="62">
        <f>N435*O435</f>
        <v>-7902.15</v>
      </c>
      <c r="Q435" s="39"/>
      <c r="R435" s="39"/>
      <c r="S435" s="8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35"/>
      <c r="AP435" s="12" t="e">
        <f>#REF!</f>
        <v>#REF!</v>
      </c>
    </row>
    <row r="436" spans="1:46" s="4" customFormat="1" ht="17.25" customHeight="1" x14ac:dyDescent="0.25">
      <c r="A436" s="23"/>
      <c r="B436" s="201" t="s">
        <v>97</v>
      </c>
      <c r="C436" s="203"/>
      <c r="D436" s="64"/>
      <c r="E436" s="64"/>
      <c r="F436" s="64"/>
      <c r="G436" s="64"/>
      <c r="H436" s="64">
        <f>-J436-I436</f>
        <v>5378.65</v>
      </c>
      <c r="I436" s="64">
        <v>8851.9699999999993</v>
      </c>
      <c r="J436" s="64">
        <f>-SUM(J434:J435)</f>
        <v>-14230.619999999999</v>
      </c>
      <c r="K436" s="57"/>
      <c r="L436" s="88"/>
      <c r="M436" s="62"/>
      <c r="N436" s="57"/>
      <c r="O436" s="88"/>
      <c r="P436" s="62"/>
      <c r="Q436" s="39"/>
      <c r="R436" s="39"/>
      <c r="S436" s="39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22"/>
      <c r="AO436" s="43">
        <f>A410</f>
        <v>0</v>
      </c>
      <c r="AP436" s="12" t="e">
        <f>#REF!</f>
        <v>#REF!</v>
      </c>
      <c r="AT436" s="2"/>
    </row>
    <row r="437" spans="1:46" s="4" customFormat="1" ht="17.25" customHeight="1" x14ac:dyDescent="0.25">
      <c r="A437" s="23"/>
      <c r="B437" s="201" t="s">
        <v>93</v>
      </c>
      <c r="C437" s="202"/>
      <c r="D437" s="64"/>
      <c r="E437" s="64"/>
      <c r="F437" s="64"/>
      <c r="G437" s="64"/>
      <c r="H437" s="64"/>
      <c r="I437" s="64"/>
      <c r="J437" s="64"/>
      <c r="K437" s="57">
        <v>98</v>
      </c>
      <c r="L437" s="88"/>
      <c r="M437" s="118">
        <f>(K440*L423)-M423-M434</f>
        <v>1376.4225980128895</v>
      </c>
      <c r="N437" s="57">
        <v>-22</v>
      </c>
      <c r="O437" s="88"/>
      <c r="P437" s="118">
        <f>(N440*O423)-P423-P435</f>
        <v>461.18022861981262</v>
      </c>
      <c r="Q437" s="39"/>
      <c r="R437" s="39"/>
      <c r="S437" s="39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22"/>
      <c r="AO437" s="43">
        <f>A417</f>
        <v>0</v>
      </c>
      <c r="AP437" s="12" t="e">
        <f>#REF!</f>
        <v>#REF!</v>
      </c>
      <c r="AT437" s="2"/>
    </row>
    <row r="438" spans="1:46" s="2" customFormat="1" ht="17.25" customHeight="1" x14ac:dyDescent="0.2">
      <c r="A438" s="24"/>
      <c r="B438" s="201"/>
      <c r="C438" s="204"/>
      <c r="D438" s="63"/>
      <c r="E438" s="64"/>
      <c r="F438" s="64"/>
      <c r="G438" s="64"/>
      <c r="H438" s="64"/>
      <c r="I438" s="64"/>
      <c r="J438" s="64"/>
      <c r="K438" s="16"/>
      <c r="L438" s="16"/>
      <c r="M438" s="64"/>
      <c r="N438" s="16"/>
      <c r="O438" s="16"/>
      <c r="P438" s="64"/>
      <c r="Q438" s="46"/>
      <c r="R438" s="46"/>
      <c r="S438" s="39"/>
      <c r="T438" s="16"/>
      <c r="U438" s="16"/>
      <c r="V438" s="16"/>
      <c r="W438" s="16"/>
      <c r="X438" s="16"/>
      <c r="Y438" s="19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43">
        <f>A424</f>
        <v>45929</v>
      </c>
      <c r="AQ438" s="10"/>
      <c r="AR438" s="11"/>
    </row>
    <row r="439" spans="1:46" s="2" customFormat="1" ht="17.25" customHeight="1" thickBot="1" x14ac:dyDescent="0.3">
      <c r="A439" s="56"/>
      <c r="B439" s="101" t="s">
        <v>102</v>
      </c>
      <c r="C439" s="102">
        <f>D440+E440+F440+G440+H440+I440+J440+M440+P440</f>
        <v>72784.399999999965</v>
      </c>
      <c r="D439" s="84"/>
      <c r="E439" s="85"/>
      <c r="F439" s="85"/>
      <c r="G439" s="85"/>
      <c r="H439" s="85"/>
      <c r="I439" s="85"/>
      <c r="J439" s="85"/>
      <c r="K439" s="28"/>
      <c r="L439" s="28"/>
      <c r="M439" s="85"/>
      <c r="N439" s="28"/>
      <c r="O439" s="28"/>
      <c r="P439" s="85"/>
      <c r="Q439" s="48"/>
      <c r="R439" s="48"/>
      <c r="S439" s="51"/>
      <c r="T439" s="28"/>
      <c r="U439" s="28"/>
      <c r="V439" s="28"/>
      <c r="W439" s="28"/>
      <c r="X439" s="28"/>
      <c r="Y439" s="36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42">
        <f>SUM($Q423:AN439)</f>
        <v>-367127.88</v>
      </c>
      <c r="AQ439" s="10"/>
      <c r="AR439" s="11"/>
      <c r="AS439" s="2" t="s">
        <v>5</v>
      </c>
    </row>
    <row r="440" spans="1:46" s="2" customFormat="1" ht="17.25" customHeight="1" thickTop="1" thickBot="1" x14ac:dyDescent="0.3">
      <c r="A440" s="103"/>
      <c r="B440" s="104" t="s">
        <v>103</v>
      </c>
      <c r="C440" s="105">
        <f>AO440</f>
        <v>-294343.48000000004</v>
      </c>
      <c r="D440" s="106">
        <f t="shared" ref="D440:K440" si="49">SUM(D423:D439)</f>
        <v>11478.419999999987</v>
      </c>
      <c r="E440" s="107">
        <f t="shared" si="49"/>
        <v>-21477.920000000016</v>
      </c>
      <c r="F440" s="107">
        <f t="shared" si="49"/>
        <v>649.16</v>
      </c>
      <c r="G440" s="107">
        <f t="shared" si="49"/>
        <v>1636.53</v>
      </c>
      <c r="H440" s="107">
        <f t="shared" si="49"/>
        <v>17775.770000000004</v>
      </c>
      <c r="I440" s="107">
        <f t="shared" si="49"/>
        <v>8851.9699999999993</v>
      </c>
      <c r="J440" s="107">
        <f t="shared" si="49"/>
        <v>0</v>
      </c>
      <c r="K440" s="108">
        <f t="shared" si="49"/>
        <v>6453</v>
      </c>
      <c r="L440" s="109">
        <f>M440/K440</f>
        <v>4.9769316596931663</v>
      </c>
      <c r="M440" s="107">
        <f>ROUND(SUM(M423:M439),2)</f>
        <v>32116.14</v>
      </c>
      <c r="N440" s="108">
        <f>SUM(N423:N439)</f>
        <v>6160</v>
      </c>
      <c r="O440" s="109">
        <f>P440/N440</f>
        <v>3.5315470779220783</v>
      </c>
      <c r="P440" s="107">
        <f>ROUND(SUM(P423:P439),2)</f>
        <v>21754.33</v>
      </c>
      <c r="Q440" s="110">
        <f t="shared" ref="Q440:AN440" si="50">SUM(Q423:Q439)</f>
        <v>-248820</v>
      </c>
      <c r="R440" s="107">
        <f t="shared" si="50"/>
        <v>7865.57</v>
      </c>
      <c r="S440" s="107">
        <f t="shared" si="50"/>
        <v>0</v>
      </c>
      <c r="T440" s="107">
        <f t="shared" si="50"/>
        <v>-16073.45</v>
      </c>
      <c r="U440" s="107">
        <f t="shared" si="50"/>
        <v>0</v>
      </c>
      <c r="V440" s="107">
        <f t="shared" si="50"/>
        <v>-110100</v>
      </c>
      <c r="W440" s="107">
        <f t="shared" si="50"/>
        <v>0</v>
      </c>
      <c r="X440" s="107">
        <f t="shared" si="50"/>
        <v>0</v>
      </c>
      <c r="Y440" s="107">
        <f t="shared" si="50"/>
        <v>0</v>
      </c>
      <c r="Z440" s="107">
        <f t="shared" si="50"/>
        <v>0</v>
      </c>
      <c r="AA440" s="107">
        <f t="shared" si="50"/>
        <v>0</v>
      </c>
      <c r="AB440" s="107">
        <f t="shared" si="50"/>
        <v>0</v>
      </c>
      <c r="AC440" s="107">
        <f t="shared" si="50"/>
        <v>0</v>
      </c>
      <c r="AD440" s="107">
        <f t="shared" si="50"/>
        <v>0</v>
      </c>
      <c r="AE440" s="107">
        <f t="shared" si="50"/>
        <v>0</v>
      </c>
      <c r="AF440" s="107">
        <f t="shared" si="50"/>
        <v>0</v>
      </c>
      <c r="AG440" s="107">
        <f t="shared" si="50"/>
        <v>0</v>
      </c>
      <c r="AH440" s="107">
        <f t="shared" si="50"/>
        <v>0</v>
      </c>
      <c r="AI440" s="107">
        <f t="shared" si="50"/>
        <v>0</v>
      </c>
      <c r="AJ440" s="107">
        <f t="shared" si="50"/>
        <v>0</v>
      </c>
      <c r="AK440" s="107">
        <f t="shared" si="50"/>
        <v>0</v>
      </c>
      <c r="AL440" s="107">
        <f t="shared" si="50"/>
        <v>0</v>
      </c>
      <c r="AM440" s="107">
        <f t="shared" si="50"/>
        <v>0</v>
      </c>
      <c r="AN440" s="107">
        <f t="shared" si="50"/>
        <v>0</v>
      </c>
      <c r="AO440" s="111">
        <f>D440+E440+F440+G440+H440+I440+J440+M440+P440+SUM(Q440:AN440)</f>
        <v>-294343.48000000004</v>
      </c>
      <c r="AP440" s="4"/>
      <c r="AQ440" s="5"/>
      <c r="AR440" s="5"/>
      <c r="AS440" s="2" t="s">
        <v>6</v>
      </c>
    </row>
    <row r="441" spans="1:46" s="2" customFormat="1" ht="17.25" customHeight="1" thickTop="1" x14ac:dyDescent="0.25">
      <c r="A441" s="23">
        <f>A424+1</f>
        <v>45930</v>
      </c>
      <c r="B441" s="210" t="s">
        <v>64</v>
      </c>
      <c r="C441" s="203"/>
      <c r="D441" s="63">
        <v>8651.9599999999991</v>
      </c>
      <c r="E441" s="66"/>
      <c r="F441" s="66"/>
      <c r="G441" s="66"/>
      <c r="H441" s="66"/>
      <c r="I441" s="66">
        <f>-D441</f>
        <v>-8651.9599999999991</v>
      </c>
      <c r="J441" s="66"/>
      <c r="K441" s="18"/>
      <c r="L441" s="18"/>
      <c r="M441" s="66"/>
      <c r="N441" s="18"/>
      <c r="O441" s="18"/>
      <c r="P441" s="66"/>
      <c r="Q441" s="46"/>
      <c r="R441" s="46"/>
      <c r="S441" s="45"/>
      <c r="T441" s="18"/>
      <c r="U441" s="18"/>
      <c r="V441" s="18"/>
      <c r="W441" s="18"/>
      <c r="X441" s="18"/>
      <c r="Y441" s="14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31"/>
      <c r="AQ441" s="10"/>
      <c r="AR441" s="27"/>
    </row>
    <row r="442" spans="1:46" s="4" customFormat="1" ht="17.25" customHeight="1" x14ac:dyDescent="0.25">
      <c r="A442" s="23"/>
      <c r="B442" s="201" t="s">
        <v>96</v>
      </c>
      <c r="C442" s="202"/>
      <c r="D442" s="63"/>
      <c r="E442" s="64"/>
      <c r="F442" s="64"/>
      <c r="G442" s="64"/>
      <c r="H442" s="64"/>
      <c r="I442" s="117">
        <f>-I440-I441</f>
        <v>-200.01000000000022</v>
      </c>
      <c r="J442" s="64"/>
      <c r="K442" s="16"/>
      <c r="L442" s="92"/>
      <c r="M442" s="64"/>
      <c r="N442" s="16"/>
      <c r="O442" s="92"/>
      <c r="P442" s="64"/>
      <c r="Q442" s="40"/>
      <c r="R442" s="46"/>
      <c r="S442" s="39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22"/>
      <c r="AP442" s="30"/>
    </row>
    <row r="443" spans="1:46" s="2" customFormat="1" ht="17.25" customHeight="1" x14ac:dyDescent="0.2">
      <c r="A443" s="23"/>
      <c r="B443" s="201" t="s">
        <v>72</v>
      </c>
      <c r="C443" s="203"/>
      <c r="D443" s="63"/>
      <c r="E443" s="64"/>
      <c r="F443" s="74"/>
      <c r="G443" s="74"/>
      <c r="H443" s="64"/>
      <c r="I443" s="64"/>
      <c r="J443" s="64"/>
      <c r="K443" s="16"/>
      <c r="L443" s="16"/>
      <c r="M443" s="64"/>
      <c r="N443" s="16"/>
      <c r="O443" s="16"/>
      <c r="P443" s="64"/>
      <c r="Q443" s="46"/>
      <c r="R443" s="39"/>
      <c r="S443" s="40"/>
      <c r="T443" s="16"/>
      <c r="U443" s="16"/>
      <c r="V443" s="16"/>
      <c r="W443" s="16"/>
      <c r="X443" s="16"/>
      <c r="Y443" s="19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35"/>
      <c r="AQ443" s="10"/>
      <c r="AR443" s="27"/>
    </row>
    <row r="444" spans="1:46" s="2" customFormat="1" ht="17.25" customHeight="1" x14ac:dyDescent="0.2">
      <c r="A444" s="23"/>
      <c r="B444" s="208" t="s">
        <v>13</v>
      </c>
      <c r="C444" s="209"/>
      <c r="D444" s="63"/>
      <c r="E444" s="64">
        <f>50+22+20+50+20+30+15+135.5+36+80+20+30+70+30+50+50+10+144.1+50+50+20+20+20+28.95+13.5+15+50+50+26+20</f>
        <v>1226.05</v>
      </c>
      <c r="F444" s="74"/>
      <c r="G444" s="74"/>
      <c r="H444" s="64">
        <f>-E444</f>
        <v>-1226.05</v>
      </c>
      <c r="I444" s="64"/>
      <c r="J444" s="64"/>
      <c r="K444" s="16"/>
      <c r="L444" s="16"/>
      <c r="M444" s="64"/>
      <c r="N444" s="16"/>
      <c r="O444" s="16"/>
      <c r="P444" s="64"/>
      <c r="Q444" s="46"/>
      <c r="R444" s="39"/>
      <c r="S444" s="40"/>
      <c r="T444" s="16"/>
      <c r="U444" s="16"/>
      <c r="V444" s="16"/>
      <c r="W444" s="16"/>
      <c r="X444" s="16"/>
      <c r="Y444" s="19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35"/>
      <c r="AQ444" s="10"/>
      <c r="AR444" s="27"/>
    </row>
    <row r="445" spans="1:46" s="2" customFormat="1" ht="17.25" customHeight="1" x14ac:dyDescent="0.2">
      <c r="A445" s="23"/>
      <c r="B445" s="214"/>
      <c r="C445" s="215"/>
      <c r="D445" s="63"/>
      <c r="E445" s="64"/>
      <c r="F445" s="74"/>
      <c r="G445" s="74"/>
      <c r="H445" s="64"/>
      <c r="I445" s="64"/>
      <c r="J445" s="64"/>
      <c r="K445" s="16"/>
      <c r="L445" s="16"/>
      <c r="M445" s="64"/>
      <c r="N445" s="16"/>
      <c r="O445" s="16"/>
      <c r="P445" s="64"/>
      <c r="Q445" s="46"/>
      <c r="R445" s="39"/>
      <c r="S445" s="40"/>
      <c r="T445" s="16"/>
      <c r="U445" s="16"/>
      <c r="V445" s="16"/>
      <c r="W445" s="16"/>
      <c r="X445" s="16"/>
      <c r="Y445" s="19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35"/>
      <c r="AQ445" s="10"/>
      <c r="AR445" s="27"/>
    </row>
    <row r="446" spans="1:46" s="2" customFormat="1" ht="17.25" customHeight="1" x14ac:dyDescent="0.2">
      <c r="A446" s="23"/>
      <c r="B446" s="201" t="s">
        <v>168</v>
      </c>
      <c r="C446" s="204"/>
      <c r="D446" s="63"/>
      <c r="E446" s="64"/>
      <c r="F446" s="74"/>
      <c r="G446" s="74"/>
      <c r="H446" s="64">
        <v>-12222.84</v>
      </c>
      <c r="I446" s="64"/>
      <c r="J446" s="64"/>
      <c r="K446" s="16"/>
      <c r="L446" s="16"/>
      <c r="M446" s="64"/>
      <c r="N446" s="16"/>
      <c r="O446" s="16"/>
      <c r="P446" s="64"/>
      <c r="Q446" s="46"/>
      <c r="R446" s="39"/>
      <c r="S446" s="40"/>
      <c r="T446" s="16"/>
      <c r="U446" s="16"/>
      <c r="V446" s="16"/>
      <c r="W446" s="16"/>
      <c r="X446" s="16"/>
      <c r="Y446" s="19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35"/>
      <c r="AQ446" s="10"/>
      <c r="AR446" s="27"/>
    </row>
    <row r="447" spans="1:46" s="2" customFormat="1" ht="17.25" customHeight="1" x14ac:dyDescent="0.2">
      <c r="A447" s="23"/>
      <c r="B447" s="201" t="s">
        <v>169</v>
      </c>
      <c r="C447" s="204"/>
      <c r="D447" s="63"/>
      <c r="E447" s="64"/>
      <c r="F447" s="74"/>
      <c r="G447" s="74"/>
      <c r="H447" s="64">
        <v>-6500</v>
      </c>
      <c r="I447" s="64"/>
      <c r="J447" s="64"/>
      <c r="K447" s="16"/>
      <c r="L447" s="16"/>
      <c r="M447" s="64"/>
      <c r="N447" s="16"/>
      <c r="O447" s="16"/>
      <c r="P447" s="64"/>
      <c r="Q447" s="46"/>
      <c r="R447" s="39"/>
      <c r="S447" s="40"/>
      <c r="T447" s="16"/>
      <c r="U447" s="16"/>
      <c r="V447" s="16"/>
      <c r="W447" s="16"/>
      <c r="X447" s="16"/>
      <c r="Y447" s="19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35"/>
      <c r="AQ447" s="10"/>
      <c r="AR447" s="27"/>
    </row>
    <row r="448" spans="1:46" s="2" customFormat="1" ht="17.25" customHeight="1" x14ac:dyDescent="0.2">
      <c r="A448" s="23"/>
      <c r="B448" s="201" t="s">
        <v>170</v>
      </c>
      <c r="C448" s="204"/>
      <c r="D448" s="63"/>
      <c r="E448" s="64"/>
      <c r="F448" s="74"/>
      <c r="G448" s="74"/>
      <c r="H448" s="64">
        <v>-1920</v>
      </c>
      <c r="I448" s="64"/>
      <c r="J448" s="64"/>
      <c r="K448" s="16"/>
      <c r="L448" s="16"/>
      <c r="M448" s="64"/>
      <c r="N448" s="16"/>
      <c r="O448" s="16"/>
      <c r="P448" s="64"/>
      <c r="Q448" s="46"/>
      <c r="R448" s="39"/>
      <c r="S448" s="40"/>
      <c r="T448" s="16"/>
      <c r="U448" s="16"/>
      <c r="V448" s="16"/>
      <c r="W448" s="16"/>
      <c r="X448" s="16"/>
      <c r="Y448" s="19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35"/>
      <c r="AQ448" s="10"/>
      <c r="AR448" s="27"/>
    </row>
    <row r="449" spans="1:46" s="2" customFormat="1" ht="17.25" customHeight="1" x14ac:dyDescent="0.2">
      <c r="A449" s="23"/>
      <c r="B449" s="201" t="s">
        <v>171</v>
      </c>
      <c r="C449" s="204"/>
      <c r="D449" s="63"/>
      <c r="E449" s="64"/>
      <c r="F449" s="74"/>
      <c r="G449" s="74"/>
      <c r="H449" s="64">
        <v>-600</v>
      </c>
      <c r="I449" s="64"/>
      <c r="J449" s="64"/>
      <c r="K449" s="16"/>
      <c r="L449" s="16"/>
      <c r="M449" s="64"/>
      <c r="N449" s="16"/>
      <c r="O449" s="16"/>
      <c r="P449" s="64"/>
      <c r="Q449" s="46"/>
      <c r="R449" s="39"/>
      <c r="S449" s="40"/>
      <c r="T449" s="16"/>
      <c r="U449" s="16"/>
      <c r="V449" s="16"/>
      <c r="W449" s="16"/>
      <c r="X449" s="16"/>
      <c r="Y449" s="19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35"/>
      <c r="AQ449" s="10"/>
      <c r="AR449" s="27"/>
    </row>
    <row r="450" spans="1:46" s="2" customFormat="1" ht="17.25" customHeight="1" x14ac:dyDescent="0.2">
      <c r="A450" s="23"/>
      <c r="B450" s="201" t="s">
        <v>172</v>
      </c>
      <c r="C450" s="204"/>
      <c r="D450" s="63"/>
      <c r="E450" s="64"/>
      <c r="F450" s="74"/>
      <c r="G450" s="74"/>
      <c r="H450" s="64">
        <v>-480</v>
      </c>
      <c r="I450" s="64"/>
      <c r="J450" s="64"/>
      <c r="K450" s="16"/>
      <c r="L450" s="16"/>
      <c r="M450" s="64"/>
      <c r="N450" s="16"/>
      <c r="O450" s="16"/>
      <c r="P450" s="64"/>
      <c r="Q450" s="46"/>
      <c r="R450" s="39"/>
      <c r="S450" s="40"/>
      <c r="T450" s="16"/>
      <c r="U450" s="16"/>
      <c r="V450" s="16"/>
      <c r="W450" s="16"/>
      <c r="X450" s="16"/>
      <c r="Y450" s="19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35"/>
      <c r="AQ450" s="10"/>
      <c r="AR450" s="27"/>
    </row>
    <row r="451" spans="1:46" s="2" customFormat="1" ht="17.25" customHeight="1" thickBot="1" x14ac:dyDescent="0.25">
      <c r="A451" s="24"/>
      <c r="B451" s="216"/>
      <c r="C451" s="217"/>
      <c r="D451" s="83"/>
      <c r="E451" s="81"/>
      <c r="F451" s="81"/>
      <c r="G451" s="81"/>
      <c r="H451" s="81"/>
      <c r="I451" s="81"/>
      <c r="J451" s="81"/>
      <c r="K451" s="37"/>
      <c r="L451" s="93"/>
      <c r="M451" s="81"/>
      <c r="N451" s="37"/>
      <c r="O451" s="93"/>
      <c r="P451" s="81"/>
      <c r="Q451" s="40"/>
      <c r="R451" s="40"/>
      <c r="S451" s="39"/>
      <c r="T451" s="16"/>
      <c r="U451" s="16"/>
      <c r="V451" s="16"/>
      <c r="W451" s="16"/>
      <c r="X451" s="16"/>
      <c r="Y451" s="19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41"/>
      <c r="AQ451" s="10"/>
      <c r="AR451" s="11"/>
    </row>
    <row r="452" spans="1:46" s="4" customFormat="1" ht="17.25" customHeight="1" x14ac:dyDescent="0.25">
      <c r="A452" s="23"/>
      <c r="B452" s="210" t="s">
        <v>94</v>
      </c>
      <c r="C452" s="203"/>
      <c r="D452" s="66"/>
      <c r="E452" s="66"/>
      <c r="F452" s="117"/>
      <c r="G452" s="117"/>
      <c r="H452" s="66"/>
      <c r="I452" s="66"/>
      <c r="J452" s="66">
        <f>-M452</f>
        <v>7613.85</v>
      </c>
      <c r="K452" s="58">
        <v>-1315</v>
      </c>
      <c r="L452" s="89">
        <v>5.79</v>
      </c>
      <c r="M452" s="73">
        <f>K452*L452</f>
        <v>-7613.85</v>
      </c>
      <c r="N452" s="58"/>
      <c r="O452" s="89"/>
      <c r="P452" s="73"/>
      <c r="Q452" s="39"/>
      <c r="R452" s="39"/>
      <c r="S452" s="8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35"/>
      <c r="AP452" s="12" t="e">
        <f>#REF!</f>
        <v>#REF!</v>
      </c>
    </row>
    <row r="453" spans="1:46" s="4" customFormat="1" ht="17.25" customHeight="1" x14ac:dyDescent="0.25">
      <c r="A453" s="23"/>
      <c r="B453" s="201" t="s">
        <v>95</v>
      </c>
      <c r="C453" s="202"/>
      <c r="D453" s="64"/>
      <c r="E453" s="64"/>
      <c r="F453" s="117"/>
      <c r="G453" s="117"/>
      <c r="H453" s="64"/>
      <c r="I453" s="64"/>
      <c r="J453" s="64">
        <f>-P453</f>
        <v>8705.6299999999992</v>
      </c>
      <c r="K453" s="57"/>
      <c r="L453" s="88"/>
      <c r="M453" s="62"/>
      <c r="N453" s="57">
        <v>-2297</v>
      </c>
      <c r="O453" s="88">
        <v>3.79</v>
      </c>
      <c r="P453" s="62">
        <f>N453*O453</f>
        <v>-8705.6299999999992</v>
      </c>
      <c r="Q453" s="39"/>
      <c r="R453" s="39"/>
      <c r="S453" s="8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35"/>
      <c r="AP453" s="12" t="e">
        <f>#REF!</f>
        <v>#REF!</v>
      </c>
    </row>
    <row r="454" spans="1:46" s="4" customFormat="1" ht="17.25" customHeight="1" x14ac:dyDescent="0.25">
      <c r="A454" s="23"/>
      <c r="B454" s="201" t="s">
        <v>97</v>
      </c>
      <c r="C454" s="203"/>
      <c r="D454" s="64"/>
      <c r="E454" s="64"/>
      <c r="F454" s="64"/>
      <c r="G454" s="64"/>
      <c r="H454" s="64">
        <f>-J454-I454</f>
        <v>5140.4399999999987</v>
      </c>
      <c r="I454" s="64">
        <v>11179.04</v>
      </c>
      <c r="J454" s="64">
        <f>-SUM(J452:J453)</f>
        <v>-16319.48</v>
      </c>
      <c r="K454" s="57"/>
      <c r="L454" s="88"/>
      <c r="M454" s="62"/>
      <c r="N454" s="57"/>
      <c r="O454" s="88"/>
      <c r="P454" s="62"/>
      <c r="Q454" s="39"/>
      <c r="R454" s="39"/>
      <c r="S454" s="39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22"/>
      <c r="AO454" s="43">
        <f>A420</f>
        <v>0</v>
      </c>
      <c r="AP454" s="12" t="e">
        <f>#REF!</f>
        <v>#REF!</v>
      </c>
      <c r="AT454" s="2"/>
    </row>
    <row r="455" spans="1:46" s="4" customFormat="1" ht="17.25" customHeight="1" x14ac:dyDescent="0.25">
      <c r="A455" s="23"/>
      <c r="B455" s="201" t="s">
        <v>93</v>
      </c>
      <c r="C455" s="202"/>
      <c r="D455" s="64"/>
      <c r="E455" s="64"/>
      <c r="F455" s="64"/>
      <c r="G455" s="64"/>
      <c r="H455" s="64"/>
      <c r="I455" s="64"/>
      <c r="J455" s="64"/>
      <c r="K455" s="57">
        <v>-43</v>
      </c>
      <c r="L455" s="88"/>
      <c r="M455" s="118">
        <f>(K458*L440)-M440-M452</f>
        <v>855.17680613668381</v>
      </c>
      <c r="N455" s="57">
        <v>106</v>
      </c>
      <c r="O455" s="88"/>
      <c r="P455" s="118">
        <f>(N458*O440)-P440-P453</f>
        <v>968.01035227272587</v>
      </c>
      <c r="Q455" s="39"/>
      <c r="R455" s="39"/>
      <c r="S455" s="39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22"/>
      <c r="AO455" s="43">
        <f>A434</f>
        <v>0</v>
      </c>
      <c r="AP455" s="12" t="e">
        <f>#REF!</f>
        <v>#REF!</v>
      </c>
      <c r="AT455" s="2"/>
    </row>
    <row r="456" spans="1:46" s="2" customFormat="1" ht="17.25" customHeight="1" x14ac:dyDescent="0.2">
      <c r="A456" s="24"/>
      <c r="B456" s="201"/>
      <c r="C456" s="204"/>
      <c r="D456" s="63"/>
      <c r="E456" s="64"/>
      <c r="F456" s="64"/>
      <c r="G456" s="64"/>
      <c r="H456" s="64"/>
      <c r="I456" s="64"/>
      <c r="J456" s="64"/>
      <c r="K456" s="16"/>
      <c r="L456" s="16"/>
      <c r="M456" s="64"/>
      <c r="N456" s="16"/>
      <c r="O456" s="16"/>
      <c r="P456" s="64"/>
      <c r="Q456" s="46"/>
      <c r="R456" s="46"/>
      <c r="S456" s="39"/>
      <c r="T456" s="16"/>
      <c r="U456" s="16"/>
      <c r="V456" s="16"/>
      <c r="W456" s="16"/>
      <c r="X456" s="16"/>
      <c r="Y456" s="19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43">
        <f>A441</f>
        <v>45930</v>
      </c>
      <c r="AQ456" s="10"/>
      <c r="AR456" s="11"/>
    </row>
    <row r="457" spans="1:46" s="2" customFormat="1" ht="17.25" customHeight="1" thickBot="1" x14ac:dyDescent="0.3">
      <c r="A457" s="56"/>
      <c r="B457" s="101" t="s">
        <v>102</v>
      </c>
      <c r="C457" s="102">
        <f>D458+E458+F458+G458+H458+I458+J458+M458+P458</f>
        <v>52684.739999999976</v>
      </c>
      <c r="D457" s="84"/>
      <c r="E457" s="85"/>
      <c r="F457" s="85"/>
      <c r="G457" s="85"/>
      <c r="H457" s="85"/>
      <c r="I457" s="85"/>
      <c r="J457" s="85"/>
      <c r="K457" s="28"/>
      <c r="L457" s="28"/>
      <c r="M457" s="85"/>
      <c r="N457" s="28"/>
      <c r="O457" s="28"/>
      <c r="P457" s="85"/>
      <c r="Q457" s="48"/>
      <c r="R457" s="48"/>
      <c r="S457" s="51"/>
      <c r="T457" s="28"/>
      <c r="U457" s="28"/>
      <c r="V457" s="28"/>
      <c r="W457" s="28"/>
      <c r="X457" s="28"/>
      <c r="Y457" s="36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42">
        <f>SUM($Q440:AN457)</f>
        <v>-367127.88</v>
      </c>
      <c r="AQ457" s="10"/>
      <c r="AR457" s="11"/>
      <c r="AS457" s="2" t="s">
        <v>5</v>
      </c>
    </row>
    <row r="458" spans="1:46" s="2" customFormat="1" ht="17.25" customHeight="1" thickTop="1" thickBot="1" x14ac:dyDescent="0.3">
      <c r="A458" s="103"/>
      <c r="B458" s="104" t="s">
        <v>103</v>
      </c>
      <c r="C458" s="105">
        <f>AO458</f>
        <v>-314443.14</v>
      </c>
      <c r="D458" s="106">
        <f t="shared" ref="D458:K458" si="51">SUM(D440:D457)</f>
        <v>20130.379999999986</v>
      </c>
      <c r="E458" s="107">
        <f t="shared" si="51"/>
        <v>-20251.870000000017</v>
      </c>
      <c r="F458" s="107">
        <f t="shared" si="51"/>
        <v>649.16</v>
      </c>
      <c r="G458" s="107">
        <f t="shared" si="51"/>
        <v>1636.53</v>
      </c>
      <c r="H458" s="107">
        <f t="shared" si="51"/>
        <v>-32.679999999996653</v>
      </c>
      <c r="I458" s="107">
        <f t="shared" si="51"/>
        <v>11179.04</v>
      </c>
      <c r="J458" s="107">
        <f t="shared" si="51"/>
        <v>0</v>
      </c>
      <c r="K458" s="108">
        <f t="shared" si="51"/>
        <v>5095</v>
      </c>
      <c r="L458" s="109">
        <f>M458/K458</f>
        <v>4.9769322865554466</v>
      </c>
      <c r="M458" s="107">
        <f>ROUND(SUM(M440:M457),2)</f>
        <v>25357.47</v>
      </c>
      <c r="N458" s="108">
        <f>SUM(N440:N457)</f>
        <v>3969</v>
      </c>
      <c r="O458" s="109">
        <f>P458/N458</f>
        <v>3.5315469891660367</v>
      </c>
      <c r="P458" s="107">
        <f>ROUND(SUM(P440:P457),2)</f>
        <v>14016.71</v>
      </c>
      <c r="Q458" s="110">
        <f t="shared" ref="Q458:AN458" si="52">SUM(Q440:Q457)</f>
        <v>-248820</v>
      </c>
      <c r="R458" s="107">
        <f t="shared" si="52"/>
        <v>7865.57</v>
      </c>
      <c r="S458" s="107">
        <f t="shared" si="52"/>
        <v>0</v>
      </c>
      <c r="T458" s="107">
        <f t="shared" si="52"/>
        <v>-16073.45</v>
      </c>
      <c r="U458" s="107">
        <f t="shared" si="52"/>
        <v>0</v>
      </c>
      <c r="V458" s="107">
        <f t="shared" si="52"/>
        <v>-110100</v>
      </c>
      <c r="W458" s="107">
        <f t="shared" si="52"/>
        <v>0</v>
      </c>
      <c r="X458" s="107">
        <f t="shared" si="52"/>
        <v>0</v>
      </c>
      <c r="Y458" s="107">
        <f t="shared" si="52"/>
        <v>0</v>
      </c>
      <c r="Z458" s="107">
        <f t="shared" si="52"/>
        <v>0</v>
      </c>
      <c r="AA458" s="107">
        <f t="shared" si="52"/>
        <v>0</v>
      </c>
      <c r="AB458" s="107">
        <f t="shared" si="52"/>
        <v>0</v>
      </c>
      <c r="AC458" s="107">
        <f t="shared" si="52"/>
        <v>0</v>
      </c>
      <c r="AD458" s="107">
        <f t="shared" si="52"/>
        <v>0</v>
      </c>
      <c r="AE458" s="107">
        <f t="shared" si="52"/>
        <v>0</v>
      </c>
      <c r="AF458" s="107">
        <f t="shared" si="52"/>
        <v>0</v>
      </c>
      <c r="AG458" s="107">
        <f t="shared" si="52"/>
        <v>0</v>
      </c>
      <c r="AH458" s="107">
        <f t="shared" si="52"/>
        <v>0</v>
      </c>
      <c r="AI458" s="107">
        <f t="shared" si="52"/>
        <v>0</v>
      </c>
      <c r="AJ458" s="107">
        <f t="shared" si="52"/>
        <v>0</v>
      </c>
      <c r="AK458" s="107">
        <f t="shared" si="52"/>
        <v>0</v>
      </c>
      <c r="AL458" s="107">
        <f t="shared" si="52"/>
        <v>0</v>
      </c>
      <c r="AM458" s="107">
        <f t="shared" si="52"/>
        <v>0</v>
      </c>
      <c r="AN458" s="107">
        <f t="shared" si="52"/>
        <v>0</v>
      </c>
      <c r="AO458" s="111">
        <f>D458+E458+F458+G458+H458+I458+J458+M458+P458+SUM(Q458:AN458)</f>
        <v>-314443.14</v>
      </c>
      <c r="AP458" s="4"/>
      <c r="AQ458" s="5"/>
      <c r="AR458" s="5"/>
      <c r="AS458" s="2" t="s">
        <v>6</v>
      </c>
    </row>
    <row r="459" spans="1:46" ht="17.25" customHeight="1" thickTop="1" x14ac:dyDescent="0.25">
      <c r="A459" s="127"/>
      <c r="B459" s="125"/>
      <c r="C459" s="125"/>
      <c r="D459" s="128"/>
      <c r="E459" s="128"/>
      <c r="F459" s="128"/>
      <c r="G459" s="128"/>
      <c r="H459" s="128"/>
      <c r="I459" s="128"/>
      <c r="J459" s="128"/>
    </row>
    <row r="460" spans="1:46" ht="17.25" customHeight="1" x14ac:dyDescent="0.25">
      <c r="A460" s="127"/>
      <c r="B460" s="131" t="s">
        <v>150</v>
      </c>
      <c r="C460" s="126">
        <f>N466</f>
        <v>38626.557900230298</v>
      </c>
      <c r="D460" s="128"/>
      <c r="E460" s="218" t="s">
        <v>155</v>
      </c>
      <c r="F460" s="218"/>
      <c r="G460" s="218"/>
      <c r="H460" s="213">
        <f>E8</f>
        <v>-3214.6899999999996</v>
      </c>
      <c r="I460" s="213"/>
      <c r="J460" s="129"/>
      <c r="K460" s="219" t="s">
        <v>87</v>
      </c>
      <c r="L460" s="220"/>
      <c r="M460" s="221"/>
      <c r="N460" s="223" t="s">
        <v>88</v>
      </c>
      <c r="O460" s="224"/>
      <c r="P460" s="225"/>
      <c r="R460" s="121"/>
    </row>
    <row r="461" spans="1:46" ht="17.25" customHeight="1" x14ac:dyDescent="0.25">
      <c r="A461" s="127"/>
      <c r="B461" s="131" t="s">
        <v>151</v>
      </c>
      <c r="C461" s="126">
        <f>I4+I30+I45+I59+I76+I96+I113+I136+I148+I161+I185+I201+I203+I220+I233+I259+I284+I294+I304+I330+I351+I367+I386+I388+I405+I415+I425+I442</f>
        <v>-7657.1900000000032</v>
      </c>
      <c r="D461" s="128"/>
      <c r="E461" s="218" t="s">
        <v>158</v>
      </c>
      <c r="F461" s="218"/>
      <c r="G461" s="218"/>
      <c r="H461" s="213">
        <f>D13+D187+D274+D338+D369+D333+D271</f>
        <v>-1102.02</v>
      </c>
      <c r="I461" s="213"/>
      <c r="J461" s="129"/>
      <c r="K461" s="226" t="s">
        <v>143</v>
      </c>
      <c r="L461" s="227"/>
      <c r="M461" s="57">
        <f>(K22+K37+K48+K66+K81+K102+K117+K140+K153+K164+K193+K212+K225+K251+K276+K286+K296+K322+K343+K359+K378+K397+K407+K417+K434+K452)*-1</f>
        <v>31743</v>
      </c>
      <c r="N461" s="226" t="s">
        <v>143</v>
      </c>
      <c r="O461" s="227"/>
      <c r="P461" s="57">
        <f>(N23+N38+N49+N67+N82+N103+N118+N141+N154+N165+N194+N213+N226+N252+N277+N287+N297+N323+N344+N360+N379+N398+N408+N418+N435+N453)*-1</f>
        <v>51936</v>
      </c>
      <c r="R461" s="121">
        <f>I24+I39+I50+I68+I83+I104+I119+I142+I155+I195+I214+I227+I253+I278+I288+I298+I324+I345+I361+I399+I380+I409+I419+I436+I454+I166+I197+I382</f>
        <v>284727.19000000006</v>
      </c>
    </row>
    <row r="462" spans="1:46" ht="17.25" customHeight="1" x14ac:dyDescent="0.25">
      <c r="A462" s="127"/>
      <c r="B462" s="131" t="s">
        <v>160</v>
      </c>
      <c r="C462" s="126">
        <f>E9+D33+D34+D35+E56+E57+E74+F78+E91+E92+E93+E94+F99+E110+E111+E126+E130+E132+E133+E134+E174+E175+E176+E177+E178+E179+E180+E181+E182+F207+E209+E210+E223+E239+E240+E241+E242+E243+E244+E245+F248+E267+D306+E310+E313+E314+F319+F320+E355+E356+E374+E375+E430+F394</f>
        <v>-18730.449999999993</v>
      </c>
      <c r="D462" s="128"/>
      <c r="E462" s="218" t="s">
        <v>157</v>
      </c>
      <c r="F462" s="218"/>
      <c r="G462" s="218"/>
      <c r="H462" s="213">
        <f>D11+D15+D17+D32+D269+D273+D336+D354</f>
        <v>-39.199999999999996</v>
      </c>
      <c r="I462" s="213"/>
      <c r="J462" s="129"/>
      <c r="K462" s="226" t="s">
        <v>144</v>
      </c>
      <c r="L462" s="227"/>
      <c r="M462" s="121">
        <f>(M25+M40+M51+M69+M84+M105+M120+M143+M156+M167+M196+M215+M228+M254+M279+M289+M299+M325+M346+M362+M381+M400+M410+M420+M437+M455)</f>
        <v>26850.349872109837</v>
      </c>
      <c r="N462" s="226" t="s">
        <v>144</v>
      </c>
      <c r="O462" s="227"/>
      <c r="P462" s="121">
        <f>(P25+P40+P51+P69+P84+P105+P120+P143+P156+P167+P196+P215+P228+P254+P279+P289+P299+P325+P346+P362+P381+P400+P410+P420+P437+P455)</f>
        <v>11776.208028120463</v>
      </c>
      <c r="R462" s="121">
        <v>-312909.86</v>
      </c>
    </row>
    <row r="463" spans="1:46" ht="17.25" customHeight="1" x14ac:dyDescent="0.25">
      <c r="A463" s="127"/>
      <c r="B463" s="131" t="s">
        <v>244</v>
      </c>
      <c r="C463" s="126">
        <f>H19+H20+H446+H448+H449+H450</f>
        <v>-19849.12</v>
      </c>
      <c r="D463" s="128"/>
      <c r="E463" s="230" t="s">
        <v>156</v>
      </c>
      <c r="F463" s="230"/>
      <c r="G463" s="230"/>
      <c r="H463" s="213">
        <f>E90</f>
        <v>-2881.51</v>
      </c>
      <c r="I463" s="213"/>
      <c r="J463" s="133"/>
      <c r="K463" s="226" t="s">
        <v>145</v>
      </c>
      <c r="L463" s="227"/>
      <c r="M463" s="57">
        <f>(K25+K40+K51+K69+K84+K105+K120+K143+K156+K167+K196+K215+K228+K254+K279+K289+K299+K325+K346+K362+K381+K400+K410+K420+K437+K455)</f>
        <v>-326</v>
      </c>
      <c r="N463" s="226" t="s">
        <v>145</v>
      </c>
      <c r="O463" s="227"/>
      <c r="P463" s="57">
        <f>(N25+N40+N51+N69+N84+N105+N120+N143+N156+N167+N196+N215+N228+N254+N279+N289+N299+N325+N346+N362+N381+N400+N410+N420+N437+N455)</f>
        <v>57</v>
      </c>
      <c r="R463" s="121">
        <f>SUM(R461:R462)</f>
        <v>-28182.669999999925</v>
      </c>
    </row>
    <row r="464" spans="1:46" ht="17.25" customHeight="1" x14ac:dyDescent="0.25">
      <c r="A464" s="127"/>
      <c r="B464" s="131" t="s">
        <v>245</v>
      </c>
      <c r="C464" s="126">
        <f>H447</f>
        <v>-6500</v>
      </c>
      <c r="D464" s="3"/>
      <c r="E464" s="132"/>
      <c r="F464" s="132"/>
      <c r="G464" s="132"/>
      <c r="H464" s="130"/>
      <c r="I464" s="130"/>
      <c r="J464" s="129"/>
      <c r="K464" s="228"/>
      <c r="L464" s="229"/>
      <c r="M464" s="122"/>
      <c r="N464" s="228"/>
      <c r="O464" s="229"/>
      <c r="P464" s="123"/>
    </row>
    <row r="465" spans="1:16" ht="17.25" customHeight="1" x14ac:dyDescent="0.25">
      <c r="A465" s="127"/>
      <c r="B465" s="137" t="s">
        <v>456</v>
      </c>
      <c r="C465" s="138">
        <f>SUM(C460:C464)</f>
        <v>-14110.202099769696</v>
      </c>
      <c r="D465" s="128"/>
      <c r="E465" s="231" t="s">
        <v>159</v>
      </c>
      <c r="F465" s="232"/>
      <c r="G465" s="232"/>
      <c r="H465" s="233">
        <f>SUM(H460:I463)</f>
        <v>-7237.4199999999992</v>
      </c>
      <c r="I465" s="234"/>
      <c r="J465" s="128"/>
      <c r="K465" s="241" t="s">
        <v>146</v>
      </c>
      <c r="L465" s="241"/>
      <c r="M465" s="241"/>
      <c r="N465" s="235">
        <f>M461+P461</f>
        <v>83679</v>
      </c>
      <c r="O465" s="236"/>
      <c r="P465" s="237"/>
    </row>
    <row r="466" spans="1:16" ht="17.25" customHeight="1" x14ac:dyDescent="0.25">
      <c r="A466" s="127"/>
      <c r="D466" s="3"/>
      <c r="J466" s="128"/>
      <c r="K466" s="241" t="s">
        <v>147</v>
      </c>
      <c r="L466" s="241"/>
      <c r="M466" s="241"/>
      <c r="N466" s="238">
        <f>M462+P462</f>
        <v>38626.557900230298</v>
      </c>
      <c r="O466" s="239"/>
      <c r="P466" s="240"/>
    </row>
    <row r="467" spans="1:16" ht="17.25" customHeight="1" x14ac:dyDescent="0.25">
      <c r="A467" s="127"/>
      <c r="B467" s="137" t="s">
        <v>242</v>
      </c>
      <c r="C467" s="138">
        <f>C465+H465</f>
        <v>-21347.622099769695</v>
      </c>
      <c r="D467" s="128"/>
      <c r="H467" s="213"/>
      <c r="I467" s="213"/>
      <c r="J467" s="128"/>
      <c r="K467" s="241" t="s">
        <v>148</v>
      </c>
      <c r="L467" s="241"/>
      <c r="M467" s="241"/>
      <c r="N467" s="235">
        <f>M463+P463</f>
        <v>-269</v>
      </c>
      <c r="O467" s="236"/>
      <c r="P467" s="237"/>
    </row>
    <row r="468" spans="1:16" ht="17.25" customHeight="1" x14ac:dyDescent="0.25">
      <c r="C468" s="124"/>
      <c r="E468" s="230"/>
      <c r="F468" s="230"/>
      <c r="G468" s="230"/>
      <c r="H468" s="213"/>
      <c r="I468" s="213"/>
    </row>
    <row r="469" spans="1:16" ht="17.25" customHeight="1" x14ac:dyDescent="0.25">
      <c r="B469" s="137" t="s">
        <v>242</v>
      </c>
      <c r="C469" s="138">
        <f>C458-C2</f>
        <v>-18132.939999999944</v>
      </c>
      <c r="E469" s="222">
        <f>C467-C469</f>
        <v>-3214.6820997697505</v>
      </c>
      <c r="F469" s="222"/>
    </row>
  </sheetData>
  <sheetProtection selectLockedCells="1" selectUnlockedCells="1"/>
  <mergeCells count="432">
    <mergeCell ref="B453:C453"/>
    <mergeCell ref="B454:C454"/>
    <mergeCell ref="B455:C455"/>
    <mergeCell ref="B456:C456"/>
    <mergeCell ref="B189:C189"/>
    <mergeCell ref="B190:C190"/>
    <mergeCell ref="B185:C185"/>
    <mergeCell ref="B191:C191"/>
    <mergeCell ref="B210:C210"/>
    <mergeCell ref="B209:C209"/>
    <mergeCell ref="B203:C203"/>
    <mergeCell ref="B312:C312"/>
    <mergeCell ref="B313:C313"/>
    <mergeCell ref="B333:C333"/>
    <mergeCell ref="B335:C335"/>
    <mergeCell ref="B336:C336"/>
    <mergeCell ref="B334:C334"/>
    <mergeCell ref="B330:C330"/>
    <mergeCell ref="B331:C331"/>
    <mergeCell ref="B322:C322"/>
    <mergeCell ref="B323:C323"/>
    <mergeCell ref="B373:C373"/>
    <mergeCell ref="B374:C374"/>
    <mergeCell ref="B354:C354"/>
    <mergeCell ref="B437:C437"/>
    <mergeCell ref="B438:C438"/>
    <mergeCell ref="B441:C441"/>
    <mergeCell ref="B442:C442"/>
    <mergeCell ref="B443:C443"/>
    <mergeCell ref="B444:C444"/>
    <mergeCell ref="B450:C450"/>
    <mergeCell ref="B451:C451"/>
    <mergeCell ref="B452:C452"/>
    <mergeCell ref="B432:C432"/>
    <mergeCell ref="B433:C433"/>
    <mergeCell ref="B434:C434"/>
    <mergeCell ref="B429:C429"/>
    <mergeCell ref="B430:C430"/>
    <mergeCell ref="B427:C427"/>
    <mergeCell ref="B428:C428"/>
    <mergeCell ref="B435:C435"/>
    <mergeCell ref="B436:C436"/>
    <mergeCell ref="B417:C417"/>
    <mergeCell ref="B418:C418"/>
    <mergeCell ref="B419:C419"/>
    <mergeCell ref="B420:C420"/>
    <mergeCell ref="B421:C421"/>
    <mergeCell ref="B424:C424"/>
    <mergeCell ref="B425:C425"/>
    <mergeCell ref="B426:C426"/>
    <mergeCell ref="B431:C431"/>
    <mergeCell ref="B414:C414"/>
    <mergeCell ref="B415:C415"/>
    <mergeCell ref="B416:C416"/>
    <mergeCell ref="B63:C63"/>
    <mergeCell ref="B406:C406"/>
    <mergeCell ref="B407:C407"/>
    <mergeCell ref="B408:C408"/>
    <mergeCell ref="B409:C409"/>
    <mergeCell ref="B410:C410"/>
    <mergeCell ref="B411:C411"/>
    <mergeCell ref="B355:C355"/>
    <mergeCell ref="B352:C352"/>
    <mergeCell ref="B341:C341"/>
    <mergeCell ref="B369:C369"/>
    <mergeCell ref="B370:C370"/>
    <mergeCell ref="B371:C371"/>
    <mergeCell ref="B372:C372"/>
    <mergeCell ref="B387:C387"/>
    <mergeCell ref="B388:C388"/>
    <mergeCell ref="B381:C381"/>
    <mergeCell ref="B382:C382"/>
    <mergeCell ref="B385:C385"/>
    <mergeCell ref="B386:C386"/>
    <mergeCell ref="B401:C401"/>
    <mergeCell ref="B404:C404"/>
    <mergeCell ref="B405:C405"/>
    <mergeCell ref="B394:C394"/>
    <mergeCell ref="B396:C396"/>
    <mergeCell ref="B397:C397"/>
    <mergeCell ref="B398:C398"/>
    <mergeCell ref="B399:C399"/>
    <mergeCell ref="B400:C400"/>
    <mergeCell ref="B395:C395"/>
    <mergeCell ref="B360:C360"/>
    <mergeCell ref="B361:C361"/>
    <mergeCell ref="B362:C362"/>
    <mergeCell ref="B363:C363"/>
    <mergeCell ref="B366:C366"/>
    <mergeCell ref="B367:C367"/>
    <mergeCell ref="B368:C368"/>
    <mergeCell ref="B390:C390"/>
    <mergeCell ref="B393:C393"/>
    <mergeCell ref="B391:C391"/>
    <mergeCell ref="B392:C392"/>
    <mergeCell ref="B389:C389"/>
    <mergeCell ref="B375:C375"/>
    <mergeCell ref="B377:C377"/>
    <mergeCell ref="B378:C378"/>
    <mergeCell ref="B379:C379"/>
    <mergeCell ref="B380:C380"/>
    <mergeCell ref="B346:C346"/>
    <mergeCell ref="B347:C347"/>
    <mergeCell ref="B350:C350"/>
    <mergeCell ref="B351:C351"/>
    <mergeCell ref="B353:C353"/>
    <mergeCell ref="B356:C356"/>
    <mergeCell ref="B357:C357"/>
    <mergeCell ref="B358:C358"/>
    <mergeCell ref="B359:C359"/>
    <mergeCell ref="B126:C126"/>
    <mergeCell ref="B129:C129"/>
    <mergeCell ref="B305:C305"/>
    <mergeCell ref="B306:C306"/>
    <mergeCell ref="B307:C307"/>
    <mergeCell ref="B308:C308"/>
    <mergeCell ref="B314:C314"/>
    <mergeCell ref="B318:C318"/>
    <mergeCell ref="B309:C309"/>
    <mergeCell ref="B317:C317"/>
    <mergeCell ref="B311:C311"/>
    <mergeCell ref="B310:C310"/>
    <mergeCell ref="B162:C162"/>
    <mergeCell ref="B163:C163"/>
    <mergeCell ref="B303:C303"/>
    <mergeCell ref="B304:C304"/>
    <mergeCell ref="B296:C296"/>
    <mergeCell ref="B297:C297"/>
    <mergeCell ref="B298:C298"/>
    <mergeCell ref="B299:C299"/>
    <mergeCell ref="B300:C300"/>
    <mergeCell ref="B134:C134"/>
    <mergeCell ref="B137:C137"/>
    <mergeCell ref="B138:C138"/>
    <mergeCell ref="B57:C57"/>
    <mergeCell ref="B106:C106"/>
    <mergeCell ref="B78:C78"/>
    <mergeCell ref="B290:C290"/>
    <mergeCell ref="B293:C293"/>
    <mergeCell ref="B294:C294"/>
    <mergeCell ref="B264:C264"/>
    <mergeCell ref="B265:C265"/>
    <mergeCell ref="B295:C295"/>
    <mergeCell ref="B76:C76"/>
    <mergeCell ref="B139:C139"/>
    <mergeCell ref="B164:C164"/>
    <mergeCell ref="B167:C167"/>
    <mergeCell ref="B124:C124"/>
    <mergeCell ref="B125:C125"/>
    <mergeCell ref="B120:C120"/>
    <mergeCell ref="B136:C136"/>
    <mergeCell ref="B160:C160"/>
    <mergeCell ref="B200:C200"/>
    <mergeCell ref="B109:C109"/>
    <mergeCell ref="B114:C114"/>
    <mergeCell ref="B115:C115"/>
    <mergeCell ref="B116:C116"/>
    <mergeCell ref="B117:C117"/>
    <mergeCell ref="B8:C8"/>
    <mergeCell ref="B9:C9"/>
    <mergeCell ref="B10:C10"/>
    <mergeCell ref="B33:C33"/>
    <mergeCell ref="B266:C266"/>
    <mergeCell ref="B267:C267"/>
    <mergeCell ref="B140:C140"/>
    <mergeCell ref="B141:C141"/>
    <mergeCell ref="B142:C142"/>
    <mergeCell ref="B143:C143"/>
    <mergeCell ref="B148:C148"/>
    <mergeCell ref="B144:C144"/>
    <mergeCell ref="B165:C165"/>
    <mergeCell ref="B166:C166"/>
    <mergeCell ref="B79:C79"/>
    <mergeCell ref="B34:C34"/>
    <mergeCell ref="B56:C56"/>
    <mergeCell ref="B180:C180"/>
    <mergeCell ref="B156:C156"/>
    <mergeCell ref="B157:C157"/>
    <mergeCell ref="B172:C172"/>
    <mergeCell ref="B161:C161"/>
    <mergeCell ref="B121:C121"/>
    <mergeCell ref="B168:C168"/>
    <mergeCell ref="B147:C147"/>
    <mergeCell ref="B149:C149"/>
    <mergeCell ref="B152:C152"/>
    <mergeCell ref="B153:C153"/>
    <mergeCell ref="B130:C130"/>
    <mergeCell ref="B131:C131"/>
    <mergeCell ref="B128:C128"/>
    <mergeCell ref="B154:C154"/>
    <mergeCell ref="B155:C155"/>
    <mergeCell ref="B127:C127"/>
    <mergeCell ref="B132:C132"/>
    <mergeCell ref="B133:C133"/>
    <mergeCell ref="B213:C213"/>
    <mergeCell ref="B214:C214"/>
    <mergeCell ref="B183:C183"/>
    <mergeCell ref="B174:C174"/>
    <mergeCell ref="B175:C175"/>
    <mergeCell ref="B176:C176"/>
    <mergeCell ref="B177:C177"/>
    <mergeCell ref="B206:C206"/>
    <mergeCell ref="B182:C182"/>
    <mergeCell ref="B205:C205"/>
    <mergeCell ref="B211:C211"/>
    <mergeCell ref="B212:C212"/>
    <mergeCell ref="B195:C195"/>
    <mergeCell ref="B196:C196"/>
    <mergeCell ref="B184:C184"/>
    <mergeCell ref="B186:C186"/>
    <mergeCell ref="B187:C187"/>
    <mergeCell ref="B188:C188"/>
    <mergeCell ref="B193:C193"/>
    <mergeCell ref="B201:C201"/>
    <mergeCell ref="B204:C204"/>
    <mergeCell ref="B118:C118"/>
    <mergeCell ref="B119:C119"/>
    <mergeCell ref="B105:C105"/>
    <mergeCell ref="B220:C220"/>
    <mergeCell ref="B97:C97"/>
    <mergeCell ref="B58:C58"/>
    <mergeCell ref="B60:C60"/>
    <mergeCell ref="B66:C66"/>
    <mergeCell ref="B67:C67"/>
    <mergeCell ref="B91:C91"/>
    <mergeCell ref="B100:C100"/>
    <mergeCell ref="B215:C215"/>
    <mergeCell ref="B216:C216"/>
    <mergeCell ref="B219:C219"/>
    <mergeCell ref="B178:C178"/>
    <mergeCell ref="B179:C179"/>
    <mergeCell ref="B202:C202"/>
    <mergeCell ref="B207:C207"/>
    <mergeCell ref="B192:C192"/>
    <mergeCell ref="B194:C194"/>
    <mergeCell ref="B208:C208"/>
    <mergeCell ref="B181:C181"/>
    <mergeCell ref="B101:C101"/>
    <mergeCell ref="B77:C77"/>
    <mergeCell ref="B92:C92"/>
    <mergeCell ref="B93:C93"/>
    <mergeCell ref="B94:C94"/>
    <mergeCell ref="B103:C103"/>
    <mergeCell ref="B104:C104"/>
    <mergeCell ref="B98:C98"/>
    <mergeCell ref="B96:C96"/>
    <mergeCell ref="B113:C113"/>
    <mergeCell ref="B102:C102"/>
    <mergeCell ref="N1:P1"/>
    <mergeCell ref="B45:C45"/>
    <mergeCell ref="B59:C59"/>
    <mergeCell ref="B21:C21"/>
    <mergeCell ref="B36:C36"/>
    <mergeCell ref="B3:C3"/>
    <mergeCell ref="B4:C4"/>
    <mergeCell ref="B44:C44"/>
    <mergeCell ref="B46:C46"/>
    <mergeCell ref="B48:C48"/>
    <mergeCell ref="B47:C47"/>
    <mergeCell ref="B49:C49"/>
    <mergeCell ref="B50:C50"/>
    <mergeCell ref="B30:C30"/>
    <mergeCell ref="B39:C39"/>
    <mergeCell ref="K1:M1"/>
    <mergeCell ref="B26:C26"/>
    <mergeCell ref="B25:C25"/>
    <mergeCell ref="B41:C41"/>
    <mergeCell ref="B51:C51"/>
    <mergeCell ref="B52:C52"/>
    <mergeCell ref="B24:C24"/>
    <mergeCell ref="B29:C29"/>
    <mergeCell ref="B31:C31"/>
    <mergeCell ref="B229:C229"/>
    <mergeCell ref="B232:C232"/>
    <mergeCell ref="B233:C233"/>
    <mergeCell ref="B234:C234"/>
    <mergeCell ref="B245:C245"/>
    <mergeCell ref="B249:C249"/>
    <mergeCell ref="B243:C243"/>
    <mergeCell ref="B65:C65"/>
    <mergeCell ref="B62:C62"/>
    <mergeCell ref="B228:C228"/>
    <mergeCell ref="B68:C68"/>
    <mergeCell ref="B69:C69"/>
    <mergeCell ref="B226:C226"/>
    <mergeCell ref="B227:C227"/>
    <mergeCell ref="B70:C70"/>
    <mergeCell ref="B171:C171"/>
    <mergeCell ref="B236:C236"/>
    <mergeCell ref="B95:C95"/>
    <mergeCell ref="B85:C85"/>
    <mergeCell ref="B150:C150"/>
    <mergeCell ref="B151:C151"/>
    <mergeCell ref="B99:C99"/>
    <mergeCell ref="B82:C82"/>
    <mergeCell ref="B83:C83"/>
    <mergeCell ref="B237:C237"/>
    <mergeCell ref="B238:C238"/>
    <mergeCell ref="B246:C246"/>
    <mergeCell ref="B247:C247"/>
    <mergeCell ref="B258:C258"/>
    <mergeCell ref="B241:C241"/>
    <mergeCell ref="B253:C253"/>
    <mergeCell ref="B254:C254"/>
    <mergeCell ref="B255:C255"/>
    <mergeCell ref="B250:C250"/>
    <mergeCell ref="B251:C251"/>
    <mergeCell ref="B252:C252"/>
    <mergeCell ref="B244:C244"/>
    <mergeCell ref="B239:C239"/>
    <mergeCell ref="B240:C240"/>
    <mergeCell ref="B248:C248"/>
    <mergeCell ref="B5:C5"/>
    <mergeCell ref="B6:C6"/>
    <mergeCell ref="B73:C73"/>
    <mergeCell ref="B74:C74"/>
    <mergeCell ref="B75:C75"/>
    <mergeCell ref="B88:C88"/>
    <mergeCell ref="B55:C55"/>
    <mergeCell ref="B7:C7"/>
    <mergeCell ref="B11:C11"/>
    <mergeCell ref="B12:C12"/>
    <mergeCell ref="B13:C13"/>
    <mergeCell ref="B14:C14"/>
    <mergeCell ref="B35:C35"/>
    <mergeCell ref="B15:C15"/>
    <mergeCell ref="B16:C16"/>
    <mergeCell ref="B17:C17"/>
    <mergeCell ref="B18:C18"/>
    <mergeCell ref="B23:C23"/>
    <mergeCell ref="B22:C22"/>
    <mergeCell ref="B61:C61"/>
    <mergeCell ref="B84:C84"/>
    <mergeCell ref="B80:C80"/>
    <mergeCell ref="B81:C81"/>
    <mergeCell ref="B19:C19"/>
    <mergeCell ref="E469:F469"/>
    <mergeCell ref="N460:P460"/>
    <mergeCell ref="N461:O461"/>
    <mergeCell ref="N462:O462"/>
    <mergeCell ref="N463:O463"/>
    <mergeCell ref="N464:O464"/>
    <mergeCell ref="K461:L461"/>
    <mergeCell ref="K462:L462"/>
    <mergeCell ref="K463:L463"/>
    <mergeCell ref="K464:L464"/>
    <mergeCell ref="E468:G468"/>
    <mergeCell ref="H468:I468"/>
    <mergeCell ref="E465:G465"/>
    <mergeCell ref="H465:I465"/>
    <mergeCell ref="E462:G462"/>
    <mergeCell ref="E463:G463"/>
    <mergeCell ref="N465:P465"/>
    <mergeCell ref="N466:P466"/>
    <mergeCell ref="N467:P467"/>
    <mergeCell ref="K465:M465"/>
    <mergeCell ref="K466:M466"/>
    <mergeCell ref="K467:M467"/>
    <mergeCell ref="H461:I461"/>
    <mergeCell ref="H462:I462"/>
    <mergeCell ref="B273:C273"/>
    <mergeCell ref="B287:C287"/>
    <mergeCell ref="B288:C288"/>
    <mergeCell ref="B289:C289"/>
    <mergeCell ref="K460:M460"/>
    <mergeCell ref="B315:C315"/>
    <mergeCell ref="B316:C316"/>
    <mergeCell ref="B324:C324"/>
    <mergeCell ref="B325:C325"/>
    <mergeCell ref="B326:C326"/>
    <mergeCell ref="B329:C329"/>
    <mergeCell ref="B319:C319"/>
    <mergeCell ref="B320:C320"/>
    <mergeCell ref="B321:C321"/>
    <mergeCell ref="B340:C340"/>
    <mergeCell ref="B342:C342"/>
    <mergeCell ref="B343:C343"/>
    <mergeCell ref="B332:C332"/>
    <mergeCell ref="B337:C337"/>
    <mergeCell ref="B338:C338"/>
    <mergeCell ref="B339:C339"/>
    <mergeCell ref="H460:I460"/>
    <mergeCell ref="B344:C344"/>
    <mergeCell ref="B345:C345"/>
    <mergeCell ref="B279:C279"/>
    <mergeCell ref="H463:I463"/>
    <mergeCell ref="H467:I467"/>
    <mergeCell ref="B64:C64"/>
    <mergeCell ref="B449:C449"/>
    <mergeCell ref="B447:C447"/>
    <mergeCell ref="B445:C445"/>
    <mergeCell ref="B448:C448"/>
    <mergeCell ref="B285:C285"/>
    <mergeCell ref="B269:C269"/>
    <mergeCell ref="E460:G460"/>
    <mergeCell ref="E461:G461"/>
    <mergeCell ref="B221:C221"/>
    <mergeCell ref="B222:C222"/>
    <mergeCell ref="B223:C223"/>
    <mergeCell ref="B275:C275"/>
    <mergeCell ref="B276:C276"/>
    <mergeCell ref="B277:C277"/>
    <mergeCell ref="B278:C278"/>
    <mergeCell ref="B261:C261"/>
    <mergeCell ref="B89:C89"/>
    <mergeCell ref="B224:C224"/>
    <mergeCell ref="B225:C225"/>
    <mergeCell ref="B286:C286"/>
    <mergeCell ref="B259:C259"/>
    <mergeCell ref="B274:C274"/>
    <mergeCell ref="B260:C260"/>
    <mergeCell ref="B20:C20"/>
    <mergeCell ref="B376:C376"/>
    <mergeCell ref="B446:C446"/>
    <mergeCell ref="B262:C262"/>
    <mergeCell ref="B263:C263"/>
    <mergeCell ref="B270:C270"/>
    <mergeCell ref="B271:C271"/>
    <mergeCell ref="B272:C272"/>
    <mergeCell ref="B90:C90"/>
    <mergeCell ref="B197:C197"/>
    <mergeCell ref="B38:C38"/>
    <mergeCell ref="B40:C40"/>
    <mergeCell ref="B242:C242"/>
    <mergeCell ref="B235:C235"/>
    <mergeCell ref="B280:C280"/>
    <mergeCell ref="B283:C283"/>
    <mergeCell ref="B284:C284"/>
    <mergeCell ref="B268:C268"/>
    <mergeCell ref="B173:C173"/>
    <mergeCell ref="B32:C32"/>
    <mergeCell ref="B37:C37"/>
  </mergeCells>
  <pageMargins left="0.31496062992125984" right="0.31496062992125984" top="0.39370078740157483" bottom="0.39370078740157483" header="0.31496062992125984" footer="0.31496062992125984"/>
  <pageSetup paperSize="9" scale="57" fitToHeight="2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97"/>
  <sheetViews>
    <sheetView showGridLines="0" showZeros="0" view="pageBreakPreview" zoomScale="70" zoomScaleNormal="75" zoomScaleSheetLayoutView="70" workbookViewId="0">
      <pane xSplit="16" ySplit="1" topLeftCell="Q473" activePane="bottomRight" state="frozenSplit"/>
      <selection pane="topRight" activeCell="F1" sqref="F1"/>
      <selection pane="bottomLeft" activeCell="A30" sqref="A30"/>
      <selection pane="bottomRight" activeCell="M489" sqref="M489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8" width="10.5703125" style="21" customWidth="1"/>
    <col min="19" max="19" width="10.5703125" style="21" hidden="1" customWidth="1"/>
    <col min="20" max="22" width="10.5703125" style="21" customWidth="1"/>
    <col min="23" max="39" width="10.5703125" style="21" hidden="1" customWidth="1"/>
    <col min="40" max="40" width="10.7109375" style="21" hidden="1" customWidth="1"/>
    <col min="41" max="41" width="11.7109375" style="21" customWidth="1"/>
    <col min="42" max="44" width="14.85546875" style="3" hidden="1" customWidth="1"/>
    <col min="45" max="45" width="9.140625" style="3"/>
    <col min="46" max="46" width="9.85546875" style="3" bestFit="1" customWidth="1"/>
    <col min="47" max="16384" width="9.140625" style="3"/>
  </cols>
  <sheetData>
    <row r="1" spans="1:46" s="1" customFormat="1" ht="17.25" customHeight="1" x14ac:dyDescent="0.25">
      <c r="A1" s="70" t="s">
        <v>173</v>
      </c>
      <c r="B1" s="95"/>
      <c r="C1" s="82">
        <f>D2+E2+F2+G2+H2+I2+J2+M2+P2</f>
        <v>51048.20999999997</v>
      </c>
      <c r="D1" s="72" t="s">
        <v>8</v>
      </c>
      <c r="E1" s="61" t="s">
        <v>9</v>
      </c>
      <c r="F1" s="75" t="s">
        <v>89</v>
      </c>
      <c r="G1" s="75" t="s">
        <v>234</v>
      </c>
      <c r="H1" s="61" t="s">
        <v>101</v>
      </c>
      <c r="I1" s="61" t="s">
        <v>91</v>
      </c>
      <c r="J1" s="61" t="s">
        <v>90</v>
      </c>
      <c r="K1" s="243" t="s">
        <v>87</v>
      </c>
      <c r="L1" s="244"/>
      <c r="M1" s="245"/>
      <c r="N1" s="243" t="s">
        <v>88</v>
      </c>
      <c r="O1" s="244"/>
      <c r="P1" s="245"/>
      <c r="Q1" s="49" t="s">
        <v>10</v>
      </c>
      <c r="R1" s="49" t="s">
        <v>11</v>
      </c>
      <c r="S1" s="49" t="s">
        <v>89</v>
      </c>
      <c r="T1" s="77" t="s">
        <v>86</v>
      </c>
      <c r="U1" s="77" t="s">
        <v>238</v>
      </c>
      <c r="V1" s="77" t="s">
        <v>92</v>
      </c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78"/>
      <c r="AO1" s="79" t="s">
        <v>0</v>
      </c>
      <c r="AP1" s="6" t="s">
        <v>1</v>
      </c>
      <c r="AQ1" s="7" t="s">
        <v>2</v>
      </c>
      <c r="AR1" s="7" t="s">
        <v>3</v>
      </c>
    </row>
    <row r="2" spans="1:46" s="1" customFormat="1" ht="17.25" customHeight="1" x14ac:dyDescent="0.25">
      <c r="A2" s="69"/>
      <c r="B2" s="70" t="s">
        <v>7</v>
      </c>
      <c r="C2" s="71">
        <f>D2+E2+F2+G2+H2+I2+J2+M2+P2+SUM(Q2:AN2)</f>
        <v>-316079.67000000004</v>
      </c>
      <c r="D2" s="62">
        <f>'Set25'!D458</f>
        <v>20130.379999999986</v>
      </c>
      <c r="E2" s="62">
        <f>'Set25'!E458</f>
        <v>-20251.870000000017</v>
      </c>
      <c r="F2" s="76">
        <f>'Set25'!F458</f>
        <v>649.16</v>
      </c>
      <c r="G2" s="76">
        <v>0</v>
      </c>
      <c r="H2" s="62">
        <f>'Set25'!H458</f>
        <v>-32.679999999996653</v>
      </c>
      <c r="I2" s="62">
        <f>'Set25'!I458</f>
        <v>11179.04</v>
      </c>
      <c r="J2" s="62">
        <f>'Set25'!J458</f>
        <v>0</v>
      </c>
      <c r="K2" s="57">
        <f>'Set25'!K458</f>
        <v>5095</v>
      </c>
      <c r="L2" s="88">
        <f>'Set25'!L458</f>
        <v>4.9769322865554466</v>
      </c>
      <c r="M2" s="62">
        <f>'Set25'!M458</f>
        <v>25357.47</v>
      </c>
      <c r="N2" s="57">
        <f>'Set25'!N458</f>
        <v>3969</v>
      </c>
      <c r="O2" s="88">
        <f>'Set25'!O458</f>
        <v>3.5315469891660367</v>
      </c>
      <c r="P2" s="62">
        <f>'Set25'!P458</f>
        <v>14016.71</v>
      </c>
      <c r="Q2" s="50">
        <f>'Set25'!Q458</f>
        <v>-248820</v>
      </c>
      <c r="R2" s="50">
        <f>'Set25'!R458</f>
        <v>7865.57</v>
      </c>
      <c r="S2" s="50">
        <f>'Set25'!S458</f>
        <v>0</v>
      </c>
      <c r="T2" s="80">
        <f>'Set25'!T458</f>
        <v>-16073.45</v>
      </c>
      <c r="U2" s="80">
        <f>'Set25'!U458</f>
        <v>0</v>
      </c>
      <c r="V2" s="80">
        <f>'Set25'!V458</f>
        <v>-110100</v>
      </c>
      <c r="W2" s="80">
        <f>'Set25'!W458</f>
        <v>0</v>
      </c>
      <c r="X2" s="80">
        <f>'Set25'!X458</f>
        <v>0</v>
      </c>
      <c r="Y2" s="80">
        <f>'Set25'!Y458</f>
        <v>0</v>
      </c>
      <c r="Z2" s="80">
        <f>'Set25'!Z458</f>
        <v>0</v>
      </c>
      <c r="AA2" s="80">
        <f>'Set25'!AA458</f>
        <v>0</v>
      </c>
      <c r="AB2" s="80">
        <f>'Set25'!AB458</f>
        <v>0</v>
      </c>
      <c r="AC2" s="80">
        <f>'Set25'!AC458</f>
        <v>0</v>
      </c>
      <c r="AD2" s="80">
        <f>'Set25'!AD458</f>
        <v>0</v>
      </c>
      <c r="AE2" s="80">
        <f>'Set25'!AE458</f>
        <v>0</v>
      </c>
      <c r="AF2" s="80">
        <f>'Set25'!AF458</f>
        <v>0</v>
      </c>
      <c r="AG2" s="80">
        <f>'Set25'!AG458</f>
        <v>0</v>
      </c>
      <c r="AH2" s="80">
        <f>'Set25'!AH458</f>
        <v>0</v>
      </c>
      <c r="AI2" s="80">
        <f>'Set25'!AI458</f>
        <v>0</v>
      </c>
      <c r="AJ2" s="80">
        <f>'Set25'!AJ458</f>
        <v>0</v>
      </c>
      <c r="AK2" s="80">
        <f>'Set25'!AK458</f>
        <v>0</v>
      </c>
      <c r="AL2" s="80">
        <f>'Set25'!AL458</f>
        <v>0</v>
      </c>
      <c r="AM2" s="80">
        <f>'Set25'!AM458</f>
        <v>0</v>
      </c>
      <c r="AN2" s="80">
        <f>'Set25'!AN458</f>
        <v>0</v>
      </c>
      <c r="AO2" s="68">
        <f>D2+E2+F2+G2+H2+I2+J2+M2+P2+SUM(Q2:AN2)</f>
        <v>-316079.67000000004</v>
      </c>
      <c r="AP2" s="8" t="e">
        <f>#REF!</f>
        <v>#REF!</v>
      </c>
      <c r="AQ2" s="9" t="e">
        <f>#REF!</f>
        <v>#REF!</v>
      </c>
      <c r="AR2" s="9" t="e">
        <f>AP2-AQ2</f>
        <v>#REF!</v>
      </c>
    </row>
    <row r="3" spans="1:46" s="2" customFormat="1" ht="17.25" customHeight="1" x14ac:dyDescent="0.25">
      <c r="A3" s="29">
        <v>45931</v>
      </c>
      <c r="B3" s="201" t="s">
        <v>64</v>
      </c>
      <c r="C3" s="202"/>
      <c r="D3" s="65">
        <v>10926.8</v>
      </c>
      <c r="E3" s="64"/>
      <c r="F3" s="64"/>
      <c r="G3" s="64"/>
      <c r="H3" s="64"/>
      <c r="I3" s="64">
        <f>-D3</f>
        <v>-10926.8</v>
      </c>
      <c r="J3" s="64"/>
      <c r="K3" s="57"/>
      <c r="L3" s="88"/>
      <c r="M3" s="62"/>
      <c r="N3" s="57"/>
      <c r="O3" s="88"/>
      <c r="P3" s="62"/>
      <c r="Q3" s="47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22"/>
      <c r="AQ3" s="10" t="s">
        <v>4</v>
      </c>
      <c r="AR3" s="11" t="e">
        <v>#REF!</v>
      </c>
    </row>
    <row r="4" spans="1:46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>
        <f>-I2-I3</f>
        <v>-252.2400000000016</v>
      </c>
      <c r="J4" s="64"/>
      <c r="K4" s="57"/>
      <c r="L4" s="88"/>
      <c r="M4" s="62"/>
      <c r="N4" s="57"/>
      <c r="O4" s="88"/>
      <c r="P4" s="62"/>
      <c r="Q4" s="47"/>
      <c r="R4" s="39"/>
      <c r="S4" s="39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22"/>
      <c r="AQ4" s="10" t="s">
        <v>4</v>
      </c>
      <c r="AR4" s="11" t="e">
        <v>#REF!</v>
      </c>
    </row>
    <row r="5" spans="1:46" s="2" customFormat="1" ht="17.25" customHeight="1" x14ac:dyDescent="0.25">
      <c r="A5" s="29"/>
      <c r="B5" s="201" t="s">
        <v>209</v>
      </c>
      <c r="C5" s="202"/>
      <c r="D5" s="63">
        <v>-70</v>
      </c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47"/>
      <c r="R5" s="39"/>
      <c r="S5" s="3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2"/>
      <c r="AQ5" s="10" t="s">
        <v>4</v>
      </c>
      <c r="AR5" s="11" t="e">
        <v>#REF!</v>
      </c>
    </row>
    <row r="6" spans="1:46" s="2" customFormat="1" ht="17.25" customHeight="1" x14ac:dyDescent="0.25">
      <c r="A6" s="29"/>
      <c r="B6" s="201" t="s">
        <v>13</v>
      </c>
      <c r="C6" s="203"/>
      <c r="D6" s="63"/>
      <c r="E6" s="64">
        <f>50+25+50+25+260+30+30+10+25+50+0.39+30+11.25+40+20+30+30+10+20+20+519.93+100+50+65+15+40+60</f>
        <v>1616.57</v>
      </c>
      <c r="F6" s="64"/>
      <c r="G6" s="64"/>
      <c r="H6" s="64">
        <f>-E6</f>
        <v>-1616.57</v>
      </c>
      <c r="I6" s="64"/>
      <c r="J6" s="64"/>
      <c r="K6" s="57"/>
      <c r="L6" s="88"/>
      <c r="M6" s="62"/>
      <c r="N6" s="57"/>
      <c r="O6" s="88"/>
      <c r="P6" s="62"/>
      <c r="Q6" s="46"/>
      <c r="R6" s="46"/>
      <c r="S6" s="3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2"/>
      <c r="AQ6" s="10" t="s">
        <v>4</v>
      </c>
      <c r="AR6" s="11" t="e">
        <v>#REF!</v>
      </c>
    </row>
    <row r="7" spans="1:46" s="2" customFormat="1" ht="17.25" customHeight="1" x14ac:dyDescent="0.25">
      <c r="A7" s="29"/>
      <c r="B7" s="201" t="s">
        <v>14</v>
      </c>
      <c r="C7" s="203"/>
      <c r="D7" s="63"/>
      <c r="E7" s="64">
        <f>654+2000+2000+1500</f>
        <v>6154</v>
      </c>
      <c r="F7" s="64"/>
      <c r="G7" s="64"/>
      <c r="H7" s="64">
        <f>-E7</f>
        <v>-6154</v>
      </c>
      <c r="I7" s="64"/>
      <c r="J7" s="64"/>
      <c r="K7" s="57"/>
      <c r="L7" s="88"/>
      <c r="M7" s="62"/>
      <c r="N7" s="57"/>
      <c r="O7" s="88"/>
      <c r="P7" s="62"/>
      <c r="Q7" s="40"/>
      <c r="R7" s="46"/>
      <c r="S7" s="39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22"/>
      <c r="AQ7" s="10"/>
      <c r="AR7" s="11"/>
    </row>
    <row r="8" spans="1:46" s="2" customFormat="1" ht="17.25" customHeight="1" x14ac:dyDescent="0.25">
      <c r="A8" s="29"/>
      <c r="B8" s="201" t="s">
        <v>76</v>
      </c>
      <c r="C8" s="203"/>
      <c r="D8" s="63"/>
      <c r="E8" s="64">
        <v>-9900</v>
      </c>
      <c r="F8" s="64">
        <f>-E8</f>
        <v>9900</v>
      </c>
      <c r="G8" s="64"/>
      <c r="H8" s="64"/>
      <c r="I8" s="64"/>
      <c r="J8" s="64"/>
      <c r="K8" s="57"/>
      <c r="L8" s="88"/>
      <c r="M8" s="62"/>
      <c r="N8" s="57"/>
      <c r="O8" s="88"/>
      <c r="P8" s="62"/>
      <c r="Q8" s="47"/>
      <c r="R8" s="39"/>
      <c r="S8" s="39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22"/>
      <c r="AQ8" s="10" t="s">
        <v>4</v>
      </c>
      <c r="AR8" s="11" t="e">
        <v>#REF!</v>
      </c>
    </row>
    <row r="9" spans="1:46" s="2" customFormat="1" ht="17.25" customHeight="1" x14ac:dyDescent="0.25">
      <c r="A9" s="29"/>
      <c r="B9" s="201" t="s">
        <v>72</v>
      </c>
      <c r="C9" s="202"/>
      <c r="D9" s="63">
        <v>-30900</v>
      </c>
      <c r="E9" s="64"/>
      <c r="F9" s="64">
        <f>-D9</f>
        <v>30900</v>
      </c>
      <c r="G9" s="64"/>
      <c r="H9" s="64"/>
      <c r="I9" s="64"/>
      <c r="J9" s="64"/>
      <c r="K9" s="57"/>
      <c r="L9" s="88"/>
      <c r="M9" s="62"/>
      <c r="N9" s="57"/>
      <c r="O9" s="88"/>
      <c r="P9" s="62"/>
      <c r="Q9" s="47"/>
      <c r="R9" s="39"/>
      <c r="S9" s="39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22"/>
      <c r="AQ9" s="10" t="s">
        <v>4</v>
      </c>
      <c r="AR9" s="11" t="e">
        <v>#REF!</v>
      </c>
    </row>
    <row r="10" spans="1:46" s="2" customFormat="1" ht="17.25" customHeight="1" x14ac:dyDescent="0.2">
      <c r="A10" s="23"/>
      <c r="B10" s="205" t="s">
        <v>197</v>
      </c>
      <c r="C10" s="206"/>
      <c r="D10" s="64"/>
      <c r="E10" s="64"/>
      <c r="F10" s="64"/>
      <c r="G10" s="64"/>
      <c r="H10" s="64"/>
      <c r="I10" s="64"/>
      <c r="J10" s="64"/>
      <c r="K10" s="57"/>
      <c r="L10" s="88"/>
      <c r="M10" s="62"/>
      <c r="N10" s="57">
        <v>15000</v>
      </c>
      <c r="O10" s="88">
        <v>3.55</v>
      </c>
      <c r="P10" s="62">
        <f>N10*O10</f>
        <v>53250</v>
      </c>
      <c r="Q10" s="39"/>
      <c r="R10" s="39"/>
      <c r="S10" s="39"/>
      <c r="T10" s="16"/>
      <c r="U10" s="16"/>
      <c r="V10" s="20">
        <f>-P10</f>
        <v>-53250</v>
      </c>
      <c r="W10" s="16"/>
      <c r="X10" s="16"/>
      <c r="Y10" s="19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35"/>
      <c r="AQ10" s="10"/>
      <c r="AR10" s="27"/>
    </row>
    <row r="11" spans="1:46" s="4" customFormat="1" ht="17.25" customHeight="1" thickBot="1" x14ac:dyDescent="0.3">
      <c r="A11" s="24"/>
      <c r="B11" s="246"/>
      <c r="C11" s="246"/>
      <c r="D11" s="81"/>
      <c r="E11" s="81"/>
      <c r="F11" s="81"/>
      <c r="G11" s="81"/>
      <c r="H11" s="81"/>
      <c r="I11" s="81"/>
      <c r="J11" s="81"/>
      <c r="K11" s="59"/>
      <c r="L11" s="90"/>
      <c r="M11" s="136"/>
      <c r="N11" s="59"/>
      <c r="O11" s="90"/>
      <c r="P11" s="136"/>
      <c r="Q11" s="39"/>
      <c r="R11" s="39"/>
      <c r="S11" s="3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22"/>
      <c r="AO11" s="43"/>
      <c r="AP11" s="12" t="e">
        <f>#REF!</f>
        <v>#REF!</v>
      </c>
      <c r="AT11" s="2"/>
    </row>
    <row r="12" spans="1:46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>
        <f>-M12</f>
        <v>6612.18</v>
      </c>
      <c r="K12" s="58">
        <v>-1142</v>
      </c>
      <c r="L12" s="89">
        <v>5.79</v>
      </c>
      <c r="M12" s="73">
        <f>K12*L12</f>
        <v>-6612.18</v>
      </c>
      <c r="N12" s="58"/>
      <c r="O12" s="89"/>
      <c r="P12" s="73"/>
      <c r="Q12" s="39"/>
      <c r="R12" s="39"/>
      <c r="S12" s="8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35"/>
      <c r="AP12" s="12" t="e">
        <f>#REF!</f>
        <v>#REF!</v>
      </c>
    </row>
    <row r="13" spans="1:46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>
        <f>-P13</f>
        <v>8974.7199999999993</v>
      </c>
      <c r="K13" s="57"/>
      <c r="L13" s="88"/>
      <c r="M13" s="62"/>
      <c r="N13" s="57">
        <v>-2368</v>
      </c>
      <c r="O13" s="88">
        <v>3.79</v>
      </c>
      <c r="P13" s="62">
        <f>N13*O13</f>
        <v>-8974.7199999999993</v>
      </c>
      <c r="Q13" s="39"/>
      <c r="R13" s="39"/>
      <c r="S13" s="8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35"/>
      <c r="AP13" s="12" t="e">
        <f>#REF!</f>
        <v>#REF!</v>
      </c>
    </row>
    <row r="14" spans="1:46" s="4" customFormat="1" ht="17.25" customHeight="1" x14ac:dyDescent="0.25">
      <c r="A14" s="23"/>
      <c r="B14" s="201" t="s">
        <v>97</v>
      </c>
      <c r="C14" s="203"/>
      <c r="D14" s="64"/>
      <c r="E14" s="64"/>
      <c r="F14" s="64"/>
      <c r="G14" s="64"/>
      <c r="H14" s="64">
        <f>-J14-I14</f>
        <v>6038.9</v>
      </c>
      <c r="I14" s="64">
        <v>9548</v>
      </c>
      <c r="J14" s="64">
        <f>-SUM(J12:J13)</f>
        <v>-15586.9</v>
      </c>
      <c r="K14" s="57"/>
      <c r="L14" s="88"/>
      <c r="M14" s="62"/>
      <c r="N14" s="57"/>
      <c r="O14" s="88"/>
      <c r="P14" s="62"/>
      <c r="Q14" s="39"/>
      <c r="R14" s="39"/>
      <c r="S14" s="39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22"/>
      <c r="AO14" s="43">
        <f>A2</f>
        <v>0</v>
      </c>
      <c r="AP14" s="12" t="e">
        <f>#REF!</f>
        <v>#REF!</v>
      </c>
      <c r="AT14" s="2"/>
    </row>
    <row r="15" spans="1:46" s="4" customFormat="1" ht="17.25" customHeight="1" x14ac:dyDescent="0.25">
      <c r="A15" s="23"/>
      <c r="B15" s="201" t="s">
        <v>100</v>
      </c>
      <c r="C15" s="203"/>
      <c r="D15" s="64"/>
      <c r="E15" s="64"/>
      <c r="F15" s="64"/>
      <c r="G15" s="64"/>
      <c r="H15" s="64"/>
      <c r="I15" s="64"/>
      <c r="J15" s="64"/>
      <c r="K15" s="57">
        <v>-53</v>
      </c>
      <c r="L15" s="88"/>
      <c r="M15" s="62">
        <f>(K18*L2)-M2-M12</f>
        <v>664.74591756624068</v>
      </c>
      <c r="N15" s="57">
        <v>83</v>
      </c>
      <c r="O15" s="88"/>
      <c r="P15" s="62">
        <f>(N18*((P2+P10)/(N2+N10))-P10-P2-P13)</f>
        <v>871.79246823763788</v>
      </c>
      <c r="Q15" s="39"/>
      <c r="R15" s="39"/>
      <c r="S15" s="39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22"/>
      <c r="AO15" s="43"/>
      <c r="AP15" s="12" t="e">
        <f>#REF!</f>
        <v>#REF!</v>
      </c>
      <c r="AT15" s="2"/>
    </row>
    <row r="16" spans="1:46" s="4" customFormat="1" ht="17.25" customHeight="1" x14ac:dyDescent="0.25">
      <c r="A16" s="23"/>
      <c r="B16" s="201"/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39"/>
      <c r="R16" s="39"/>
      <c r="S16" s="39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22"/>
      <c r="AO16" s="43">
        <f>A3</f>
        <v>45931</v>
      </c>
      <c r="AP16" s="12" t="e">
        <f>#REF!</f>
        <v>#REF!</v>
      </c>
      <c r="AT16" s="2"/>
    </row>
    <row r="17" spans="1:46" s="2" customFormat="1" ht="17.25" customHeight="1" thickBot="1" x14ac:dyDescent="0.3">
      <c r="A17" s="56"/>
      <c r="B17" s="101" t="s">
        <v>102</v>
      </c>
      <c r="C17" s="102">
        <f>D18+E18+F18+G18+H18+I18+J18+M18+P18</f>
        <v>105512.50999999998</v>
      </c>
      <c r="D17" s="85"/>
      <c r="E17" s="85"/>
      <c r="F17" s="85"/>
      <c r="G17" s="85"/>
      <c r="H17" s="85"/>
      <c r="I17" s="85"/>
      <c r="J17" s="85"/>
      <c r="K17" s="97"/>
      <c r="L17" s="98"/>
      <c r="M17" s="99">
        <f>K17*L17</f>
        <v>0</v>
      </c>
      <c r="N17" s="97"/>
      <c r="O17" s="98"/>
      <c r="P17" s="99">
        <f>N17*O17</f>
        <v>0</v>
      </c>
      <c r="Q17" s="51"/>
      <c r="R17" s="51"/>
      <c r="S17" s="51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42">
        <f>SUM($Q2:AN17)</f>
        <v>-420377.88</v>
      </c>
      <c r="AQ17" s="33"/>
      <c r="AR17" s="27"/>
      <c r="AS17" s="2" t="s">
        <v>5</v>
      </c>
    </row>
    <row r="18" spans="1:46" s="2" customFormat="1" ht="17.25" customHeight="1" thickTop="1" thickBot="1" x14ac:dyDescent="0.3">
      <c r="A18" s="103"/>
      <c r="B18" s="104" t="s">
        <v>103</v>
      </c>
      <c r="C18" s="105">
        <f>AO18</f>
        <v>-314865.37</v>
      </c>
      <c r="D18" s="106">
        <f t="shared" ref="D18:K18" si="0">SUM(D2:D17)</f>
        <v>87.179999999985739</v>
      </c>
      <c r="E18" s="107">
        <f t="shared" si="0"/>
        <v>-22381.300000000017</v>
      </c>
      <c r="F18" s="107">
        <f t="shared" si="0"/>
        <v>41449.160000000003</v>
      </c>
      <c r="G18" s="107">
        <f t="shared" si="0"/>
        <v>0</v>
      </c>
      <c r="H18" s="107">
        <f t="shared" si="0"/>
        <v>-1764.3499999999967</v>
      </c>
      <c r="I18" s="107">
        <f t="shared" si="0"/>
        <v>9548</v>
      </c>
      <c r="J18" s="107">
        <f t="shared" si="0"/>
        <v>0</v>
      </c>
      <c r="K18" s="108">
        <f t="shared" si="0"/>
        <v>3900</v>
      </c>
      <c r="L18" s="109">
        <f>M18/K18</f>
        <v>4.9769333333333332</v>
      </c>
      <c r="M18" s="107">
        <f>ROUND(SUM(M2:M17),2)</f>
        <v>19410.04</v>
      </c>
      <c r="N18" s="108">
        <f>SUM(N2:N17)</f>
        <v>16684</v>
      </c>
      <c r="O18" s="109">
        <f>P18/N18</f>
        <v>3.546138815631743</v>
      </c>
      <c r="P18" s="107">
        <f>ROUND(SUM(P2:P17),2)</f>
        <v>59163.78</v>
      </c>
      <c r="Q18" s="110">
        <f t="shared" ref="Q18:AH18" si="1">SUM(Q2:Q17)</f>
        <v>-248820</v>
      </c>
      <c r="R18" s="107">
        <f t="shared" si="1"/>
        <v>7865.57</v>
      </c>
      <c r="S18" s="107">
        <f t="shared" si="1"/>
        <v>0</v>
      </c>
      <c r="T18" s="107">
        <f t="shared" si="1"/>
        <v>-16073.45</v>
      </c>
      <c r="U18" s="107">
        <f t="shared" si="1"/>
        <v>0</v>
      </c>
      <c r="V18" s="107">
        <f t="shared" si="1"/>
        <v>-163350</v>
      </c>
      <c r="W18" s="107">
        <f t="shared" si="1"/>
        <v>0</v>
      </c>
      <c r="X18" s="107">
        <f t="shared" si="1"/>
        <v>0</v>
      </c>
      <c r="Y18" s="107">
        <f t="shared" si="1"/>
        <v>0</v>
      </c>
      <c r="Z18" s="107">
        <f t="shared" si="1"/>
        <v>0</v>
      </c>
      <c r="AA18" s="107">
        <f t="shared" si="1"/>
        <v>0</v>
      </c>
      <c r="AB18" s="107">
        <f t="shared" si="1"/>
        <v>0</v>
      </c>
      <c r="AC18" s="107">
        <f t="shared" si="1"/>
        <v>0</v>
      </c>
      <c r="AD18" s="107">
        <f t="shared" si="1"/>
        <v>0</v>
      </c>
      <c r="AE18" s="107">
        <f t="shared" si="1"/>
        <v>0</v>
      </c>
      <c r="AF18" s="107">
        <f t="shared" si="1"/>
        <v>0</v>
      </c>
      <c r="AG18" s="107">
        <f t="shared" si="1"/>
        <v>0</v>
      </c>
      <c r="AH18" s="107">
        <f t="shared" si="1"/>
        <v>0</v>
      </c>
      <c r="AI18" s="107"/>
      <c r="AJ18" s="107">
        <f>SUM(AJ2:AJ17)</f>
        <v>0</v>
      </c>
      <c r="AK18" s="107">
        <f>SUM(AK2:AK17)</f>
        <v>0</v>
      </c>
      <c r="AL18" s="107">
        <f>SUM(AL2:AL17)</f>
        <v>0</v>
      </c>
      <c r="AM18" s="107">
        <f>SUM(AM2:AM17)</f>
        <v>0</v>
      </c>
      <c r="AN18" s="107">
        <f>SUM(AN2:AN17)</f>
        <v>0</v>
      </c>
      <c r="AO18" s="111">
        <f>D18+E18+F18+G18+H18+I18+J18+M18+P18+SUM(Q18:AN18)</f>
        <v>-314865.37</v>
      </c>
      <c r="AP18" s="4"/>
      <c r="AQ18" s="5"/>
      <c r="AR18" s="5"/>
      <c r="AS18" s="2" t="s">
        <v>6</v>
      </c>
    </row>
    <row r="19" spans="1:46" s="4" customFormat="1" ht="17.25" customHeight="1" thickTop="1" x14ac:dyDescent="0.25">
      <c r="A19" s="23">
        <f>A3+1</f>
        <v>45932</v>
      </c>
      <c r="B19" s="210" t="s">
        <v>64</v>
      </c>
      <c r="C19" s="203"/>
      <c r="D19" s="63">
        <v>9310.7000000000007</v>
      </c>
      <c r="E19" s="66"/>
      <c r="F19" s="66"/>
      <c r="G19" s="66"/>
      <c r="H19" s="66"/>
      <c r="I19" s="64">
        <f>-D19</f>
        <v>-9310.7000000000007</v>
      </c>
      <c r="J19" s="66"/>
      <c r="K19" s="18"/>
      <c r="L19" s="91"/>
      <c r="M19" s="66"/>
      <c r="N19" s="18"/>
      <c r="O19" s="91"/>
      <c r="P19" s="66"/>
      <c r="Q19" s="46"/>
      <c r="R19" s="46"/>
      <c r="S19" s="45"/>
      <c r="T19" s="18"/>
      <c r="U19" s="18"/>
      <c r="V19" s="18"/>
      <c r="W19" s="18"/>
      <c r="X19" s="18"/>
      <c r="Y19" s="14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7"/>
      <c r="AO19" s="13"/>
      <c r="AP19" s="12" t="e">
        <f>#REF!</f>
        <v>#REF!</v>
      </c>
    </row>
    <row r="20" spans="1:46" s="4" customFormat="1" ht="17.25" customHeight="1" x14ac:dyDescent="0.25">
      <c r="A20" s="23"/>
      <c r="B20" s="201" t="s">
        <v>96</v>
      </c>
      <c r="C20" s="202"/>
      <c r="D20" s="63"/>
      <c r="E20" s="64"/>
      <c r="F20" s="64"/>
      <c r="G20" s="64"/>
      <c r="H20" s="64"/>
      <c r="I20" s="64">
        <f>-I18-I19</f>
        <v>-237.29999999999927</v>
      </c>
      <c r="J20" s="64"/>
      <c r="K20" s="16"/>
      <c r="L20" s="92"/>
      <c r="M20" s="64"/>
      <c r="N20" s="16"/>
      <c r="O20" s="92"/>
      <c r="P20" s="64"/>
      <c r="Q20" s="40"/>
      <c r="R20" s="46"/>
      <c r="S20" s="39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22"/>
      <c r="AP20" s="30"/>
    </row>
    <row r="21" spans="1:46" s="4" customFormat="1" ht="17.25" customHeight="1" x14ac:dyDescent="0.25">
      <c r="A21" s="23"/>
      <c r="B21" s="201" t="s">
        <v>13</v>
      </c>
      <c r="C21" s="203"/>
      <c r="D21" s="63"/>
      <c r="E21" s="64">
        <f>150+50+117+50+50+100+20+10+100+10+50+19+50+20+10+10+10+100+185+30</f>
        <v>1141</v>
      </c>
      <c r="F21" s="64"/>
      <c r="G21" s="64"/>
      <c r="H21" s="64">
        <f>-E21</f>
        <v>-1141</v>
      </c>
      <c r="I21" s="66"/>
      <c r="J21" s="64"/>
      <c r="K21" s="16"/>
      <c r="L21" s="92"/>
      <c r="M21" s="64"/>
      <c r="N21" s="16"/>
      <c r="O21" s="92"/>
      <c r="P21" s="64"/>
      <c r="Q21" s="40"/>
      <c r="R21" s="46">
        <f>-D21</f>
        <v>0</v>
      </c>
      <c r="S21" s="3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22"/>
      <c r="AP21" s="30"/>
    </row>
    <row r="22" spans="1:46" s="2" customFormat="1" ht="17.25" customHeight="1" x14ac:dyDescent="0.25">
      <c r="A22" s="24"/>
      <c r="B22" s="201" t="s">
        <v>175</v>
      </c>
      <c r="C22" s="203"/>
      <c r="D22" s="63"/>
      <c r="E22" s="64">
        <v>-92.5</v>
      </c>
      <c r="F22" s="64"/>
      <c r="G22" s="64"/>
      <c r="H22" s="64"/>
      <c r="I22" s="64"/>
      <c r="J22" s="64"/>
      <c r="K22" s="16"/>
      <c r="L22" s="92"/>
      <c r="M22" s="64"/>
      <c r="N22" s="16"/>
      <c r="O22" s="92"/>
      <c r="P22" s="64"/>
      <c r="Q22" s="39"/>
      <c r="R22" s="39"/>
      <c r="S22" s="39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22"/>
      <c r="AQ22" s="10"/>
      <c r="AR22" s="11"/>
    </row>
    <row r="23" spans="1:46" s="2" customFormat="1" ht="17.25" customHeight="1" x14ac:dyDescent="0.25">
      <c r="A23" s="24"/>
      <c r="B23" s="201" t="s">
        <v>176</v>
      </c>
      <c r="C23" s="203"/>
      <c r="D23" s="119"/>
      <c r="E23" s="64">
        <v>-196.01</v>
      </c>
      <c r="F23" s="64"/>
      <c r="G23" s="64"/>
      <c r="H23" s="64"/>
      <c r="I23" s="64"/>
      <c r="J23" s="64"/>
      <c r="K23" s="16"/>
      <c r="L23" s="92"/>
      <c r="M23" s="64"/>
      <c r="N23" s="16"/>
      <c r="O23" s="92"/>
      <c r="P23" s="64"/>
      <c r="Q23" s="39"/>
      <c r="R23" s="39"/>
      <c r="S23" s="39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22"/>
      <c r="AQ23" s="10"/>
      <c r="AR23" s="11"/>
    </row>
    <row r="24" spans="1:46" s="2" customFormat="1" ht="17.25" customHeight="1" x14ac:dyDescent="0.25">
      <c r="A24" s="29"/>
      <c r="B24" s="207" t="s">
        <v>199</v>
      </c>
      <c r="C24" s="207"/>
      <c r="D24" s="117"/>
      <c r="E24" s="64">
        <v>-541.5</v>
      </c>
      <c r="F24" s="64"/>
      <c r="G24" s="64"/>
      <c r="H24" s="64"/>
      <c r="I24" s="64"/>
      <c r="J24" s="64"/>
      <c r="K24" s="16"/>
      <c r="L24" s="92"/>
      <c r="M24" s="64"/>
      <c r="N24" s="16"/>
      <c r="O24" s="92"/>
      <c r="P24" s="64"/>
      <c r="Q24" s="39"/>
      <c r="R24" s="39"/>
      <c r="S24" s="39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22"/>
      <c r="AQ24" s="10"/>
      <c r="AR24" s="11"/>
    </row>
    <row r="25" spans="1:46" s="2" customFormat="1" ht="17.25" customHeight="1" x14ac:dyDescent="0.25">
      <c r="A25" s="29"/>
      <c r="B25" s="207" t="s">
        <v>200</v>
      </c>
      <c r="C25" s="207"/>
      <c r="D25" s="64">
        <v>-235.18</v>
      </c>
      <c r="E25" s="64"/>
      <c r="F25" s="64"/>
      <c r="G25" s="64"/>
      <c r="H25" s="64"/>
      <c r="I25" s="64"/>
      <c r="J25" s="64"/>
      <c r="K25" s="16"/>
      <c r="L25" s="92"/>
      <c r="M25" s="64"/>
      <c r="N25" s="16"/>
      <c r="O25" s="92"/>
      <c r="P25" s="64"/>
      <c r="Q25" s="39"/>
      <c r="R25" s="39"/>
      <c r="S25" s="39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22"/>
      <c r="AQ25" s="10"/>
      <c r="AR25" s="11"/>
    </row>
    <row r="26" spans="1:46" s="2" customFormat="1" ht="17.25" customHeight="1" x14ac:dyDescent="0.25">
      <c r="A26" s="29"/>
      <c r="B26" s="201" t="s">
        <v>72</v>
      </c>
      <c r="C26" s="202"/>
      <c r="D26" s="63">
        <v>-9300</v>
      </c>
      <c r="E26" s="64"/>
      <c r="F26" s="64">
        <f>-D26</f>
        <v>9300</v>
      </c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47"/>
      <c r="R26" s="39"/>
      <c r="S26" s="39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22"/>
      <c r="AQ26" s="10" t="s">
        <v>4</v>
      </c>
      <c r="AR26" s="11" t="e">
        <v>#REF!</v>
      </c>
    </row>
    <row r="27" spans="1:46" s="2" customFormat="1" ht="17.25" customHeight="1" x14ac:dyDescent="0.25">
      <c r="A27" s="29"/>
      <c r="B27" s="201" t="s">
        <v>72</v>
      </c>
      <c r="C27" s="202"/>
      <c r="D27" s="63">
        <f>-F27</f>
        <v>50749.16</v>
      </c>
      <c r="E27" s="64"/>
      <c r="F27" s="64">
        <v>-50749.16</v>
      </c>
      <c r="G27" s="64"/>
      <c r="H27" s="64"/>
      <c r="I27" s="64"/>
      <c r="J27" s="64"/>
      <c r="K27" s="57"/>
      <c r="L27" s="88"/>
      <c r="M27" s="62"/>
      <c r="N27" s="57"/>
      <c r="O27" s="88"/>
      <c r="P27" s="62"/>
      <c r="Q27" s="47"/>
      <c r="R27" s="39"/>
      <c r="S27" s="39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22"/>
      <c r="AQ27" s="10" t="s">
        <v>4</v>
      </c>
      <c r="AR27" s="11" t="e">
        <v>#REF!</v>
      </c>
    </row>
    <row r="28" spans="1:46" s="2" customFormat="1" ht="17.25" customHeight="1" x14ac:dyDescent="0.2">
      <c r="A28" s="24"/>
      <c r="B28" s="201" t="s">
        <v>213</v>
      </c>
      <c r="C28" s="203"/>
      <c r="D28" s="64">
        <v>-50000</v>
      </c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39"/>
      <c r="R28" s="39"/>
      <c r="S28" s="39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34"/>
      <c r="AQ28" s="10"/>
      <c r="AR28" s="11"/>
    </row>
    <row r="29" spans="1:46" s="2" customFormat="1" ht="17.25" customHeight="1" x14ac:dyDescent="0.2">
      <c r="A29" s="24"/>
      <c r="B29" s="201" t="s">
        <v>212</v>
      </c>
      <c r="C29" s="203"/>
      <c r="D29" s="64">
        <v>420</v>
      </c>
      <c r="E29" s="64"/>
      <c r="F29" s="64"/>
      <c r="G29" s="64"/>
      <c r="H29" s="64"/>
      <c r="I29" s="64"/>
      <c r="J29" s="64"/>
      <c r="K29" s="57"/>
      <c r="L29" s="88"/>
      <c r="M29" s="62"/>
      <c r="N29" s="57"/>
      <c r="O29" s="88"/>
      <c r="P29" s="62"/>
      <c r="Q29" s="39"/>
      <c r="R29" s="39"/>
      <c r="S29" s="39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34"/>
      <c r="AQ29" s="10"/>
      <c r="AR29" s="11"/>
    </row>
    <row r="30" spans="1:46" s="2" customFormat="1" ht="17.25" customHeight="1" x14ac:dyDescent="0.2">
      <c r="A30" s="24"/>
      <c r="B30" s="201" t="s">
        <v>211</v>
      </c>
      <c r="C30" s="203"/>
      <c r="D30" s="64">
        <v>-4.9000000000000004</v>
      </c>
      <c r="E30" s="64"/>
      <c r="F30" s="64"/>
      <c r="G30" s="64"/>
      <c r="H30" s="64"/>
      <c r="I30" s="64"/>
      <c r="J30" s="64"/>
      <c r="K30" s="57"/>
      <c r="L30" s="88"/>
      <c r="M30" s="62"/>
      <c r="N30" s="57"/>
      <c r="O30" s="88"/>
      <c r="P30" s="62"/>
      <c r="Q30" s="39"/>
      <c r="R30" s="39"/>
      <c r="S30" s="39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34"/>
      <c r="AQ30" s="10"/>
      <c r="AR30" s="11"/>
    </row>
    <row r="31" spans="1:46" s="4" customFormat="1" ht="17.25" customHeight="1" thickBot="1" x14ac:dyDescent="0.3">
      <c r="A31" s="24"/>
      <c r="B31" s="246"/>
      <c r="C31" s="246"/>
      <c r="D31" s="81"/>
      <c r="E31" s="81"/>
      <c r="F31" s="81"/>
      <c r="G31" s="81"/>
      <c r="H31" s="81"/>
      <c r="I31" s="81"/>
      <c r="J31" s="81"/>
      <c r="K31" s="59"/>
      <c r="L31" s="90"/>
      <c r="M31" s="136"/>
      <c r="N31" s="59"/>
      <c r="O31" s="90"/>
      <c r="P31" s="136"/>
      <c r="Q31" s="39"/>
      <c r="R31" s="39"/>
      <c r="S31" s="39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22"/>
      <c r="AO31" s="43"/>
      <c r="AP31" s="12" t="e">
        <f>#REF!</f>
        <v>#REF!</v>
      </c>
      <c r="AT31" s="2"/>
    </row>
    <row r="32" spans="1:46" s="4" customFormat="1" ht="17.25" customHeight="1" x14ac:dyDescent="0.25">
      <c r="A32" s="23"/>
      <c r="B32" s="212" t="s">
        <v>94</v>
      </c>
      <c r="C32" s="212"/>
      <c r="D32" s="66"/>
      <c r="E32" s="66"/>
      <c r="F32" s="117"/>
      <c r="G32" s="117"/>
      <c r="H32" s="66"/>
      <c r="I32" s="66"/>
      <c r="J32" s="66">
        <f>-M32</f>
        <v>7683.33</v>
      </c>
      <c r="K32" s="58">
        <v>-1327</v>
      </c>
      <c r="L32" s="89">
        <v>5.79</v>
      </c>
      <c r="M32" s="73">
        <f>K32*L32</f>
        <v>-7683.33</v>
      </c>
      <c r="N32" s="58"/>
      <c r="O32" s="89"/>
      <c r="P32" s="73"/>
      <c r="Q32" s="39"/>
      <c r="R32" s="39"/>
      <c r="S32" s="8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35"/>
      <c r="AP32" s="12" t="e">
        <f>#REF!</f>
        <v>#REF!</v>
      </c>
    </row>
    <row r="33" spans="1:46" s="4" customFormat="1" ht="17.25" customHeight="1" x14ac:dyDescent="0.25">
      <c r="A33" s="24"/>
      <c r="B33" s="207" t="s">
        <v>95</v>
      </c>
      <c r="C33" s="207"/>
      <c r="D33" s="64"/>
      <c r="E33" s="64"/>
      <c r="F33" s="117"/>
      <c r="G33" s="117"/>
      <c r="H33" s="64"/>
      <c r="I33" s="64"/>
      <c r="J33" s="64">
        <f>-P33</f>
        <v>8876.18</v>
      </c>
      <c r="K33" s="57"/>
      <c r="L33" s="88"/>
      <c r="M33" s="62"/>
      <c r="N33" s="57">
        <v>-2342</v>
      </c>
      <c r="O33" s="88">
        <v>3.79</v>
      </c>
      <c r="P33" s="62">
        <f>N33*O33</f>
        <v>-8876.18</v>
      </c>
      <c r="Q33" s="39"/>
      <c r="R33" s="39"/>
      <c r="S33" s="8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35"/>
      <c r="AP33" s="12" t="e">
        <f>#REF!</f>
        <v>#REF!</v>
      </c>
    </row>
    <row r="34" spans="1:46" s="4" customFormat="1" ht="17.25" customHeight="1" x14ac:dyDescent="0.25">
      <c r="A34" s="24"/>
      <c r="B34" s="207" t="s">
        <v>97</v>
      </c>
      <c r="C34" s="207"/>
      <c r="D34" s="64"/>
      <c r="E34" s="64"/>
      <c r="F34" s="64"/>
      <c r="G34" s="64"/>
      <c r="H34" s="64">
        <f>-J34-I34</f>
        <v>5921.5800000000017</v>
      </c>
      <c r="I34" s="64">
        <v>10637.93</v>
      </c>
      <c r="J34" s="64">
        <f>-SUM(J32:J33)</f>
        <v>-16559.510000000002</v>
      </c>
      <c r="K34" s="57"/>
      <c r="L34" s="88"/>
      <c r="M34" s="62"/>
      <c r="N34" s="57"/>
      <c r="O34" s="88"/>
      <c r="P34" s="62"/>
      <c r="Q34" s="39"/>
      <c r="R34" s="39"/>
      <c r="S34" s="39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22"/>
      <c r="AO34" s="43"/>
      <c r="AP34" s="12" t="e">
        <f>#REF!</f>
        <v>#REF!</v>
      </c>
      <c r="AT34" s="2"/>
    </row>
    <row r="35" spans="1:46" s="4" customFormat="1" ht="17.25" customHeight="1" x14ac:dyDescent="0.25">
      <c r="A35" s="24"/>
      <c r="B35" s="207" t="s">
        <v>100</v>
      </c>
      <c r="C35" s="207"/>
      <c r="D35" s="64"/>
      <c r="E35" s="64"/>
      <c r="F35" s="64"/>
      <c r="G35" s="64"/>
      <c r="H35" s="64"/>
      <c r="I35" s="64"/>
      <c r="J35" s="64"/>
      <c r="K35" s="57">
        <v>133</v>
      </c>
      <c r="L35" s="88"/>
      <c r="M35" s="118">
        <f>(K38*L18)-M18-M32</f>
        <v>1740.8715999999986</v>
      </c>
      <c r="N35" s="57">
        <v>-3</v>
      </c>
      <c r="O35" s="88"/>
      <c r="P35" s="118">
        <f>(N38*O18)-P18-P33</f>
        <v>560.48447734356159</v>
      </c>
      <c r="Q35" s="39"/>
      <c r="R35" s="39"/>
      <c r="S35" s="39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22"/>
      <c r="AO35" s="43"/>
      <c r="AP35" s="12" t="e">
        <f>#REF!</f>
        <v>#REF!</v>
      </c>
      <c r="AT35" s="2"/>
    </row>
    <row r="36" spans="1:46" s="4" customFormat="1" ht="17.25" customHeight="1" x14ac:dyDescent="0.25">
      <c r="A36" s="24"/>
      <c r="B36" s="201"/>
      <c r="C36" s="202"/>
      <c r="D36" s="64"/>
      <c r="E36" s="64"/>
      <c r="F36" s="117"/>
      <c r="G36" s="117"/>
      <c r="H36" s="64"/>
      <c r="I36" s="64"/>
      <c r="J36" s="64"/>
      <c r="K36" s="16"/>
      <c r="L36" s="92"/>
      <c r="M36" s="64"/>
      <c r="N36" s="16"/>
      <c r="O36" s="92"/>
      <c r="P36" s="64"/>
      <c r="Q36" s="47"/>
      <c r="R36" s="39"/>
      <c r="S36" s="8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43">
        <f>A19</f>
        <v>45932</v>
      </c>
      <c r="AP36" s="12" t="e">
        <f>#REF!</f>
        <v>#REF!</v>
      </c>
    </row>
    <row r="37" spans="1:46" s="4" customFormat="1" ht="17.25" customHeight="1" thickBot="1" x14ac:dyDescent="0.3">
      <c r="A37" s="32"/>
      <c r="B37" s="101" t="s">
        <v>102</v>
      </c>
      <c r="C37" s="102">
        <f>D38+E38+F38+G38+H38+I38+J38+M38+P38</f>
        <v>56926.469999999979</v>
      </c>
      <c r="D37" s="96"/>
      <c r="E37" s="85"/>
      <c r="F37" s="120"/>
      <c r="G37" s="120"/>
      <c r="H37" s="85"/>
      <c r="I37" s="85"/>
      <c r="J37" s="85"/>
      <c r="K37" s="28"/>
      <c r="L37" s="112"/>
      <c r="M37" s="85"/>
      <c r="N37" s="28"/>
      <c r="O37" s="112"/>
      <c r="P37" s="85"/>
      <c r="Q37" s="113"/>
      <c r="R37" s="51"/>
      <c r="S37" s="87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42">
        <f>SUM($Q18:AN37)</f>
        <v>-420377.88</v>
      </c>
      <c r="AP37" s="2"/>
      <c r="AQ37" s="33"/>
      <c r="AR37" s="27"/>
      <c r="AS37" s="2" t="s">
        <v>5</v>
      </c>
    </row>
    <row r="38" spans="1:46" s="2" customFormat="1" ht="17.25" customHeight="1" thickTop="1" thickBot="1" x14ac:dyDescent="0.3">
      <c r="A38" s="103"/>
      <c r="B38" s="104" t="s">
        <v>103</v>
      </c>
      <c r="C38" s="105">
        <f>AO38</f>
        <v>-363451.41000000003</v>
      </c>
      <c r="D38" s="106">
        <f t="shared" ref="D38:K38" si="2">SUM(D18:D37)</f>
        <v>1026.9599999999859</v>
      </c>
      <c r="E38" s="107">
        <f t="shared" si="2"/>
        <v>-22070.310000000016</v>
      </c>
      <c r="F38" s="107">
        <f t="shared" si="2"/>
        <v>0</v>
      </c>
      <c r="G38" s="107">
        <f t="shared" si="2"/>
        <v>0</v>
      </c>
      <c r="H38" s="107">
        <f t="shared" si="2"/>
        <v>3016.230000000005</v>
      </c>
      <c r="I38" s="107">
        <f t="shared" si="2"/>
        <v>10637.93</v>
      </c>
      <c r="J38" s="107">
        <f t="shared" si="2"/>
        <v>0</v>
      </c>
      <c r="K38" s="108">
        <f t="shared" si="2"/>
        <v>2706</v>
      </c>
      <c r="L38" s="109">
        <f>M38/K38</f>
        <v>4.9769327420546929</v>
      </c>
      <c r="M38" s="107">
        <f>ROUND(SUM(M18:M37),2)</f>
        <v>13467.58</v>
      </c>
      <c r="N38" s="108">
        <f>SUM(N18:N37)</f>
        <v>14339</v>
      </c>
      <c r="O38" s="114">
        <f>P38/N38</f>
        <v>3.5461385033823838</v>
      </c>
      <c r="P38" s="107">
        <f>ROUND(SUM(P18:P37),2)</f>
        <v>50848.08</v>
      </c>
      <c r="Q38" s="115">
        <f t="shared" ref="Q38:AN38" si="3">SUM(Q18:Q37)</f>
        <v>-248820</v>
      </c>
      <c r="R38" s="107">
        <f t="shared" si="3"/>
        <v>7865.57</v>
      </c>
      <c r="S38" s="107">
        <f t="shared" si="3"/>
        <v>0</v>
      </c>
      <c r="T38" s="107">
        <f t="shared" si="3"/>
        <v>-16073.45</v>
      </c>
      <c r="U38" s="107">
        <f t="shared" si="3"/>
        <v>0</v>
      </c>
      <c r="V38" s="107">
        <f t="shared" si="3"/>
        <v>-163350</v>
      </c>
      <c r="W38" s="107">
        <f t="shared" si="3"/>
        <v>0</v>
      </c>
      <c r="X38" s="107">
        <f t="shared" si="3"/>
        <v>0</v>
      </c>
      <c r="Y38" s="107">
        <f t="shared" si="3"/>
        <v>0</v>
      </c>
      <c r="Z38" s="107">
        <f t="shared" si="3"/>
        <v>0</v>
      </c>
      <c r="AA38" s="107">
        <f t="shared" si="3"/>
        <v>0</v>
      </c>
      <c r="AB38" s="107">
        <f t="shared" si="3"/>
        <v>0</v>
      </c>
      <c r="AC38" s="107">
        <f t="shared" si="3"/>
        <v>0</v>
      </c>
      <c r="AD38" s="107">
        <f t="shared" si="3"/>
        <v>0</v>
      </c>
      <c r="AE38" s="107">
        <f t="shared" si="3"/>
        <v>0</v>
      </c>
      <c r="AF38" s="107">
        <f t="shared" si="3"/>
        <v>0</v>
      </c>
      <c r="AG38" s="107">
        <f t="shared" si="3"/>
        <v>0</v>
      </c>
      <c r="AH38" s="107">
        <f t="shared" si="3"/>
        <v>0</v>
      </c>
      <c r="AI38" s="107">
        <f t="shared" si="3"/>
        <v>0</v>
      </c>
      <c r="AJ38" s="107">
        <f t="shared" si="3"/>
        <v>0</v>
      </c>
      <c r="AK38" s="107">
        <f t="shared" si="3"/>
        <v>0</v>
      </c>
      <c r="AL38" s="107">
        <f t="shared" si="3"/>
        <v>0</v>
      </c>
      <c r="AM38" s="107">
        <f t="shared" si="3"/>
        <v>0</v>
      </c>
      <c r="AN38" s="107">
        <f t="shared" si="3"/>
        <v>0</v>
      </c>
      <c r="AO38" s="111">
        <f>D38+E38+F38+G38+H38+I38+J38+M38+P38+SUM(Q38:AN38)</f>
        <v>-363451.41000000003</v>
      </c>
      <c r="AP38" s="4"/>
      <c r="AQ38" s="5"/>
      <c r="AR38" s="5"/>
      <c r="AS38" s="2" t="s">
        <v>6</v>
      </c>
    </row>
    <row r="39" spans="1:46" s="2" customFormat="1" ht="17.25" customHeight="1" thickTop="1" x14ac:dyDescent="0.25">
      <c r="A39" s="23">
        <f>A19+1</f>
        <v>45933</v>
      </c>
      <c r="B39" s="210" t="s">
        <v>64</v>
      </c>
      <c r="C39" s="203"/>
      <c r="D39" s="63">
        <v>10378.19</v>
      </c>
      <c r="E39" s="66"/>
      <c r="F39" s="66"/>
      <c r="G39" s="66"/>
      <c r="H39" s="66"/>
      <c r="I39" s="66">
        <f>-D39</f>
        <v>-10378.19</v>
      </c>
      <c r="J39" s="66"/>
      <c r="K39" s="18"/>
      <c r="L39" s="91"/>
      <c r="M39" s="66"/>
      <c r="N39" s="18"/>
      <c r="O39" s="91"/>
      <c r="P39" s="66"/>
      <c r="Q39" s="46"/>
      <c r="R39" s="46"/>
      <c r="S39" s="45"/>
      <c r="T39" s="18"/>
      <c r="U39" s="18"/>
      <c r="V39" s="18"/>
      <c r="W39" s="18"/>
      <c r="X39" s="18"/>
      <c r="Y39" s="14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7"/>
      <c r="AO39" s="13"/>
      <c r="AQ39" s="10"/>
      <c r="AR39" s="27"/>
    </row>
    <row r="40" spans="1:46" s="4" customFormat="1" ht="17.25" customHeight="1" x14ac:dyDescent="0.25">
      <c r="A40" s="23"/>
      <c r="B40" s="201" t="s">
        <v>96</v>
      </c>
      <c r="C40" s="202"/>
      <c r="D40" s="63"/>
      <c r="E40" s="64"/>
      <c r="F40" s="64"/>
      <c r="G40" s="64"/>
      <c r="H40" s="64"/>
      <c r="I40" s="117">
        <f>-I38-I39</f>
        <v>-259.73999999999978</v>
      </c>
      <c r="J40" s="64"/>
      <c r="K40" s="16"/>
      <c r="L40" s="92"/>
      <c r="M40" s="64"/>
      <c r="N40" s="16"/>
      <c r="O40" s="92"/>
      <c r="P40" s="64"/>
      <c r="Q40" s="40"/>
      <c r="R40" s="46"/>
      <c r="S40" s="39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22"/>
      <c r="AP40" s="30"/>
    </row>
    <row r="41" spans="1:46" s="4" customFormat="1" ht="17.25" customHeight="1" x14ac:dyDescent="0.25">
      <c r="A41" s="23"/>
      <c r="B41" s="201" t="s">
        <v>13</v>
      </c>
      <c r="C41" s="203"/>
      <c r="D41" s="63"/>
      <c r="E41" s="64">
        <f>20+100+19+20+40+50+10+50+50+20+20+50+800</f>
        <v>1249</v>
      </c>
      <c r="F41" s="64"/>
      <c r="G41" s="64"/>
      <c r="H41" s="64">
        <f>-E41</f>
        <v>-1249</v>
      </c>
      <c r="I41" s="66"/>
      <c r="J41" s="64"/>
      <c r="K41" s="16"/>
      <c r="L41" s="92"/>
      <c r="M41" s="64"/>
      <c r="N41" s="16"/>
      <c r="O41" s="92"/>
      <c r="P41" s="64"/>
      <c r="Q41" s="40"/>
      <c r="R41" s="46">
        <f>-D41</f>
        <v>0</v>
      </c>
      <c r="S41" s="39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22"/>
      <c r="AP41" s="30"/>
    </row>
    <row r="42" spans="1:46" s="2" customFormat="1" ht="17.25" customHeight="1" x14ac:dyDescent="0.25">
      <c r="A42" s="24"/>
      <c r="B42" s="201" t="s">
        <v>14</v>
      </c>
      <c r="C42" s="203"/>
      <c r="D42" s="63"/>
      <c r="E42" s="64">
        <f>1680+1950+2000+290+110</f>
        <v>6030</v>
      </c>
      <c r="F42" s="64"/>
      <c r="G42" s="64"/>
      <c r="H42" s="64">
        <f>-E42</f>
        <v>-6030</v>
      </c>
      <c r="I42" s="64"/>
      <c r="J42" s="64"/>
      <c r="K42" s="16"/>
      <c r="L42" s="92"/>
      <c r="M42" s="64"/>
      <c r="N42" s="16"/>
      <c r="O42" s="92"/>
      <c r="P42" s="64"/>
      <c r="Q42" s="40"/>
      <c r="R42" s="40"/>
      <c r="S42" s="39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22"/>
      <c r="AQ42" s="10"/>
      <c r="AR42" s="11"/>
    </row>
    <row r="43" spans="1:46" s="2" customFormat="1" ht="17.25" customHeight="1" x14ac:dyDescent="0.25">
      <c r="A43" s="24"/>
      <c r="B43" s="201" t="s">
        <v>177</v>
      </c>
      <c r="C43" s="203"/>
      <c r="D43" s="63"/>
      <c r="E43" s="64">
        <v>-800</v>
      </c>
      <c r="F43" s="64"/>
      <c r="G43" s="64"/>
      <c r="H43" s="64"/>
      <c r="I43" s="64"/>
      <c r="J43" s="64"/>
      <c r="K43" s="16"/>
      <c r="L43" s="92"/>
      <c r="M43" s="64"/>
      <c r="N43" s="16"/>
      <c r="O43" s="92"/>
      <c r="P43" s="64"/>
      <c r="Q43" s="39"/>
      <c r="R43" s="39"/>
      <c r="S43" s="39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22"/>
      <c r="AQ43" s="10"/>
      <c r="AR43" s="11"/>
    </row>
    <row r="44" spans="1:46" s="2" customFormat="1" ht="17.25" customHeight="1" x14ac:dyDescent="0.25">
      <c r="A44" s="24"/>
      <c r="B44" s="201" t="s">
        <v>178</v>
      </c>
      <c r="C44" s="203"/>
      <c r="D44" s="119"/>
      <c r="E44" s="64">
        <v>-19.149999999999999</v>
      </c>
      <c r="F44" s="64"/>
      <c r="G44" s="64"/>
      <c r="H44" s="64"/>
      <c r="I44" s="64"/>
      <c r="J44" s="64"/>
      <c r="K44" s="16"/>
      <c r="L44" s="92"/>
      <c r="M44" s="64"/>
      <c r="N44" s="16"/>
      <c r="O44" s="92"/>
      <c r="P44" s="64"/>
      <c r="Q44" s="39"/>
      <c r="R44" s="39"/>
      <c r="S44" s="39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22"/>
      <c r="AQ44" s="10"/>
      <c r="AR44" s="11"/>
    </row>
    <row r="45" spans="1:46" s="2" customFormat="1" ht="17.25" customHeight="1" x14ac:dyDescent="0.25">
      <c r="A45" s="29"/>
      <c r="B45" s="201" t="s">
        <v>72</v>
      </c>
      <c r="C45" s="202"/>
      <c r="D45" s="63">
        <v>-11300</v>
      </c>
      <c r="E45" s="64"/>
      <c r="F45" s="64">
        <f>-D45</f>
        <v>11300</v>
      </c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47"/>
      <c r="R45" s="39"/>
      <c r="S45" s="39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22"/>
      <c r="AQ45" s="10" t="s">
        <v>4</v>
      </c>
      <c r="AR45" s="11" t="e">
        <v>#REF!</v>
      </c>
    </row>
    <row r="46" spans="1:46" s="2" customFormat="1" ht="17.25" customHeight="1" x14ac:dyDescent="0.25">
      <c r="A46" s="24"/>
      <c r="B46" s="205" t="s">
        <v>287</v>
      </c>
      <c r="C46" s="206"/>
      <c r="D46" s="65"/>
      <c r="E46" s="64"/>
      <c r="F46" s="117"/>
      <c r="G46" s="117"/>
      <c r="H46" s="64"/>
      <c r="I46" s="64"/>
      <c r="J46" s="64"/>
      <c r="K46" s="16"/>
      <c r="L46" s="92"/>
      <c r="M46" s="64"/>
      <c r="N46" s="16"/>
      <c r="O46" s="92"/>
      <c r="P46" s="64"/>
      <c r="Q46" s="46">
        <f>-V46</f>
        <v>-12233.33</v>
      </c>
      <c r="R46" s="46"/>
      <c r="S46" s="86"/>
      <c r="T46" s="16"/>
      <c r="U46" s="16"/>
      <c r="V46" s="16">
        <v>12233.33</v>
      </c>
      <c r="W46" s="16"/>
      <c r="X46" s="16"/>
      <c r="Y46" s="19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7"/>
      <c r="AO46" s="26"/>
      <c r="AQ46" s="10"/>
      <c r="AR46" s="27"/>
    </row>
    <row r="47" spans="1:46" s="2" customFormat="1" ht="17.25" customHeight="1" x14ac:dyDescent="0.25">
      <c r="A47" s="24"/>
      <c r="B47" s="205" t="s">
        <v>288</v>
      </c>
      <c r="C47" s="206"/>
      <c r="D47" s="65"/>
      <c r="E47" s="64"/>
      <c r="F47" s="117"/>
      <c r="G47" s="117"/>
      <c r="H47" s="64"/>
      <c r="I47" s="64"/>
      <c r="J47" s="64"/>
      <c r="K47" s="16"/>
      <c r="L47" s="92"/>
      <c r="M47" s="64"/>
      <c r="N47" s="16"/>
      <c r="O47" s="92"/>
      <c r="P47" s="64"/>
      <c r="Q47" s="46">
        <f>-V47</f>
        <v>-12233.33</v>
      </c>
      <c r="R47" s="46"/>
      <c r="S47" s="86"/>
      <c r="T47" s="16"/>
      <c r="U47" s="16"/>
      <c r="V47" s="16">
        <v>12233.33</v>
      </c>
      <c r="W47" s="16"/>
      <c r="X47" s="16"/>
      <c r="Y47" s="19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7"/>
      <c r="AO47" s="26"/>
      <c r="AQ47" s="10"/>
      <c r="AR47" s="27"/>
    </row>
    <row r="48" spans="1:46" s="2" customFormat="1" ht="17.25" customHeight="1" x14ac:dyDescent="0.25">
      <c r="A48" s="24"/>
      <c r="B48" s="205" t="s">
        <v>198</v>
      </c>
      <c r="C48" s="206"/>
      <c r="D48" s="65"/>
      <c r="E48" s="64"/>
      <c r="F48" s="117"/>
      <c r="G48" s="117"/>
      <c r="H48" s="64"/>
      <c r="I48" s="64"/>
      <c r="J48" s="64"/>
      <c r="K48" s="16"/>
      <c r="L48" s="92"/>
      <c r="M48" s="64"/>
      <c r="N48" s="16"/>
      <c r="O48" s="92"/>
      <c r="P48" s="64"/>
      <c r="Q48" s="46">
        <f>-V48</f>
        <v>-26625</v>
      </c>
      <c r="R48" s="46"/>
      <c r="S48" s="86"/>
      <c r="T48" s="16"/>
      <c r="U48" s="16"/>
      <c r="V48" s="16">
        <v>26625</v>
      </c>
      <c r="W48" s="16"/>
      <c r="X48" s="16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7"/>
      <c r="AO48" s="26"/>
      <c r="AQ48" s="10"/>
      <c r="AR48" s="27"/>
    </row>
    <row r="49" spans="1:46" s="2" customFormat="1" ht="17.25" customHeight="1" x14ac:dyDescent="0.25">
      <c r="A49" s="24"/>
      <c r="B49" s="205" t="s">
        <v>219</v>
      </c>
      <c r="C49" s="206"/>
      <c r="D49" s="64"/>
      <c r="E49" s="64"/>
      <c r="F49" s="64"/>
      <c r="G49" s="64"/>
      <c r="H49" s="64"/>
      <c r="I49" s="64"/>
      <c r="J49" s="64"/>
      <c r="K49" s="57">
        <v>10000</v>
      </c>
      <c r="L49" s="88">
        <v>5</v>
      </c>
      <c r="M49" s="62">
        <f>K49*L49</f>
        <v>50000</v>
      </c>
      <c r="N49" s="57"/>
      <c r="O49" s="88"/>
      <c r="P49" s="62"/>
      <c r="Q49" s="39"/>
      <c r="R49" s="39"/>
      <c r="S49" s="39"/>
      <c r="T49" s="16"/>
      <c r="U49" s="16">
        <f>-P49</f>
        <v>0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22"/>
      <c r="AQ49" s="10"/>
      <c r="AR49" s="11"/>
    </row>
    <row r="50" spans="1:46" s="4" customFormat="1" ht="17.25" customHeight="1" thickBot="1" x14ac:dyDescent="0.25">
      <c r="A50" s="23"/>
      <c r="B50" s="216"/>
      <c r="C50" s="242"/>
      <c r="D50" s="83"/>
      <c r="E50" s="81"/>
      <c r="F50" s="81"/>
      <c r="G50" s="81"/>
      <c r="H50" s="81"/>
      <c r="I50" s="81"/>
      <c r="J50" s="81"/>
      <c r="K50" s="37"/>
      <c r="L50" s="93"/>
      <c r="M50" s="81"/>
      <c r="N50" s="37"/>
      <c r="O50" s="93"/>
      <c r="P50" s="81"/>
      <c r="Q50" s="46"/>
      <c r="R50" s="46"/>
      <c r="S50" s="39"/>
      <c r="T50" s="16"/>
      <c r="U50" s="16"/>
      <c r="V50" s="16"/>
      <c r="W50" s="16"/>
      <c r="X50" s="16"/>
      <c r="Y50" s="19"/>
      <c r="Z50" s="16"/>
      <c r="AA50" s="16"/>
      <c r="AB50" s="16"/>
      <c r="AC50" s="16"/>
      <c r="AD50" s="16"/>
      <c r="AE50" s="16"/>
      <c r="AF50" s="16"/>
      <c r="AG50" s="16"/>
      <c r="AH50" s="16"/>
      <c r="AI50" s="44"/>
      <c r="AJ50" s="16"/>
      <c r="AK50" s="16"/>
      <c r="AL50" s="16"/>
      <c r="AM50" s="16"/>
      <c r="AN50" s="16"/>
      <c r="AO50" s="44"/>
    </row>
    <row r="51" spans="1:46" s="4" customFormat="1" ht="17.25" customHeight="1" x14ac:dyDescent="0.25">
      <c r="A51" s="23"/>
      <c r="B51" s="210" t="s">
        <v>94</v>
      </c>
      <c r="C51" s="203"/>
      <c r="D51" s="66"/>
      <c r="E51" s="66"/>
      <c r="F51" s="117"/>
      <c r="G51" s="117"/>
      <c r="H51" s="66"/>
      <c r="I51" s="66"/>
      <c r="J51" s="66">
        <f>-M51</f>
        <v>6397.95</v>
      </c>
      <c r="K51" s="58">
        <v>-1105</v>
      </c>
      <c r="L51" s="89">
        <v>5.79</v>
      </c>
      <c r="M51" s="73">
        <f>K51*L51</f>
        <v>-6397.95</v>
      </c>
      <c r="N51" s="58"/>
      <c r="O51" s="89"/>
      <c r="P51" s="73"/>
      <c r="Q51" s="39"/>
      <c r="R51" s="39"/>
      <c r="S51" s="8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35"/>
      <c r="AP51" s="12" t="e">
        <f>#REF!</f>
        <v>#REF!</v>
      </c>
    </row>
    <row r="52" spans="1:46" s="4" customFormat="1" ht="17.25" customHeight="1" x14ac:dyDescent="0.25">
      <c r="A52" s="23"/>
      <c r="B52" s="201" t="s">
        <v>95</v>
      </c>
      <c r="C52" s="202"/>
      <c r="D52" s="64"/>
      <c r="E52" s="64"/>
      <c r="F52" s="117"/>
      <c r="G52" s="117"/>
      <c r="H52" s="64"/>
      <c r="I52" s="64"/>
      <c r="J52" s="64">
        <f>-P52</f>
        <v>9005.0400000000009</v>
      </c>
      <c r="K52" s="57"/>
      <c r="L52" s="88"/>
      <c r="M52" s="62"/>
      <c r="N52" s="57">
        <v>-2376</v>
      </c>
      <c r="O52" s="88">
        <v>3.79</v>
      </c>
      <c r="P52" s="62">
        <f>N52*O52</f>
        <v>-9005.0400000000009</v>
      </c>
      <c r="Q52" s="39"/>
      <c r="R52" s="39"/>
      <c r="S52" s="8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35"/>
      <c r="AP52" s="12" t="e">
        <f>#REF!</f>
        <v>#REF!</v>
      </c>
    </row>
    <row r="53" spans="1:46" s="4" customFormat="1" ht="17.25" customHeight="1" x14ac:dyDescent="0.25">
      <c r="A53" s="23"/>
      <c r="B53" s="201" t="s">
        <v>97</v>
      </c>
      <c r="C53" s="203"/>
      <c r="D53" s="64"/>
      <c r="E53" s="64"/>
      <c r="F53" s="64"/>
      <c r="G53" s="64"/>
      <c r="H53" s="64">
        <f>-J53-I53</f>
        <v>4192.880000000001</v>
      </c>
      <c r="I53" s="64">
        <v>11210.11</v>
      </c>
      <c r="J53" s="64">
        <f>-SUM(J51:J52)</f>
        <v>-15402.990000000002</v>
      </c>
      <c r="K53" s="57"/>
      <c r="L53" s="88"/>
      <c r="M53" s="62"/>
      <c r="N53" s="57"/>
      <c r="O53" s="88"/>
      <c r="P53" s="62"/>
      <c r="Q53" s="39"/>
      <c r="R53" s="39"/>
      <c r="S53" s="39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22"/>
      <c r="AO53" s="43">
        <f>A21</f>
        <v>0</v>
      </c>
      <c r="AP53" s="12" t="e">
        <f>#REF!</f>
        <v>#REF!</v>
      </c>
      <c r="AT53" s="2"/>
    </row>
    <row r="54" spans="1:46" s="4" customFormat="1" ht="17.25" customHeight="1" x14ac:dyDescent="0.25">
      <c r="A54" s="23"/>
      <c r="B54" s="201" t="s">
        <v>93</v>
      </c>
      <c r="C54" s="202"/>
      <c r="D54" s="64"/>
      <c r="E54" s="64"/>
      <c r="F54" s="64"/>
      <c r="G54" s="64"/>
      <c r="H54" s="64"/>
      <c r="I54" s="64"/>
      <c r="J54" s="64"/>
      <c r="K54" s="57">
        <v>77</v>
      </c>
      <c r="L54" s="88"/>
      <c r="M54" s="118">
        <f>(K57*((M38+M49)/(K38+K49)))-M38-M51-M49</f>
        <v>1263.0001936093176</v>
      </c>
      <c r="N54" s="57">
        <v>-105</v>
      </c>
      <c r="O54" s="88"/>
      <c r="P54" s="118">
        <f>(N57*O38)-P38-P52</f>
        <v>207.07037310830492</v>
      </c>
      <c r="Q54" s="39"/>
      <c r="R54" s="39"/>
      <c r="S54" s="39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22"/>
      <c r="AO54" s="43">
        <f>A20</f>
        <v>0</v>
      </c>
      <c r="AP54" s="12" t="e">
        <f>#REF!</f>
        <v>#REF!</v>
      </c>
      <c r="AT54" s="2"/>
    </row>
    <row r="55" spans="1:46" s="4" customFormat="1" ht="17.25" customHeight="1" x14ac:dyDescent="0.2">
      <c r="A55" s="23"/>
      <c r="B55" s="201"/>
      <c r="C55" s="202"/>
      <c r="D55" s="63"/>
      <c r="E55" s="64"/>
      <c r="F55" s="64"/>
      <c r="G55" s="64"/>
      <c r="H55" s="64"/>
      <c r="I55" s="64"/>
      <c r="J55" s="64"/>
      <c r="K55" s="16"/>
      <c r="L55" s="92"/>
      <c r="M55" s="64"/>
      <c r="N55" s="16"/>
      <c r="O55" s="92"/>
      <c r="P55" s="64"/>
      <c r="Q55" s="46"/>
      <c r="R55" s="46"/>
      <c r="S55" s="39"/>
      <c r="T55" s="16"/>
      <c r="U55" s="16"/>
      <c r="V55" s="16"/>
      <c r="W55" s="16"/>
      <c r="X55" s="16"/>
      <c r="Y55" s="19"/>
      <c r="Z55" s="16"/>
      <c r="AA55" s="16"/>
      <c r="AB55" s="16"/>
      <c r="AC55" s="16"/>
      <c r="AD55" s="16"/>
      <c r="AE55" s="16"/>
      <c r="AF55" s="16"/>
      <c r="AG55" s="16"/>
      <c r="AH55" s="16"/>
      <c r="AI55" s="44"/>
      <c r="AJ55" s="16"/>
      <c r="AK55" s="16"/>
      <c r="AL55" s="16"/>
      <c r="AM55" s="16"/>
      <c r="AN55" s="16"/>
      <c r="AO55" s="44"/>
    </row>
    <row r="56" spans="1:46" s="2" customFormat="1" ht="17.25" customHeight="1" thickBot="1" x14ac:dyDescent="0.3">
      <c r="A56" s="32"/>
      <c r="B56" s="101" t="s">
        <v>102</v>
      </c>
      <c r="C56" s="102">
        <f>D57+E57+F57+G57+H57+I57+J57+M57+P57</f>
        <v>107317.64999999998</v>
      </c>
      <c r="D56" s="96"/>
      <c r="E56" s="85"/>
      <c r="F56" s="85"/>
      <c r="G56" s="85"/>
      <c r="H56" s="85"/>
      <c r="I56" s="85"/>
      <c r="J56" s="85"/>
      <c r="K56" s="28"/>
      <c r="L56" s="112"/>
      <c r="M56" s="85"/>
      <c r="N56" s="28"/>
      <c r="O56" s="112"/>
      <c r="P56" s="85"/>
      <c r="Q56" s="113"/>
      <c r="R56" s="51"/>
      <c r="S56" s="51"/>
      <c r="T56" s="28"/>
      <c r="U56" s="28"/>
      <c r="V56" s="28"/>
      <c r="W56" s="3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100"/>
      <c r="AO56" s="42">
        <f>SUM($Q38:AN56)</f>
        <v>-420377.88</v>
      </c>
      <c r="AQ56" s="33"/>
      <c r="AR56" s="27"/>
      <c r="AS56" s="2" t="s">
        <v>5</v>
      </c>
    </row>
    <row r="57" spans="1:46" s="2" customFormat="1" ht="17.25" customHeight="1" thickTop="1" thickBot="1" x14ac:dyDescent="0.3">
      <c r="A57" s="103"/>
      <c r="B57" s="104" t="s">
        <v>103</v>
      </c>
      <c r="C57" s="105">
        <f>AO57</f>
        <v>-313060.23000000004</v>
      </c>
      <c r="D57" s="106">
        <f t="shared" ref="D57:K57" si="4">SUM(D38:D56)</f>
        <v>105.1499999999869</v>
      </c>
      <c r="E57" s="107">
        <f t="shared" si="4"/>
        <v>-15610.460000000015</v>
      </c>
      <c r="F57" s="107">
        <f t="shared" si="4"/>
        <v>11300</v>
      </c>
      <c r="G57" s="107">
        <f t="shared" si="4"/>
        <v>0</v>
      </c>
      <c r="H57" s="107">
        <f t="shared" si="4"/>
        <v>-69.889999999993961</v>
      </c>
      <c r="I57" s="107">
        <f t="shared" si="4"/>
        <v>11210.11</v>
      </c>
      <c r="J57" s="107">
        <f t="shared" si="4"/>
        <v>0</v>
      </c>
      <c r="K57" s="108">
        <f t="shared" si="4"/>
        <v>11678</v>
      </c>
      <c r="L57" s="109">
        <f>M57/K57</f>
        <v>4.9950873437232399</v>
      </c>
      <c r="M57" s="107">
        <f>ROUND(SUM(M38:M56),2)</f>
        <v>58332.63</v>
      </c>
      <c r="N57" s="108">
        <f>SUM(N38:N56)</f>
        <v>11858</v>
      </c>
      <c r="O57" s="109">
        <f>P57/N57</f>
        <v>3.5461384719176929</v>
      </c>
      <c r="P57" s="107">
        <f>ROUND(SUM(P38:P56),2)</f>
        <v>42050.11</v>
      </c>
      <c r="Q57" s="115">
        <f t="shared" ref="Q57:AN57" si="5">SUM(Q38:Q56)</f>
        <v>-299911.65999999997</v>
      </c>
      <c r="R57" s="107">
        <f t="shared" si="5"/>
        <v>7865.57</v>
      </c>
      <c r="S57" s="107">
        <f t="shared" si="5"/>
        <v>0</v>
      </c>
      <c r="T57" s="107">
        <f t="shared" si="5"/>
        <v>-16073.45</v>
      </c>
      <c r="U57" s="107">
        <f t="shared" si="5"/>
        <v>0</v>
      </c>
      <c r="V57" s="107">
        <f t="shared" si="5"/>
        <v>-112258.34000000003</v>
      </c>
      <c r="W57" s="107">
        <f t="shared" si="5"/>
        <v>0</v>
      </c>
      <c r="X57" s="107">
        <f t="shared" si="5"/>
        <v>0</v>
      </c>
      <c r="Y57" s="107">
        <f t="shared" si="5"/>
        <v>0</v>
      </c>
      <c r="Z57" s="107">
        <f t="shared" si="5"/>
        <v>0</v>
      </c>
      <c r="AA57" s="107">
        <f t="shared" si="5"/>
        <v>0</v>
      </c>
      <c r="AB57" s="107">
        <f t="shared" si="5"/>
        <v>0</v>
      </c>
      <c r="AC57" s="107">
        <f t="shared" si="5"/>
        <v>0</v>
      </c>
      <c r="AD57" s="107">
        <f t="shared" si="5"/>
        <v>0</v>
      </c>
      <c r="AE57" s="107">
        <f t="shared" si="5"/>
        <v>0</v>
      </c>
      <c r="AF57" s="107">
        <f t="shared" si="5"/>
        <v>0</v>
      </c>
      <c r="AG57" s="107">
        <f t="shared" si="5"/>
        <v>0</v>
      </c>
      <c r="AH57" s="107">
        <f t="shared" si="5"/>
        <v>0</v>
      </c>
      <c r="AI57" s="107">
        <f t="shared" si="5"/>
        <v>0</v>
      </c>
      <c r="AJ57" s="107">
        <f t="shared" si="5"/>
        <v>0</v>
      </c>
      <c r="AK57" s="107">
        <f t="shared" si="5"/>
        <v>0</v>
      </c>
      <c r="AL57" s="107">
        <f t="shared" si="5"/>
        <v>0</v>
      </c>
      <c r="AM57" s="107">
        <f t="shared" si="5"/>
        <v>0</v>
      </c>
      <c r="AN57" s="107">
        <f t="shared" si="5"/>
        <v>0</v>
      </c>
      <c r="AO57" s="111">
        <f>D57+E57+F57+G57+H57+I57+J57+M57+P57+SUM(Q57:AN57)</f>
        <v>-313060.23000000004</v>
      </c>
      <c r="AP57" s="4"/>
      <c r="AQ57" s="5"/>
      <c r="AR57" s="5"/>
      <c r="AS57" s="2" t="s">
        <v>6</v>
      </c>
    </row>
    <row r="58" spans="1:46" s="2" customFormat="1" ht="17.25" customHeight="1" thickTop="1" x14ac:dyDescent="0.25">
      <c r="A58" s="23">
        <f>A39+1</f>
        <v>45934</v>
      </c>
      <c r="B58" s="201" t="s">
        <v>64</v>
      </c>
      <c r="C58" s="203"/>
      <c r="D58" s="63">
        <v>10935.65</v>
      </c>
      <c r="E58" s="64"/>
      <c r="F58" s="64"/>
      <c r="G58" s="64"/>
      <c r="H58" s="64"/>
      <c r="I58" s="64">
        <f>-D58</f>
        <v>-10935.65</v>
      </c>
      <c r="J58" s="66"/>
      <c r="K58" s="18"/>
      <c r="L58" s="91"/>
      <c r="M58" s="66"/>
      <c r="N58" s="18"/>
      <c r="O58" s="91"/>
      <c r="P58" s="66"/>
      <c r="Q58" s="46"/>
      <c r="R58" s="46"/>
      <c r="S58" s="45"/>
      <c r="T58" s="18"/>
      <c r="U58" s="18"/>
      <c r="V58" s="18"/>
      <c r="W58" s="18"/>
      <c r="X58" s="18"/>
      <c r="Y58" s="14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7"/>
      <c r="AO58" s="31"/>
      <c r="AQ58" s="10"/>
      <c r="AR58" s="27"/>
    </row>
    <row r="59" spans="1:46" s="2" customFormat="1" ht="17.25" customHeight="1" x14ac:dyDescent="0.25">
      <c r="A59" s="24"/>
      <c r="B59" s="201" t="s">
        <v>96</v>
      </c>
      <c r="C59" s="202"/>
      <c r="D59" s="63"/>
      <c r="E59" s="64"/>
      <c r="F59" s="64"/>
      <c r="G59" s="64"/>
      <c r="H59" s="64"/>
      <c r="I59" s="117">
        <f>-I57-I58</f>
        <v>-274.46000000000095</v>
      </c>
      <c r="J59" s="64"/>
      <c r="K59" s="16"/>
      <c r="L59" s="92"/>
      <c r="M59" s="64"/>
      <c r="N59" s="16"/>
      <c r="O59" s="92"/>
      <c r="P59" s="64"/>
      <c r="Q59" s="46"/>
      <c r="R59" s="40"/>
      <c r="S59" s="39"/>
      <c r="T59" s="16"/>
      <c r="U59" s="16"/>
      <c r="V59" s="16"/>
      <c r="W59" s="16"/>
      <c r="X59" s="16"/>
      <c r="Y59" s="19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22"/>
      <c r="AQ59" s="10"/>
      <c r="AR59" s="11"/>
    </row>
    <row r="60" spans="1:46" s="2" customFormat="1" ht="17.25" customHeight="1" x14ac:dyDescent="0.25">
      <c r="A60" s="29"/>
      <c r="B60" s="201" t="s">
        <v>72</v>
      </c>
      <c r="C60" s="202"/>
      <c r="D60" s="63">
        <v>-11000</v>
      </c>
      <c r="E60" s="64"/>
      <c r="F60" s="64">
        <f>-D60</f>
        <v>11000</v>
      </c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47"/>
      <c r="R60" s="39"/>
      <c r="S60" s="39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22"/>
      <c r="AQ60" s="10" t="s">
        <v>4</v>
      </c>
      <c r="AR60" s="11" t="e">
        <v>#REF!</v>
      </c>
    </row>
    <row r="61" spans="1:46" s="4" customFormat="1" ht="17.25" customHeight="1" thickBot="1" x14ac:dyDescent="0.25">
      <c r="A61" s="23"/>
      <c r="B61" s="216"/>
      <c r="C61" s="242"/>
      <c r="D61" s="83"/>
      <c r="E61" s="81"/>
      <c r="F61" s="81"/>
      <c r="G61" s="81"/>
      <c r="H61" s="81"/>
      <c r="I61" s="81"/>
      <c r="J61" s="81"/>
      <c r="K61" s="37"/>
      <c r="L61" s="93"/>
      <c r="M61" s="81"/>
      <c r="N61" s="37"/>
      <c r="O61" s="93"/>
      <c r="P61" s="81"/>
      <c r="Q61" s="46"/>
      <c r="R61" s="46"/>
      <c r="S61" s="39"/>
      <c r="T61" s="16"/>
      <c r="U61" s="16"/>
      <c r="V61" s="16"/>
      <c r="W61" s="16"/>
      <c r="X61" s="16"/>
      <c r="Y61" s="19"/>
      <c r="Z61" s="16"/>
      <c r="AA61" s="16"/>
      <c r="AB61" s="16"/>
      <c r="AC61" s="16"/>
      <c r="AD61" s="16"/>
      <c r="AE61" s="16"/>
      <c r="AF61" s="16"/>
      <c r="AG61" s="16"/>
      <c r="AH61" s="16"/>
      <c r="AI61" s="44"/>
      <c r="AJ61" s="16"/>
      <c r="AK61" s="16"/>
      <c r="AL61" s="16"/>
      <c r="AM61" s="16"/>
      <c r="AN61" s="16"/>
      <c r="AO61" s="44"/>
    </row>
    <row r="62" spans="1:46" s="4" customFormat="1" ht="17.25" customHeight="1" x14ac:dyDescent="0.25">
      <c r="A62" s="23"/>
      <c r="B62" s="210" t="s">
        <v>94</v>
      </c>
      <c r="C62" s="203"/>
      <c r="D62" s="66"/>
      <c r="E62" s="66"/>
      <c r="F62" s="117"/>
      <c r="G62" s="117"/>
      <c r="H62" s="66"/>
      <c r="I62" s="66"/>
      <c r="J62" s="66">
        <f>-M62</f>
        <v>7283.82</v>
      </c>
      <c r="K62" s="58">
        <v>-1258</v>
      </c>
      <c r="L62" s="89">
        <v>5.79</v>
      </c>
      <c r="M62" s="73">
        <f>K62*L62</f>
        <v>-7283.82</v>
      </c>
      <c r="N62" s="58"/>
      <c r="O62" s="89"/>
      <c r="P62" s="73"/>
      <c r="Q62" s="39"/>
      <c r="R62" s="39"/>
      <c r="S62" s="8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35"/>
      <c r="AP62" s="12" t="e">
        <f>#REF!</f>
        <v>#REF!</v>
      </c>
    </row>
    <row r="63" spans="1:46" s="4" customFormat="1" ht="17.25" customHeight="1" x14ac:dyDescent="0.25">
      <c r="A63" s="23"/>
      <c r="B63" s="201" t="s">
        <v>95</v>
      </c>
      <c r="C63" s="202"/>
      <c r="D63" s="64"/>
      <c r="E63" s="64"/>
      <c r="F63" s="117"/>
      <c r="G63" s="117"/>
      <c r="H63" s="64"/>
      <c r="I63" s="64"/>
      <c r="J63" s="64">
        <f>-P63</f>
        <v>8826.91</v>
      </c>
      <c r="K63" s="57"/>
      <c r="L63" s="88"/>
      <c r="M63" s="62"/>
      <c r="N63" s="57">
        <v>-2329</v>
      </c>
      <c r="O63" s="88">
        <v>3.79</v>
      </c>
      <c r="P63" s="62">
        <f>N63*O63</f>
        <v>-8826.91</v>
      </c>
      <c r="Q63" s="39"/>
      <c r="R63" s="39"/>
      <c r="S63" s="8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35"/>
      <c r="AP63" s="12" t="e">
        <f>#REF!</f>
        <v>#REF!</v>
      </c>
    </row>
    <row r="64" spans="1:46" s="4" customFormat="1" ht="17.25" customHeight="1" x14ac:dyDescent="0.25">
      <c r="A64" s="23"/>
      <c r="B64" s="201" t="s">
        <v>97</v>
      </c>
      <c r="C64" s="203"/>
      <c r="D64" s="64"/>
      <c r="E64" s="64"/>
      <c r="F64" s="64"/>
      <c r="G64" s="64"/>
      <c r="H64" s="64">
        <f>-J64-I64</f>
        <v>5052.4599999999991</v>
      </c>
      <c r="I64" s="64">
        <v>11058.27</v>
      </c>
      <c r="J64" s="64">
        <f>-SUM(J62:J63)</f>
        <v>-16110.73</v>
      </c>
      <c r="K64" s="57"/>
      <c r="L64" s="88"/>
      <c r="M64" s="62"/>
      <c r="N64" s="57"/>
      <c r="O64" s="88"/>
      <c r="P64" s="62"/>
      <c r="Q64" s="39"/>
      <c r="R64" s="39"/>
      <c r="S64" s="39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22"/>
      <c r="AO64" s="43"/>
      <c r="AP64" s="12" t="e">
        <f>#REF!</f>
        <v>#REF!</v>
      </c>
      <c r="AT64" s="2"/>
    </row>
    <row r="65" spans="1:46" s="4" customFormat="1" ht="17.25" customHeight="1" x14ac:dyDescent="0.25">
      <c r="A65" s="23"/>
      <c r="B65" s="201" t="s">
        <v>93</v>
      </c>
      <c r="C65" s="202"/>
      <c r="D65" s="64"/>
      <c r="E65" s="64"/>
      <c r="F65" s="64"/>
      <c r="G65" s="64"/>
      <c r="H65" s="64"/>
      <c r="I65" s="64"/>
      <c r="J65" s="64"/>
      <c r="K65" s="57">
        <v>0</v>
      </c>
      <c r="L65" s="88"/>
      <c r="M65" s="118">
        <f>(K68*L57)-M57-M62</f>
        <v>1000.0001215961602</v>
      </c>
      <c r="N65" s="57">
        <v>0</v>
      </c>
      <c r="O65" s="88"/>
      <c r="P65" s="118">
        <f>(N68*O57)-P57-P63</f>
        <v>567.95349890369471</v>
      </c>
      <c r="Q65" s="39"/>
      <c r="R65" s="39"/>
      <c r="S65" s="39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22"/>
      <c r="AO65" s="43">
        <f>A38</f>
        <v>0</v>
      </c>
      <c r="AP65" s="12" t="e">
        <f>#REF!</f>
        <v>#REF!</v>
      </c>
      <c r="AT65" s="2"/>
    </row>
    <row r="66" spans="1:46" s="2" customFormat="1" ht="17.25" customHeight="1" x14ac:dyDescent="0.2">
      <c r="A66" s="24"/>
      <c r="B66" s="201"/>
      <c r="C66" s="204"/>
      <c r="D66" s="63"/>
      <c r="E66" s="64"/>
      <c r="F66" s="64"/>
      <c r="G66" s="64"/>
      <c r="H66" s="64"/>
      <c r="I66" s="64"/>
      <c r="J66" s="64"/>
      <c r="K66" s="16"/>
      <c r="L66" s="92"/>
      <c r="M66" s="64"/>
      <c r="N66" s="16"/>
      <c r="O66" s="92"/>
      <c r="P66" s="64"/>
      <c r="Q66" s="46"/>
      <c r="R66" s="46"/>
      <c r="S66" s="39"/>
      <c r="T66" s="16"/>
      <c r="U66" s="16"/>
      <c r="V66" s="16"/>
      <c r="W66" s="16"/>
      <c r="X66" s="16"/>
      <c r="Y66" s="19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43">
        <f>A58</f>
        <v>45934</v>
      </c>
      <c r="AQ66" s="10"/>
      <c r="AR66" s="11"/>
    </row>
    <row r="67" spans="1:46" s="2" customFormat="1" ht="17.25" customHeight="1" thickBot="1" x14ac:dyDescent="0.3">
      <c r="A67" s="56"/>
      <c r="B67" s="101" t="s">
        <v>102</v>
      </c>
      <c r="C67" s="102">
        <f>D68+E68+F68+G68+H68+I68+J68+M68+P68</f>
        <v>108611.13999999998</v>
      </c>
      <c r="D67" s="84"/>
      <c r="E67" s="85"/>
      <c r="F67" s="85"/>
      <c r="G67" s="85"/>
      <c r="H67" s="85"/>
      <c r="I67" s="85"/>
      <c r="J67" s="85"/>
      <c r="K67" s="28"/>
      <c r="L67" s="112"/>
      <c r="M67" s="85"/>
      <c r="N67" s="28"/>
      <c r="O67" s="112"/>
      <c r="P67" s="85"/>
      <c r="Q67" s="48"/>
      <c r="R67" s="48"/>
      <c r="S67" s="51"/>
      <c r="T67" s="28"/>
      <c r="U67" s="28"/>
      <c r="V67" s="28"/>
      <c r="W67" s="28"/>
      <c r="X67" s="28"/>
      <c r="Y67" s="36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42">
        <f>SUM($Q57:AN67)</f>
        <v>-420377.88</v>
      </c>
      <c r="AQ67" s="10"/>
      <c r="AR67" s="11"/>
      <c r="AS67" s="2" t="s">
        <v>5</v>
      </c>
    </row>
    <row r="68" spans="1:46" s="2" customFormat="1" ht="17.25" customHeight="1" thickTop="1" thickBot="1" x14ac:dyDescent="0.3">
      <c r="A68" s="103"/>
      <c r="B68" s="104" t="s">
        <v>103</v>
      </c>
      <c r="C68" s="105">
        <f>AO68</f>
        <v>-311766.74</v>
      </c>
      <c r="D68" s="106">
        <f t="shared" ref="D68:K68" si="6">SUM(D57:D67)</f>
        <v>40.799999999986539</v>
      </c>
      <c r="E68" s="107">
        <f t="shared" si="6"/>
        <v>-15610.460000000015</v>
      </c>
      <c r="F68" s="107">
        <f t="shared" si="6"/>
        <v>22300</v>
      </c>
      <c r="G68" s="107">
        <f t="shared" si="6"/>
        <v>0</v>
      </c>
      <c r="H68" s="107">
        <f t="shared" si="6"/>
        <v>4982.5700000000052</v>
      </c>
      <c r="I68" s="107">
        <f t="shared" si="6"/>
        <v>11058.27</v>
      </c>
      <c r="J68" s="107">
        <f t="shared" si="6"/>
        <v>0</v>
      </c>
      <c r="K68" s="108">
        <f t="shared" si="6"/>
        <v>10420</v>
      </c>
      <c r="L68" s="109">
        <f>M68/K68</f>
        <v>4.9950873320537426</v>
      </c>
      <c r="M68" s="107">
        <f>ROUND(SUM(M57:M67),2)</f>
        <v>52048.81</v>
      </c>
      <c r="N68" s="108">
        <f>SUM(N57:N67)</f>
        <v>9529</v>
      </c>
      <c r="O68" s="109">
        <f>P68/N68</f>
        <v>3.5461381047329206</v>
      </c>
      <c r="P68" s="107">
        <f>ROUND(SUM(P57:P67),2)</f>
        <v>33791.15</v>
      </c>
      <c r="Q68" s="110">
        <f t="shared" ref="Q68:AN68" si="7">SUM(Q57:Q67)</f>
        <v>-299911.65999999997</v>
      </c>
      <c r="R68" s="107">
        <f t="shared" si="7"/>
        <v>7865.57</v>
      </c>
      <c r="S68" s="107">
        <f t="shared" si="7"/>
        <v>0</v>
      </c>
      <c r="T68" s="107">
        <f t="shared" si="7"/>
        <v>-16073.45</v>
      </c>
      <c r="U68" s="107">
        <f t="shared" si="7"/>
        <v>0</v>
      </c>
      <c r="V68" s="107">
        <f t="shared" si="7"/>
        <v>-112258.34000000003</v>
      </c>
      <c r="W68" s="107">
        <f t="shared" si="7"/>
        <v>0</v>
      </c>
      <c r="X68" s="107">
        <f t="shared" si="7"/>
        <v>0</v>
      </c>
      <c r="Y68" s="107">
        <f t="shared" si="7"/>
        <v>0</v>
      </c>
      <c r="Z68" s="107">
        <f t="shared" si="7"/>
        <v>0</v>
      </c>
      <c r="AA68" s="107">
        <f t="shared" si="7"/>
        <v>0</v>
      </c>
      <c r="AB68" s="107">
        <f t="shared" si="7"/>
        <v>0</v>
      </c>
      <c r="AC68" s="107">
        <f t="shared" si="7"/>
        <v>0</v>
      </c>
      <c r="AD68" s="107">
        <f t="shared" si="7"/>
        <v>0</v>
      </c>
      <c r="AE68" s="107">
        <f t="shared" si="7"/>
        <v>0</v>
      </c>
      <c r="AF68" s="107">
        <f t="shared" si="7"/>
        <v>0</v>
      </c>
      <c r="AG68" s="107">
        <f t="shared" si="7"/>
        <v>0</v>
      </c>
      <c r="AH68" s="107">
        <f t="shared" si="7"/>
        <v>0</v>
      </c>
      <c r="AI68" s="107">
        <f t="shared" si="7"/>
        <v>0</v>
      </c>
      <c r="AJ68" s="107">
        <f t="shared" si="7"/>
        <v>0</v>
      </c>
      <c r="AK68" s="107">
        <f t="shared" si="7"/>
        <v>0</v>
      </c>
      <c r="AL68" s="107">
        <f t="shared" si="7"/>
        <v>0</v>
      </c>
      <c r="AM68" s="107">
        <f t="shared" si="7"/>
        <v>0</v>
      </c>
      <c r="AN68" s="107">
        <f t="shared" si="7"/>
        <v>0</v>
      </c>
      <c r="AO68" s="111">
        <f>D68+E68+F68+G68+H68+I68+J68+M68+P68+SUM(Q68:AN68)</f>
        <v>-311766.74</v>
      </c>
      <c r="AP68" s="4"/>
      <c r="AQ68" s="5"/>
      <c r="AR68" s="5"/>
      <c r="AS68" s="2" t="s">
        <v>6</v>
      </c>
    </row>
    <row r="69" spans="1:46" s="2" customFormat="1" ht="17.25" customHeight="1" thickTop="1" x14ac:dyDescent="0.25">
      <c r="A69" s="23">
        <f>A58+1</f>
        <v>45935</v>
      </c>
      <c r="B69" s="201" t="s">
        <v>64</v>
      </c>
      <c r="C69" s="203"/>
      <c r="D69" s="63">
        <v>10797.38</v>
      </c>
      <c r="E69" s="64"/>
      <c r="F69" s="74"/>
      <c r="G69" s="74"/>
      <c r="H69" s="64"/>
      <c r="I69" s="64">
        <f>-D69</f>
        <v>-10797.38</v>
      </c>
      <c r="J69" s="66"/>
      <c r="K69" s="18"/>
      <c r="L69" s="91"/>
      <c r="M69" s="66"/>
      <c r="N69" s="18"/>
      <c r="O69" s="91"/>
      <c r="P69" s="66"/>
      <c r="Q69" s="46"/>
      <c r="R69" s="46"/>
      <c r="S69" s="45"/>
      <c r="T69" s="18"/>
      <c r="U69" s="18"/>
      <c r="V69" s="18"/>
      <c r="W69" s="18"/>
      <c r="X69" s="18"/>
      <c r="Y69" s="14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7"/>
      <c r="AO69" s="31"/>
      <c r="AQ69" s="10"/>
      <c r="AR69" s="27"/>
    </row>
    <row r="70" spans="1:46" s="2" customFormat="1" ht="17.25" customHeight="1" x14ac:dyDescent="0.25">
      <c r="A70" s="24"/>
      <c r="B70" s="201" t="s">
        <v>96</v>
      </c>
      <c r="C70" s="202"/>
      <c r="D70" s="63"/>
      <c r="E70" s="64"/>
      <c r="F70" s="64"/>
      <c r="G70" s="64"/>
      <c r="H70" s="64"/>
      <c r="I70" s="117">
        <f>-I68-I69</f>
        <v>-260.89000000000124</v>
      </c>
      <c r="J70" s="64"/>
      <c r="K70" s="16"/>
      <c r="L70" s="92"/>
      <c r="M70" s="64"/>
      <c r="N70" s="16"/>
      <c r="O70" s="92"/>
      <c r="P70" s="64"/>
      <c r="Q70" s="46"/>
      <c r="R70" s="40"/>
      <c r="S70" s="39"/>
      <c r="T70" s="16"/>
      <c r="U70" s="16"/>
      <c r="V70" s="16"/>
      <c r="W70" s="16"/>
      <c r="X70" s="16"/>
      <c r="Y70" s="19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22"/>
      <c r="AQ70" s="10"/>
      <c r="AR70" s="11"/>
    </row>
    <row r="71" spans="1:46" s="2" customFormat="1" ht="17.25" customHeight="1" x14ac:dyDescent="0.25">
      <c r="A71" s="29"/>
      <c r="B71" s="201" t="s">
        <v>72</v>
      </c>
      <c r="C71" s="202"/>
      <c r="D71" s="63">
        <v>-10800</v>
      </c>
      <c r="E71" s="64"/>
      <c r="F71" s="64">
        <f>-D71</f>
        <v>10800</v>
      </c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47"/>
      <c r="R71" s="39"/>
      <c r="S71" s="39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22"/>
      <c r="AQ71" s="10" t="s">
        <v>4</v>
      </c>
      <c r="AR71" s="11" t="e">
        <v>#REF!</v>
      </c>
    </row>
    <row r="72" spans="1:46" s="2" customFormat="1" ht="17.25" customHeight="1" x14ac:dyDescent="0.2">
      <c r="A72" s="23"/>
      <c r="B72" s="201" t="s">
        <v>161</v>
      </c>
      <c r="C72" s="204"/>
      <c r="D72" s="63"/>
      <c r="E72" s="64"/>
      <c r="F72" s="74"/>
      <c r="G72" s="74"/>
      <c r="H72" s="64">
        <v>-791.28</v>
      </c>
      <c r="I72" s="64"/>
      <c r="J72" s="64"/>
      <c r="K72" s="16"/>
      <c r="L72" s="16"/>
      <c r="M72" s="64"/>
      <c r="N72" s="16"/>
      <c r="O72" s="16"/>
      <c r="P72" s="64"/>
      <c r="Q72" s="46"/>
      <c r="R72" s="39"/>
      <c r="S72" s="40"/>
      <c r="T72" s="16"/>
      <c r="U72" s="16"/>
      <c r="V72" s="16"/>
      <c r="W72" s="16"/>
      <c r="X72" s="16"/>
      <c r="Y72" s="19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35"/>
      <c r="AQ72" s="10"/>
      <c r="AR72" s="27"/>
    </row>
    <row r="73" spans="1:46" s="2" customFormat="1" ht="17.25" customHeight="1" x14ac:dyDescent="0.2">
      <c r="A73" s="23"/>
      <c r="B73" s="201" t="s">
        <v>163</v>
      </c>
      <c r="C73" s="204"/>
      <c r="D73" s="63"/>
      <c r="E73" s="64"/>
      <c r="F73" s="74"/>
      <c r="G73" s="74"/>
      <c r="H73" s="64">
        <v>-3835</v>
      </c>
      <c r="I73" s="64"/>
      <c r="J73" s="64"/>
      <c r="K73" s="16"/>
      <c r="L73" s="16"/>
      <c r="M73" s="64"/>
      <c r="N73" s="16"/>
      <c r="O73" s="16"/>
      <c r="P73" s="64"/>
      <c r="Q73" s="46"/>
      <c r="R73" s="39"/>
      <c r="S73" s="40"/>
      <c r="T73" s="16"/>
      <c r="U73" s="16"/>
      <c r="V73" s="16"/>
      <c r="W73" s="16"/>
      <c r="X73" s="16"/>
      <c r="Y73" s="19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35"/>
      <c r="AQ73" s="10"/>
      <c r="AR73" s="27"/>
    </row>
    <row r="74" spans="1:46" s="2" customFormat="1" ht="17.25" customHeight="1" thickBot="1" x14ac:dyDescent="0.25">
      <c r="A74" s="24"/>
      <c r="B74" s="216"/>
      <c r="C74" s="217"/>
      <c r="D74" s="83"/>
      <c r="E74" s="81"/>
      <c r="F74" s="81"/>
      <c r="G74" s="81"/>
      <c r="H74" s="81"/>
      <c r="I74" s="81"/>
      <c r="J74" s="81"/>
      <c r="K74" s="37"/>
      <c r="L74" s="93"/>
      <c r="M74" s="81"/>
      <c r="N74" s="37"/>
      <c r="O74" s="93"/>
      <c r="P74" s="81"/>
      <c r="Q74" s="40"/>
      <c r="R74" s="40"/>
      <c r="S74" s="39"/>
      <c r="T74" s="16"/>
      <c r="U74" s="16"/>
      <c r="V74" s="16"/>
      <c r="W74" s="16"/>
      <c r="X74" s="16"/>
      <c r="Y74" s="19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41"/>
      <c r="AQ74" s="10"/>
      <c r="AR74" s="11"/>
    </row>
    <row r="75" spans="1:46" s="4" customFormat="1" ht="17.25" customHeight="1" x14ac:dyDescent="0.25">
      <c r="A75" s="23"/>
      <c r="B75" s="210" t="s">
        <v>94</v>
      </c>
      <c r="C75" s="203"/>
      <c r="D75" s="66"/>
      <c r="E75" s="66"/>
      <c r="F75" s="117"/>
      <c r="G75" s="117"/>
      <c r="H75" s="66"/>
      <c r="I75" s="66"/>
      <c r="J75" s="66">
        <f>-M75</f>
        <v>5876.85</v>
      </c>
      <c r="K75" s="58">
        <v>-1015</v>
      </c>
      <c r="L75" s="89">
        <v>5.79</v>
      </c>
      <c r="M75" s="73">
        <f>K75*L75</f>
        <v>-5876.85</v>
      </c>
      <c r="N75" s="58"/>
      <c r="O75" s="89"/>
      <c r="P75" s="73"/>
      <c r="Q75" s="39"/>
      <c r="R75" s="39"/>
      <c r="S75" s="8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35"/>
      <c r="AP75" s="12" t="e">
        <f>#REF!</f>
        <v>#REF!</v>
      </c>
    </row>
    <row r="76" spans="1:46" s="4" customFormat="1" ht="17.25" customHeight="1" x14ac:dyDescent="0.25">
      <c r="A76" s="23"/>
      <c r="B76" s="201" t="s">
        <v>95</v>
      </c>
      <c r="C76" s="202"/>
      <c r="D76" s="64"/>
      <c r="E76" s="64"/>
      <c r="F76" s="117"/>
      <c r="G76" s="117"/>
      <c r="H76" s="64"/>
      <c r="I76" s="64"/>
      <c r="J76" s="64">
        <f>-P76</f>
        <v>4870.1499999999996</v>
      </c>
      <c r="K76" s="57"/>
      <c r="L76" s="88"/>
      <c r="M76" s="62"/>
      <c r="N76" s="57">
        <v>-1285</v>
      </c>
      <c r="O76" s="88">
        <v>3.79</v>
      </c>
      <c r="P76" s="62">
        <f>N76*O76</f>
        <v>-4870.1499999999996</v>
      </c>
      <c r="Q76" s="39"/>
      <c r="R76" s="39"/>
      <c r="S76" s="8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35"/>
      <c r="AP76" s="12" t="e">
        <f>#REF!</f>
        <v>#REF!</v>
      </c>
    </row>
    <row r="77" spans="1:46" s="4" customFormat="1" ht="17.25" customHeight="1" x14ac:dyDescent="0.25">
      <c r="A77" s="23"/>
      <c r="B77" s="201" t="s">
        <v>97</v>
      </c>
      <c r="C77" s="203"/>
      <c r="D77" s="64"/>
      <c r="E77" s="64"/>
      <c r="F77" s="64"/>
      <c r="G77" s="64"/>
      <c r="H77" s="64">
        <f>-J77-I77</f>
        <v>3916.25</v>
      </c>
      <c r="I77" s="64">
        <v>6830.75</v>
      </c>
      <c r="J77" s="64">
        <f>-SUM(J75:J76)</f>
        <v>-10747</v>
      </c>
      <c r="K77" s="57"/>
      <c r="L77" s="88"/>
      <c r="M77" s="62"/>
      <c r="N77" s="57"/>
      <c r="O77" s="88"/>
      <c r="P77" s="62"/>
      <c r="Q77" s="39"/>
      <c r="R77" s="39"/>
      <c r="S77" s="39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22"/>
      <c r="AO77" s="43"/>
      <c r="AP77" s="12" t="e">
        <f>#REF!</f>
        <v>#REF!</v>
      </c>
      <c r="AT77" s="2"/>
    </row>
    <row r="78" spans="1:46" s="4" customFormat="1" ht="17.25" customHeight="1" x14ac:dyDescent="0.25">
      <c r="A78" s="23"/>
      <c r="B78" s="201" t="s">
        <v>93</v>
      </c>
      <c r="C78" s="202"/>
      <c r="D78" s="64"/>
      <c r="E78" s="64"/>
      <c r="F78" s="64"/>
      <c r="G78" s="64"/>
      <c r="H78" s="64"/>
      <c r="I78" s="64"/>
      <c r="J78" s="64"/>
      <c r="K78" s="57">
        <v>2</v>
      </c>
      <c r="L78" s="88"/>
      <c r="M78" s="118">
        <f>(K81*L68)-M68-M75</f>
        <v>816.82653262956046</v>
      </c>
      <c r="N78" s="57">
        <v>-122</v>
      </c>
      <c r="O78" s="88"/>
      <c r="P78" s="118">
        <f>(N81*O68)-P68-P76</f>
        <v>-119.26631335921957</v>
      </c>
      <c r="Q78" s="39"/>
      <c r="R78" s="39"/>
      <c r="S78" s="39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22"/>
      <c r="AO78" s="43">
        <f>A59</f>
        <v>0</v>
      </c>
      <c r="AP78" s="12" t="e">
        <f>#REF!</f>
        <v>#REF!</v>
      </c>
      <c r="AT78" s="2"/>
    </row>
    <row r="79" spans="1:46" s="2" customFormat="1" ht="17.25" customHeight="1" x14ac:dyDescent="0.2">
      <c r="A79" s="24"/>
      <c r="B79" s="201"/>
      <c r="C79" s="204"/>
      <c r="D79" s="63"/>
      <c r="E79" s="64"/>
      <c r="F79" s="64"/>
      <c r="G79" s="64"/>
      <c r="H79" s="64"/>
      <c r="I79" s="64"/>
      <c r="J79" s="64"/>
      <c r="K79" s="16"/>
      <c r="L79" s="92"/>
      <c r="M79" s="64"/>
      <c r="N79" s="16"/>
      <c r="O79" s="92"/>
      <c r="P79" s="64"/>
      <c r="Q79" s="46"/>
      <c r="R79" s="46"/>
      <c r="S79" s="39"/>
      <c r="T79" s="16"/>
      <c r="U79" s="16"/>
      <c r="V79" s="16"/>
      <c r="W79" s="16"/>
      <c r="X79" s="16"/>
      <c r="Y79" s="19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43">
        <f>A69</f>
        <v>45935</v>
      </c>
      <c r="AQ79" s="10"/>
      <c r="AR79" s="11"/>
    </row>
    <row r="80" spans="1:46" s="2" customFormat="1" ht="17.25" customHeight="1" thickBot="1" x14ac:dyDescent="0.3">
      <c r="A80" s="56"/>
      <c r="B80" s="101" t="s">
        <v>102</v>
      </c>
      <c r="C80" s="102">
        <f>D81+E81+F81+G81+H81+I81+J81+M81+P81</f>
        <v>104421.52999999997</v>
      </c>
      <c r="D80" s="84"/>
      <c r="E80" s="85"/>
      <c r="F80" s="85"/>
      <c r="G80" s="85"/>
      <c r="H80" s="85"/>
      <c r="I80" s="85"/>
      <c r="J80" s="85"/>
      <c r="K80" s="28"/>
      <c r="L80" s="112"/>
      <c r="M80" s="85"/>
      <c r="N80" s="28"/>
      <c r="O80" s="112"/>
      <c r="P80" s="85"/>
      <c r="Q80" s="48"/>
      <c r="R80" s="48"/>
      <c r="S80" s="51"/>
      <c r="T80" s="28"/>
      <c r="U80" s="28"/>
      <c r="V80" s="28"/>
      <c r="W80" s="28"/>
      <c r="X80" s="28"/>
      <c r="Y80" s="36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42">
        <f>SUM($Q68:AN80)</f>
        <v>-420377.88</v>
      </c>
      <c r="AQ80" s="10"/>
      <c r="AR80" s="11"/>
      <c r="AS80" s="2" t="s">
        <v>5</v>
      </c>
    </row>
    <row r="81" spans="1:46" s="2" customFormat="1" ht="17.25" customHeight="1" thickTop="1" thickBot="1" x14ac:dyDescent="0.3">
      <c r="A81" s="103"/>
      <c r="B81" s="104" t="s">
        <v>103</v>
      </c>
      <c r="C81" s="105">
        <f>AO81</f>
        <v>-315956.35000000003</v>
      </c>
      <c r="D81" s="116">
        <f t="shared" ref="D81:K81" si="8">SUM(D68:D80)</f>
        <v>38.179999999985739</v>
      </c>
      <c r="E81" s="107">
        <f t="shared" si="8"/>
        <v>-15610.460000000015</v>
      </c>
      <c r="F81" s="107">
        <f t="shared" si="8"/>
        <v>33100</v>
      </c>
      <c r="G81" s="107">
        <f t="shared" si="8"/>
        <v>0</v>
      </c>
      <c r="H81" s="107">
        <f t="shared" si="8"/>
        <v>4272.5400000000054</v>
      </c>
      <c r="I81" s="107">
        <f t="shared" si="8"/>
        <v>6830.75</v>
      </c>
      <c r="J81" s="107">
        <f t="shared" si="8"/>
        <v>0</v>
      </c>
      <c r="K81" s="108">
        <f t="shared" si="8"/>
        <v>9407</v>
      </c>
      <c r="L81" s="109">
        <f>M81/K81</f>
        <v>4.9950877006484538</v>
      </c>
      <c r="M81" s="107">
        <f>ROUND(SUM(M68:M80),2)</f>
        <v>46988.79</v>
      </c>
      <c r="N81" s="108">
        <f>SUM(N68:N80)</f>
        <v>8122</v>
      </c>
      <c r="O81" s="109">
        <f>P81/N81</f>
        <v>3.5461376508249201</v>
      </c>
      <c r="P81" s="107">
        <f>ROUND(SUM(P68:P80),2)</f>
        <v>28801.73</v>
      </c>
      <c r="Q81" s="110">
        <f t="shared" ref="Q81:AN81" si="9">SUM(Q68:Q80)</f>
        <v>-299911.65999999997</v>
      </c>
      <c r="R81" s="107">
        <f t="shared" si="9"/>
        <v>7865.57</v>
      </c>
      <c r="S81" s="107">
        <f t="shared" si="9"/>
        <v>0</v>
      </c>
      <c r="T81" s="107">
        <f t="shared" si="9"/>
        <v>-16073.45</v>
      </c>
      <c r="U81" s="107">
        <f t="shared" si="9"/>
        <v>0</v>
      </c>
      <c r="V81" s="107">
        <f t="shared" si="9"/>
        <v>-112258.34000000003</v>
      </c>
      <c r="W81" s="107">
        <f t="shared" si="9"/>
        <v>0</v>
      </c>
      <c r="X81" s="107">
        <f t="shared" si="9"/>
        <v>0</v>
      </c>
      <c r="Y81" s="107">
        <f t="shared" si="9"/>
        <v>0</v>
      </c>
      <c r="Z81" s="107">
        <f t="shared" si="9"/>
        <v>0</v>
      </c>
      <c r="AA81" s="107">
        <f t="shared" si="9"/>
        <v>0</v>
      </c>
      <c r="AB81" s="107">
        <f t="shared" si="9"/>
        <v>0</v>
      </c>
      <c r="AC81" s="107">
        <f t="shared" si="9"/>
        <v>0</v>
      </c>
      <c r="AD81" s="107">
        <f t="shared" si="9"/>
        <v>0</v>
      </c>
      <c r="AE81" s="107">
        <f t="shared" si="9"/>
        <v>0</v>
      </c>
      <c r="AF81" s="107">
        <f t="shared" si="9"/>
        <v>0</v>
      </c>
      <c r="AG81" s="107">
        <f t="shared" si="9"/>
        <v>0</v>
      </c>
      <c r="AH81" s="107">
        <f t="shared" si="9"/>
        <v>0</v>
      </c>
      <c r="AI81" s="107">
        <f t="shared" si="9"/>
        <v>0</v>
      </c>
      <c r="AJ81" s="107">
        <f t="shared" si="9"/>
        <v>0</v>
      </c>
      <c r="AK81" s="107">
        <f t="shared" si="9"/>
        <v>0</v>
      </c>
      <c r="AL81" s="107">
        <f t="shared" si="9"/>
        <v>0</v>
      </c>
      <c r="AM81" s="107">
        <f t="shared" si="9"/>
        <v>0</v>
      </c>
      <c r="AN81" s="107">
        <f t="shared" si="9"/>
        <v>0</v>
      </c>
      <c r="AO81" s="111">
        <f>D81+E81+F81+G81+H81+I81+J81+M81+P81+SUM(Q81:AN81)</f>
        <v>-315956.35000000003</v>
      </c>
      <c r="AP81" s="4"/>
      <c r="AQ81" s="5"/>
      <c r="AR81" s="5"/>
      <c r="AS81" s="2" t="s">
        <v>6</v>
      </c>
    </row>
    <row r="82" spans="1:46" s="2" customFormat="1" ht="17.25" customHeight="1" thickTop="1" x14ac:dyDescent="0.25">
      <c r="A82" s="24">
        <f>A69+1</f>
        <v>45936</v>
      </c>
      <c r="B82" s="201" t="s">
        <v>64</v>
      </c>
      <c r="C82" s="203"/>
      <c r="D82" s="63">
        <v>6680.75</v>
      </c>
      <c r="E82" s="64"/>
      <c r="F82" s="74"/>
      <c r="G82" s="74"/>
      <c r="H82" s="64"/>
      <c r="I82" s="64">
        <f>-D82</f>
        <v>-6680.75</v>
      </c>
      <c r="J82" s="66"/>
      <c r="K82" s="18"/>
      <c r="L82" s="18"/>
      <c r="M82" s="66"/>
      <c r="N82" s="18"/>
      <c r="O82" s="18"/>
      <c r="P82" s="66"/>
      <c r="Q82" s="46"/>
      <c r="R82" s="46"/>
      <c r="S82" s="45"/>
      <c r="T82" s="18"/>
      <c r="U82" s="18"/>
      <c r="V82" s="18"/>
      <c r="W82" s="18"/>
      <c r="X82" s="18"/>
      <c r="Y82" s="14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7"/>
      <c r="AO82" s="31"/>
      <c r="AQ82" s="10"/>
      <c r="AR82" s="27"/>
    </row>
    <row r="83" spans="1:46" s="2" customFormat="1" ht="17.25" customHeight="1" x14ac:dyDescent="0.25">
      <c r="A83" s="24"/>
      <c r="B83" s="201" t="s">
        <v>96</v>
      </c>
      <c r="C83" s="202"/>
      <c r="D83" s="63"/>
      <c r="E83" s="64"/>
      <c r="F83" s="64"/>
      <c r="G83" s="64"/>
      <c r="H83" s="64"/>
      <c r="I83" s="117">
        <f>-I81-I82</f>
        <v>-150</v>
      </c>
      <c r="J83" s="64"/>
      <c r="K83" s="16"/>
      <c r="L83" s="16"/>
      <c r="M83" s="64"/>
      <c r="N83" s="16"/>
      <c r="O83" s="16"/>
      <c r="P83" s="64"/>
      <c r="Q83" s="46"/>
      <c r="R83" s="40"/>
      <c r="S83" s="39"/>
      <c r="T83" s="16"/>
      <c r="U83" s="16"/>
      <c r="V83" s="16"/>
      <c r="W83" s="16"/>
      <c r="X83" s="16"/>
      <c r="Y83" s="19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22"/>
      <c r="AQ83" s="10"/>
      <c r="AR83" s="11"/>
    </row>
    <row r="84" spans="1:46" s="2" customFormat="1" ht="17.25" customHeight="1" x14ac:dyDescent="0.25">
      <c r="A84" s="29"/>
      <c r="B84" s="205" t="s">
        <v>179</v>
      </c>
      <c r="C84" s="250"/>
      <c r="D84" s="63"/>
      <c r="E84" s="64">
        <f>-1141.12-5-50-700-20.7-20-20-50-100-170-30-50-50-25-50-732.87</f>
        <v>-3214.6899999999996</v>
      </c>
      <c r="F84" s="64"/>
      <c r="G84" s="64"/>
      <c r="H84" s="64"/>
      <c r="I84" s="64"/>
      <c r="J84" s="64"/>
      <c r="K84" s="57"/>
      <c r="L84" s="88"/>
      <c r="M84" s="62">
        <f>K84*L84</f>
        <v>0</v>
      </c>
      <c r="N84" s="57"/>
      <c r="O84" s="88"/>
      <c r="P84" s="62">
        <f>N84*O84</f>
        <v>0</v>
      </c>
      <c r="Q84" s="47"/>
      <c r="R84" s="39"/>
      <c r="S84" s="39"/>
      <c r="T84" s="20">
        <f>-E84</f>
        <v>3214.6899999999996</v>
      </c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22"/>
      <c r="AQ84" s="10" t="s">
        <v>4</v>
      </c>
      <c r="AR84" s="11" t="e">
        <v>#REF!</v>
      </c>
    </row>
    <row r="85" spans="1:46" s="2" customFormat="1" ht="17.25" customHeight="1" x14ac:dyDescent="0.25">
      <c r="A85" s="29"/>
      <c r="B85" s="201" t="s">
        <v>72</v>
      </c>
      <c r="C85" s="202"/>
      <c r="D85" s="63">
        <v>-6700</v>
      </c>
      <c r="E85" s="64"/>
      <c r="F85" s="64">
        <f>-D85</f>
        <v>6700</v>
      </c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47"/>
      <c r="R85" s="39"/>
      <c r="S85" s="39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22"/>
      <c r="AQ85" s="10" t="s">
        <v>4</v>
      </c>
      <c r="AR85" s="11" t="e">
        <v>#REF!</v>
      </c>
    </row>
    <row r="86" spans="1:46" s="2" customFormat="1" ht="17.25" customHeight="1" x14ac:dyDescent="0.2">
      <c r="A86" s="23"/>
      <c r="B86" s="211" t="s">
        <v>195</v>
      </c>
      <c r="C86" s="206"/>
      <c r="D86" s="63"/>
      <c r="E86" s="66"/>
      <c r="F86" s="64">
        <v>-26625</v>
      </c>
      <c r="G86" s="74"/>
      <c r="H86" s="64"/>
      <c r="I86" s="64"/>
      <c r="J86" s="64"/>
      <c r="K86" s="16"/>
      <c r="L86" s="16"/>
      <c r="M86" s="64"/>
      <c r="N86" s="16"/>
      <c r="O86" s="16"/>
      <c r="P86" s="64"/>
      <c r="Q86" s="46"/>
      <c r="R86" s="39"/>
      <c r="S86" s="40"/>
      <c r="T86" s="16"/>
      <c r="U86" s="16"/>
      <c r="V86" s="20">
        <f>-F86</f>
        <v>26625</v>
      </c>
      <c r="W86" s="16"/>
      <c r="X86" s="16"/>
      <c r="Y86" s="19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35"/>
      <c r="AQ86" s="10"/>
      <c r="AR86" s="27"/>
    </row>
    <row r="87" spans="1:46" s="2" customFormat="1" ht="17.25" customHeight="1" x14ac:dyDescent="0.2">
      <c r="A87" s="23"/>
      <c r="B87" s="205" t="s">
        <v>208</v>
      </c>
      <c r="C87" s="206"/>
      <c r="D87" s="64"/>
      <c r="E87" s="64"/>
      <c r="F87" s="64"/>
      <c r="G87" s="64"/>
      <c r="H87" s="64"/>
      <c r="I87" s="64"/>
      <c r="J87" s="64"/>
      <c r="K87" s="57"/>
      <c r="L87" s="88"/>
      <c r="M87" s="62"/>
      <c r="N87" s="57">
        <v>15000</v>
      </c>
      <c r="O87" s="88">
        <v>3.55</v>
      </c>
      <c r="P87" s="62">
        <f>N87*O87</f>
        <v>53250</v>
      </c>
      <c r="Q87" s="39"/>
      <c r="R87" s="39"/>
      <c r="S87" s="39"/>
      <c r="T87" s="16"/>
      <c r="U87" s="16"/>
      <c r="V87" s="20">
        <f>-P87</f>
        <v>-53250</v>
      </c>
      <c r="W87" s="16"/>
      <c r="X87" s="16"/>
      <c r="Y87" s="19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35"/>
      <c r="AQ87" s="10"/>
      <c r="AR87" s="27"/>
    </row>
    <row r="88" spans="1:46" s="2" customFormat="1" ht="17.25" customHeight="1" x14ac:dyDescent="0.25">
      <c r="A88" s="24"/>
      <c r="B88" s="205" t="s">
        <v>289</v>
      </c>
      <c r="C88" s="206"/>
      <c r="D88" s="65"/>
      <c r="E88" s="64"/>
      <c r="F88" s="117"/>
      <c r="G88" s="117"/>
      <c r="H88" s="64"/>
      <c r="I88" s="64"/>
      <c r="J88" s="64"/>
      <c r="K88" s="16"/>
      <c r="L88" s="92"/>
      <c r="M88" s="64"/>
      <c r="N88" s="16"/>
      <c r="O88" s="92"/>
      <c r="P88" s="64"/>
      <c r="Q88" s="46">
        <f>-V88</f>
        <v>-12233.33</v>
      </c>
      <c r="R88" s="46"/>
      <c r="S88" s="86"/>
      <c r="T88" s="16"/>
      <c r="U88" s="16"/>
      <c r="V88" s="20">
        <v>12233.33</v>
      </c>
      <c r="W88" s="16"/>
      <c r="X88" s="16"/>
      <c r="Y88" s="19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7"/>
      <c r="AO88" s="26"/>
      <c r="AQ88" s="10"/>
      <c r="AR88" s="27"/>
    </row>
    <row r="89" spans="1:46" s="2" customFormat="1" ht="17.25" customHeight="1" x14ac:dyDescent="0.25">
      <c r="A89" s="24"/>
      <c r="B89" s="205" t="s">
        <v>290</v>
      </c>
      <c r="C89" s="206"/>
      <c r="D89" s="65"/>
      <c r="E89" s="64"/>
      <c r="F89" s="117"/>
      <c r="G89" s="117"/>
      <c r="H89" s="64"/>
      <c r="I89" s="64"/>
      <c r="J89" s="64"/>
      <c r="K89" s="16"/>
      <c r="L89" s="92"/>
      <c r="M89" s="64"/>
      <c r="N89" s="16"/>
      <c r="O89" s="92"/>
      <c r="P89" s="64"/>
      <c r="Q89" s="46">
        <f>-V89</f>
        <v>-12233.33</v>
      </c>
      <c r="R89" s="46"/>
      <c r="S89" s="86"/>
      <c r="T89" s="16"/>
      <c r="U89" s="16"/>
      <c r="V89" s="20">
        <v>12233.33</v>
      </c>
      <c r="W89" s="16"/>
      <c r="X89" s="16"/>
      <c r="Y89" s="19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7"/>
      <c r="AO89" s="26"/>
      <c r="AQ89" s="10"/>
      <c r="AR89" s="27"/>
    </row>
    <row r="90" spans="1:46" s="2" customFormat="1" ht="17.25" customHeight="1" thickBot="1" x14ac:dyDescent="0.25">
      <c r="A90" s="24"/>
      <c r="B90" s="216"/>
      <c r="C90" s="217"/>
      <c r="D90" s="83"/>
      <c r="E90" s="81"/>
      <c r="F90" s="81"/>
      <c r="G90" s="81"/>
      <c r="H90" s="81"/>
      <c r="I90" s="81"/>
      <c r="J90" s="81"/>
      <c r="K90" s="37"/>
      <c r="L90" s="93"/>
      <c r="M90" s="81"/>
      <c r="N90" s="37"/>
      <c r="O90" s="93"/>
      <c r="P90" s="81"/>
      <c r="Q90" s="40"/>
      <c r="R90" s="40"/>
      <c r="S90" s="39"/>
      <c r="T90" s="16"/>
      <c r="U90" s="16"/>
      <c r="V90" s="16"/>
      <c r="W90" s="16"/>
      <c r="X90" s="16"/>
      <c r="Y90" s="19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41"/>
      <c r="AQ90" s="10"/>
      <c r="AR90" s="11"/>
    </row>
    <row r="91" spans="1:46" s="4" customFormat="1" ht="17.25" customHeight="1" x14ac:dyDescent="0.25">
      <c r="A91" s="23"/>
      <c r="B91" s="210" t="s">
        <v>94</v>
      </c>
      <c r="C91" s="203"/>
      <c r="D91" s="66"/>
      <c r="E91" s="66"/>
      <c r="F91" s="117"/>
      <c r="G91" s="117"/>
      <c r="H91" s="66"/>
      <c r="I91" s="66"/>
      <c r="J91" s="66">
        <f>-M91</f>
        <v>6664.29</v>
      </c>
      <c r="K91" s="58">
        <v>-1151</v>
      </c>
      <c r="L91" s="89">
        <v>5.79</v>
      </c>
      <c r="M91" s="73">
        <f>K91*L91</f>
        <v>-6664.29</v>
      </c>
      <c r="N91" s="58"/>
      <c r="O91" s="89"/>
      <c r="P91" s="73"/>
      <c r="Q91" s="39"/>
      <c r="R91" s="39"/>
      <c r="S91" s="8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35"/>
      <c r="AP91" s="12" t="e">
        <f>#REF!</f>
        <v>#REF!</v>
      </c>
    </row>
    <row r="92" spans="1:46" s="4" customFormat="1" ht="17.25" customHeight="1" x14ac:dyDescent="0.25">
      <c r="A92" s="23"/>
      <c r="B92" s="201" t="s">
        <v>95</v>
      </c>
      <c r="C92" s="202"/>
      <c r="D92" s="64"/>
      <c r="E92" s="64"/>
      <c r="F92" s="117"/>
      <c r="G92" s="117"/>
      <c r="H92" s="64"/>
      <c r="I92" s="64"/>
      <c r="J92" s="64">
        <f>-P92</f>
        <v>8125.76</v>
      </c>
      <c r="K92" s="57"/>
      <c r="L92" s="88"/>
      <c r="M92" s="62"/>
      <c r="N92" s="57">
        <v>-2144</v>
      </c>
      <c r="O92" s="88">
        <v>3.79</v>
      </c>
      <c r="P92" s="62">
        <f>N92*O92</f>
        <v>-8125.76</v>
      </c>
      <c r="Q92" s="39"/>
      <c r="R92" s="39"/>
      <c r="S92" s="8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35"/>
      <c r="AP92" s="12" t="e">
        <f>#REF!</f>
        <v>#REF!</v>
      </c>
    </row>
    <row r="93" spans="1:46" s="4" customFormat="1" ht="17.25" customHeight="1" x14ac:dyDescent="0.25">
      <c r="A93" s="23"/>
      <c r="B93" s="201" t="s">
        <v>97</v>
      </c>
      <c r="C93" s="203"/>
      <c r="D93" s="64"/>
      <c r="E93" s="64"/>
      <c r="F93" s="64"/>
      <c r="G93" s="64"/>
      <c r="H93" s="64">
        <f>-J93-I93</f>
        <v>5502.17</v>
      </c>
      <c r="I93" s="64">
        <v>9287.8799999999992</v>
      </c>
      <c r="J93" s="64">
        <f>-SUM(J91:J92)</f>
        <v>-14790.05</v>
      </c>
      <c r="K93" s="57"/>
      <c r="L93" s="88"/>
      <c r="M93" s="62"/>
      <c r="N93" s="57"/>
      <c r="O93" s="88"/>
      <c r="P93" s="62"/>
      <c r="Q93" s="39"/>
      <c r="R93" s="39"/>
      <c r="S93" s="39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22"/>
      <c r="AO93" s="43"/>
      <c r="AP93" s="12" t="e">
        <f>#REF!</f>
        <v>#REF!</v>
      </c>
      <c r="AT93" s="2"/>
    </row>
    <row r="94" spans="1:46" s="4" customFormat="1" ht="17.25" customHeight="1" x14ac:dyDescent="0.25">
      <c r="A94" s="23"/>
      <c r="B94" s="201" t="s">
        <v>93</v>
      </c>
      <c r="C94" s="202"/>
      <c r="D94" s="64"/>
      <c r="E94" s="64"/>
      <c r="F94" s="64"/>
      <c r="G94" s="64"/>
      <c r="H94" s="64"/>
      <c r="I94" s="64"/>
      <c r="J94" s="64"/>
      <c r="K94" s="57">
        <v>-82</v>
      </c>
      <c r="L94" s="88"/>
      <c r="M94" s="118">
        <f>(K97*L81)-M81-M91</f>
        <v>505.34686510045776</v>
      </c>
      <c r="N94" s="57">
        <v>57</v>
      </c>
      <c r="O94" s="88"/>
      <c r="P94" s="118">
        <f>(N97*((P81+P87)/(N81+N87))-P81-P92-P87)</f>
        <v>719.74146743361052</v>
      </c>
      <c r="Q94" s="39"/>
      <c r="R94" s="39"/>
      <c r="S94" s="39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22"/>
      <c r="AO94" s="43">
        <f>A71</f>
        <v>0</v>
      </c>
      <c r="AP94" s="12" t="e">
        <f>#REF!</f>
        <v>#REF!</v>
      </c>
      <c r="AT94" s="2"/>
    </row>
    <row r="95" spans="1:46" s="2" customFormat="1" ht="17.25" customHeight="1" x14ac:dyDescent="0.2">
      <c r="A95" s="24"/>
      <c r="B95" s="201"/>
      <c r="C95" s="202"/>
      <c r="D95" s="63"/>
      <c r="E95" s="64"/>
      <c r="F95" s="64"/>
      <c r="G95" s="64"/>
      <c r="H95" s="64"/>
      <c r="I95" s="64"/>
      <c r="J95" s="64"/>
      <c r="K95" s="16"/>
      <c r="L95" s="16"/>
      <c r="M95" s="64"/>
      <c r="N95" s="16"/>
      <c r="O95" s="16"/>
      <c r="P95" s="64"/>
      <c r="Q95" s="46"/>
      <c r="R95" s="46"/>
      <c r="S95" s="39"/>
      <c r="T95" s="16"/>
      <c r="U95" s="16"/>
      <c r="V95" s="16"/>
      <c r="W95" s="16"/>
      <c r="X95" s="16"/>
      <c r="Y95" s="19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43">
        <f>A82</f>
        <v>45936</v>
      </c>
      <c r="AQ95" s="10"/>
      <c r="AR95" s="11"/>
    </row>
    <row r="96" spans="1:46" s="2" customFormat="1" ht="17.25" customHeight="1" thickBot="1" x14ac:dyDescent="0.3">
      <c r="A96" s="56"/>
      <c r="B96" s="101" t="s">
        <v>102</v>
      </c>
      <c r="C96" s="102">
        <f>D97+E97+F97+G97+H97+I97+J97+M97+P97</f>
        <v>128906.92999999998</v>
      </c>
      <c r="D96" s="84"/>
      <c r="E96" s="85"/>
      <c r="F96" s="85"/>
      <c r="G96" s="85"/>
      <c r="H96" s="85"/>
      <c r="I96" s="85"/>
      <c r="J96" s="85"/>
      <c r="K96" s="28"/>
      <c r="L96" s="28"/>
      <c r="M96" s="85"/>
      <c r="N96" s="28"/>
      <c r="O96" s="28"/>
      <c r="P96" s="85"/>
      <c r="Q96" s="48"/>
      <c r="R96" s="48"/>
      <c r="S96" s="51"/>
      <c r="T96" s="28"/>
      <c r="U96" s="28"/>
      <c r="V96" s="28"/>
      <c r="W96" s="28"/>
      <c r="X96" s="28"/>
      <c r="Y96" s="36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42">
        <f>SUM($Q81:AN96)</f>
        <v>-443788.19</v>
      </c>
      <c r="AQ96" s="10"/>
      <c r="AR96" s="11"/>
      <c r="AS96" s="2" t="s">
        <v>5</v>
      </c>
    </row>
    <row r="97" spans="1:46" s="2" customFormat="1" ht="17.25" customHeight="1" thickTop="1" thickBot="1" x14ac:dyDescent="0.3">
      <c r="A97" s="103"/>
      <c r="B97" s="104" t="s">
        <v>103</v>
      </c>
      <c r="C97" s="105">
        <f>AO97</f>
        <v>-314881.26000000007</v>
      </c>
      <c r="D97" s="107">
        <f t="shared" ref="D97:K97" si="10">SUM(D81:D96)</f>
        <v>18.929999999985739</v>
      </c>
      <c r="E97" s="107">
        <f t="shared" si="10"/>
        <v>-18825.150000000016</v>
      </c>
      <c r="F97" s="107">
        <f t="shared" si="10"/>
        <v>13175</v>
      </c>
      <c r="G97" s="107">
        <f t="shared" si="10"/>
        <v>0</v>
      </c>
      <c r="H97" s="107">
        <f t="shared" si="10"/>
        <v>9774.7100000000064</v>
      </c>
      <c r="I97" s="107">
        <f t="shared" si="10"/>
        <v>9287.8799999999992</v>
      </c>
      <c r="J97" s="107">
        <f t="shared" si="10"/>
        <v>0</v>
      </c>
      <c r="K97" s="108">
        <f t="shared" si="10"/>
        <v>8174</v>
      </c>
      <c r="L97" s="109">
        <f>M97/K97</f>
        <v>4.9950880841693168</v>
      </c>
      <c r="M97" s="107">
        <f>ROUND(SUM(M81:M96),2)</f>
        <v>40829.85</v>
      </c>
      <c r="N97" s="108">
        <f>SUM(N81:N96)</f>
        <v>21035</v>
      </c>
      <c r="O97" s="109">
        <f>P97/N97</f>
        <v>3.548643213691467</v>
      </c>
      <c r="P97" s="107">
        <f>ROUND(SUM(P81:P96),2)</f>
        <v>74645.710000000006</v>
      </c>
      <c r="Q97" s="107">
        <f t="shared" ref="Q97:AN97" si="11">SUM(Q81:Q96)</f>
        <v>-324378.32</v>
      </c>
      <c r="R97" s="107">
        <f t="shared" si="11"/>
        <v>7865.57</v>
      </c>
      <c r="S97" s="107">
        <f t="shared" si="11"/>
        <v>0</v>
      </c>
      <c r="T97" s="107">
        <f t="shared" si="11"/>
        <v>-12858.760000000002</v>
      </c>
      <c r="U97" s="107">
        <f t="shared" si="11"/>
        <v>0</v>
      </c>
      <c r="V97" s="107">
        <f t="shared" si="11"/>
        <v>-114416.68000000002</v>
      </c>
      <c r="W97" s="107">
        <f t="shared" si="11"/>
        <v>0</v>
      </c>
      <c r="X97" s="107">
        <f t="shared" si="11"/>
        <v>0</v>
      </c>
      <c r="Y97" s="107">
        <f t="shared" si="11"/>
        <v>0</v>
      </c>
      <c r="Z97" s="107">
        <f t="shared" si="11"/>
        <v>0</v>
      </c>
      <c r="AA97" s="107">
        <f t="shared" si="11"/>
        <v>0</v>
      </c>
      <c r="AB97" s="107">
        <f t="shared" si="11"/>
        <v>0</v>
      </c>
      <c r="AC97" s="107">
        <f t="shared" si="11"/>
        <v>0</v>
      </c>
      <c r="AD97" s="107">
        <f t="shared" si="11"/>
        <v>0</v>
      </c>
      <c r="AE97" s="107">
        <f t="shared" si="11"/>
        <v>0</v>
      </c>
      <c r="AF97" s="107">
        <f t="shared" si="11"/>
        <v>0</v>
      </c>
      <c r="AG97" s="107">
        <f t="shared" si="11"/>
        <v>0</v>
      </c>
      <c r="AH97" s="107">
        <f t="shared" si="11"/>
        <v>0</v>
      </c>
      <c r="AI97" s="107">
        <f t="shared" si="11"/>
        <v>0</v>
      </c>
      <c r="AJ97" s="107">
        <f t="shared" si="11"/>
        <v>0</v>
      </c>
      <c r="AK97" s="107">
        <f t="shared" si="11"/>
        <v>0</v>
      </c>
      <c r="AL97" s="107">
        <f t="shared" si="11"/>
        <v>0</v>
      </c>
      <c r="AM97" s="107">
        <f t="shared" si="11"/>
        <v>0</v>
      </c>
      <c r="AN97" s="107">
        <f t="shared" si="11"/>
        <v>0</v>
      </c>
      <c r="AO97" s="111">
        <f>D97+E97+F97+G97+H97+I97+J97+M97+P97+SUM(Q97:AN97)</f>
        <v>-314881.26000000007</v>
      </c>
      <c r="AP97" s="4"/>
      <c r="AQ97" s="5"/>
      <c r="AR97" s="5"/>
      <c r="AS97" s="2" t="s">
        <v>6</v>
      </c>
    </row>
    <row r="98" spans="1:46" s="2" customFormat="1" ht="17.25" customHeight="1" thickTop="1" x14ac:dyDescent="0.25">
      <c r="A98" s="23">
        <f>A82+1</f>
        <v>45937</v>
      </c>
      <c r="B98" s="201" t="s">
        <v>64</v>
      </c>
      <c r="C98" s="203"/>
      <c r="D98" s="63">
        <v>9050.51</v>
      </c>
      <c r="E98" s="64"/>
      <c r="F98" s="74"/>
      <c r="G98" s="74"/>
      <c r="H98" s="64"/>
      <c r="I98" s="64">
        <f>-D98</f>
        <v>-9050.51</v>
      </c>
      <c r="J98" s="66"/>
      <c r="K98" s="18"/>
      <c r="L98" s="18"/>
      <c r="M98" s="66"/>
      <c r="N98" s="18"/>
      <c r="O98" s="18"/>
      <c r="P98" s="66"/>
      <c r="Q98" s="46"/>
      <c r="R98" s="46"/>
      <c r="S98" s="45"/>
      <c r="T98" s="18"/>
      <c r="U98" s="18"/>
      <c r="V98" s="18"/>
      <c r="W98" s="18"/>
      <c r="X98" s="18"/>
      <c r="Y98" s="14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7"/>
      <c r="AO98" s="31"/>
      <c r="AQ98" s="10"/>
      <c r="AR98" s="27"/>
    </row>
    <row r="99" spans="1:46" s="2" customFormat="1" ht="17.25" customHeight="1" x14ac:dyDescent="0.25">
      <c r="A99" s="24"/>
      <c r="B99" s="201" t="s">
        <v>96</v>
      </c>
      <c r="C99" s="202"/>
      <c r="D99" s="63"/>
      <c r="E99" s="64"/>
      <c r="F99" s="64"/>
      <c r="G99" s="64"/>
      <c r="H99" s="64"/>
      <c r="I99" s="117">
        <f>-I97-I98</f>
        <v>-237.36999999999898</v>
      </c>
      <c r="J99" s="64"/>
      <c r="K99" s="16"/>
      <c r="L99" s="16"/>
      <c r="M99" s="64"/>
      <c r="N99" s="16"/>
      <c r="O99" s="16"/>
      <c r="P99" s="64"/>
      <c r="Q99" s="46"/>
      <c r="R99" s="40"/>
      <c r="S99" s="39"/>
      <c r="T99" s="16"/>
      <c r="U99" s="16"/>
      <c r="V99" s="16"/>
      <c r="W99" s="16"/>
      <c r="X99" s="16"/>
      <c r="Y99" s="19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22"/>
      <c r="AQ99" s="10"/>
      <c r="AR99" s="11"/>
    </row>
    <row r="100" spans="1:46" s="2" customFormat="1" ht="17.25" customHeight="1" x14ac:dyDescent="0.25">
      <c r="A100" s="24"/>
      <c r="B100" s="201" t="s">
        <v>13</v>
      </c>
      <c r="C100" s="203"/>
      <c r="D100" s="63"/>
      <c r="E100" s="64">
        <f>150</f>
        <v>150</v>
      </c>
      <c r="F100" s="74"/>
      <c r="G100" s="74"/>
      <c r="H100" s="64">
        <f>-E100</f>
        <v>-150</v>
      </c>
      <c r="I100" s="64"/>
      <c r="J100" s="64"/>
      <c r="K100" s="16"/>
      <c r="L100" s="16"/>
      <c r="M100" s="64"/>
      <c r="N100" s="16"/>
      <c r="O100" s="16"/>
      <c r="P100" s="64"/>
      <c r="Q100" s="46"/>
      <c r="R100" s="39"/>
      <c r="S100" s="40"/>
      <c r="T100" s="16"/>
      <c r="U100" s="16"/>
      <c r="V100" s="16"/>
      <c r="W100" s="16"/>
      <c r="X100" s="16"/>
      <c r="Y100" s="19"/>
      <c r="Z100" s="16"/>
      <c r="AA100" s="16"/>
      <c r="AB100" s="16"/>
      <c r="AC100" s="16"/>
      <c r="AD100" s="16"/>
      <c r="AE100" s="16"/>
      <c r="AF100" s="16"/>
      <c r="AG100" s="15"/>
      <c r="AH100" s="15"/>
      <c r="AI100" s="15"/>
      <c r="AJ100" s="15"/>
      <c r="AK100" s="15"/>
      <c r="AL100" s="15"/>
      <c r="AM100" s="15"/>
      <c r="AN100" s="16"/>
      <c r="AO100" s="22"/>
      <c r="AQ100" s="10"/>
      <c r="AR100" s="11"/>
    </row>
    <row r="101" spans="1:46" s="2" customFormat="1" ht="17.25" customHeight="1" x14ac:dyDescent="0.25">
      <c r="A101" s="29"/>
      <c r="B101" s="201" t="s">
        <v>72</v>
      </c>
      <c r="C101" s="202"/>
      <c r="D101" s="63">
        <v>-9000</v>
      </c>
      <c r="E101" s="64"/>
      <c r="F101" s="64">
        <f>-D101</f>
        <v>9000</v>
      </c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47"/>
      <c r="R101" s="39"/>
      <c r="S101" s="39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22"/>
      <c r="AQ101" s="10" t="s">
        <v>4</v>
      </c>
      <c r="AR101" s="11" t="e">
        <v>#REF!</v>
      </c>
    </row>
    <row r="102" spans="1:46" s="2" customFormat="1" ht="17.25" customHeight="1" thickBot="1" x14ac:dyDescent="0.25">
      <c r="A102" s="24"/>
      <c r="B102" s="216"/>
      <c r="C102" s="217"/>
      <c r="D102" s="83"/>
      <c r="E102" s="81"/>
      <c r="F102" s="81"/>
      <c r="G102" s="81"/>
      <c r="H102" s="81"/>
      <c r="I102" s="81"/>
      <c r="J102" s="81"/>
      <c r="K102" s="37"/>
      <c r="L102" s="93"/>
      <c r="M102" s="81"/>
      <c r="N102" s="37"/>
      <c r="O102" s="93"/>
      <c r="P102" s="81"/>
      <c r="Q102" s="40"/>
      <c r="R102" s="40"/>
      <c r="S102" s="39"/>
      <c r="T102" s="16"/>
      <c r="U102" s="16"/>
      <c r="V102" s="16"/>
      <c r="W102" s="16"/>
      <c r="X102" s="16"/>
      <c r="Y102" s="19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41"/>
      <c r="AQ102" s="10"/>
      <c r="AR102" s="11"/>
    </row>
    <row r="103" spans="1:46" s="4" customFormat="1" ht="17.25" customHeight="1" x14ac:dyDescent="0.25">
      <c r="A103" s="23"/>
      <c r="B103" s="210" t="s">
        <v>94</v>
      </c>
      <c r="C103" s="203"/>
      <c r="D103" s="66"/>
      <c r="E103" s="66"/>
      <c r="F103" s="117"/>
      <c r="G103" s="117"/>
      <c r="H103" s="66"/>
      <c r="I103" s="66"/>
      <c r="J103" s="66">
        <f>-M103</f>
        <v>7538.58</v>
      </c>
      <c r="K103" s="58">
        <v>-1302</v>
      </c>
      <c r="L103" s="89">
        <v>5.79</v>
      </c>
      <c r="M103" s="73">
        <f>K103*L103</f>
        <v>-7538.58</v>
      </c>
      <c r="N103" s="58"/>
      <c r="O103" s="89"/>
      <c r="P103" s="73"/>
      <c r="Q103" s="39"/>
      <c r="R103" s="39"/>
      <c r="S103" s="8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35"/>
      <c r="AP103" s="12" t="e">
        <f>#REF!</f>
        <v>#REF!</v>
      </c>
    </row>
    <row r="104" spans="1:46" s="4" customFormat="1" ht="17.25" customHeight="1" x14ac:dyDescent="0.25">
      <c r="A104" s="23"/>
      <c r="B104" s="201" t="s">
        <v>95</v>
      </c>
      <c r="C104" s="202"/>
      <c r="D104" s="64"/>
      <c r="E104" s="64"/>
      <c r="F104" s="117"/>
      <c r="G104" s="117"/>
      <c r="H104" s="64"/>
      <c r="I104" s="64"/>
      <c r="J104" s="64">
        <f>-P104</f>
        <v>8193.98</v>
      </c>
      <c r="K104" s="57"/>
      <c r="L104" s="88"/>
      <c r="M104" s="62"/>
      <c r="N104" s="57">
        <v>-2162</v>
      </c>
      <c r="O104" s="88">
        <v>3.79</v>
      </c>
      <c r="P104" s="62">
        <f>N104*O104</f>
        <v>-8193.98</v>
      </c>
      <c r="Q104" s="39"/>
      <c r="R104" s="39"/>
      <c r="S104" s="8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35"/>
      <c r="AP104" s="12" t="e">
        <f>#REF!</f>
        <v>#REF!</v>
      </c>
    </row>
    <row r="105" spans="1:46" s="4" customFormat="1" ht="17.25" customHeight="1" x14ac:dyDescent="0.25">
      <c r="A105" s="23"/>
      <c r="B105" s="201" t="s">
        <v>97</v>
      </c>
      <c r="C105" s="203"/>
      <c r="D105" s="64"/>
      <c r="E105" s="64"/>
      <c r="F105" s="64"/>
      <c r="G105" s="64"/>
      <c r="H105" s="64">
        <f>-J105-I105</f>
        <v>6555.7799999999988</v>
      </c>
      <c r="I105" s="64">
        <v>9176.7800000000007</v>
      </c>
      <c r="J105" s="64">
        <f>-SUM(J103:J104)</f>
        <v>-15732.56</v>
      </c>
      <c r="K105" s="57"/>
      <c r="L105" s="88"/>
      <c r="M105" s="62"/>
      <c r="N105" s="57"/>
      <c r="O105" s="88"/>
      <c r="P105" s="62"/>
      <c r="Q105" s="39"/>
      <c r="R105" s="39"/>
      <c r="S105" s="39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22"/>
      <c r="AO105" s="43"/>
      <c r="AP105" s="12" t="e">
        <f>#REF!</f>
        <v>#REF!</v>
      </c>
      <c r="AT105" s="2"/>
    </row>
    <row r="106" spans="1:46" s="4" customFormat="1" ht="17.25" customHeight="1" x14ac:dyDescent="0.25">
      <c r="A106" s="23"/>
      <c r="B106" s="201" t="s">
        <v>93</v>
      </c>
      <c r="C106" s="202"/>
      <c r="D106" s="64"/>
      <c r="E106" s="64"/>
      <c r="F106" s="64"/>
      <c r="G106" s="64"/>
      <c r="H106" s="64"/>
      <c r="I106" s="64"/>
      <c r="J106" s="64"/>
      <c r="K106" s="57">
        <v>-14</v>
      </c>
      <c r="L106" s="88"/>
      <c r="M106" s="118">
        <f>(K109*L97)-M97-M103</f>
        <v>965.04408123317808</v>
      </c>
      <c r="N106" s="57">
        <v>142</v>
      </c>
      <c r="O106" s="88"/>
      <c r="P106" s="118">
        <f>(N109*O97)-P97-P104</f>
        <v>1025.7207083432331</v>
      </c>
      <c r="Q106" s="39"/>
      <c r="R106" s="39"/>
      <c r="S106" s="39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22"/>
      <c r="AO106" s="43">
        <f>A94</f>
        <v>0</v>
      </c>
      <c r="AP106" s="12" t="e">
        <f>#REF!</f>
        <v>#REF!</v>
      </c>
      <c r="AT106" s="2"/>
    </row>
    <row r="107" spans="1:46" s="2" customFormat="1" ht="17.25" customHeight="1" x14ac:dyDescent="0.2">
      <c r="A107" s="24"/>
      <c r="B107" s="201"/>
      <c r="C107" s="204"/>
      <c r="D107" s="63"/>
      <c r="E107" s="64"/>
      <c r="F107" s="64"/>
      <c r="G107" s="64"/>
      <c r="H107" s="64"/>
      <c r="I107" s="64"/>
      <c r="J107" s="64"/>
      <c r="K107" s="16"/>
      <c r="L107" s="16"/>
      <c r="M107" s="64"/>
      <c r="N107" s="16"/>
      <c r="O107" s="16"/>
      <c r="P107" s="64"/>
      <c r="Q107" s="46"/>
      <c r="R107" s="46"/>
      <c r="S107" s="39"/>
      <c r="T107" s="16"/>
      <c r="U107" s="16"/>
      <c r="V107" s="16"/>
      <c r="W107" s="16"/>
      <c r="X107" s="16"/>
      <c r="Y107" s="19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43">
        <f>A98</f>
        <v>45937</v>
      </c>
      <c r="AQ107" s="10"/>
      <c r="AR107" s="11"/>
    </row>
    <row r="108" spans="1:46" s="2" customFormat="1" ht="17.25" customHeight="1" thickBot="1" x14ac:dyDescent="0.3">
      <c r="A108" s="56"/>
      <c r="B108" s="101" t="s">
        <v>102</v>
      </c>
      <c r="C108" s="102">
        <f>D109+E109+F109+G109+H109+I109+J109+M109+P109</f>
        <v>130660.31999999998</v>
      </c>
      <c r="D108" s="84"/>
      <c r="E108" s="85"/>
      <c r="F108" s="85"/>
      <c r="G108" s="85"/>
      <c r="H108" s="85"/>
      <c r="I108" s="85"/>
      <c r="J108" s="85"/>
      <c r="K108" s="28"/>
      <c r="L108" s="28"/>
      <c r="M108" s="85"/>
      <c r="N108" s="28"/>
      <c r="O108" s="28"/>
      <c r="P108" s="85"/>
      <c r="Q108" s="48"/>
      <c r="R108" s="48"/>
      <c r="S108" s="51"/>
      <c r="T108" s="28"/>
      <c r="U108" s="28"/>
      <c r="V108" s="28"/>
      <c r="W108" s="28"/>
      <c r="X108" s="28"/>
      <c r="Y108" s="36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42">
        <f>SUM($Q97:AN108)</f>
        <v>-443788.19000000006</v>
      </c>
      <c r="AQ108" s="10"/>
      <c r="AR108" s="11"/>
      <c r="AS108" s="2" t="s">
        <v>5</v>
      </c>
    </row>
    <row r="109" spans="1:46" s="2" customFormat="1" ht="17.25" customHeight="1" thickTop="1" thickBot="1" x14ac:dyDescent="0.3">
      <c r="A109" s="103"/>
      <c r="B109" s="104" t="s">
        <v>103</v>
      </c>
      <c r="C109" s="105">
        <f>AO109</f>
        <v>-313127.87000000011</v>
      </c>
      <c r="D109" s="106">
        <f t="shared" ref="D109:K109" si="12">SUM(D97:D108)</f>
        <v>69.439999999985957</v>
      </c>
      <c r="E109" s="107">
        <f t="shared" si="12"/>
        <v>-18675.150000000016</v>
      </c>
      <c r="F109" s="107">
        <f t="shared" si="12"/>
        <v>22175</v>
      </c>
      <c r="G109" s="107">
        <f t="shared" si="12"/>
        <v>0</v>
      </c>
      <c r="H109" s="107">
        <f t="shared" si="12"/>
        <v>16180.490000000005</v>
      </c>
      <c r="I109" s="107">
        <f t="shared" si="12"/>
        <v>9176.7800000000007</v>
      </c>
      <c r="J109" s="107">
        <f t="shared" si="12"/>
        <v>0</v>
      </c>
      <c r="K109" s="108">
        <f t="shared" si="12"/>
        <v>6858</v>
      </c>
      <c r="L109" s="109">
        <f>M109/K109</f>
        <v>4.9950874890638666</v>
      </c>
      <c r="M109" s="107">
        <f>ROUND(SUM(M97:M108),2)</f>
        <v>34256.31</v>
      </c>
      <c r="N109" s="108">
        <f>SUM(N97:N108)</f>
        <v>19015</v>
      </c>
      <c r="O109" s="109">
        <f>P109/N109</f>
        <v>3.5486431764396529</v>
      </c>
      <c r="P109" s="107">
        <f>ROUND(SUM(P97:P108),2)</f>
        <v>67477.45</v>
      </c>
      <c r="Q109" s="110">
        <f t="shared" ref="Q109:AN109" si="13">SUM(Q97:Q108)</f>
        <v>-324378.32</v>
      </c>
      <c r="R109" s="107">
        <f t="shared" si="13"/>
        <v>7865.57</v>
      </c>
      <c r="S109" s="107">
        <f t="shared" si="13"/>
        <v>0</v>
      </c>
      <c r="T109" s="107">
        <f t="shared" si="13"/>
        <v>-12858.760000000002</v>
      </c>
      <c r="U109" s="107">
        <f t="shared" si="13"/>
        <v>0</v>
      </c>
      <c r="V109" s="107">
        <f t="shared" si="13"/>
        <v>-114416.68000000002</v>
      </c>
      <c r="W109" s="107">
        <f t="shared" si="13"/>
        <v>0</v>
      </c>
      <c r="X109" s="107">
        <f t="shared" si="13"/>
        <v>0</v>
      </c>
      <c r="Y109" s="107">
        <f t="shared" si="13"/>
        <v>0</v>
      </c>
      <c r="Z109" s="107">
        <f t="shared" si="13"/>
        <v>0</v>
      </c>
      <c r="AA109" s="107">
        <f t="shared" si="13"/>
        <v>0</v>
      </c>
      <c r="AB109" s="107">
        <f t="shared" si="13"/>
        <v>0</v>
      </c>
      <c r="AC109" s="107">
        <f t="shared" si="13"/>
        <v>0</v>
      </c>
      <c r="AD109" s="107">
        <f t="shared" si="13"/>
        <v>0</v>
      </c>
      <c r="AE109" s="107">
        <f t="shared" si="13"/>
        <v>0</v>
      </c>
      <c r="AF109" s="107">
        <f t="shared" si="13"/>
        <v>0</v>
      </c>
      <c r="AG109" s="107">
        <f t="shared" si="13"/>
        <v>0</v>
      </c>
      <c r="AH109" s="107">
        <f t="shared" si="13"/>
        <v>0</v>
      </c>
      <c r="AI109" s="107">
        <f t="shared" si="13"/>
        <v>0</v>
      </c>
      <c r="AJ109" s="107">
        <f t="shared" si="13"/>
        <v>0</v>
      </c>
      <c r="AK109" s="107">
        <f t="shared" si="13"/>
        <v>0</v>
      </c>
      <c r="AL109" s="107">
        <f t="shared" si="13"/>
        <v>0</v>
      </c>
      <c r="AM109" s="107">
        <f t="shared" si="13"/>
        <v>0</v>
      </c>
      <c r="AN109" s="107">
        <f t="shared" si="13"/>
        <v>0</v>
      </c>
      <c r="AO109" s="111">
        <f>D109+E109+F109+G109+H109+I109+J109+M109+P109+SUM(Q109:AN109)</f>
        <v>-313127.87000000011</v>
      </c>
      <c r="AP109" s="4"/>
      <c r="AQ109" s="5"/>
      <c r="AR109" s="5"/>
      <c r="AS109" s="2" t="s">
        <v>6</v>
      </c>
    </row>
    <row r="110" spans="1:46" s="2" customFormat="1" ht="17.25" customHeight="1" thickTop="1" x14ac:dyDescent="0.25">
      <c r="A110" s="23">
        <f>A98+1</f>
        <v>45938</v>
      </c>
      <c r="B110" s="201" t="s">
        <v>64</v>
      </c>
      <c r="C110" s="203"/>
      <c r="D110" s="63">
        <v>8966.1</v>
      </c>
      <c r="E110" s="64"/>
      <c r="F110" s="74"/>
      <c r="G110" s="74"/>
      <c r="H110" s="64"/>
      <c r="I110" s="64">
        <f>-D110</f>
        <v>-8966.1</v>
      </c>
      <c r="J110" s="66"/>
      <c r="K110" s="18"/>
      <c r="L110" s="18"/>
      <c r="M110" s="66"/>
      <c r="N110" s="18"/>
      <c r="O110" s="18"/>
      <c r="P110" s="66"/>
      <c r="Q110" s="46"/>
      <c r="R110" s="46"/>
      <c r="S110" s="45"/>
      <c r="T110" s="18"/>
      <c r="U110" s="18"/>
      <c r="V110" s="18"/>
      <c r="W110" s="18"/>
      <c r="X110" s="18"/>
      <c r="Y110" s="14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7"/>
      <c r="AO110" s="31"/>
      <c r="AQ110" s="10"/>
      <c r="AR110" s="27"/>
    </row>
    <row r="111" spans="1:46" s="2" customFormat="1" ht="17.25" customHeight="1" x14ac:dyDescent="0.25">
      <c r="A111" s="24"/>
      <c r="B111" s="201" t="s">
        <v>96</v>
      </c>
      <c r="C111" s="202"/>
      <c r="D111" s="63"/>
      <c r="E111" s="64"/>
      <c r="F111" s="64"/>
      <c r="G111" s="64"/>
      <c r="H111" s="64"/>
      <c r="I111" s="117">
        <f>-I109-I110</f>
        <v>-210.68000000000029</v>
      </c>
      <c r="J111" s="64"/>
      <c r="K111" s="16"/>
      <c r="L111" s="16"/>
      <c r="M111" s="64"/>
      <c r="N111" s="16"/>
      <c r="O111" s="16"/>
      <c r="P111" s="64"/>
      <c r="Q111" s="46"/>
      <c r="R111" s="40"/>
      <c r="S111" s="39"/>
      <c r="T111" s="16"/>
      <c r="U111" s="16"/>
      <c r="V111" s="16"/>
      <c r="W111" s="16"/>
      <c r="X111" s="16"/>
      <c r="Y111" s="19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22"/>
      <c r="AQ111" s="10"/>
      <c r="AR111" s="11"/>
    </row>
    <row r="112" spans="1:46" s="2" customFormat="1" ht="17.25" customHeight="1" x14ac:dyDescent="0.25">
      <c r="A112" s="24"/>
      <c r="B112" s="201" t="s">
        <v>13</v>
      </c>
      <c r="C112" s="203"/>
      <c r="D112" s="63"/>
      <c r="E112" s="64">
        <f>228.72+60</f>
        <v>288.72000000000003</v>
      </c>
      <c r="F112" s="74"/>
      <c r="G112" s="74"/>
      <c r="H112" s="64">
        <f>-E112</f>
        <v>-288.72000000000003</v>
      </c>
      <c r="I112" s="64"/>
      <c r="J112" s="64"/>
      <c r="K112" s="16"/>
      <c r="L112" s="16"/>
      <c r="M112" s="64"/>
      <c r="N112" s="16"/>
      <c r="O112" s="16"/>
      <c r="P112" s="64"/>
      <c r="Q112" s="46"/>
      <c r="R112" s="39"/>
      <c r="S112" s="40"/>
      <c r="T112" s="16"/>
      <c r="U112" s="16"/>
      <c r="V112" s="16"/>
      <c r="W112" s="16"/>
      <c r="X112" s="16"/>
      <c r="Y112" s="19"/>
      <c r="Z112" s="16"/>
      <c r="AA112" s="16"/>
      <c r="AB112" s="16"/>
      <c r="AC112" s="16"/>
      <c r="AD112" s="16"/>
      <c r="AE112" s="16"/>
      <c r="AF112" s="16"/>
      <c r="AG112" s="15"/>
      <c r="AH112" s="15"/>
      <c r="AI112" s="15"/>
      <c r="AJ112" s="15"/>
      <c r="AK112" s="15"/>
      <c r="AL112" s="15"/>
      <c r="AM112" s="15"/>
      <c r="AN112" s="16"/>
      <c r="AO112" s="22"/>
      <c r="AQ112" s="10"/>
      <c r="AR112" s="11"/>
    </row>
    <row r="113" spans="1:46" s="2" customFormat="1" ht="17.25" customHeight="1" x14ac:dyDescent="0.25">
      <c r="A113" s="24"/>
      <c r="B113" s="201" t="s">
        <v>180</v>
      </c>
      <c r="C113" s="202"/>
      <c r="D113" s="63"/>
      <c r="E113" s="64">
        <v>263.47000000000003</v>
      </c>
      <c r="F113" s="64"/>
      <c r="G113" s="64"/>
      <c r="H113" s="64"/>
      <c r="I113" s="117"/>
      <c r="J113" s="64"/>
      <c r="K113" s="16"/>
      <c r="L113" s="16"/>
      <c r="M113" s="64"/>
      <c r="N113" s="16"/>
      <c r="O113" s="16"/>
      <c r="P113" s="64"/>
      <c r="Q113" s="40"/>
      <c r="R113" s="40"/>
      <c r="S113" s="39"/>
      <c r="T113" s="16"/>
      <c r="U113" s="16"/>
      <c r="V113" s="16"/>
      <c r="W113" s="16"/>
      <c r="X113" s="16"/>
      <c r="Y113" s="19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41"/>
      <c r="AQ113" s="10"/>
      <c r="AR113" s="11"/>
    </row>
    <row r="114" spans="1:46" s="2" customFormat="1" ht="17.25" customHeight="1" x14ac:dyDescent="0.25">
      <c r="A114" s="29"/>
      <c r="B114" s="201" t="s">
        <v>72</v>
      </c>
      <c r="C114" s="202"/>
      <c r="D114" s="63">
        <v>-9000</v>
      </c>
      <c r="E114" s="64"/>
      <c r="F114" s="64">
        <f>-D114</f>
        <v>9000</v>
      </c>
      <c r="G114" s="64"/>
      <c r="H114" s="64"/>
      <c r="I114" s="64"/>
      <c r="J114" s="64"/>
      <c r="K114" s="57"/>
      <c r="L114" s="88"/>
      <c r="M114" s="62"/>
      <c r="N114" s="57"/>
      <c r="O114" s="88"/>
      <c r="P114" s="62"/>
      <c r="Q114" s="47"/>
      <c r="R114" s="39"/>
      <c r="S114" s="39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22"/>
      <c r="AQ114" s="10" t="s">
        <v>4</v>
      </c>
      <c r="AR114" s="11" t="e">
        <v>#REF!</v>
      </c>
    </row>
    <row r="115" spans="1:46" s="2" customFormat="1" ht="17.25" customHeight="1" thickBot="1" x14ac:dyDescent="0.25">
      <c r="A115" s="24"/>
      <c r="B115" s="216"/>
      <c r="C115" s="217"/>
      <c r="D115" s="83"/>
      <c r="E115" s="81"/>
      <c r="F115" s="81"/>
      <c r="G115" s="81"/>
      <c r="H115" s="81"/>
      <c r="I115" s="81"/>
      <c r="J115" s="81"/>
      <c r="K115" s="37"/>
      <c r="L115" s="93"/>
      <c r="M115" s="81"/>
      <c r="N115" s="37"/>
      <c r="O115" s="93"/>
      <c r="P115" s="81"/>
      <c r="Q115" s="40"/>
      <c r="R115" s="40"/>
      <c r="S115" s="39"/>
      <c r="T115" s="16"/>
      <c r="U115" s="16"/>
      <c r="V115" s="16"/>
      <c r="W115" s="16"/>
      <c r="X115" s="16"/>
      <c r="Y115" s="19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41"/>
      <c r="AQ115" s="10"/>
      <c r="AR115" s="11"/>
    </row>
    <row r="116" spans="1:46" s="4" customFormat="1" ht="17.25" customHeight="1" x14ac:dyDescent="0.25">
      <c r="A116" s="23"/>
      <c r="B116" s="210" t="s">
        <v>94</v>
      </c>
      <c r="C116" s="203"/>
      <c r="D116" s="66"/>
      <c r="E116" s="66"/>
      <c r="F116" s="117"/>
      <c r="G116" s="117"/>
      <c r="H116" s="66"/>
      <c r="I116" s="66"/>
      <c r="J116" s="66">
        <f>-M116</f>
        <v>7521.21</v>
      </c>
      <c r="K116" s="58">
        <v>-1299</v>
      </c>
      <c r="L116" s="89">
        <v>5.79</v>
      </c>
      <c r="M116" s="73">
        <f>K116*L116</f>
        <v>-7521.21</v>
      </c>
      <c r="N116" s="58"/>
      <c r="O116" s="89"/>
      <c r="P116" s="73"/>
      <c r="Q116" s="39"/>
      <c r="R116" s="39"/>
      <c r="S116" s="8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35"/>
      <c r="AP116" s="12" t="e">
        <f>#REF!</f>
        <v>#REF!</v>
      </c>
    </row>
    <row r="117" spans="1:46" s="4" customFormat="1" ht="17.25" customHeight="1" x14ac:dyDescent="0.25">
      <c r="A117" s="23"/>
      <c r="B117" s="201" t="s">
        <v>95</v>
      </c>
      <c r="C117" s="202"/>
      <c r="D117" s="64"/>
      <c r="E117" s="64"/>
      <c r="F117" s="117"/>
      <c r="G117" s="117"/>
      <c r="H117" s="64"/>
      <c r="I117" s="64"/>
      <c r="J117" s="64">
        <f>-P117</f>
        <v>9296.8700000000008</v>
      </c>
      <c r="K117" s="57"/>
      <c r="L117" s="88"/>
      <c r="M117" s="62"/>
      <c r="N117" s="57">
        <v>-2453</v>
      </c>
      <c r="O117" s="88">
        <v>3.79</v>
      </c>
      <c r="P117" s="62">
        <f>N117*O117</f>
        <v>-9296.8700000000008</v>
      </c>
      <c r="Q117" s="39"/>
      <c r="R117" s="39"/>
      <c r="S117" s="8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35"/>
      <c r="AP117" s="12" t="e">
        <f>#REF!</f>
        <v>#REF!</v>
      </c>
    </row>
    <row r="118" spans="1:46" s="4" customFormat="1" ht="17.25" customHeight="1" x14ac:dyDescent="0.25">
      <c r="A118" s="23"/>
      <c r="B118" s="201" t="s">
        <v>97</v>
      </c>
      <c r="C118" s="203"/>
      <c r="D118" s="64"/>
      <c r="E118" s="64"/>
      <c r="F118" s="64"/>
      <c r="G118" s="64"/>
      <c r="H118" s="64">
        <f>-J118-I118</f>
        <v>5742.7400000000016</v>
      </c>
      <c r="I118" s="64">
        <v>11075.34</v>
      </c>
      <c r="J118" s="64">
        <f>-SUM(J116:J117)</f>
        <v>-16818.080000000002</v>
      </c>
      <c r="K118" s="57"/>
      <c r="L118" s="88"/>
      <c r="M118" s="62"/>
      <c r="N118" s="57"/>
      <c r="O118" s="88"/>
      <c r="P118" s="62"/>
      <c r="Q118" s="39"/>
      <c r="R118" s="39"/>
      <c r="S118" s="39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22"/>
      <c r="AO118" s="43"/>
      <c r="AP118" s="12" t="e">
        <f>#REF!</f>
        <v>#REF!</v>
      </c>
      <c r="AT118" s="2"/>
    </row>
    <row r="119" spans="1:46" s="4" customFormat="1" ht="17.25" customHeight="1" x14ac:dyDescent="0.25">
      <c r="A119" s="23"/>
      <c r="B119" s="201" t="s">
        <v>93</v>
      </c>
      <c r="C119" s="202"/>
      <c r="D119" s="64"/>
      <c r="E119" s="64"/>
      <c r="F119" s="64"/>
      <c r="G119" s="64"/>
      <c r="H119" s="64"/>
      <c r="I119" s="64"/>
      <c r="J119" s="64"/>
      <c r="K119" s="57">
        <v>23</v>
      </c>
      <c r="L119" s="88"/>
      <c r="M119" s="118">
        <f>(K122*L109)-M109-M116</f>
        <v>1147.4783639545067</v>
      </c>
      <c r="N119" s="57">
        <v>-34</v>
      </c>
      <c r="O119" s="88"/>
      <c r="P119" s="118">
        <f>(N122*O109)-P109-P117</f>
        <v>471.39442019458329</v>
      </c>
      <c r="Q119" s="39"/>
      <c r="R119" s="39"/>
      <c r="S119" s="39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22"/>
      <c r="AO119" s="43">
        <f>A111</f>
        <v>0</v>
      </c>
      <c r="AP119" s="12" t="e">
        <f>#REF!</f>
        <v>#REF!</v>
      </c>
      <c r="AT119" s="2"/>
    </row>
    <row r="120" spans="1:46" s="2" customFormat="1" ht="17.25" customHeight="1" x14ac:dyDescent="0.2">
      <c r="A120" s="24"/>
      <c r="B120" s="201"/>
      <c r="C120" s="204"/>
      <c r="D120" s="63"/>
      <c r="E120" s="64"/>
      <c r="F120" s="64"/>
      <c r="G120" s="64"/>
      <c r="H120" s="64"/>
      <c r="I120" s="64"/>
      <c r="J120" s="64"/>
      <c r="K120" s="16"/>
      <c r="L120" s="16"/>
      <c r="M120" s="64"/>
      <c r="N120" s="16"/>
      <c r="O120" s="16"/>
      <c r="P120" s="64"/>
      <c r="Q120" s="46"/>
      <c r="R120" s="46"/>
      <c r="S120" s="39"/>
      <c r="T120" s="16"/>
      <c r="U120" s="16"/>
      <c r="V120" s="16"/>
      <c r="W120" s="16"/>
      <c r="X120" s="16"/>
      <c r="Y120" s="19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43">
        <f>A110</f>
        <v>45938</v>
      </c>
      <c r="AQ120" s="10"/>
      <c r="AR120" s="11"/>
    </row>
    <row r="121" spans="1:46" s="2" customFormat="1" ht="17.25" customHeight="1" thickBot="1" x14ac:dyDescent="0.3">
      <c r="A121" s="56"/>
      <c r="B121" s="101" t="s">
        <v>102</v>
      </c>
      <c r="C121" s="102">
        <f>D122+E122+F122+G122+H122+I122+J122+M122+P122</f>
        <v>132331.97999999998</v>
      </c>
      <c r="D121" s="84"/>
      <c r="E121" s="85"/>
      <c r="F121" s="85"/>
      <c r="G121" s="85"/>
      <c r="H121" s="85"/>
      <c r="I121" s="85"/>
      <c r="J121" s="85"/>
      <c r="K121" s="28"/>
      <c r="L121" s="28"/>
      <c r="M121" s="85"/>
      <c r="N121" s="28"/>
      <c r="O121" s="28"/>
      <c r="P121" s="85"/>
      <c r="Q121" s="48"/>
      <c r="R121" s="48"/>
      <c r="S121" s="51"/>
      <c r="T121" s="28"/>
      <c r="U121" s="28"/>
      <c r="V121" s="28"/>
      <c r="W121" s="28"/>
      <c r="X121" s="28"/>
      <c r="Y121" s="36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42">
        <f>SUM($Q109:AN121)</f>
        <v>-443788.19000000006</v>
      </c>
      <c r="AQ121" s="10"/>
      <c r="AR121" s="11"/>
      <c r="AS121" s="2" t="s">
        <v>5</v>
      </c>
    </row>
    <row r="122" spans="1:46" s="2" customFormat="1" ht="17.25" customHeight="1" thickTop="1" thickBot="1" x14ac:dyDescent="0.3">
      <c r="A122" s="103"/>
      <c r="B122" s="104" t="s">
        <v>103</v>
      </c>
      <c r="C122" s="105">
        <f>AO122</f>
        <v>-311456.21000000008</v>
      </c>
      <c r="D122" s="106">
        <f t="shared" ref="D122:K122" si="14">SUM(D109:D121)</f>
        <v>35.539999999986321</v>
      </c>
      <c r="E122" s="107">
        <f t="shared" si="14"/>
        <v>-18122.960000000014</v>
      </c>
      <c r="F122" s="107">
        <f t="shared" si="14"/>
        <v>31175</v>
      </c>
      <c r="G122" s="107">
        <f t="shared" si="14"/>
        <v>0</v>
      </c>
      <c r="H122" s="107">
        <f t="shared" si="14"/>
        <v>21634.510000000009</v>
      </c>
      <c r="I122" s="107">
        <f t="shared" si="14"/>
        <v>11075.34</v>
      </c>
      <c r="J122" s="107">
        <f t="shared" si="14"/>
        <v>0</v>
      </c>
      <c r="K122" s="108">
        <f t="shared" si="14"/>
        <v>5582</v>
      </c>
      <c r="L122" s="109">
        <f>M122/K122</f>
        <v>4.9950877821569337</v>
      </c>
      <c r="M122" s="107">
        <f>ROUND(SUM(M109:M121),2)</f>
        <v>27882.58</v>
      </c>
      <c r="N122" s="108">
        <f>SUM(N109:N121)</f>
        <v>16528</v>
      </c>
      <c r="O122" s="109">
        <f>P122/N122</f>
        <v>3.5486429090029041</v>
      </c>
      <c r="P122" s="107">
        <f>ROUND(SUM(P109:P121),2)</f>
        <v>58651.97</v>
      </c>
      <c r="Q122" s="110">
        <f t="shared" ref="Q122:AN122" si="15">SUM(Q109:Q121)</f>
        <v>-324378.32</v>
      </c>
      <c r="R122" s="107">
        <f t="shared" si="15"/>
        <v>7865.57</v>
      </c>
      <c r="S122" s="107">
        <f t="shared" si="15"/>
        <v>0</v>
      </c>
      <c r="T122" s="107">
        <f t="shared" si="15"/>
        <v>-12858.760000000002</v>
      </c>
      <c r="U122" s="107">
        <f t="shared" si="15"/>
        <v>0</v>
      </c>
      <c r="V122" s="107">
        <f t="shared" si="15"/>
        <v>-114416.68000000002</v>
      </c>
      <c r="W122" s="107">
        <f t="shared" si="15"/>
        <v>0</v>
      </c>
      <c r="X122" s="107">
        <f t="shared" si="15"/>
        <v>0</v>
      </c>
      <c r="Y122" s="107">
        <f t="shared" si="15"/>
        <v>0</v>
      </c>
      <c r="Z122" s="107">
        <f t="shared" si="15"/>
        <v>0</v>
      </c>
      <c r="AA122" s="107">
        <f t="shared" si="15"/>
        <v>0</v>
      </c>
      <c r="AB122" s="107">
        <f t="shared" si="15"/>
        <v>0</v>
      </c>
      <c r="AC122" s="107">
        <f t="shared" si="15"/>
        <v>0</v>
      </c>
      <c r="AD122" s="107">
        <f t="shared" si="15"/>
        <v>0</v>
      </c>
      <c r="AE122" s="107">
        <f t="shared" si="15"/>
        <v>0</v>
      </c>
      <c r="AF122" s="107">
        <f t="shared" si="15"/>
        <v>0</v>
      </c>
      <c r="AG122" s="107">
        <f t="shared" si="15"/>
        <v>0</v>
      </c>
      <c r="AH122" s="107">
        <f t="shared" si="15"/>
        <v>0</v>
      </c>
      <c r="AI122" s="107">
        <f t="shared" si="15"/>
        <v>0</v>
      </c>
      <c r="AJ122" s="107">
        <f t="shared" si="15"/>
        <v>0</v>
      </c>
      <c r="AK122" s="107">
        <f t="shared" si="15"/>
        <v>0</v>
      </c>
      <c r="AL122" s="107">
        <f t="shared" si="15"/>
        <v>0</v>
      </c>
      <c r="AM122" s="107">
        <f t="shared" si="15"/>
        <v>0</v>
      </c>
      <c r="AN122" s="107">
        <f t="shared" si="15"/>
        <v>0</v>
      </c>
      <c r="AO122" s="111">
        <f>D122+E122+F122+G122+H122+I122+J122+M122+P122+SUM(Q122:AN122)</f>
        <v>-311456.21000000008</v>
      </c>
      <c r="AP122" s="4"/>
      <c r="AQ122" s="5"/>
      <c r="AR122" s="5"/>
      <c r="AS122" s="2" t="s">
        <v>6</v>
      </c>
    </row>
    <row r="123" spans="1:46" s="2" customFormat="1" ht="17.25" customHeight="1" thickTop="1" x14ac:dyDescent="0.25">
      <c r="A123" s="23">
        <f>A110+1</f>
        <v>45939</v>
      </c>
      <c r="B123" s="210" t="s">
        <v>64</v>
      </c>
      <c r="C123" s="203"/>
      <c r="D123" s="63">
        <v>10832.94</v>
      </c>
      <c r="E123" s="66"/>
      <c r="F123" s="66"/>
      <c r="G123" s="66"/>
      <c r="H123" s="66"/>
      <c r="I123" s="66">
        <f>-D123</f>
        <v>-10832.94</v>
      </c>
      <c r="J123" s="66"/>
      <c r="K123" s="18"/>
      <c r="L123" s="18"/>
      <c r="M123" s="66"/>
      <c r="N123" s="18"/>
      <c r="O123" s="18"/>
      <c r="P123" s="66"/>
      <c r="Q123" s="46"/>
      <c r="R123" s="46"/>
      <c r="S123" s="45"/>
      <c r="T123" s="18"/>
      <c r="U123" s="18"/>
      <c r="V123" s="18"/>
      <c r="W123" s="18"/>
      <c r="X123" s="18"/>
      <c r="Y123" s="14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7"/>
      <c r="AO123" s="31"/>
      <c r="AQ123" s="10"/>
      <c r="AR123" s="27"/>
    </row>
    <row r="124" spans="1:46" s="4" customFormat="1" ht="17.25" customHeight="1" x14ac:dyDescent="0.25">
      <c r="A124" s="23"/>
      <c r="B124" s="201" t="s">
        <v>96</v>
      </c>
      <c r="C124" s="202"/>
      <c r="D124" s="63"/>
      <c r="E124" s="64"/>
      <c r="F124" s="64"/>
      <c r="G124" s="64"/>
      <c r="H124" s="64"/>
      <c r="I124" s="117">
        <f>-I122-I123</f>
        <v>-242.39999999999964</v>
      </c>
      <c r="J124" s="64"/>
      <c r="K124" s="16"/>
      <c r="L124" s="92"/>
      <c r="M124" s="64"/>
      <c r="N124" s="16"/>
      <c r="O124" s="92"/>
      <c r="P124" s="64"/>
      <c r="Q124" s="40"/>
      <c r="R124" s="46"/>
      <c r="S124" s="39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22"/>
      <c r="AP124" s="30"/>
    </row>
    <row r="125" spans="1:46" s="2" customFormat="1" ht="17.25" customHeight="1" x14ac:dyDescent="0.25">
      <c r="A125" s="29"/>
      <c r="B125" s="201" t="s">
        <v>72</v>
      </c>
      <c r="C125" s="202"/>
      <c r="D125" s="63">
        <v>-10800</v>
      </c>
      <c r="E125" s="64"/>
      <c r="F125" s="64">
        <f>-D125</f>
        <v>10800</v>
      </c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47"/>
      <c r="R125" s="39"/>
      <c r="S125" s="39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22"/>
      <c r="AQ125" s="10" t="s">
        <v>4</v>
      </c>
      <c r="AR125" s="11" t="e">
        <v>#REF!</v>
      </c>
    </row>
    <row r="126" spans="1:46" s="2" customFormat="1" ht="17.25" customHeight="1" x14ac:dyDescent="0.25">
      <c r="A126" s="29"/>
      <c r="B126" s="201" t="s">
        <v>72</v>
      </c>
      <c r="C126" s="202"/>
      <c r="D126" s="63">
        <f>-F126</f>
        <v>41975</v>
      </c>
      <c r="E126" s="64"/>
      <c r="F126" s="64">
        <v>-41975</v>
      </c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47"/>
      <c r="R126" s="39"/>
      <c r="S126" s="39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22"/>
      <c r="AQ126" s="10" t="s">
        <v>4</v>
      </c>
      <c r="AR126" s="11" t="e">
        <v>#REF!</v>
      </c>
    </row>
    <row r="127" spans="1:46" s="2" customFormat="1" ht="17.25" customHeight="1" x14ac:dyDescent="0.2">
      <c r="A127" s="24"/>
      <c r="B127" s="201" t="s">
        <v>205</v>
      </c>
      <c r="C127" s="204"/>
      <c r="D127" s="63"/>
      <c r="E127" s="64"/>
      <c r="F127" s="64"/>
      <c r="G127" s="64"/>
      <c r="H127" s="63">
        <v>-600</v>
      </c>
      <c r="I127" s="64"/>
      <c r="J127" s="64"/>
      <c r="K127" s="16"/>
      <c r="L127" s="16"/>
      <c r="M127" s="64"/>
      <c r="N127" s="16"/>
      <c r="O127" s="16"/>
      <c r="P127" s="64"/>
      <c r="Q127" s="40"/>
      <c r="R127" s="40"/>
      <c r="S127" s="39"/>
      <c r="T127" s="16"/>
      <c r="U127" s="16"/>
      <c r="V127" s="16"/>
      <c r="W127" s="16"/>
      <c r="X127" s="16"/>
      <c r="Y127" s="19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41"/>
      <c r="AQ127" s="10"/>
      <c r="AR127" s="11"/>
    </row>
    <row r="128" spans="1:46" s="2" customFormat="1" ht="17.25" customHeight="1" x14ac:dyDescent="0.2">
      <c r="A128" s="24"/>
      <c r="B128" s="201" t="s">
        <v>206</v>
      </c>
      <c r="C128" s="204"/>
      <c r="D128" s="63"/>
      <c r="E128" s="64"/>
      <c r="F128" s="64"/>
      <c r="G128" s="64"/>
      <c r="H128" s="63">
        <v>-120</v>
      </c>
      <c r="I128" s="64"/>
      <c r="J128" s="64"/>
      <c r="K128" s="16"/>
      <c r="L128" s="16"/>
      <c r="M128" s="64"/>
      <c r="N128" s="16"/>
      <c r="O128" s="16"/>
      <c r="P128" s="64"/>
      <c r="Q128" s="40"/>
      <c r="R128" s="40"/>
      <c r="S128" s="39"/>
      <c r="T128" s="16"/>
      <c r="U128" s="16"/>
      <c r="V128" s="16"/>
      <c r="W128" s="16"/>
      <c r="X128" s="16"/>
      <c r="Y128" s="19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41"/>
      <c r="AQ128" s="10"/>
      <c r="AR128" s="11"/>
    </row>
    <row r="129" spans="1:46" s="2" customFormat="1" ht="17.25" customHeight="1" x14ac:dyDescent="0.25">
      <c r="A129" s="24"/>
      <c r="B129" s="201" t="s">
        <v>57</v>
      </c>
      <c r="C129" s="203"/>
      <c r="D129" s="63">
        <v>-4200</v>
      </c>
      <c r="E129" s="64"/>
      <c r="F129" s="64"/>
      <c r="G129" s="64">
        <f>-D129</f>
        <v>4200</v>
      </c>
      <c r="H129" s="64"/>
      <c r="I129" s="64"/>
      <c r="J129" s="64"/>
      <c r="K129" s="16"/>
      <c r="L129" s="16"/>
      <c r="M129" s="64"/>
      <c r="N129" s="16"/>
      <c r="O129" s="16"/>
      <c r="P129" s="64"/>
      <c r="Q129" s="46"/>
      <c r="R129" s="40"/>
      <c r="S129" s="39"/>
      <c r="T129" s="16"/>
      <c r="U129" s="16"/>
      <c r="V129" s="16"/>
      <c r="W129" s="16"/>
      <c r="X129" s="16"/>
      <c r="Y129" s="19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22"/>
      <c r="AQ129" s="10"/>
      <c r="AR129" s="11"/>
    </row>
    <row r="130" spans="1:46" s="2" customFormat="1" ht="17.25" customHeight="1" x14ac:dyDescent="0.25">
      <c r="A130" s="24"/>
      <c r="B130" s="201" t="s">
        <v>57</v>
      </c>
      <c r="C130" s="203"/>
      <c r="D130" s="63">
        <v>-37830</v>
      </c>
      <c r="E130" s="64"/>
      <c r="F130" s="74"/>
      <c r="G130" s="64">
        <f>-D130</f>
        <v>37830</v>
      </c>
      <c r="H130" s="64"/>
      <c r="I130" s="64"/>
      <c r="J130" s="64"/>
      <c r="K130" s="16"/>
      <c r="L130" s="16"/>
      <c r="M130" s="64"/>
      <c r="N130" s="16"/>
      <c r="O130" s="16"/>
      <c r="P130" s="64"/>
      <c r="Q130" s="46"/>
      <c r="R130" s="39"/>
      <c r="S130" s="40"/>
      <c r="T130" s="16"/>
      <c r="U130" s="16"/>
      <c r="V130" s="16"/>
      <c r="W130" s="16"/>
      <c r="X130" s="16"/>
      <c r="Y130" s="19"/>
      <c r="Z130" s="16"/>
      <c r="AA130" s="16"/>
      <c r="AB130" s="16"/>
      <c r="AC130" s="16"/>
      <c r="AD130" s="16"/>
      <c r="AE130" s="16"/>
      <c r="AF130" s="16"/>
      <c r="AG130" s="15"/>
      <c r="AH130" s="15"/>
      <c r="AI130" s="15"/>
      <c r="AJ130" s="15"/>
      <c r="AK130" s="15"/>
      <c r="AL130" s="15"/>
      <c r="AM130" s="15"/>
      <c r="AN130" s="16"/>
      <c r="AO130" s="22"/>
      <c r="AQ130" s="10"/>
      <c r="AR130" s="11"/>
    </row>
    <row r="131" spans="1:46" s="2" customFormat="1" ht="17.25" customHeight="1" x14ac:dyDescent="0.25">
      <c r="A131" s="24"/>
      <c r="B131" s="201" t="s">
        <v>214</v>
      </c>
      <c r="C131" s="204"/>
      <c r="D131" s="63">
        <f>-4.9-4.9</f>
        <v>-9.8000000000000007</v>
      </c>
      <c r="E131" s="64"/>
      <c r="F131" s="74"/>
      <c r="G131" s="74"/>
      <c r="H131" s="64"/>
      <c r="I131" s="64"/>
      <c r="J131" s="64"/>
      <c r="K131" s="16"/>
      <c r="L131" s="16"/>
      <c r="M131" s="64"/>
      <c r="N131" s="16"/>
      <c r="O131" s="16"/>
      <c r="P131" s="64"/>
      <c r="Q131" s="46"/>
      <c r="R131" s="39"/>
      <c r="S131" s="40"/>
      <c r="T131" s="16"/>
      <c r="U131" s="16"/>
      <c r="V131" s="16"/>
      <c r="W131" s="16"/>
      <c r="X131" s="16"/>
      <c r="Y131" s="19"/>
      <c r="Z131" s="16"/>
      <c r="AA131" s="16"/>
      <c r="AB131" s="16"/>
      <c r="AC131" s="16"/>
      <c r="AD131" s="16"/>
      <c r="AE131" s="16"/>
      <c r="AF131" s="16"/>
      <c r="AG131" s="15"/>
      <c r="AH131" s="15"/>
      <c r="AI131" s="15"/>
      <c r="AJ131" s="15"/>
      <c r="AK131" s="15"/>
      <c r="AL131" s="15"/>
      <c r="AM131" s="15"/>
      <c r="AN131" s="16"/>
      <c r="AO131" s="22"/>
      <c r="AQ131" s="10"/>
      <c r="AR131" s="11"/>
    </row>
    <row r="132" spans="1:46" s="2" customFormat="1" ht="17.25" customHeight="1" x14ac:dyDescent="0.25">
      <c r="A132" s="24"/>
      <c r="B132" s="201" t="s">
        <v>181</v>
      </c>
      <c r="C132" s="203"/>
      <c r="D132" s="63"/>
      <c r="E132" s="64">
        <v>-1100</v>
      </c>
      <c r="F132" s="64"/>
      <c r="G132" s="64">
        <f>-E132</f>
        <v>1100</v>
      </c>
      <c r="H132" s="64"/>
      <c r="I132" s="64"/>
      <c r="J132" s="64"/>
      <c r="K132" s="16"/>
      <c r="L132" s="16"/>
      <c r="M132" s="64"/>
      <c r="N132" s="16"/>
      <c r="O132" s="16"/>
      <c r="P132" s="64"/>
      <c r="Q132" s="46"/>
      <c r="R132" s="40"/>
      <c r="S132" s="39"/>
      <c r="T132" s="16"/>
      <c r="U132" s="16"/>
      <c r="V132" s="16"/>
      <c r="W132" s="16"/>
      <c r="X132" s="16"/>
      <c r="Y132" s="19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22"/>
      <c r="AQ132" s="10"/>
      <c r="AR132" s="11"/>
    </row>
    <row r="133" spans="1:46" s="2" customFormat="1" ht="17.25" customHeight="1" x14ac:dyDescent="0.25">
      <c r="A133" s="24"/>
      <c r="B133" s="205" t="s">
        <v>220</v>
      </c>
      <c r="C133" s="206"/>
      <c r="D133" s="64"/>
      <c r="E133" s="64"/>
      <c r="F133" s="64"/>
      <c r="G133" s="64">
        <f>-M133</f>
        <v>-51740.000000000007</v>
      </c>
      <c r="H133" s="64"/>
      <c r="I133" s="64"/>
      <c r="J133" s="64"/>
      <c r="K133" s="57">
        <v>10000</v>
      </c>
      <c r="L133" s="88">
        <v>5.1740000000000004</v>
      </c>
      <c r="M133" s="62">
        <f>K133*L133</f>
        <v>51740.000000000007</v>
      </c>
      <c r="N133" s="57"/>
      <c r="O133" s="88"/>
      <c r="P133" s="62"/>
      <c r="Q133" s="39"/>
      <c r="R133" s="39"/>
      <c r="S133" s="39"/>
      <c r="T133" s="16"/>
      <c r="U133" s="16">
        <f>-P133</f>
        <v>0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22"/>
      <c r="AQ133" s="10"/>
      <c r="AR133" s="11"/>
    </row>
    <row r="134" spans="1:46" s="2" customFormat="1" ht="17.25" customHeight="1" thickBot="1" x14ac:dyDescent="0.25">
      <c r="A134" s="24"/>
      <c r="B134" s="216"/>
      <c r="C134" s="217"/>
      <c r="D134" s="83"/>
      <c r="E134" s="81"/>
      <c r="F134" s="81"/>
      <c r="G134" s="81"/>
      <c r="H134" s="81"/>
      <c r="I134" s="81"/>
      <c r="J134" s="81"/>
      <c r="K134" s="37"/>
      <c r="L134" s="93"/>
      <c r="M134" s="81"/>
      <c r="N134" s="37"/>
      <c r="O134" s="93"/>
      <c r="P134" s="81"/>
      <c r="Q134" s="40"/>
      <c r="R134" s="40"/>
      <c r="S134" s="39"/>
      <c r="T134" s="16"/>
      <c r="U134" s="16"/>
      <c r="V134" s="16"/>
      <c r="W134" s="16"/>
      <c r="X134" s="16"/>
      <c r="Y134" s="19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41"/>
      <c r="AQ134" s="10"/>
      <c r="AR134" s="11"/>
    </row>
    <row r="135" spans="1:46" s="4" customFormat="1" ht="17.25" customHeight="1" x14ac:dyDescent="0.25">
      <c r="A135" s="23"/>
      <c r="B135" s="210" t="s">
        <v>94</v>
      </c>
      <c r="C135" s="203"/>
      <c r="D135" s="66"/>
      <c r="E135" s="66"/>
      <c r="F135" s="117"/>
      <c r="G135" s="117"/>
      <c r="H135" s="66"/>
      <c r="I135" s="66"/>
      <c r="J135" s="66">
        <f>-M135</f>
        <v>7179.6</v>
      </c>
      <c r="K135" s="58">
        <v>-1240</v>
      </c>
      <c r="L135" s="89">
        <v>5.79</v>
      </c>
      <c r="M135" s="73">
        <f>K135*L135</f>
        <v>-7179.6</v>
      </c>
      <c r="N135" s="58"/>
      <c r="O135" s="89"/>
      <c r="P135" s="73"/>
      <c r="Q135" s="39"/>
      <c r="R135" s="39"/>
      <c r="S135" s="8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35"/>
      <c r="AP135" s="12" t="e">
        <f>#REF!</f>
        <v>#REF!</v>
      </c>
    </row>
    <row r="136" spans="1:46" s="4" customFormat="1" ht="17.25" customHeight="1" x14ac:dyDescent="0.25">
      <c r="A136" s="23"/>
      <c r="B136" s="201" t="s">
        <v>95</v>
      </c>
      <c r="C136" s="202"/>
      <c r="D136" s="64"/>
      <c r="E136" s="64"/>
      <c r="F136" s="117"/>
      <c r="G136" s="117"/>
      <c r="H136" s="64"/>
      <c r="I136" s="64"/>
      <c r="J136" s="64">
        <f>-P136</f>
        <v>8330.42</v>
      </c>
      <c r="K136" s="57"/>
      <c r="L136" s="88"/>
      <c r="M136" s="62"/>
      <c r="N136" s="57">
        <v>-2198</v>
      </c>
      <c r="O136" s="88">
        <v>3.79</v>
      </c>
      <c r="P136" s="62">
        <f>N136*O136</f>
        <v>-8330.42</v>
      </c>
      <c r="Q136" s="39"/>
      <c r="R136" s="39"/>
      <c r="S136" s="8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35"/>
      <c r="AP136" s="12" t="e">
        <f>#REF!</f>
        <v>#REF!</v>
      </c>
    </row>
    <row r="137" spans="1:46" s="4" customFormat="1" ht="17.25" customHeight="1" x14ac:dyDescent="0.25">
      <c r="A137" s="23"/>
      <c r="B137" s="201" t="s">
        <v>97</v>
      </c>
      <c r="C137" s="203"/>
      <c r="D137" s="64"/>
      <c r="E137" s="64"/>
      <c r="F137" s="64"/>
      <c r="G137" s="64"/>
      <c r="H137" s="64">
        <f>-J137-I137</f>
        <v>5146.57</v>
      </c>
      <c r="I137" s="64">
        <v>10363.450000000001</v>
      </c>
      <c r="J137" s="64">
        <f>-SUM(J135:J136)</f>
        <v>-15510.02</v>
      </c>
      <c r="K137" s="57"/>
      <c r="L137" s="88"/>
      <c r="M137" s="62"/>
      <c r="N137" s="57"/>
      <c r="O137" s="88"/>
      <c r="P137" s="62"/>
      <c r="Q137" s="39"/>
      <c r="R137" s="39"/>
      <c r="S137" s="39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22"/>
      <c r="AO137" s="35"/>
      <c r="AP137" s="12" t="e">
        <f>#REF!</f>
        <v>#REF!</v>
      </c>
      <c r="AT137" s="2"/>
    </row>
    <row r="138" spans="1:46" s="4" customFormat="1" ht="17.25" customHeight="1" x14ac:dyDescent="0.25">
      <c r="A138" s="23"/>
      <c r="B138" s="201" t="s">
        <v>93</v>
      </c>
      <c r="C138" s="202"/>
      <c r="D138" s="64"/>
      <c r="E138" s="64"/>
      <c r="F138" s="64"/>
      <c r="G138" s="64"/>
      <c r="H138" s="64"/>
      <c r="I138" s="64"/>
      <c r="J138" s="64"/>
      <c r="K138" s="57">
        <v>-26</v>
      </c>
      <c r="L138" s="88"/>
      <c r="M138" s="118">
        <f>(K141*((M122+M133)/(K122+K133)))-M122-M135-M133</f>
        <v>710.45699653445627</v>
      </c>
      <c r="N138" s="57">
        <v>-147</v>
      </c>
      <c r="O138" s="88"/>
      <c r="P138" s="118">
        <f>(N141*O122)-P122-P136</f>
        <v>8.8523783881846612</v>
      </c>
      <c r="Q138" s="39"/>
      <c r="R138" s="39"/>
      <c r="S138" s="39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22"/>
      <c r="AO138" s="43">
        <f>A116</f>
        <v>0</v>
      </c>
      <c r="AP138" s="12" t="e">
        <f>#REF!</f>
        <v>#REF!</v>
      </c>
      <c r="AT138" s="2"/>
    </row>
    <row r="139" spans="1:46" s="2" customFormat="1" ht="17.25" customHeight="1" x14ac:dyDescent="0.2">
      <c r="A139" s="24"/>
      <c r="B139" s="201"/>
      <c r="C139" s="204"/>
      <c r="D139" s="63"/>
      <c r="E139" s="64"/>
      <c r="F139" s="64"/>
      <c r="G139" s="64"/>
      <c r="H139" s="64"/>
      <c r="I139" s="64"/>
      <c r="J139" s="64"/>
      <c r="K139" s="16"/>
      <c r="L139" s="16"/>
      <c r="M139" s="64"/>
      <c r="N139" s="16"/>
      <c r="O139" s="16"/>
      <c r="P139" s="64"/>
      <c r="Q139" s="46"/>
      <c r="R139" s="46"/>
      <c r="S139" s="39"/>
      <c r="T139" s="16"/>
      <c r="U139" s="16"/>
      <c r="V139" s="16"/>
      <c r="W139" s="16"/>
      <c r="X139" s="16"/>
      <c r="Y139" s="19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43">
        <f>A123</f>
        <v>45939</v>
      </c>
      <c r="AQ139" s="10"/>
      <c r="AR139" s="11"/>
    </row>
    <row r="140" spans="1:46" s="2" customFormat="1" ht="17.25" customHeight="1" thickBot="1" x14ac:dyDescent="0.3">
      <c r="A140" s="56"/>
      <c r="B140" s="101" t="s">
        <v>102</v>
      </c>
      <c r="C140" s="102">
        <f>D141+E141+F141+G141+H141+I141+J141+M141+P141</f>
        <v>132079.08999999997</v>
      </c>
      <c r="D140" s="84"/>
      <c r="E140" s="85"/>
      <c r="F140" s="85"/>
      <c r="G140" s="85"/>
      <c r="H140" s="85"/>
      <c r="I140" s="85"/>
      <c r="J140" s="85"/>
      <c r="K140" s="28"/>
      <c r="L140" s="28"/>
      <c r="M140" s="85"/>
      <c r="N140" s="28"/>
      <c r="O140" s="28"/>
      <c r="P140" s="85"/>
      <c r="Q140" s="48"/>
      <c r="R140" s="48"/>
      <c r="S140" s="51"/>
      <c r="T140" s="28"/>
      <c r="U140" s="28"/>
      <c r="V140" s="28"/>
      <c r="W140" s="28"/>
      <c r="X140" s="28"/>
      <c r="Y140" s="36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42">
        <f>SUM($Q122:AN140)</f>
        <v>-443788.19000000006</v>
      </c>
      <c r="AQ140" s="10"/>
      <c r="AR140" s="11"/>
      <c r="AS140" s="2" t="s">
        <v>5</v>
      </c>
    </row>
    <row r="141" spans="1:46" s="2" customFormat="1" ht="17.25" customHeight="1" thickTop="1" thickBot="1" x14ac:dyDescent="0.3">
      <c r="A141" s="103"/>
      <c r="B141" s="104" t="s">
        <v>103</v>
      </c>
      <c r="C141" s="105">
        <f>AO141</f>
        <v>-311709.10000000009</v>
      </c>
      <c r="D141" s="106">
        <f t="shared" ref="D141:K141" si="16">SUM(D122:D140)</f>
        <v>3.6799999999886488</v>
      </c>
      <c r="E141" s="107">
        <f t="shared" si="16"/>
        <v>-19222.960000000014</v>
      </c>
      <c r="F141" s="107">
        <f t="shared" si="16"/>
        <v>0</v>
      </c>
      <c r="G141" s="107">
        <f t="shared" si="16"/>
        <v>-8610.0000000000073</v>
      </c>
      <c r="H141" s="107">
        <f t="shared" si="16"/>
        <v>26061.080000000009</v>
      </c>
      <c r="I141" s="107">
        <f t="shared" si="16"/>
        <v>10363.450000000001</v>
      </c>
      <c r="J141" s="107">
        <f t="shared" si="16"/>
        <v>0</v>
      </c>
      <c r="K141" s="108">
        <f t="shared" si="16"/>
        <v>14316</v>
      </c>
      <c r="L141" s="109">
        <f>M141/K141</f>
        <v>5.1099077954735961</v>
      </c>
      <c r="M141" s="107">
        <f>ROUND(SUM(M122:M140),2)</f>
        <v>73153.440000000002</v>
      </c>
      <c r="N141" s="108">
        <f>SUM(N122:N140)</f>
        <v>14183</v>
      </c>
      <c r="O141" s="109">
        <f>P141/N141</f>
        <v>3.5486427413100192</v>
      </c>
      <c r="P141" s="107">
        <f>ROUND(SUM(P122:P140),2)</f>
        <v>50330.400000000001</v>
      </c>
      <c r="Q141" s="110">
        <f t="shared" ref="Q141:AN141" si="17">SUM(Q122:Q140)</f>
        <v>-324378.32</v>
      </c>
      <c r="R141" s="107">
        <f t="shared" si="17"/>
        <v>7865.57</v>
      </c>
      <c r="S141" s="107">
        <f t="shared" si="17"/>
        <v>0</v>
      </c>
      <c r="T141" s="107">
        <f t="shared" si="17"/>
        <v>-12858.760000000002</v>
      </c>
      <c r="U141" s="107">
        <f t="shared" si="17"/>
        <v>0</v>
      </c>
      <c r="V141" s="107">
        <f t="shared" si="17"/>
        <v>-114416.68000000002</v>
      </c>
      <c r="W141" s="107">
        <f t="shared" si="17"/>
        <v>0</v>
      </c>
      <c r="X141" s="107">
        <f t="shared" si="17"/>
        <v>0</v>
      </c>
      <c r="Y141" s="107">
        <f t="shared" si="17"/>
        <v>0</v>
      </c>
      <c r="Z141" s="107">
        <f t="shared" si="17"/>
        <v>0</v>
      </c>
      <c r="AA141" s="107">
        <f t="shared" si="17"/>
        <v>0</v>
      </c>
      <c r="AB141" s="107">
        <f t="shared" si="17"/>
        <v>0</v>
      </c>
      <c r="AC141" s="107">
        <f t="shared" si="17"/>
        <v>0</v>
      </c>
      <c r="AD141" s="107">
        <f t="shared" si="17"/>
        <v>0</v>
      </c>
      <c r="AE141" s="107">
        <f t="shared" si="17"/>
        <v>0</v>
      </c>
      <c r="AF141" s="107">
        <f t="shared" si="17"/>
        <v>0</v>
      </c>
      <c r="AG141" s="107">
        <f t="shared" si="17"/>
        <v>0</v>
      </c>
      <c r="AH141" s="107">
        <f t="shared" si="17"/>
        <v>0</v>
      </c>
      <c r="AI141" s="107">
        <f t="shared" si="17"/>
        <v>0</v>
      </c>
      <c r="AJ141" s="107">
        <f t="shared" si="17"/>
        <v>0</v>
      </c>
      <c r="AK141" s="107">
        <f t="shared" si="17"/>
        <v>0</v>
      </c>
      <c r="AL141" s="107">
        <f t="shared" si="17"/>
        <v>0</v>
      </c>
      <c r="AM141" s="107">
        <f t="shared" si="17"/>
        <v>0</v>
      </c>
      <c r="AN141" s="107">
        <f t="shared" si="17"/>
        <v>0</v>
      </c>
      <c r="AO141" s="111">
        <f>D141+E141+F141+G141+H141+I141+J141+M141+P141+SUM(Q141:AN141)</f>
        <v>-311709.10000000009</v>
      </c>
      <c r="AP141" s="4"/>
      <c r="AQ141" s="5"/>
      <c r="AR141" s="5"/>
      <c r="AS141" s="2" t="s">
        <v>6</v>
      </c>
    </row>
    <row r="142" spans="1:46" s="2" customFormat="1" ht="17.25" customHeight="1" thickTop="1" x14ac:dyDescent="0.25">
      <c r="A142" s="23">
        <f>A123+1</f>
        <v>45940</v>
      </c>
      <c r="B142" s="210" t="s">
        <v>64</v>
      </c>
      <c r="C142" s="203"/>
      <c r="D142" s="63">
        <v>10117.33</v>
      </c>
      <c r="E142" s="66"/>
      <c r="F142" s="66"/>
      <c r="G142" s="66"/>
      <c r="H142" s="66"/>
      <c r="I142" s="66">
        <f>-D142</f>
        <v>-10117.33</v>
      </c>
      <c r="J142" s="66"/>
      <c r="K142" s="18"/>
      <c r="L142" s="18"/>
      <c r="M142" s="66"/>
      <c r="N142" s="18"/>
      <c r="O142" s="18"/>
      <c r="P142" s="66"/>
      <c r="Q142" s="46"/>
      <c r="R142" s="46"/>
      <c r="S142" s="45"/>
      <c r="T142" s="18"/>
      <c r="U142" s="18"/>
      <c r="V142" s="18"/>
      <c r="W142" s="18"/>
      <c r="X142" s="18"/>
      <c r="Y142" s="14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31"/>
      <c r="AQ142" s="10"/>
      <c r="AR142" s="27"/>
    </row>
    <row r="143" spans="1:46" s="4" customFormat="1" ht="17.25" customHeight="1" x14ac:dyDescent="0.25">
      <c r="A143" s="23"/>
      <c r="B143" s="201" t="s">
        <v>96</v>
      </c>
      <c r="C143" s="202"/>
      <c r="D143" s="63"/>
      <c r="E143" s="64"/>
      <c r="F143" s="64"/>
      <c r="G143" s="64"/>
      <c r="H143" s="64"/>
      <c r="I143" s="117">
        <f>-I141-I142</f>
        <v>-246.1200000000008</v>
      </c>
      <c r="J143" s="64"/>
      <c r="K143" s="16"/>
      <c r="L143" s="92"/>
      <c r="M143" s="64"/>
      <c r="N143" s="16"/>
      <c r="O143" s="92"/>
      <c r="P143" s="64"/>
      <c r="Q143" s="40"/>
      <c r="R143" s="46"/>
      <c r="S143" s="39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22"/>
      <c r="AP143" s="30"/>
    </row>
    <row r="144" spans="1:46" s="2" customFormat="1" ht="17.25" customHeight="1" x14ac:dyDescent="0.25">
      <c r="A144" s="24"/>
      <c r="B144" s="201" t="s">
        <v>57</v>
      </c>
      <c r="C144" s="203"/>
      <c r="D144" s="63">
        <v>-10100</v>
      </c>
      <c r="E144" s="64"/>
      <c r="F144" s="74"/>
      <c r="G144" s="74">
        <f>-D144</f>
        <v>10100</v>
      </c>
      <c r="H144" s="64"/>
      <c r="I144" s="64"/>
      <c r="J144" s="64"/>
      <c r="K144" s="16"/>
      <c r="L144" s="16"/>
      <c r="M144" s="64"/>
      <c r="N144" s="16"/>
      <c r="O144" s="16"/>
      <c r="P144" s="64"/>
      <c r="Q144" s="46"/>
      <c r="R144" s="39"/>
      <c r="S144" s="40"/>
      <c r="T144" s="16"/>
      <c r="U144" s="16"/>
      <c r="V144" s="16"/>
      <c r="W144" s="16"/>
      <c r="X144" s="16"/>
      <c r="Y144" s="19"/>
      <c r="Z144" s="16"/>
      <c r="AA144" s="16"/>
      <c r="AB144" s="16"/>
      <c r="AC144" s="16"/>
      <c r="AD144" s="16"/>
      <c r="AE144" s="16"/>
      <c r="AF144" s="16"/>
      <c r="AG144" s="15"/>
      <c r="AH144" s="15"/>
      <c r="AI144" s="15"/>
      <c r="AJ144" s="15"/>
      <c r="AK144" s="15"/>
      <c r="AL144" s="15"/>
      <c r="AM144" s="15"/>
      <c r="AN144" s="16"/>
      <c r="AO144" s="22"/>
      <c r="AQ144" s="10"/>
      <c r="AR144" s="11"/>
    </row>
    <row r="145" spans="1:46" s="2" customFormat="1" ht="17.25" customHeight="1" x14ac:dyDescent="0.25">
      <c r="A145" s="24"/>
      <c r="B145" s="201" t="s">
        <v>215</v>
      </c>
      <c r="C145" s="204"/>
      <c r="D145" s="63">
        <v>-4.9000000000000004</v>
      </c>
      <c r="E145" s="64"/>
      <c r="F145" s="74"/>
      <c r="G145" s="74"/>
      <c r="H145" s="64"/>
      <c r="I145" s="64"/>
      <c r="J145" s="64"/>
      <c r="K145" s="16"/>
      <c r="L145" s="16"/>
      <c r="M145" s="64"/>
      <c r="N145" s="16"/>
      <c r="O145" s="16"/>
      <c r="P145" s="64"/>
      <c r="Q145" s="46"/>
      <c r="R145" s="39"/>
      <c r="S145" s="40"/>
      <c r="T145" s="16"/>
      <c r="U145" s="16"/>
      <c r="V145" s="16"/>
      <c r="W145" s="16"/>
      <c r="X145" s="16"/>
      <c r="Y145" s="19"/>
      <c r="Z145" s="16"/>
      <c r="AA145" s="16"/>
      <c r="AB145" s="16"/>
      <c r="AC145" s="16"/>
      <c r="AD145" s="16"/>
      <c r="AE145" s="16"/>
      <c r="AF145" s="16"/>
      <c r="AG145" s="15"/>
      <c r="AH145" s="15"/>
      <c r="AI145" s="15"/>
      <c r="AJ145" s="15"/>
      <c r="AK145" s="15"/>
      <c r="AL145" s="15"/>
      <c r="AM145" s="15"/>
      <c r="AN145" s="16"/>
      <c r="AO145" s="22"/>
      <c r="AQ145" s="10"/>
      <c r="AR145" s="11"/>
    </row>
    <row r="146" spans="1:46" s="4" customFormat="1" ht="17.25" customHeight="1" x14ac:dyDescent="0.25">
      <c r="A146" s="23"/>
      <c r="B146" s="201" t="s">
        <v>13</v>
      </c>
      <c r="C146" s="203"/>
      <c r="D146" s="63"/>
      <c r="E146" s="64">
        <f>1800+1960+2000+2000+2000+2000+2000+2000+220</f>
        <v>15980</v>
      </c>
      <c r="F146" s="64"/>
      <c r="G146" s="64"/>
      <c r="H146" s="64">
        <f>-E146</f>
        <v>-15980</v>
      </c>
      <c r="I146" s="66"/>
      <c r="J146" s="64"/>
      <c r="K146" s="16"/>
      <c r="L146" s="92"/>
      <c r="M146" s="64"/>
      <c r="N146" s="16"/>
      <c r="O146" s="92"/>
      <c r="P146" s="64"/>
      <c r="Q146" s="40"/>
      <c r="R146" s="46">
        <f>-D146</f>
        <v>0</v>
      </c>
      <c r="S146" s="39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22"/>
      <c r="AP146" s="30"/>
    </row>
    <row r="147" spans="1:46" s="2" customFormat="1" ht="17.25" customHeight="1" x14ac:dyDescent="0.2">
      <c r="A147" s="23"/>
      <c r="B147" s="201" t="s">
        <v>182</v>
      </c>
      <c r="C147" s="203"/>
      <c r="D147" s="63"/>
      <c r="E147" s="64">
        <v>-1150.82</v>
      </c>
      <c r="F147" s="74"/>
      <c r="G147" s="74"/>
      <c r="H147" s="64"/>
      <c r="I147" s="64"/>
      <c r="J147" s="64"/>
      <c r="K147" s="16"/>
      <c r="L147" s="16"/>
      <c r="M147" s="64"/>
      <c r="N147" s="16"/>
      <c r="O147" s="16"/>
      <c r="P147" s="64"/>
      <c r="Q147" s="46"/>
      <c r="R147" s="39"/>
      <c r="S147" s="40"/>
      <c r="T147" s="16"/>
      <c r="U147" s="16"/>
      <c r="V147" s="16"/>
      <c r="W147" s="16"/>
      <c r="X147" s="16"/>
      <c r="Y147" s="19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35"/>
      <c r="AQ147" s="10"/>
      <c r="AR147" s="27"/>
    </row>
    <row r="148" spans="1:46" s="2" customFormat="1" ht="17.25" customHeight="1" x14ac:dyDescent="0.25">
      <c r="A148" s="24"/>
      <c r="B148" s="201" t="s">
        <v>181</v>
      </c>
      <c r="C148" s="203"/>
      <c r="D148" s="63"/>
      <c r="E148" s="64">
        <v>-14600</v>
      </c>
      <c r="F148" s="64"/>
      <c r="G148" s="64">
        <f>-E148</f>
        <v>14600</v>
      </c>
      <c r="H148" s="64"/>
      <c r="I148" s="64"/>
      <c r="J148" s="64"/>
      <c r="K148" s="16"/>
      <c r="L148" s="16"/>
      <c r="M148" s="64"/>
      <c r="N148" s="16"/>
      <c r="O148" s="16"/>
      <c r="P148" s="64"/>
      <c r="Q148" s="46"/>
      <c r="R148" s="40"/>
      <c r="S148" s="39"/>
      <c r="T148" s="16"/>
      <c r="U148" s="16"/>
      <c r="V148" s="16"/>
      <c r="W148" s="16"/>
      <c r="X148" s="16"/>
      <c r="Y148" s="19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22"/>
      <c r="AQ148" s="10"/>
      <c r="AR148" s="11"/>
    </row>
    <row r="149" spans="1:46" s="2" customFormat="1" ht="17.25" customHeight="1" x14ac:dyDescent="0.25">
      <c r="A149" s="24"/>
      <c r="B149" s="201" t="s">
        <v>181</v>
      </c>
      <c r="C149" s="203"/>
      <c r="D149" s="63"/>
      <c r="E149" s="64">
        <v>-110.28</v>
      </c>
      <c r="F149" s="64"/>
      <c r="G149" s="64">
        <f>-E149</f>
        <v>110.28</v>
      </c>
      <c r="H149" s="64"/>
      <c r="I149" s="64"/>
      <c r="J149" s="64"/>
      <c r="K149" s="16"/>
      <c r="L149" s="16"/>
      <c r="M149" s="64"/>
      <c r="N149" s="16"/>
      <c r="O149" s="16"/>
      <c r="P149" s="64"/>
      <c r="Q149" s="46"/>
      <c r="R149" s="40"/>
      <c r="S149" s="39"/>
      <c r="T149" s="16"/>
      <c r="U149" s="16"/>
      <c r="V149" s="16"/>
      <c r="W149" s="16"/>
      <c r="X149" s="16"/>
      <c r="Y149" s="19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22"/>
      <c r="AQ149" s="10"/>
      <c r="AR149" s="11"/>
    </row>
    <row r="150" spans="1:46" s="2" customFormat="1" ht="17.25" customHeight="1" x14ac:dyDescent="0.2">
      <c r="A150" s="23"/>
      <c r="B150" s="201" t="s">
        <v>183</v>
      </c>
      <c r="C150" s="203"/>
      <c r="D150" s="63"/>
      <c r="E150" s="64">
        <v>-188.82</v>
      </c>
      <c r="F150" s="74"/>
      <c r="G150" s="74"/>
      <c r="H150" s="64"/>
      <c r="I150" s="64"/>
      <c r="J150" s="64"/>
      <c r="K150" s="16"/>
      <c r="L150" s="16"/>
      <c r="M150" s="64"/>
      <c r="N150" s="16"/>
      <c r="O150" s="16"/>
      <c r="P150" s="64"/>
      <c r="Q150" s="46"/>
      <c r="R150" s="39"/>
      <c r="S150" s="40"/>
      <c r="T150" s="16"/>
      <c r="U150" s="16"/>
      <c r="V150" s="16"/>
      <c r="W150" s="16"/>
      <c r="X150" s="16"/>
      <c r="Y150" s="19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35"/>
      <c r="AQ150" s="10"/>
      <c r="AR150" s="27"/>
    </row>
    <row r="151" spans="1:46" s="2" customFormat="1" ht="17.25" customHeight="1" x14ac:dyDescent="0.2">
      <c r="A151" s="23"/>
      <c r="B151" s="201" t="s">
        <v>183</v>
      </c>
      <c r="C151" s="203"/>
      <c r="D151" s="63"/>
      <c r="E151" s="64">
        <v>-2298.5700000000002</v>
      </c>
      <c r="F151" s="74"/>
      <c r="G151" s="74"/>
      <c r="H151" s="64"/>
      <c r="I151" s="64"/>
      <c r="J151" s="64"/>
      <c r="K151" s="16"/>
      <c r="L151" s="16"/>
      <c r="M151" s="64"/>
      <c r="N151" s="16"/>
      <c r="O151" s="16"/>
      <c r="P151" s="64"/>
      <c r="Q151" s="46"/>
      <c r="R151" s="39"/>
      <c r="S151" s="40"/>
      <c r="T151" s="16"/>
      <c r="U151" s="16"/>
      <c r="V151" s="16"/>
      <c r="W151" s="16"/>
      <c r="X151" s="16"/>
      <c r="Y151" s="19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35"/>
      <c r="AQ151" s="10"/>
      <c r="AR151" s="27"/>
    </row>
    <row r="152" spans="1:46" s="2" customFormat="1" ht="17.25" customHeight="1" x14ac:dyDescent="0.2">
      <c r="A152" s="23"/>
      <c r="B152" s="201" t="s">
        <v>16</v>
      </c>
      <c r="C152" s="203"/>
      <c r="D152" s="64"/>
      <c r="E152" s="64"/>
      <c r="F152" s="134"/>
      <c r="G152" s="64">
        <v>-340.34</v>
      </c>
      <c r="H152" s="85"/>
      <c r="I152" s="85"/>
      <c r="J152" s="85"/>
      <c r="K152" s="28"/>
      <c r="L152" s="28"/>
      <c r="M152" s="85"/>
      <c r="N152" s="28"/>
      <c r="O152" s="28"/>
      <c r="P152" s="85"/>
      <c r="Q152" s="46"/>
      <c r="R152" s="40"/>
      <c r="S152" s="40"/>
      <c r="T152" s="16"/>
      <c r="U152" s="16"/>
      <c r="V152" s="16"/>
      <c r="W152" s="16"/>
      <c r="X152" s="16"/>
      <c r="Y152" s="19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35"/>
      <c r="AQ152" s="10"/>
      <c r="AR152" s="27"/>
    </row>
    <row r="153" spans="1:46" s="2" customFormat="1" ht="17.25" customHeight="1" x14ac:dyDescent="0.2">
      <c r="A153" s="23"/>
      <c r="B153" s="201" t="s">
        <v>17</v>
      </c>
      <c r="C153" s="203"/>
      <c r="D153" s="64"/>
      <c r="E153" s="64"/>
      <c r="F153" s="134"/>
      <c r="G153" s="64">
        <v>-168.3</v>
      </c>
      <c r="H153" s="85"/>
      <c r="I153" s="85"/>
      <c r="J153" s="85"/>
      <c r="K153" s="28"/>
      <c r="L153" s="28"/>
      <c r="M153" s="85"/>
      <c r="N153" s="28"/>
      <c r="O153" s="28"/>
      <c r="P153" s="85"/>
      <c r="Q153" s="46"/>
      <c r="R153" s="40"/>
      <c r="S153" s="40"/>
      <c r="T153" s="16"/>
      <c r="U153" s="16"/>
      <c r="V153" s="16"/>
      <c r="W153" s="16"/>
      <c r="X153" s="16"/>
      <c r="Y153" s="19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35"/>
      <c r="AQ153" s="10"/>
      <c r="AR153" s="27"/>
    </row>
    <row r="154" spans="1:46" s="2" customFormat="1" ht="17.25" customHeight="1" x14ac:dyDescent="0.2">
      <c r="A154" s="23"/>
      <c r="B154" s="201" t="s">
        <v>203</v>
      </c>
      <c r="C154" s="203"/>
      <c r="D154" s="64"/>
      <c r="E154" s="64"/>
      <c r="F154" s="134"/>
      <c r="G154" s="64">
        <v>-749.9</v>
      </c>
      <c r="H154" s="85"/>
      <c r="I154" s="85"/>
      <c r="J154" s="85"/>
      <c r="K154" s="28"/>
      <c r="L154" s="28"/>
      <c r="M154" s="85"/>
      <c r="N154" s="28"/>
      <c r="O154" s="28"/>
      <c r="P154" s="85"/>
      <c r="Q154" s="46"/>
      <c r="R154" s="40"/>
      <c r="S154" s="40"/>
      <c r="T154" s="16"/>
      <c r="U154" s="16"/>
      <c r="V154" s="16"/>
      <c r="W154" s="16"/>
      <c r="X154" s="16"/>
      <c r="Y154" s="19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35"/>
      <c r="AQ154" s="10"/>
      <c r="AR154" s="27"/>
    </row>
    <row r="155" spans="1:46" s="2" customFormat="1" ht="17.25" customHeight="1" x14ac:dyDescent="0.2">
      <c r="A155" s="23"/>
      <c r="B155" s="201" t="s">
        <v>202</v>
      </c>
      <c r="C155" s="203"/>
      <c r="D155" s="64"/>
      <c r="E155" s="64"/>
      <c r="F155" s="134"/>
      <c r="G155" s="64">
        <v>-654.5</v>
      </c>
      <c r="H155" s="85"/>
      <c r="I155" s="85"/>
      <c r="J155" s="85"/>
      <c r="K155" s="28"/>
      <c r="L155" s="28"/>
      <c r="M155" s="85"/>
      <c r="N155" s="28"/>
      <c r="O155" s="28"/>
      <c r="P155" s="85"/>
      <c r="Q155" s="46"/>
      <c r="R155" s="40"/>
      <c r="S155" s="40"/>
      <c r="T155" s="16"/>
      <c r="U155" s="16"/>
      <c r="V155" s="16"/>
      <c r="W155" s="16"/>
      <c r="X155" s="16"/>
      <c r="Y155" s="19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35"/>
      <c r="AQ155" s="10"/>
      <c r="AR155" s="27"/>
    </row>
    <row r="156" spans="1:46" s="2" customFormat="1" ht="17.25" customHeight="1" x14ac:dyDescent="0.2">
      <c r="A156" s="23"/>
      <c r="B156" s="211" t="s">
        <v>204</v>
      </c>
      <c r="C156" s="206"/>
      <c r="D156" s="64"/>
      <c r="E156" s="64"/>
      <c r="F156" s="64"/>
      <c r="G156" s="64">
        <v>-26625</v>
      </c>
      <c r="H156" s="64"/>
      <c r="I156" s="64"/>
      <c r="J156" s="64"/>
      <c r="K156" s="16"/>
      <c r="L156" s="16"/>
      <c r="M156" s="64"/>
      <c r="N156" s="16"/>
      <c r="O156" s="16"/>
      <c r="P156" s="64"/>
      <c r="Q156" s="46"/>
      <c r="R156" s="39"/>
      <c r="S156" s="40"/>
      <c r="T156" s="16"/>
      <c r="U156" s="16"/>
      <c r="V156" s="16">
        <f>-G156</f>
        <v>26625</v>
      </c>
      <c r="W156" s="16"/>
      <c r="X156" s="16"/>
      <c r="Y156" s="19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35"/>
      <c r="AQ156" s="10"/>
      <c r="AR156" s="27"/>
    </row>
    <row r="157" spans="1:46" s="2" customFormat="1" ht="17.25" customHeight="1" thickBot="1" x14ac:dyDescent="0.25">
      <c r="A157" s="24"/>
      <c r="B157" s="216"/>
      <c r="C157" s="217"/>
      <c r="D157" s="83"/>
      <c r="E157" s="81"/>
      <c r="F157" s="81"/>
      <c r="G157" s="81"/>
      <c r="H157" s="81"/>
      <c r="I157" s="81"/>
      <c r="J157" s="81"/>
      <c r="K157" s="37"/>
      <c r="L157" s="93"/>
      <c r="M157" s="81"/>
      <c r="N157" s="37"/>
      <c r="O157" s="93"/>
      <c r="P157" s="81"/>
      <c r="Q157" s="40"/>
      <c r="R157" s="40"/>
      <c r="S157" s="39"/>
      <c r="T157" s="16"/>
      <c r="U157" s="16"/>
      <c r="V157" s="16"/>
      <c r="W157" s="16"/>
      <c r="X157" s="16"/>
      <c r="Y157" s="19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41"/>
      <c r="AQ157" s="10"/>
      <c r="AR157" s="11"/>
    </row>
    <row r="158" spans="1:46" s="4" customFormat="1" ht="17.25" customHeight="1" x14ac:dyDescent="0.25">
      <c r="A158" s="23"/>
      <c r="B158" s="210" t="s">
        <v>94</v>
      </c>
      <c r="C158" s="203"/>
      <c r="D158" s="66"/>
      <c r="E158" s="66"/>
      <c r="F158" s="117"/>
      <c r="G158" s="117"/>
      <c r="H158" s="66"/>
      <c r="I158" s="66"/>
      <c r="J158" s="66">
        <f>-M158</f>
        <v>9009</v>
      </c>
      <c r="K158" s="58">
        <v>-1540</v>
      </c>
      <c r="L158" s="89">
        <v>5.85</v>
      </c>
      <c r="M158" s="73">
        <f>K158*L158</f>
        <v>-9009</v>
      </c>
      <c r="N158" s="58"/>
      <c r="O158" s="89"/>
      <c r="P158" s="73"/>
      <c r="Q158" s="39"/>
      <c r="R158" s="39"/>
      <c r="S158" s="8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35"/>
      <c r="AP158" s="12" t="e">
        <f>#REF!</f>
        <v>#REF!</v>
      </c>
    </row>
    <row r="159" spans="1:46" s="4" customFormat="1" ht="17.25" customHeight="1" x14ac:dyDescent="0.25">
      <c r="A159" s="23"/>
      <c r="B159" s="201" t="s">
        <v>95</v>
      </c>
      <c r="C159" s="202"/>
      <c r="D159" s="64"/>
      <c r="E159" s="64"/>
      <c r="F159" s="117"/>
      <c r="G159" s="117"/>
      <c r="H159" s="64"/>
      <c r="I159" s="64"/>
      <c r="J159" s="64">
        <f>-P159</f>
        <v>8712.5500000000011</v>
      </c>
      <c r="K159" s="57"/>
      <c r="L159" s="88"/>
      <c r="M159" s="62"/>
      <c r="N159" s="57">
        <v>-2263</v>
      </c>
      <c r="O159" s="88">
        <v>3.85</v>
      </c>
      <c r="P159" s="62">
        <f>N159*O159</f>
        <v>-8712.5500000000011</v>
      </c>
      <c r="Q159" s="39"/>
      <c r="R159" s="39"/>
      <c r="S159" s="8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35"/>
      <c r="AP159" s="12" t="e">
        <f>#REF!</f>
        <v>#REF!</v>
      </c>
    </row>
    <row r="160" spans="1:46" s="4" customFormat="1" ht="17.25" customHeight="1" x14ac:dyDescent="0.25">
      <c r="A160" s="23"/>
      <c r="B160" s="201" t="s">
        <v>97</v>
      </c>
      <c r="C160" s="203"/>
      <c r="D160" s="64"/>
      <c r="E160" s="64"/>
      <c r="F160" s="64"/>
      <c r="G160" s="64"/>
      <c r="H160" s="64">
        <f>-J160-I160</f>
        <v>5320.9100000000035</v>
      </c>
      <c r="I160" s="64">
        <v>12400.64</v>
      </c>
      <c r="J160" s="64">
        <f>-SUM(J158:J159)</f>
        <v>-17721.550000000003</v>
      </c>
      <c r="K160" s="57"/>
      <c r="L160" s="88"/>
      <c r="M160" s="62"/>
      <c r="N160" s="57"/>
      <c r="O160" s="88"/>
      <c r="P160" s="62"/>
      <c r="Q160" s="39"/>
      <c r="R160" s="39"/>
      <c r="S160" s="39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22"/>
      <c r="AO160" s="43">
        <f>A119</f>
        <v>0</v>
      </c>
      <c r="AP160" s="12" t="e">
        <f>#REF!</f>
        <v>#REF!</v>
      </c>
      <c r="AT160" s="2"/>
    </row>
    <row r="161" spans="1:46" s="4" customFormat="1" ht="17.25" customHeight="1" x14ac:dyDescent="0.25">
      <c r="A161" s="23"/>
      <c r="B161" s="201" t="s">
        <v>93</v>
      </c>
      <c r="C161" s="202"/>
      <c r="D161" s="64"/>
      <c r="E161" s="64"/>
      <c r="F161" s="64"/>
      <c r="G161" s="64"/>
      <c r="H161" s="64"/>
      <c r="I161" s="64"/>
      <c r="J161" s="64"/>
      <c r="K161" s="57">
        <v>28</v>
      </c>
      <c r="L161" s="88"/>
      <c r="M161" s="118">
        <f>(K164*L141)-M141-M158</f>
        <v>1282.8194132439239</v>
      </c>
      <c r="N161" s="57">
        <v>-62</v>
      </c>
      <c r="O161" s="88"/>
      <c r="P161" s="118">
        <f>(N164*O141)-P141-P159</f>
        <v>461.95562645420978</v>
      </c>
      <c r="Q161" s="39"/>
      <c r="R161" s="39"/>
      <c r="S161" s="39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22"/>
      <c r="AO161" s="43">
        <f>A135</f>
        <v>0</v>
      </c>
      <c r="AP161" s="12" t="e">
        <f>#REF!</f>
        <v>#REF!</v>
      </c>
      <c r="AT161" s="2"/>
    </row>
    <row r="162" spans="1:46" s="2" customFormat="1" ht="17.25" customHeight="1" x14ac:dyDescent="0.2">
      <c r="A162" s="24"/>
      <c r="B162" s="201"/>
      <c r="C162" s="204"/>
      <c r="D162" s="63"/>
      <c r="E162" s="64"/>
      <c r="F162" s="64"/>
      <c r="G162" s="64"/>
      <c r="H162" s="64"/>
      <c r="I162" s="64"/>
      <c r="J162" s="64"/>
      <c r="K162" s="16"/>
      <c r="L162" s="16"/>
      <c r="M162" s="64"/>
      <c r="N162" s="16"/>
      <c r="O162" s="16"/>
      <c r="P162" s="64"/>
      <c r="Q162" s="46"/>
      <c r="R162" s="46"/>
      <c r="S162" s="39"/>
      <c r="T162" s="16"/>
      <c r="U162" s="16"/>
      <c r="V162" s="16"/>
      <c r="W162" s="16"/>
      <c r="X162" s="16"/>
      <c r="Y162" s="19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43">
        <f>A142</f>
        <v>45940</v>
      </c>
      <c r="AQ162" s="10"/>
      <c r="AR162" s="11"/>
    </row>
    <row r="163" spans="1:46" s="2" customFormat="1" ht="17.25" customHeight="1" thickBot="1" x14ac:dyDescent="0.3">
      <c r="A163" s="56"/>
      <c r="B163" s="101" t="s">
        <v>102</v>
      </c>
      <c r="C163" s="102">
        <f>D164+E164+F164+G164+H164+I164+J164+M164+P164</f>
        <v>101396.59999999998</v>
      </c>
      <c r="D163" s="84"/>
      <c r="E163" s="85"/>
      <c r="F163" s="85"/>
      <c r="G163" s="85"/>
      <c r="H163" s="85"/>
      <c r="I163" s="85"/>
      <c r="J163" s="85"/>
      <c r="K163" s="28"/>
      <c r="L163" s="28"/>
      <c r="M163" s="85"/>
      <c r="N163" s="28"/>
      <c r="O163" s="28"/>
      <c r="P163" s="85"/>
      <c r="Q163" s="48"/>
      <c r="R163" s="48"/>
      <c r="S163" s="51"/>
      <c r="T163" s="28"/>
      <c r="U163" s="28"/>
      <c r="V163" s="28"/>
      <c r="W163" s="28"/>
      <c r="X163" s="28"/>
      <c r="Y163" s="36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42">
        <f>SUM($Q141:AN163)</f>
        <v>-417163.19000000006</v>
      </c>
      <c r="AQ163" s="10"/>
      <c r="AR163" s="11"/>
      <c r="AS163" s="2" t="s">
        <v>5</v>
      </c>
    </row>
    <row r="164" spans="1:46" s="2" customFormat="1" ht="17.25" customHeight="1" thickTop="1" thickBot="1" x14ac:dyDescent="0.3">
      <c r="A164" s="103"/>
      <c r="B164" s="104" t="s">
        <v>103</v>
      </c>
      <c r="C164" s="105">
        <f>AO164</f>
        <v>-315766.59000000008</v>
      </c>
      <c r="D164" s="106">
        <f t="shared" ref="D164:K164" si="18">SUM(D141:D163)</f>
        <v>16.109999999989306</v>
      </c>
      <c r="E164" s="107">
        <f t="shared" si="18"/>
        <v>-21591.450000000012</v>
      </c>
      <c r="F164" s="107">
        <f t="shared" si="18"/>
        <v>0</v>
      </c>
      <c r="G164" s="107">
        <f t="shared" si="18"/>
        <v>-12337.760000000006</v>
      </c>
      <c r="H164" s="107">
        <f t="shared" si="18"/>
        <v>15401.990000000013</v>
      </c>
      <c r="I164" s="107">
        <f t="shared" si="18"/>
        <v>12400.64</v>
      </c>
      <c r="J164" s="107">
        <f t="shared" si="18"/>
        <v>0</v>
      </c>
      <c r="K164" s="108">
        <f t="shared" si="18"/>
        <v>12804</v>
      </c>
      <c r="L164" s="109">
        <f>M164/K164</f>
        <v>5.1099078412995942</v>
      </c>
      <c r="M164" s="107">
        <f>ROUND(SUM(M141:M163),2)</f>
        <v>65427.26</v>
      </c>
      <c r="N164" s="108">
        <f>SUM(N141:N163)</f>
        <v>11858</v>
      </c>
      <c r="O164" s="109">
        <f>P164/N164</f>
        <v>3.5486431101366165</v>
      </c>
      <c r="P164" s="107">
        <f>ROUND(SUM(P141:P163),2)</f>
        <v>42079.81</v>
      </c>
      <c r="Q164" s="110">
        <f t="shared" ref="Q164:AN164" si="19">SUM(Q141:Q163)</f>
        <v>-324378.32</v>
      </c>
      <c r="R164" s="107">
        <f t="shared" si="19"/>
        <v>7865.57</v>
      </c>
      <c r="S164" s="107">
        <f t="shared" si="19"/>
        <v>0</v>
      </c>
      <c r="T164" s="107">
        <f t="shared" si="19"/>
        <v>-12858.760000000002</v>
      </c>
      <c r="U164" s="107">
        <f t="shared" si="19"/>
        <v>0</v>
      </c>
      <c r="V164" s="107">
        <f t="shared" si="19"/>
        <v>-87791.680000000022</v>
      </c>
      <c r="W164" s="107">
        <f t="shared" si="19"/>
        <v>0</v>
      </c>
      <c r="X164" s="107">
        <f t="shared" si="19"/>
        <v>0</v>
      </c>
      <c r="Y164" s="107">
        <f t="shared" si="19"/>
        <v>0</v>
      </c>
      <c r="Z164" s="107">
        <f t="shared" si="19"/>
        <v>0</v>
      </c>
      <c r="AA164" s="107">
        <f t="shared" si="19"/>
        <v>0</v>
      </c>
      <c r="AB164" s="107">
        <f t="shared" si="19"/>
        <v>0</v>
      </c>
      <c r="AC164" s="107">
        <f t="shared" si="19"/>
        <v>0</v>
      </c>
      <c r="AD164" s="107">
        <f t="shared" si="19"/>
        <v>0</v>
      </c>
      <c r="AE164" s="107">
        <f t="shared" si="19"/>
        <v>0</v>
      </c>
      <c r="AF164" s="107">
        <f t="shared" si="19"/>
        <v>0</v>
      </c>
      <c r="AG164" s="107">
        <f t="shared" si="19"/>
        <v>0</v>
      </c>
      <c r="AH164" s="107">
        <f t="shared" si="19"/>
        <v>0</v>
      </c>
      <c r="AI164" s="107">
        <f t="shared" si="19"/>
        <v>0</v>
      </c>
      <c r="AJ164" s="107">
        <f t="shared" si="19"/>
        <v>0</v>
      </c>
      <c r="AK164" s="107">
        <f t="shared" si="19"/>
        <v>0</v>
      </c>
      <c r="AL164" s="107">
        <f t="shared" si="19"/>
        <v>0</v>
      </c>
      <c r="AM164" s="107">
        <f t="shared" si="19"/>
        <v>0</v>
      </c>
      <c r="AN164" s="107">
        <f t="shared" si="19"/>
        <v>0</v>
      </c>
      <c r="AO164" s="111">
        <f>D164+E164+F164+G164+H164+I164+J164+M164+P164+SUM(Q164:AN164)</f>
        <v>-315766.59000000008</v>
      </c>
      <c r="AP164" s="4"/>
      <c r="AQ164" s="5"/>
      <c r="AR164" s="5"/>
      <c r="AS164" s="2" t="s">
        <v>6</v>
      </c>
    </row>
    <row r="165" spans="1:46" s="2" customFormat="1" ht="17.25" customHeight="1" thickTop="1" x14ac:dyDescent="0.25">
      <c r="A165" s="29">
        <f>A142+1</f>
        <v>45941</v>
      </c>
      <c r="B165" s="210" t="s">
        <v>64</v>
      </c>
      <c r="C165" s="203"/>
      <c r="D165" s="63">
        <v>12077.8</v>
      </c>
      <c r="E165" s="66"/>
      <c r="F165" s="66"/>
      <c r="G165" s="66"/>
      <c r="H165" s="66"/>
      <c r="I165" s="66">
        <f>-D165</f>
        <v>-12077.8</v>
      </c>
      <c r="J165" s="66"/>
      <c r="K165" s="18"/>
      <c r="L165" s="18"/>
      <c r="M165" s="66"/>
      <c r="N165" s="18"/>
      <c r="O165" s="18"/>
      <c r="P165" s="66"/>
      <c r="Q165" s="46"/>
      <c r="R165" s="46"/>
      <c r="S165" s="45"/>
      <c r="T165" s="18"/>
      <c r="U165" s="18"/>
      <c r="V165" s="18"/>
      <c r="W165" s="18"/>
      <c r="X165" s="18"/>
      <c r="Y165" s="14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31"/>
      <c r="AQ165" s="10"/>
      <c r="AR165" s="27"/>
    </row>
    <row r="166" spans="1:46" s="4" customFormat="1" ht="17.25" customHeight="1" x14ac:dyDescent="0.25">
      <c r="A166" s="29"/>
      <c r="B166" s="201" t="s">
        <v>96</v>
      </c>
      <c r="C166" s="202"/>
      <c r="D166" s="63"/>
      <c r="E166" s="64"/>
      <c r="F166" s="64"/>
      <c r="G166" s="64"/>
      <c r="H166" s="64"/>
      <c r="I166" s="117">
        <f>-I164-I165</f>
        <v>-322.84000000000015</v>
      </c>
      <c r="J166" s="64"/>
      <c r="K166" s="16"/>
      <c r="L166" s="92"/>
      <c r="M166" s="64"/>
      <c r="N166" s="16"/>
      <c r="O166" s="92"/>
      <c r="P166" s="64"/>
      <c r="Q166" s="40"/>
      <c r="R166" s="46"/>
      <c r="S166" s="39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22"/>
      <c r="AP166" s="30"/>
    </row>
    <row r="167" spans="1:46" s="2" customFormat="1" ht="17.25" customHeight="1" x14ac:dyDescent="0.25">
      <c r="A167" s="29"/>
      <c r="B167" s="201" t="s">
        <v>72</v>
      </c>
      <c r="C167" s="202"/>
      <c r="D167" s="63">
        <v>-12000</v>
      </c>
      <c r="E167" s="64"/>
      <c r="F167" s="64">
        <f>-D167</f>
        <v>12000</v>
      </c>
      <c r="G167" s="64"/>
      <c r="H167" s="64"/>
      <c r="I167" s="64"/>
      <c r="J167" s="64"/>
      <c r="K167" s="57"/>
      <c r="L167" s="88"/>
      <c r="M167" s="62"/>
      <c r="N167" s="57"/>
      <c r="O167" s="88"/>
      <c r="P167" s="62"/>
      <c r="Q167" s="47"/>
      <c r="R167" s="39"/>
      <c r="S167" s="39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22"/>
      <c r="AQ167" s="10" t="s">
        <v>4</v>
      </c>
      <c r="AR167" s="11" t="e">
        <v>#REF!</v>
      </c>
    </row>
    <row r="168" spans="1:46" s="2" customFormat="1" ht="17.25" customHeight="1" thickBot="1" x14ac:dyDescent="0.25">
      <c r="A168" s="24"/>
      <c r="B168" s="216"/>
      <c r="C168" s="242"/>
      <c r="D168" s="83"/>
      <c r="E168" s="81"/>
      <c r="F168" s="81"/>
      <c r="G168" s="81"/>
      <c r="H168" s="81"/>
      <c r="I168" s="81"/>
      <c r="J168" s="81"/>
      <c r="K168" s="37"/>
      <c r="L168" s="93"/>
      <c r="M168" s="81"/>
      <c r="N168" s="37"/>
      <c r="O168" s="93"/>
      <c r="P168" s="81"/>
      <c r="Q168" s="40"/>
      <c r="R168" s="40"/>
      <c r="S168" s="39"/>
      <c r="T168" s="16"/>
      <c r="U168" s="16"/>
      <c r="V168" s="16"/>
      <c r="W168" s="16"/>
      <c r="X168" s="16"/>
      <c r="Y168" s="19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41"/>
      <c r="AQ168" s="10"/>
      <c r="AR168" s="11"/>
    </row>
    <row r="169" spans="1:46" s="4" customFormat="1" ht="17.25" customHeight="1" x14ac:dyDescent="0.25">
      <c r="A169" s="23"/>
      <c r="B169" s="248" t="s">
        <v>94</v>
      </c>
      <c r="C169" s="249"/>
      <c r="D169" s="66"/>
      <c r="E169" s="66"/>
      <c r="F169" s="117"/>
      <c r="G169" s="117"/>
      <c r="H169" s="66"/>
      <c r="I169" s="66"/>
      <c r="J169" s="66">
        <f>-M169</f>
        <v>7821.45</v>
      </c>
      <c r="K169" s="58">
        <v>-1337</v>
      </c>
      <c r="L169" s="89">
        <v>5.85</v>
      </c>
      <c r="M169" s="73">
        <f>K169*L169</f>
        <v>-7821.45</v>
      </c>
      <c r="N169" s="58"/>
      <c r="O169" s="89"/>
      <c r="P169" s="73"/>
      <c r="Q169" s="39"/>
      <c r="R169" s="39"/>
      <c r="S169" s="8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35"/>
      <c r="AP169" s="12" t="e">
        <f>#REF!</f>
        <v>#REF!</v>
      </c>
    </row>
    <row r="170" spans="1:46" s="4" customFormat="1" ht="17.25" customHeight="1" x14ac:dyDescent="0.25">
      <c r="A170" s="23"/>
      <c r="B170" s="201" t="s">
        <v>95</v>
      </c>
      <c r="C170" s="202"/>
      <c r="D170" s="64"/>
      <c r="E170" s="64"/>
      <c r="F170" s="117"/>
      <c r="G170" s="117"/>
      <c r="H170" s="64"/>
      <c r="I170" s="64"/>
      <c r="J170" s="64">
        <f>-P170</f>
        <v>9678.9</v>
      </c>
      <c r="K170" s="57"/>
      <c r="L170" s="88"/>
      <c r="M170" s="62"/>
      <c r="N170" s="57">
        <v>-2514</v>
      </c>
      <c r="O170" s="88">
        <v>3.85</v>
      </c>
      <c r="P170" s="62">
        <f>N170*O170</f>
        <v>-9678.9</v>
      </c>
      <c r="Q170" s="39"/>
      <c r="R170" s="39"/>
      <c r="S170" s="8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35"/>
      <c r="AP170" s="12" t="e">
        <f>#REF!</f>
        <v>#REF!</v>
      </c>
    </row>
    <row r="171" spans="1:46" s="4" customFormat="1" ht="17.25" customHeight="1" x14ac:dyDescent="0.25">
      <c r="A171" s="23"/>
      <c r="B171" s="201" t="s">
        <v>97</v>
      </c>
      <c r="C171" s="202"/>
      <c r="D171" s="64"/>
      <c r="E171" s="64"/>
      <c r="F171" s="64"/>
      <c r="G171" s="64"/>
      <c r="H171" s="64">
        <f>-J171-I171</f>
        <v>4671.2599999999984</v>
      </c>
      <c r="I171" s="64">
        <v>12829.09</v>
      </c>
      <c r="J171" s="64">
        <f>-SUM(J169:J170)</f>
        <v>-17500.349999999999</v>
      </c>
      <c r="K171" s="57"/>
      <c r="L171" s="88"/>
      <c r="M171" s="62"/>
      <c r="N171" s="57"/>
      <c r="O171" s="88"/>
      <c r="P171" s="62"/>
      <c r="Q171" s="39"/>
      <c r="R171" s="39"/>
      <c r="S171" s="39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22"/>
      <c r="AO171" s="43">
        <f>A138</f>
        <v>0</v>
      </c>
      <c r="AP171" s="12" t="e">
        <f>#REF!</f>
        <v>#REF!</v>
      </c>
      <c r="AT171" s="2"/>
    </row>
    <row r="172" spans="1:46" s="4" customFormat="1" ht="17.25" customHeight="1" x14ac:dyDescent="0.25">
      <c r="A172" s="23"/>
      <c r="B172" s="201" t="s">
        <v>93</v>
      </c>
      <c r="C172" s="202"/>
      <c r="D172" s="64"/>
      <c r="E172" s="64"/>
      <c r="F172" s="64"/>
      <c r="G172" s="64"/>
      <c r="H172" s="64"/>
      <c r="I172" s="64"/>
      <c r="J172" s="64"/>
      <c r="K172" s="57">
        <v>-145</v>
      </c>
      <c r="L172" s="88"/>
      <c r="M172" s="118">
        <f>(K175*L164)-M164-M169</f>
        <v>248.56657919400004</v>
      </c>
      <c r="N172" s="57">
        <v>42</v>
      </c>
      <c r="O172" s="88"/>
      <c r="P172" s="118">
        <f>(N175*O164)-P164-P170</f>
        <v>906.65423174228454</v>
      </c>
      <c r="Q172" s="39"/>
      <c r="R172" s="39"/>
      <c r="S172" s="39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22"/>
      <c r="AO172" s="43">
        <f>A158</f>
        <v>0</v>
      </c>
      <c r="AP172" s="12" t="e">
        <f>#REF!</f>
        <v>#REF!</v>
      </c>
      <c r="AT172" s="2"/>
    </row>
    <row r="173" spans="1:46" s="2" customFormat="1" ht="17.25" customHeight="1" x14ac:dyDescent="0.2">
      <c r="A173" s="24"/>
      <c r="B173" s="201" t="s">
        <v>110</v>
      </c>
      <c r="C173" s="204"/>
      <c r="D173" s="63"/>
      <c r="E173" s="64"/>
      <c r="F173" s="64"/>
      <c r="G173" s="64"/>
      <c r="H173" s="64"/>
      <c r="I173" s="64"/>
      <c r="J173" s="64"/>
      <c r="K173" s="16"/>
      <c r="L173" s="16"/>
      <c r="M173" s="64"/>
      <c r="N173" s="16"/>
      <c r="O173" s="16"/>
      <c r="P173" s="64"/>
      <c r="Q173" s="46"/>
      <c r="R173" s="46">
        <f>-I173</f>
        <v>0</v>
      </c>
      <c r="S173" s="39"/>
      <c r="T173" s="16"/>
      <c r="U173" s="16"/>
      <c r="V173" s="16"/>
      <c r="W173" s="16"/>
      <c r="X173" s="16"/>
      <c r="Y173" s="19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43">
        <f>A165</f>
        <v>45941</v>
      </c>
      <c r="AQ173" s="10"/>
      <c r="AR173" s="11"/>
    </row>
    <row r="174" spans="1:46" s="2" customFormat="1" ht="17.25" customHeight="1" thickBot="1" x14ac:dyDescent="0.3">
      <c r="A174" s="56"/>
      <c r="B174" s="101" t="s">
        <v>102</v>
      </c>
      <c r="C174" s="102">
        <f>D175+E175+F175+G175+H175+I175+J175+M175+P175</f>
        <v>102228.97999999998</v>
      </c>
      <c r="D174" s="84"/>
      <c r="E174" s="85"/>
      <c r="F174" s="85"/>
      <c r="G174" s="85"/>
      <c r="H174" s="85"/>
      <c r="I174" s="85"/>
      <c r="J174" s="85"/>
      <c r="K174" s="28"/>
      <c r="L174" s="28"/>
      <c r="M174" s="85"/>
      <c r="N174" s="28"/>
      <c r="O174" s="28"/>
      <c r="P174" s="85"/>
      <c r="Q174" s="48"/>
      <c r="R174" s="48"/>
      <c r="S174" s="51"/>
      <c r="T174" s="28"/>
      <c r="U174" s="28"/>
      <c r="V174" s="28"/>
      <c r="W174" s="28"/>
      <c r="X174" s="28"/>
      <c r="Y174" s="36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42">
        <f>SUM($Q164:AN174)</f>
        <v>-417163.19000000006</v>
      </c>
      <c r="AQ174" s="10"/>
      <c r="AR174" s="11"/>
      <c r="AS174" s="2" t="s">
        <v>5</v>
      </c>
    </row>
    <row r="175" spans="1:46" s="2" customFormat="1" ht="17.25" customHeight="1" thickTop="1" thickBot="1" x14ac:dyDescent="0.3">
      <c r="A175" s="103"/>
      <c r="B175" s="104" t="s">
        <v>103</v>
      </c>
      <c r="C175" s="105">
        <f>AO175</f>
        <v>-314934.21000000008</v>
      </c>
      <c r="D175" s="106">
        <f t="shared" ref="D175:K175" si="20">SUM(D164:D174)</f>
        <v>93.909999999988941</v>
      </c>
      <c r="E175" s="107">
        <f t="shared" si="20"/>
        <v>-21591.450000000012</v>
      </c>
      <c r="F175" s="107">
        <f t="shared" si="20"/>
        <v>12000</v>
      </c>
      <c r="G175" s="107">
        <f t="shared" si="20"/>
        <v>-12337.760000000006</v>
      </c>
      <c r="H175" s="107">
        <f t="shared" si="20"/>
        <v>20073.250000000011</v>
      </c>
      <c r="I175" s="107">
        <f t="shared" si="20"/>
        <v>12829.09</v>
      </c>
      <c r="J175" s="107">
        <f t="shared" si="20"/>
        <v>0</v>
      </c>
      <c r="K175" s="108">
        <f t="shared" si="20"/>
        <v>11322</v>
      </c>
      <c r="L175" s="109">
        <f>M175/K175</f>
        <v>5.1099081434375551</v>
      </c>
      <c r="M175" s="107">
        <f>ROUND(SUM(M164:M174),2)</f>
        <v>57854.38</v>
      </c>
      <c r="N175" s="108">
        <f>SUM(N164:N174)</f>
        <v>9386</v>
      </c>
      <c r="O175" s="109">
        <f>P175/N175</f>
        <v>3.548642659279778</v>
      </c>
      <c r="P175" s="107">
        <f>ROUND(SUM(P164:P174),2)</f>
        <v>33307.56</v>
      </c>
      <c r="Q175" s="110">
        <f t="shared" ref="Q175:AN175" si="21">SUM(Q164:Q174)</f>
        <v>-324378.32</v>
      </c>
      <c r="R175" s="107">
        <f t="shared" si="21"/>
        <v>7865.57</v>
      </c>
      <c r="S175" s="107">
        <f t="shared" si="21"/>
        <v>0</v>
      </c>
      <c r="T175" s="107">
        <f t="shared" si="21"/>
        <v>-12858.760000000002</v>
      </c>
      <c r="U175" s="107">
        <f t="shared" si="21"/>
        <v>0</v>
      </c>
      <c r="V175" s="107">
        <f t="shared" si="21"/>
        <v>-87791.680000000022</v>
      </c>
      <c r="W175" s="107">
        <f t="shared" si="21"/>
        <v>0</v>
      </c>
      <c r="X175" s="107">
        <f t="shared" si="21"/>
        <v>0</v>
      </c>
      <c r="Y175" s="107">
        <f t="shared" si="21"/>
        <v>0</v>
      </c>
      <c r="Z175" s="107">
        <f t="shared" si="21"/>
        <v>0</v>
      </c>
      <c r="AA175" s="107">
        <f t="shared" si="21"/>
        <v>0</v>
      </c>
      <c r="AB175" s="107">
        <f t="shared" si="21"/>
        <v>0</v>
      </c>
      <c r="AC175" s="107">
        <f t="shared" si="21"/>
        <v>0</v>
      </c>
      <c r="AD175" s="107">
        <f t="shared" si="21"/>
        <v>0</v>
      </c>
      <c r="AE175" s="107">
        <f t="shared" si="21"/>
        <v>0</v>
      </c>
      <c r="AF175" s="107">
        <f t="shared" si="21"/>
        <v>0</v>
      </c>
      <c r="AG175" s="107">
        <f t="shared" si="21"/>
        <v>0</v>
      </c>
      <c r="AH175" s="107">
        <f t="shared" si="21"/>
        <v>0</v>
      </c>
      <c r="AI175" s="107">
        <f t="shared" si="21"/>
        <v>0</v>
      </c>
      <c r="AJ175" s="107">
        <f t="shared" si="21"/>
        <v>0</v>
      </c>
      <c r="AK175" s="107">
        <f t="shared" si="21"/>
        <v>0</v>
      </c>
      <c r="AL175" s="107">
        <f t="shared" si="21"/>
        <v>0</v>
      </c>
      <c r="AM175" s="107">
        <f t="shared" si="21"/>
        <v>0</v>
      </c>
      <c r="AN175" s="107">
        <f t="shared" si="21"/>
        <v>0</v>
      </c>
      <c r="AO175" s="111">
        <f>D175+E175+F175+G175+H175+I175+J175+M175+P175+SUM(Q175:AN175)</f>
        <v>-314934.21000000008</v>
      </c>
      <c r="AP175" s="4"/>
      <c r="AQ175" s="5"/>
      <c r="AR175" s="5"/>
      <c r="AS175" s="2" t="s">
        <v>6</v>
      </c>
    </row>
    <row r="176" spans="1:46" s="2" customFormat="1" ht="17.25" customHeight="1" thickTop="1" x14ac:dyDescent="0.25">
      <c r="A176" s="23">
        <f>A165+1</f>
        <v>45942</v>
      </c>
      <c r="B176" s="210" t="s">
        <v>64</v>
      </c>
      <c r="C176" s="203"/>
      <c r="D176" s="63">
        <v>12511.26</v>
      </c>
      <c r="E176" s="66"/>
      <c r="F176" s="66"/>
      <c r="G176" s="66"/>
      <c r="H176" s="66"/>
      <c r="I176" s="66">
        <f>-D176</f>
        <v>-12511.26</v>
      </c>
      <c r="J176" s="66"/>
      <c r="K176" s="18"/>
      <c r="L176" s="18"/>
      <c r="M176" s="66"/>
      <c r="N176" s="18"/>
      <c r="O176" s="18"/>
      <c r="P176" s="66"/>
      <c r="Q176" s="46"/>
      <c r="R176" s="46"/>
      <c r="S176" s="45"/>
      <c r="T176" s="18"/>
      <c r="U176" s="18"/>
      <c r="V176" s="18"/>
      <c r="W176" s="18"/>
      <c r="X176" s="18"/>
      <c r="Y176" s="14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31"/>
      <c r="AQ176" s="10"/>
      <c r="AR176" s="27"/>
    </row>
    <row r="177" spans="1:46" s="4" customFormat="1" ht="17.25" customHeight="1" x14ac:dyDescent="0.25">
      <c r="A177" s="23"/>
      <c r="B177" s="201" t="s">
        <v>96</v>
      </c>
      <c r="C177" s="202"/>
      <c r="D177" s="63"/>
      <c r="E177" s="64"/>
      <c r="F177" s="64"/>
      <c r="G177" s="64"/>
      <c r="H177" s="64"/>
      <c r="I177" s="117">
        <f>-I175-I176</f>
        <v>-317.82999999999993</v>
      </c>
      <c r="J177" s="64"/>
      <c r="K177" s="16"/>
      <c r="L177" s="92"/>
      <c r="M177" s="64"/>
      <c r="N177" s="16"/>
      <c r="O177" s="92"/>
      <c r="P177" s="64"/>
      <c r="Q177" s="40"/>
      <c r="R177" s="46"/>
      <c r="S177" s="39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22"/>
      <c r="AP177" s="30"/>
    </row>
    <row r="178" spans="1:46" s="2" customFormat="1" ht="17.25" customHeight="1" x14ac:dyDescent="0.25">
      <c r="A178" s="29"/>
      <c r="B178" s="201" t="s">
        <v>72</v>
      </c>
      <c r="C178" s="202"/>
      <c r="D178" s="63">
        <v>-12600</v>
      </c>
      <c r="E178" s="64"/>
      <c r="F178" s="64">
        <f>-D178</f>
        <v>12600</v>
      </c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47"/>
      <c r="R178" s="39"/>
      <c r="S178" s="39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22"/>
      <c r="AQ178" s="10" t="s">
        <v>4</v>
      </c>
      <c r="AR178" s="11" t="e">
        <v>#REF!</v>
      </c>
    </row>
    <row r="179" spans="1:46" s="2" customFormat="1" ht="17.25" customHeight="1" thickBot="1" x14ac:dyDescent="0.25">
      <c r="A179" s="24"/>
      <c r="B179" s="216"/>
      <c r="C179" s="217"/>
      <c r="D179" s="83"/>
      <c r="E179" s="81"/>
      <c r="F179" s="81"/>
      <c r="G179" s="81"/>
      <c r="H179" s="81"/>
      <c r="I179" s="81"/>
      <c r="J179" s="81"/>
      <c r="K179" s="37"/>
      <c r="L179" s="93"/>
      <c r="M179" s="81"/>
      <c r="N179" s="37"/>
      <c r="O179" s="93"/>
      <c r="P179" s="81"/>
      <c r="Q179" s="40"/>
      <c r="R179" s="40"/>
      <c r="S179" s="39"/>
      <c r="T179" s="16"/>
      <c r="U179" s="16"/>
      <c r="V179" s="16"/>
      <c r="W179" s="16"/>
      <c r="X179" s="16"/>
      <c r="Y179" s="19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41"/>
      <c r="AQ179" s="10"/>
      <c r="AR179" s="11"/>
    </row>
    <row r="180" spans="1:46" s="4" customFormat="1" ht="17.25" customHeight="1" x14ac:dyDescent="0.25">
      <c r="A180" s="23"/>
      <c r="B180" s="210" t="s">
        <v>94</v>
      </c>
      <c r="C180" s="203"/>
      <c r="D180" s="66"/>
      <c r="E180" s="66"/>
      <c r="F180" s="117"/>
      <c r="G180" s="117"/>
      <c r="H180" s="66"/>
      <c r="I180" s="66"/>
      <c r="J180" s="66">
        <f>-M180</f>
        <v>5709.5999999999995</v>
      </c>
      <c r="K180" s="58">
        <v>-976</v>
      </c>
      <c r="L180" s="89">
        <v>5.85</v>
      </c>
      <c r="M180" s="73">
        <f>K180*L180</f>
        <v>-5709.5999999999995</v>
      </c>
      <c r="N180" s="58"/>
      <c r="O180" s="89"/>
      <c r="P180" s="73"/>
      <c r="Q180" s="39"/>
      <c r="R180" s="39"/>
      <c r="S180" s="8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35"/>
      <c r="AP180" s="12" t="e">
        <f>#REF!</f>
        <v>#REF!</v>
      </c>
    </row>
    <row r="181" spans="1:46" s="4" customFormat="1" ht="17.25" customHeight="1" x14ac:dyDescent="0.25">
      <c r="A181" s="23"/>
      <c r="B181" s="201" t="s">
        <v>95</v>
      </c>
      <c r="C181" s="202"/>
      <c r="D181" s="64"/>
      <c r="E181" s="64"/>
      <c r="F181" s="117"/>
      <c r="G181" s="117"/>
      <c r="H181" s="64"/>
      <c r="I181" s="64"/>
      <c r="J181" s="64">
        <f>-P181</f>
        <v>8385.3000000000011</v>
      </c>
      <c r="K181" s="57"/>
      <c r="L181" s="88"/>
      <c r="M181" s="62"/>
      <c r="N181" s="57">
        <v>-2178</v>
      </c>
      <c r="O181" s="88">
        <v>3.85</v>
      </c>
      <c r="P181" s="62">
        <f>N181*O181</f>
        <v>-8385.3000000000011</v>
      </c>
      <c r="Q181" s="39"/>
      <c r="R181" s="39"/>
      <c r="S181" s="8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35"/>
      <c r="AP181" s="12" t="e">
        <f>#REF!</f>
        <v>#REF!</v>
      </c>
    </row>
    <row r="182" spans="1:46" s="4" customFormat="1" ht="17.25" customHeight="1" x14ac:dyDescent="0.25">
      <c r="A182" s="23"/>
      <c r="B182" s="201" t="s">
        <v>97</v>
      </c>
      <c r="C182" s="203"/>
      <c r="D182" s="64"/>
      <c r="E182" s="64"/>
      <c r="F182" s="64"/>
      <c r="G182" s="64"/>
      <c r="H182" s="64">
        <f>-J182-I182</f>
        <v>5326.0400000000009</v>
      </c>
      <c r="I182" s="64">
        <v>8768.86</v>
      </c>
      <c r="J182" s="64">
        <f>-SUM(J180:J181)</f>
        <v>-14094.900000000001</v>
      </c>
      <c r="K182" s="57"/>
      <c r="L182" s="88"/>
      <c r="M182" s="62"/>
      <c r="N182" s="57"/>
      <c r="O182" s="88"/>
      <c r="P182" s="62"/>
      <c r="Q182" s="39"/>
      <c r="R182" s="39"/>
      <c r="S182" s="39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22"/>
      <c r="AO182" s="43">
        <f>A161</f>
        <v>0</v>
      </c>
      <c r="AP182" s="12" t="e">
        <f>#REF!</f>
        <v>#REF!</v>
      </c>
      <c r="AT182" s="2"/>
    </row>
    <row r="183" spans="1:46" s="4" customFormat="1" ht="17.25" customHeight="1" x14ac:dyDescent="0.25">
      <c r="A183" s="23"/>
      <c r="B183" s="201" t="s">
        <v>93</v>
      </c>
      <c r="C183" s="202"/>
      <c r="D183" s="64"/>
      <c r="E183" s="64"/>
      <c r="F183" s="64"/>
      <c r="G183" s="64"/>
      <c r="H183" s="64"/>
      <c r="I183" s="64"/>
      <c r="J183" s="64"/>
      <c r="K183" s="57">
        <v>92</v>
      </c>
      <c r="L183" s="88"/>
      <c r="M183" s="118">
        <f>(K186*L175)-M175-M180</f>
        <v>1192.4412012012044</v>
      </c>
      <c r="N183" s="57">
        <v>-81</v>
      </c>
      <c r="O183" s="88"/>
      <c r="P183" s="118">
        <f>(N186*O175)-P175-P181</f>
        <v>368.91623268697913</v>
      </c>
      <c r="Q183" s="39"/>
      <c r="R183" s="39"/>
      <c r="S183" s="39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22"/>
      <c r="AO183" s="43">
        <f>A169</f>
        <v>0</v>
      </c>
      <c r="AP183" s="12" t="e">
        <f>#REF!</f>
        <v>#REF!</v>
      </c>
      <c r="AT183" s="2"/>
    </row>
    <row r="184" spans="1:46" s="2" customFormat="1" ht="17.25" customHeight="1" x14ac:dyDescent="0.2">
      <c r="A184" s="24"/>
      <c r="B184" s="201"/>
      <c r="C184" s="204"/>
      <c r="D184" s="63"/>
      <c r="E184" s="64"/>
      <c r="F184" s="64"/>
      <c r="G184" s="64"/>
      <c r="H184" s="64"/>
      <c r="I184" s="64"/>
      <c r="J184" s="64"/>
      <c r="K184" s="16"/>
      <c r="L184" s="16"/>
      <c r="M184" s="64"/>
      <c r="N184" s="16"/>
      <c r="O184" s="16"/>
      <c r="P184" s="64"/>
      <c r="Q184" s="46"/>
      <c r="R184" s="46"/>
      <c r="S184" s="39"/>
      <c r="T184" s="16"/>
      <c r="U184" s="16"/>
      <c r="V184" s="16"/>
      <c r="W184" s="16"/>
      <c r="X184" s="16"/>
      <c r="Y184" s="19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43">
        <f>A176</f>
        <v>45942</v>
      </c>
      <c r="AQ184" s="10"/>
      <c r="AR184" s="11"/>
    </row>
    <row r="185" spans="1:46" s="2" customFormat="1" ht="17.25" customHeight="1" thickBot="1" x14ac:dyDescent="0.3">
      <c r="A185" s="56"/>
      <c r="B185" s="101" t="s">
        <v>102</v>
      </c>
      <c r="C185" s="102">
        <f>D186+E186+F186+G186+H186+I186+J186+M186+P186</f>
        <v>103472.50999999998</v>
      </c>
      <c r="D185" s="84"/>
      <c r="E185" s="85"/>
      <c r="F185" s="85"/>
      <c r="G185" s="85"/>
      <c r="H185" s="85"/>
      <c r="I185" s="85"/>
      <c r="J185" s="85"/>
      <c r="K185" s="28"/>
      <c r="L185" s="28"/>
      <c r="M185" s="85"/>
      <c r="N185" s="28"/>
      <c r="O185" s="28"/>
      <c r="P185" s="85"/>
      <c r="Q185" s="48"/>
      <c r="R185" s="48"/>
      <c r="S185" s="51"/>
      <c r="T185" s="28"/>
      <c r="U185" s="28"/>
      <c r="V185" s="28"/>
      <c r="W185" s="28"/>
      <c r="X185" s="28"/>
      <c r="Y185" s="36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42">
        <f>SUM($Q175:AN185)</f>
        <v>-417163.19000000006</v>
      </c>
      <c r="AQ185" s="10"/>
      <c r="AR185" s="11"/>
      <c r="AS185" s="2" t="s">
        <v>5</v>
      </c>
    </row>
    <row r="186" spans="1:46" s="2" customFormat="1" ht="17.25" customHeight="1" thickTop="1" thickBot="1" x14ac:dyDescent="0.3">
      <c r="A186" s="103"/>
      <c r="B186" s="104" t="s">
        <v>103</v>
      </c>
      <c r="C186" s="105">
        <f>AO186</f>
        <v>-313690.68000000005</v>
      </c>
      <c r="D186" s="106">
        <f t="shared" ref="D186:K186" si="22">SUM(D175:D185)</f>
        <v>5.1699999999891588</v>
      </c>
      <c r="E186" s="107">
        <f t="shared" si="22"/>
        <v>-21591.450000000012</v>
      </c>
      <c r="F186" s="107">
        <f t="shared" si="22"/>
        <v>24600</v>
      </c>
      <c r="G186" s="107">
        <f t="shared" si="22"/>
        <v>-12337.760000000006</v>
      </c>
      <c r="H186" s="107">
        <f t="shared" si="22"/>
        <v>25399.290000000012</v>
      </c>
      <c r="I186" s="107">
        <f t="shared" si="22"/>
        <v>8768.86</v>
      </c>
      <c r="J186" s="107">
        <f t="shared" si="22"/>
        <v>0</v>
      </c>
      <c r="K186" s="108">
        <f t="shared" si="22"/>
        <v>10438</v>
      </c>
      <c r="L186" s="109">
        <f>M186/K186</f>
        <v>5.109908028357923</v>
      </c>
      <c r="M186" s="107">
        <f>ROUND(SUM(M175:M185),2)</f>
        <v>53337.22</v>
      </c>
      <c r="N186" s="108">
        <f>SUM(N175:N185)</f>
        <v>7127</v>
      </c>
      <c r="O186" s="109">
        <f>P186/N186</f>
        <v>3.548643187877087</v>
      </c>
      <c r="P186" s="107">
        <f>ROUND(SUM(P175:P185),2)</f>
        <v>25291.18</v>
      </c>
      <c r="Q186" s="110">
        <f t="shared" ref="Q186:AN186" si="23">SUM(Q175:Q185)</f>
        <v>-324378.32</v>
      </c>
      <c r="R186" s="107">
        <f t="shared" si="23"/>
        <v>7865.57</v>
      </c>
      <c r="S186" s="107">
        <f t="shared" si="23"/>
        <v>0</v>
      </c>
      <c r="T186" s="107">
        <f t="shared" si="23"/>
        <v>-12858.760000000002</v>
      </c>
      <c r="U186" s="107">
        <f t="shared" si="23"/>
        <v>0</v>
      </c>
      <c r="V186" s="107">
        <f t="shared" si="23"/>
        <v>-87791.680000000022</v>
      </c>
      <c r="W186" s="107">
        <f t="shared" si="23"/>
        <v>0</v>
      </c>
      <c r="X186" s="107">
        <f t="shared" si="23"/>
        <v>0</v>
      </c>
      <c r="Y186" s="107">
        <f t="shared" si="23"/>
        <v>0</v>
      </c>
      <c r="Z186" s="107">
        <f t="shared" si="23"/>
        <v>0</v>
      </c>
      <c r="AA186" s="107">
        <f t="shared" si="23"/>
        <v>0</v>
      </c>
      <c r="AB186" s="107">
        <f t="shared" si="23"/>
        <v>0</v>
      </c>
      <c r="AC186" s="107">
        <f t="shared" si="23"/>
        <v>0</v>
      </c>
      <c r="AD186" s="107">
        <f t="shared" si="23"/>
        <v>0</v>
      </c>
      <c r="AE186" s="107">
        <f t="shared" si="23"/>
        <v>0</v>
      </c>
      <c r="AF186" s="107">
        <f t="shared" si="23"/>
        <v>0</v>
      </c>
      <c r="AG186" s="107">
        <f t="shared" si="23"/>
        <v>0</v>
      </c>
      <c r="AH186" s="107">
        <f t="shared" si="23"/>
        <v>0</v>
      </c>
      <c r="AI186" s="107">
        <f t="shared" si="23"/>
        <v>0</v>
      </c>
      <c r="AJ186" s="107">
        <f t="shared" si="23"/>
        <v>0</v>
      </c>
      <c r="AK186" s="107">
        <f t="shared" si="23"/>
        <v>0</v>
      </c>
      <c r="AL186" s="107">
        <f t="shared" si="23"/>
        <v>0</v>
      </c>
      <c r="AM186" s="107">
        <f t="shared" si="23"/>
        <v>0</v>
      </c>
      <c r="AN186" s="107">
        <f t="shared" si="23"/>
        <v>0</v>
      </c>
      <c r="AO186" s="111">
        <f>D186+E186+F186+G186+H186+I186+J186+M186+P186+SUM(Q186:AN186)</f>
        <v>-313690.68000000005</v>
      </c>
      <c r="AP186" s="4"/>
      <c r="AQ186" s="5"/>
      <c r="AR186" s="5"/>
      <c r="AS186" s="2" t="s">
        <v>6</v>
      </c>
    </row>
    <row r="187" spans="1:46" s="2" customFormat="1" ht="17.25" customHeight="1" thickTop="1" x14ac:dyDescent="0.25">
      <c r="A187" s="23">
        <f>A176+1</f>
        <v>45943</v>
      </c>
      <c r="B187" s="210" t="s">
        <v>64</v>
      </c>
      <c r="C187" s="203"/>
      <c r="D187" s="63">
        <v>8556.16</v>
      </c>
      <c r="E187" s="66"/>
      <c r="F187" s="66"/>
      <c r="G187" s="66"/>
      <c r="H187" s="66"/>
      <c r="I187" s="66">
        <f>-D187</f>
        <v>-8556.16</v>
      </c>
      <c r="J187" s="66"/>
      <c r="K187" s="18"/>
      <c r="L187" s="18"/>
      <c r="M187" s="66"/>
      <c r="N187" s="18"/>
      <c r="O187" s="18"/>
      <c r="P187" s="66"/>
      <c r="Q187" s="46"/>
      <c r="R187" s="46"/>
      <c r="S187" s="45"/>
      <c r="T187" s="18"/>
      <c r="U187" s="18"/>
      <c r="V187" s="18"/>
      <c r="W187" s="18"/>
      <c r="X187" s="18"/>
      <c r="Y187" s="14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31"/>
      <c r="AQ187" s="10"/>
      <c r="AR187" s="27"/>
    </row>
    <row r="188" spans="1:46" s="4" customFormat="1" ht="17.25" customHeight="1" x14ac:dyDescent="0.25">
      <c r="A188" s="23"/>
      <c r="B188" s="201" t="s">
        <v>96</v>
      </c>
      <c r="C188" s="202"/>
      <c r="D188" s="63"/>
      <c r="E188" s="64"/>
      <c r="F188" s="64"/>
      <c r="G188" s="64"/>
      <c r="H188" s="64"/>
      <c r="I188" s="117">
        <f>-I186-I187</f>
        <v>-212.70000000000073</v>
      </c>
      <c r="J188" s="64"/>
      <c r="K188" s="16"/>
      <c r="L188" s="92"/>
      <c r="M188" s="64"/>
      <c r="N188" s="16"/>
      <c r="O188" s="92"/>
      <c r="P188" s="64"/>
      <c r="Q188" s="40"/>
      <c r="R188" s="46"/>
      <c r="S188" s="39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22"/>
      <c r="AP188" s="30"/>
    </row>
    <row r="189" spans="1:46" s="4" customFormat="1" ht="17.25" customHeight="1" x14ac:dyDescent="0.25">
      <c r="A189" s="23"/>
      <c r="B189" s="201" t="s">
        <v>13</v>
      </c>
      <c r="C189" s="203"/>
      <c r="D189" s="63"/>
      <c r="E189" s="64">
        <f>50+60</f>
        <v>110</v>
      </c>
      <c r="F189" s="64"/>
      <c r="G189" s="64"/>
      <c r="H189" s="64">
        <f>-E189</f>
        <v>-110</v>
      </c>
      <c r="I189" s="66"/>
      <c r="J189" s="64"/>
      <c r="K189" s="16"/>
      <c r="L189" s="92"/>
      <c r="M189" s="64"/>
      <c r="N189" s="16"/>
      <c r="O189" s="92"/>
      <c r="P189" s="64"/>
      <c r="Q189" s="40"/>
      <c r="R189" s="46">
        <f>-D189</f>
        <v>0</v>
      </c>
      <c r="S189" s="39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22"/>
      <c r="AP189" s="30"/>
    </row>
    <row r="190" spans="1:46" s="2" customFormat="1" ht="17.25" customHeight="1" x14ac:dyDescent="0.25">
      <c r="A190" s="24"/>
      <c r="B190" s="201" t="s">
        <v>14</v>
      </c>
      <c r="C190" s="203"/>
      <c r="D190" s="63"/>
      <c r="E190" s="64">
        <f>1430+2000+2000</f>
        <v>5430</v>
      </c>
      <c r="F190" s="64"/>
      <c r="G190" s="64"/>
      <c r="H190" s="64">
        <f>-E190</f>
        <v>-5430</v>
      </c>
      <c r="I190" s="64"/>
      <c r="J190" s="64"/>
      <c r="K190" s="16"/>
      <c r="L190" s="92"/>
      <c r="M190" s="64"/>
      <c r="N190" s="16"/>
      <c r="O190" s="92"/>
      <c r="P190" s="64"/>
      <c r="Q190" s="40"/>
      <c r="R190" s="40"/>
      <c r="S190" s="39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22"/>
      <c r="AQ190" s="10"/>
      <c r="AR190" s="11"/>
    </row>
    <row r="191" spans="1:46" s="2" customFormat="1" ht="17.25" customHeight="1" x14ac:dyDescent="0.2">
      <c r="A191" s="23"/>
      <c r="B191" s="201" t="s">
        <v>196</v>
      </c>
      <c r="C191" s="203"/>
      <c r="D191" s="63"/>
      <c r="E191" s="64">
        <v>-441.4</v>
      </c>
      <c r="F191" s="74"/>
      <c r="G191" s="74"/>
      <c r="H191" s="64"/>
      <c r="I191" s="64"/>
      <c r="J191" s="64"/>
      <c r="K191" s="16"/>
      <c r="L191" s="16"/>
      <c r="M191" s="64"/>
      <c r="N191" s="16"/>
      <c r="O191" s="16"/>
      <c r="P191" s="64"/>
      <c r="Q191" s="46"/>
      <c r="R191" s="39"/>
      <c r="S191" s="40"/>
      <c r="T191" s="16"/>
      <c r="U191" s="16"/>
      <c r="V191" s="16"/>
      <c r="W191" s="16"/>
      <c r="X191" s="16"/>
      <c r="Y191" s="19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35"/>
      <c r="AQ191" s="10"/>
      <c r="AR191" s="27"/>
    </row>
    <row r="192" spans="1:46" s="2" customFormat="1" ht="17.25" customHeight="1" x14ac:dyDescent="0.25">
      <c r="A192" s="29"/>
      <c r="B192" s="201" t="s">
        <v>72</v>
      </c>
      <c r="C192" s="202"/>
      <c r="D192" s="63">
        <f>-F192</f>
        <v>18100</v>
      </c>
      <c r="E192" s="64"/>
      <c r="F192" s="64">
        <v>-18100</v>
      </c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47"/>
      <c r="R192" s="39"/>
      <c r="S192" s="39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22"/>
      <c r="AQ192" s="10" t="s">
        <v>4</v>
      </c>
      <c r="AR192" s="11" t="e">
        <v>#REF!</v>
      </c>
    </row>
    <row r="193" spans="1:46" s="2" customFormat="1" ht="17.25" customHeight="1" x14ac:dyDescent="0.2">
      <c r="A193" s="23"/>
      <c r="B193" s="211" t="s">
        <v>207</v>
      </c>
      <c r="C193" s="206"/>
      <c r="D193" s="64">
        <v>-26625</v>
      </c>
      <c r="E193" s="64"/>
      <c r="F193" s="64"/>
      <c r="G193" s="74"/>
      <c r="H193" s="64"/>
      <c r="I193" s="64"/>
      <c r="J193" s="64"/>
      <c r="K193" s="16"/>
      <c r="L193" s="16"/>
      <c r="M193" s="64"/>
      <c r="N193" s="16"/>
      <c r="O193" s="16"/>
      <c r="P193" s="64"/>
      <c r="Q193" s="46"/>
      <c r="R193" s="39"/>
      <c r="S193" s="40"/>
      <c r="T193" s="16"/>
      <c r="U193" s="16"/>
      <c r="V193" s="16">
        <f>-D193</f>
        <v>26625</v>
      </c>
      <c r="W193" s="16"/>
      <c r="X193" s="16"/>
      <c r="Y193" s="19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35"/>
      <c r="AQ193" s="10"/>
      <c r="AR193" s="27"/>
    </row>
    <row r="194" spans="1:46" s="2" customFormat="1" ht="17.25" customHeight="1" thickBot="1" x14ac:dyDescent="0.25">
      <c r="A194" s="24"/>
      <c r="B194" s="216"/>
      <c r="C194" s="242"/>
      <c r="D194" s="83"/>
      <c r="E194" s="81"/>
      <c r="F194" s="81"/>
      <c r="G194" s="81"/>
      <c r="H194" s="81"/>
      <c r="I194" s="81"/>
      <c r="J194" s="81"/>
      <c r="K194" s="37"/>
      <c r="L194" s="93"/>
      <c r="M194" s="81"/>
      <c r="N194" s="37"/>
      <c r="O194" s="93"/>
      <c r="P194" s="81"/>
      <c r="Q194" s="40"/>
      <c r="R194" s="40"/>
      <c r="S194" s="39"/>
      <c r="T194" s="16"/>
      <c r="U194" s="16"/>
      <c r="V194" s="16"/>
      <c r="W194" s="16"/>
      <c r="X194" s="16"/>
      <c r="Y194" s="19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41"/>
      <c r="AQ194" s="10"/>
      <c r="AR194" s="11"/>
    </row>
    <row r="195" spans="1:46" s="4" customFormat="1" ht="17.25" customHeight="1" x14ac:dyDescent="0.25">
      <c r="A195" s="23"/>
      <c r="B195" s="210" t="s">
        <v>94</v>
      </c>
      <c r="C195" s="203"/>
      <c r="D195" s="66"/>
      <c r="E195" s="66"/>
      <c r="F195" s="135"/>
      <c r="G195" s="135"/>
      <c r="H195" s="66"/>
      <c r="I195" s="66"/>
      <c r="J195" s="66">
        <f>-M195</f>
        <v>7359.2999999999993</v>
      </c>
      <c r="K195" s="58">
        <v>-1258</v>
      </c>
      <c r="L195" s="89">
        <v>5.85</v>
      </c>
      <c r="M195" s="73">
        <f>K195*L195</f>
        <v>-7359.2999999999993</v>
      </c>
      <c r="N195" s="58"/>
      <c r="O195" s="89"/>
      <c r="P195" s="73"/>
      <c r="Q195" s="39"/>
      <c r="R195" s="39"/>
      <c r="S195" s="8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35"/>
      <c r="AP195" s="12" t="e">
        <f>#REF!</f>
        <v>#REF!</v>
      </c>
    </row>
    <row r="196" spans="1:46" s="4" customFormat="1" ht="17.25" customHeight="1" x14ac:dyDescent="0.25">
      <c r="A196" s="23"/>
      <c r="B196" s="201" t="s">
        <v>95</v>
      </c>
      <c r="C196" s="202"/>
      <c r="D196" s="64"/>
      <c r="E196" s="64"/>
      <c r="F196" s="117"/>
      <c r="G196" s="117"/>
      <c r="H196" s="64"/>
      <c r="I196" s="64"/>
      <c r="J196" s="64">
        <f>-P196</f>
        <v>7137.9000000000005</v>
      </c>
      <c r="K196" s="57"/>
      <c r="L196" s="88"/>
      <c r="M196" s="62"/>
      <c r="N196" s="57">
        <v>-1854</v>
      </c>
      <c r="O196" s="88">
        <v>3.85</v>
      </c>
      <c r="P196" s="62">
        <f>N196*O196</f>
        <v>-7137.9000000000005</v>
      </c>
      <c r="Q196" s="39"/>
      <c r="R196" s="39"/>
      <c r="S196" s="8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35"/>
      <c r="AP196" s="12" t="e">
        <f>#REF!</f>
        <v>#REF!</v>
      </c>
    </row>
    <row r="197" spans="1:46" s="4" customFormat="1" ht="17.25" customHeight="1" x14ac:dyDescent="0.25">
      <c r="A197" s="23"/>
      <c r="B197" s="201" t="s">
        <v>97</v>
      </c>
      <c r="C197" s="203"/>
      <c r="D197" s="64"/>
      <c r="E197" s="64"/>
      <c r="F197" s="64"/>
      <c r="G197" s="64"/>
      <c r="H197" s="64">
        <f>-J197-I197</f>
        <v>5562.2400000000016</v>
      </c>
      <c r="I197" s="64">
        <v>8934.9599999999991</v>
      </c>
      <c r="J197" s="64">
        <f>-SUM(J195:J196)</f>
        <v>-14497.2</v>
      </c>
      <c r="K197" s="57"/>
      <c r="L197" s="88"/>
      <c r="M197" s="62"/>
      <c r="N197" s="57"/>
      <c r="O197" s="88"/>
      <c r="P197" s="62"/>
      <c r="Q197" s="39"/>
      <c r="R197" s="39"/>
      <c r="S197" s="39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22"/>
      <c r="AO197" s="43">
        <f>A172</f>
        <v>0</v>
      </c>
      <c r="AP197" s="12" t="e">
        <f>#REF!</f>
        <v>#REF!</v>
      </c>
      <c r="AT197" s="2"/>
    </row>
    <row r="198" spans="1:46" s="4" customFormat="1" ht="17.25" customHeight="1" x14ac:dyDescent="0.25">
      <c r="A198" s="23"/>
      <c r="B198" s="201" t="s">
        <v>93</v>
      </c>
      <c r="C198" s="202"/>
      <c r="D198" s="64"/>
      <c r="E198" s="64"/>
      <c r="F198" s="64"/>
      <c r="G198" s="64"/>
      <c r="H198" s="64"/>
      <c r="I198" s="64"/>
      <c r="J198" s="64"/>
      <c r="K198" s="57">
        <v>16</v>
      </c>
      <c r="L198" s="88"/>
      <c r="M198" s="118">
        <f>(K201*L186)-M186-M195</f>
        <v>1012.7942287794613</v>
      </c>
      <c r="N198" s="57">
        <v>86</v>
      </c>
      <c r="O198" s="88"/>
      <c r="P198" s="118">
        <f>(N201*O186)-P186-P196</f>
        <v>863.89884383330991</v>
      </c>
      <c r="Q198" s="39"/>
      <c r="R198" s="39"/>
      <c r="S198" s="39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22"/>
      <c r="AO198" s="43">
        <f>A180</f>
        <v>0</v>
      </c>
      <c r="AP198" s="12" t="e">
        <f>#REF!</f>
        <v>#REF!</v>
      </c>
      <c r="AT198" s="2"/>
    </row>
    <row r="199" spans="1:46" s="2" customFormat="1" ht="17.25" customHeight="1" x14ac:dyDescent="0.2">
      <c r="A199" s="24"/>
      <c r="B199" s="201"/>
      <c r="C199" s="204"/>
      <c r="D199" s="63"/>
      <c r="E199" s="64"/>
      <c r="F199" s="64"/>
      <c r="G199" s="64"/>
      <c r="H199" s="64"/>
      <c r="I199" s="64"/>
      <c r="J199" s="64"/>
      <c r="K199" s="16"/>
      <c r="L199" s="16"/>
      <c r="M199" s="64"/>
      <c r="N199" s="16"/>
      <c r="O199" s="16"/>
      <c r="P199" s="64"/>
      <c r="Q199" s="46"/>
      <c r="R199" s="46"/>
      <c r="S199" s="39"/>
      <c r="T199" s="16"/>
      <c r="U199" s="16"/>
      <c r="V199" s="16"/>
      <c r="W199" s="16"/>
      <c r="X199" s="16"/>
      <c r="Y199" s="19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43">
        <f>A187</f>
        <v>45943</v>
      </c>
      <c r="AQ199" s="10"/>
      <c r="AR199" s="11"/>
    </row>
    <row r="200" spans="1:46" s="2" customFormat="1" ht="17.25" customHeight="1" thickBot="1" x14ac:dyDescent="0.3">
      <c r="A200" s="56"/>
      <c r="B200" s="101" t="s">
        <v>102</v>
      </c>
      <c r="C200" s="102">
        <f>D201+E201+F201+G201+H201+I201+J201+M201+P201</f>
        <v>78070.099999999977</v>
      </c>
      <c r="D200" s="84"/>
      <c r="E200" s="85"/>
      <c r="F200" s="85"/>
      <c r="G200" s="85"/>
      <c r="H200" s="85"/>
      <c r="I200" s="85"/>
      <c r="J200" s="85"/>
      <c r="K200" s="28"/>
      <c r="L200" s="28"/>
      <c r="M200" s="85"/>
      <c r="N200" s="28"/>
      <c r="O200" s="28"/>
      <c r="P200" s="85"/>
      <c r="Q200" s="48"/>
      <c r="R200" s="48"/>
      <c r="S200" s="51"/>
      <c r="T200" s="28"/>
      <c r="U200" s="28"/>
      <c r="V200" s="28"/>
      <c r="W200" s="28"/>
      <c r="X200" s="28"/>
      <c r="Y200" s="36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42">
        <f>SUM($Q186:AN200)</f>
        <v>-390538.19000000006</v>
      </c>
      <c r="AQ200" s="10"/>
      <c r="AR200" s="11"/>
      <c r="AS200" s="2" t="s">
        <v>5</v>
      </c>
    </row>
    <row r="201" spans="1:46" s="2" customFormat="1" ht="17.25" customHeight="1" thickTop="1" thickBot="1" x14ac:dyDescent="0.3">
      <c r="A201" s="103"/>
      <c r="B201" s="104" t="s">
        <v>103</v>
      </c>
      <c r="C201" s="105">
        <f>AO201</f>
        <v>-312468.09000000008</v>
      </c>
      <c r="D201" s="106">
        <f t="shared" ref="D201:K201" si="24">SUM(D186:D200)</f>
        <v>36.329999999987194</v>
      </c>
      <c r="E201" s="107">
        <f t="shared" si="24"/>
        <v>-16492.850000000013</v>
      </c>
      <c r="F201" s="107">
        <f t="shared" si="24"/>
        <v>6500</v>
      </c>
      <c r="G201" s="107">
        <f t="shared" si="24"/>
        <v>-12337.760000000006</v>
      </c>
      <c r="H201" s="107">
        <f t="shared" si="24"/>
        <v>25421.530000000013</v>
      </c>
      <c r="I201" s="107">
        <f t="shared" si="24"/>
        <v>8934.9599999999991</v>
      </c>
      <c r="J201" s="107">
        <f t="shared" si="24"/>
        <v>0</v>
      </c>
      <c r="K201" s="108">
        <f t="shared" si="24"/>
        <v>9196</v>
      </c>
      <c r="L201" s="109">
        <f>M201/K201</f>
        <v>5.1099075685080466</v>
      </c>
      <c r="M201" s="107">
        <f>ROUND(SUM(M186:M200),2)</f>
        <v>46990.71</v>
      </c>
      <c r="N201" s="108">
        <f>SUM(N186:N200)</f>
        <v>5359</v>
      </c>
      <c r="O201" s="109">
        <f>P201/N201</f>
        <v>3.5486434036200785</v>
      </c>
      <c r="P201" s="107">
        <f>ROUND(SUM(P186:P200),2)</f>
        <v>19017.18</v>
      </c>
      <c r="Q201" s="110">
        <f t="shared" ref="Q201:AN201" si="25">SUM(Q186:Q200)</f>
        <v>-324378.32</v>
      </c>
      <c r="R201" s="107">
        <f t="shared" si="25"/>
        <v>7865.57</v>
      </c>
      <c r="S201" s="107">
        <f t="shared" si="25"/>
        <v>0</v>
      </c>
      <c r="T201" s="107">
        <f t="shared" si="25"/>
        <v>-12858.760000000002</v>
      </c>
      <c r="U201" s="107">
        <f t="shared" si="25"/>
        <v>0</v>
      </c>
      <c r="V201" s="107">
        <f t="shared" si="25"/>
        <v>-61166.680000000022</v>
      </c>
      <c r="W201" s="107">
        <f t="shared" si="25"/>
        <v>0</v>
      </c>
      <c r="X201" s="107">
        <f t="shared" si="25"/>
        <v>0</v>
      </c>
      <c r="Y201" s="107">
        <f t="shared" si="25"/>
        <v>0</v>
      </c>
      <c r="Z201" s="107">
        <f t="shared" si="25"/>
        <v>0</v>
      </c>
      <c r="AA201" s="107">
        <f t="shared" si="25"/>
        <v>0</v>
      </c>
      <c r="AB201" s="107">
        <f t="shared" si="25"/>
        <v>0</v>
      </c>
      <c r="AC201" s="107">
        <f t="shared" si="25"/>
        <v>0</v>
      </c>
      <c r="AD201" s="107">
        <f t="shared" si="25"/>
        <v>0</v>
      </c>
      <c r="AE201" s="107">
        <f t="shared" si="25"/>
        <v>0</v>
      </c>
      <c r="AF201" s="107">
        <f t="shared" si="25"/>
        <v>0</v>
      </c>
      <c r="AG201" s="107">
        <f t="shared" si="25"/>
        <v>0</v>
      </c>
      <c r="AH201" s="107">
        <f t="shared" si="25"/>
        <v>0</v>
      </c>
      <c r="AI201" s="107">
        <f t="shared" si="25"/>
        <v>0</v>
      </c>
      <c r="AJ201" s="107">
        <f t="shared" si="25"/>
        <v>0</v>
      </c>
      <c r="AK201" s="107">
        <f t="shared" si="25"/>
        <v>0</v>
      </c>
      <c r="AL201" s="107">
        <f t="shared" si="25"/>
        <v>0</v>
      </c>
      <c r="AM201" s="107">
        <f t="shared" si="25"/>
        <v>0</v>
      </c>
      <c r="AN201" s="107">
        <f t="shared" si="25"/>
        <v>0</v>
      </c>
      <c r="AO201" s="111">
        <f>D201+E201+F201+G201+H201+I201+J201+M201+P201+SUM(Q201:AN201)</f>
        <v>-312468.09000000008</v>
      </c>
      <c r="AP201" s="4"/>
      <c r="AQ201" s="5"/>
      <c r="AR201" s="5"/>
      <c r="AS201" s="2" t="s">
        <v>6</v>
      </c>
    </row>
    <row r="202" spans="1:46" s="2" customFormat="1" ht="17.25" customHeight="1" thickTop="1" x14ac:dyDescent="0.25">
      <c r="A202" s="23">
        <f>A187+1</f>
        <v>45944</v>
      </c>
      <c r="B202" s="210" t="s">
        <v>64</v>
      </c>
      <c r="C202" s="203"/>
      <c r="D202" s="63">
        <v>8722.15</v>
      </c>
      <c r="E202" s="66"/>
      <c r="F202" s="66"/>
      <c r="G202" s="66"/>
      <c r="H202" s="66"/>
      <c r="I202" s="66">
        <f>-D202</f>
        <v>-8722.15</v>
      </c>
      <c r="J202" s="66"/>
      <c r="K202" s="18"/>
      <c r="L202" s="18"/>
      <c r="M202" s="66"/>
      <c r="N202" s="18"/>
      <c r="O202" s="18"/>
      <c r="P202" s="66"/>
      <c r="Q202" s="46"/>
      <c r="R202" s="46"/>
      <c r="S202" s="45"/>
      <c r="T202" s="18"/>
      <c r="U202" s="18"/>
      <c r="V202" s="18"/>
      <c r="W202" s="18"/>
      <c r="X202" s="18"/>
      <c r="Y202" s="14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31"/>
      <c r="AQ202" s="10"/>
      <c r="AR202" s="27"/>
    </row>
    <row r="203" spans="1:46" s="4" customFormat="1" ht="17.25" customHeight="1" x14ac:dyDescent="0.25">
      <c r="A203" s="23"/>
      <c r="B203" s="201" t="s">
        <v>96</v>
      </c>
      <c r="C203" s="202"/>
      <c r="D203" s="63"/>
      <c r="E203" s="64"/>
      <c r="F203" s="64"/>
      <c r="G203" s="64"/>
      <c r="H203" s="64"/>
      <c r="I203" s="117">
        <f>-I201-I202</f>
        <v>-212.80999999999949</v>
      </c>
      <c r="J203" s="64"/>
      <c r="K203" s="16"/>
      <c r="L203" s="92"/>
      <c r="M203" s="64"/>
      <c r="N203" s="16"/>
      <c r="O203" s="92"/>
      <c r="P203" s="64"/>
      <c r="Q203" s="40"/>
      <c r="R203" s="46"/>
      <c r="S203" s="39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22"/>
      <c r="AP203" s="30"/>
    </row>
    <row r="204" spans="1:46" s="2" customFormat="1" ht="17.25" customHeight="1" x14ac:dyDescent="0.25">
      <c r="A204" s="24"/>
      <c r="B204" s="201" t="s">
        <v>181</v>
      </c>
      <c r="C204" s="203"/>
      <c r="D204" s="63"/>
      <c r="E204" s="64">
        <v>-13000</v>
      </c>
      <c r="F204" s="64"/>
      <c r="G204" s="64">
        <f>-E204</f>
        <v>13000</v>
      </c>
      <c r="H204" s="64"/>
      <c r="I204" s="64"/>
      <c r="J204" s="64"/>
      <c r="K204" s="16"/>
      <c r="L204" s="16"/>
      <c r="M204" s="64"/>
      <c r="N204" s="16"/>
      <c r="O204" s="16"/>
      <c r="P204" s="64"/>
      <c r="Q204" s="46"/>
      <c r="R204" s="40"/>
      <c r="S204" s="39"/>
      <c r="T204" s="16"/>
      <c r="U204" s="16"/>
      <c r="V204" s="16"/>
      <c r="W204" s="16"/>
      <c r="X204" s="16"/>
      <c r="Y204" s="19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22"/>
      <c r="AQ204" s="10"/>
      <c r="AR204" s="11"/>
    </row>
    <row r="205" spans="1:46" s="2" customFormat="1" ht="17.25" customHeight="1" x14ac:dyDescent="0.25">
      <c r="A205" s="24"/>
      <c r="B205" s="201" t="s">
        <v>181</v>
      </c>
      <c r="C205" s="203"/>
      <c r="D205" s="63">
        <v>-15250</v>
      </c>
      <c r="E205" s="64"/>
      <c r="F205" s="64"/>
      <c r="G205" s="64">
        <f>-D205</f>
        <v>15250</v>
      </c>
      <c r="H205" s="64"/>
      <c r="I205" s="64"/>
      <c r="J205" s="64"/>
      <c r="K205" s="16"/>
      <c r="L205" s="16"/>
      <c r="M205" s="64"/>
      <c r="N205" s="16"/>
      <c r="O205" s="16"/>
      <c r="P205" s="64"/>
      <c r="Q205" s="46"/>
      <c r="R205" s="40"/>
      <c r="S205" s="39"/>
      <c r="T205" s="16"/>
      <c r="U205" s="16"/>
      <c r="V205" s="16"/>
      <c r="W205" s="16"/>
      <c r="X205" s="16"/>
      <c r="Y205" s="19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22"/>
      <c r="AQ205" s="10"/>
      <c r="AR205" s="11"/>
    </row>
    <row r="206" spans="1:46" s="2" customFormat="1" ht="17.25" customHeight="1" x14ac:dyDescent="0.25">
      <c r="A206" s="29"/>
      <c r="B206" s="201" t="s">
        <v>72</v>
      </c>
      <c r="C206" s="202"/>
      <c r="D206" s="63">
        <f>-F206</f>
        <v>6500</v>
      </c>
      <c r="E206" s="64"/>
      <c r="F206" s="64">
        <v>-6500</v>
      </c>
      <c r="G206" s="64"/>
      <c r="H206" s="64"/>
      <c r="I206" s="64"/>
      <c r="J206" s="64"/>
      <c r="K206" s="57"/>
      <c r="L206" s="88"/>
      <c r="M206" s="62"/>
      <c r="N206" s="57"/>
      <c r="O206" s="88"/>
      <c r="P206" s="62"/>
      <c r="Q206" s="47"/>
      <c r="R206" s="39"/>
      <c r="S206" s="39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22"/>
      <c r="AQ206" s="10" t="s">
        <v>4</v>
      </c>
      <c r="AR206" s="11" t="e">
        <v>#REF!</v>
      </c>
    </row>
    <row r="207" spans="1:46" s="2" customFormat="1" ht="17.25" customHeight="1" x14ac:dyDescent="0.2">
      <c r="A207" s="23"/>
      <c r="B207" s="201" t="s">
        <v>210</v>
      </c>
      <c r="C207" s="203"/>
      <c r="D207" s="64">
        <v>-4.9000000000000004</v>
      </c>
      <c r="E207" s="64"/>
      <c r="F207" s="74"/>
      <c r="G207" s="74"/>
      <c r="H207" s="64"/>
      <c r="I207" s="64"/>
      <c r="J207" s="64"/>
      <c r="K207" s="16"/>
      <c r="L207" s="16"/>
      <c r="M207" s="64"/>
      <c r="N207" s="16"/>
      <c r="O207" s="16"/>
      <c r="P207" s="64"/>
      <c r="Q207" s="46"/>
      <c r="R207" s="39"/>
      <c r="S207" s="40"/>
      <c r="T207" s="16"/>
      <c r="U207" s="16"/>
      <c r="V207" s="16"/>
      <c r="W207" s="16"/>
      <c r="X207" s="16"/>
      <c r="Y207" s="19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35"/>
      <c r="AQ207" s="10"/>
      <c r="AR207" s="27"/>
    </row>
    <row r="208" spans="1:46" s="2" customFormat="1" ht="17.25" customHeight="1" thickBot="1" x14ac:dyDescent="0.25">
      <c r="A208" s="24"/>
      <c r="B208" s="216"/>
      <c r="C208" s="217"/>
      <c r="D208" s="83"/>
      <c r="E208" s="81"/>
      <c r="F208" s="81"/>
      <c r="G208" s="81"/>
      <c r="H208" s="81"/>
      <c r="I208" s="81"/>
      <c r="J208" s="81"/>
      <c r="K208" s="37"/>
      <c r="L208" s="93"/>
      <c r="M208" s="81"/>
      <c r="N208" s="37"/>
      <c r="O208" s="93"/>
      <c r="P208" s="81"/>
      <c r="Q208" s="40"/>
      <c r="R208" s="40"/>
      <c r="S208" s="39"/>
      <c r="T208" s="16"/>
      <c r="U208" s="16"/>
      <c r="V208" s="16"/>
      <c r="W208" s="16"/>
      <c r="X208" s="16"/>
      <c r="Y208" s="19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41"/>
      <c r="AQ208" s="10"/>
      <c r="AR208" s="11"/>
    </row>
    <row r="209" spans="1:46" s="4" customFormat="1" ht="17.25" customHeight="1" x14ac:dyDescent="0.25">
      <c r="A209" s="23"/>
      <c r="B209" s="210" t="s">
        <v>94</v>
      </c>
      <c r="C209" s="203"/>
      <c r="D209" s="66"/>
      <c r="E209" s="66"/>
      <c r="F209" s="117"/>
      <c r="G209" s="117"/>
      <c r="H209" s="66"/>
      <c r="I209" s="66"/>
      <c r="J209" s="66">
        <f>-M209</f>
        <v>6663.15</v>
      </c>
      <c r="K209" s="58">
        <v>-1139</v>
      </c>
      <c r="L209" s="89">
        <v>5.85</v>
      </c>
      <c r="M209" s="73">
        <f>K209*L209</f>
        <v>-6663.15</v>
      </c>
      <c r="N209" s="58"/>
      <c r="O209" s="89"/>
      <c r="P209" s="73"/>
      <c r="Q209" s="39"/>
      <c r="R209" s="39"/>
      <c r="S209" s="8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35"/>
      <c r="AP209" s="12" t="e">
        <f>#REF!</f>
        <v>#REF!</v>
      </c>
    </row>
    <row r="210" spans="1:46" s="4" customFormat="1" ht="17.25" customHeight="1" x14ac:dyDescent="0.25">
      <c r="A210" s="23"/>
      <c r="B210" s="201" t="s">
        <v>95</v>
      </c>
      <c r="C210" s="202"/>
      <c r="D210" s="64"/>
      <c r="E210" s="64"/>
      <c r="F210" s="117"/>
      <c r="G210" s="117"/>
      <c r="H210" s="64"/>
      <c r="I210" s="64"/>
      <c r="J210" s="64">
        <f>-P210</f>
        <v>7037.8</v>
      </c>
      <c r="K210" s="57"/>
      <c r="L210" s="88"/>
      <c r="M210" s="62"/>
      <c r="N210" s="57">
        <v>-1828</v>
      </c>
      <c r="O210" s="88">
        <v>3.85</v>
      </c>
      <c r="P210" s="62">
        <f>N210*O210</f>
        <v>-7037.8</v>
      </c>
      <c r="Q210" s="39"/>
      <c r="R210" s="39"/>
      <c r="S210" s="8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35"/>
      <c r="AP210" s="12" t="e">
        <f>#REF!</f>
        <v>#REF!</v>
      </c>
    </row>
    <row r="211" spans="1:46" s="4" customFormat="1" ht="17.25" customHeight="1" x14ac:dyDescent="0.25">
      <c r="A211" s="23"/>
      <c r="B211" s="201" t="s">
        <v>97</v>
      </c>
      <c r="C211" s="203"/>
      <c r="D211" s="64"/>
      <c r="E211" s="64"/>
      <c r="F211" s="64"/>
      <c r="G211" s="64"/>
      <c r="H211" s="64">
        <f>-J211-I211</f>
        <v>4011.4300000000003</v>
      </c>
      <c r="I211" s="64">
        <v>9689.52</v>
      </c>
      <c r="J211" s="64">
        <f>-SUM(J209:J210)</f>
        <v>-13700.95</v>
      </c>
      <c r="K211" s="57"/>
      <c r="L211" s="88"/>
      <c r="M211" s="62"/>
      <c r="N211" s="57"/>
      <c r="O211" s="88"/>
      <c r="P211" s="62"/>
      <c r="Q211" s="39"/>
      <c r="R211" s="39"/>
      <c r="S211" s="39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22"/>
      <c r="AO211" s="43">
        <f>A183</f>
        <v>0</v>
      </c>
      <c r="AP211" s="12" t="e">
        <f>#REF!</f>
        <v>#REF!</v>
      </c>
      <c r="AT211" s="2"/>
    </row>
    <row r="212" spans="1:46" s="4" customFormat="1" ht="17.25" customHeight="1" x14ac:dyDescent="0.25">
      <c r="A212" s="23"/>
      <c r="B212" s="201" t="s">
        <v>93</v>
      </c>
      <c r="C212" s="202"/>
      <c r="D212" s="64"/>
      <c r="E212" s="64"/>
      <c r="F212" s="64"/>
      <c r="G212" s="64"/>
      <c r="H212" s="64"/>
      <c r="I212" s="64"/>
      <c r="J212" s="64"/>
      <c r="K212" s="57">
        <v>-91</v>
      </c>
      <c r="L212" s="88"/>
      <c r="M212" s="118">
        <f>(K215*L201)-M201-M209</f>
        <v>377.96369073509959</v>
      </c>
      <c r="N212" s="57">
        <v>-40</v>
      </c>
      <c r="O212" s="88"/>
      <c r="P212" s="118">
        <f>(N215*O201)-P201-P210</f>
        <v>408.93412203769458</v>
      </c>
      <c r="Q212" s="39"/>
      <c r="R212" s="39"/>
      <c r="S212" s="39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22"/>
      <c r="AO212" s="43">
        <f>A195</f>
        <v>0</v>
      </c>
      <c r="AP212" s="12" t="e">
        <f>#REF!</f>
        <v>#REF!</v>
      </c>
      <c r="AT212" s="2"/>
    </row>
    <row r="213" spans="1:46" s="2" customFormat="1" ht="17.25" customHeight="1" x14ac:dyDescent="0.2">
      <c r="A213" s="24"/>
      <c r="B213" s="201"/>
      <c r="C213" s="204"/>
      <c r="D213" s="63"/>
      <c r="E213" s="64"/>
      <c r="F213" s="64"/>
      <c r="G213" s="64"/>
      <c r="H213" s="64"/>
      <c r="I213" s="64"/>
      <c r="J213" s="64"/>
      <c r="K213" s="16"/>
      <c r="L213" s="16"/>
      <c r="M213" s="64"/>
      <c r="N213" s="16"/>
      <c r="O213" s="16"/>
      <c r="P213" s="64"/>
      <c r="Q213" s="46"/>
      <c r="R213" s="46"/>
      <c r="S213" s="39"/>
      <c r="T213" s="16"/>
      <c r="U213" s="16"/>
      <c r="V213" s="16"/>
      <c r="W213" s="16"/>
      <c r="X213" s="16"/>
      <c r="Y213" s="19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43">
        <f>A202</f>
        <v>45944</v>
      </c>
      <c r="AQ213" s="10"/>
      <c r="AR213" s="11"/>
    </row>
    <row r="214" spans="1:46" s="2" customFormat="1" ht="17.25" customHeight="1" thickBot="1" x14ac:dyDescent="0.3">
      <c r="A214" s="56"/>
      <c r="B214" s="101" t="s">
        <v>102</v>
      </c>
      <c r="C214" s="102">
        <f>D215+E215+F215+G215+H215+I215+J215+M215+P215</f>
        <v>78639.27999999997</v>
      </c>
      <c r="D214" s="84"/>
      <c r="E214" s="85"/>
      <c r="F214" s="85"/>
      <c r="G214" s="85"/>
      <c r="H214" s="85"/>
      <c r="I214" s="85"/>
      <c r="J214" s="85"/>
      <c r="K214" s="28"/>
      <c r="L214" s="28"/>
      <c r="M214" s="85"/>
      <c r="N214" s="28"/>
      <c r="O214" s="28"/>
      <c r="P214" s="85"/>
      <c r="Q214" s="48"/>
      <c r="R214" s="48"/>
      <c r="S214" s="51"/>
      <c r="T214" s="28"/>
      <c r="U214" s="28"/>
      <c r="V214" s="28"/>
      <c r="W214" s="28"/>
      <c r="X214" s="28"/>
      <c r="Y214" s="36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42">
        <f>SUM($Q201:AN214)</f>
        <v>-390538.19000000006</v>
      </c>
      <c r="AQ214" s="10"/>
      <c r="AR214" s="11"/>
      <c r="AS214" s="2" t="s">
        <v>5</v>
      </c>
    </row>
    <row r="215" spans="1:46" s="2" customFormat="1" ht="17.25" customHeight="1" thickTop="1" thickBot="1" x14ac:dyDescent="0.3">
      <c r="A215" s="103"/>
      <c r="B215" s="104" t="s">
        <v>103</v>
      </c>
      <c r="C215" s="105">
        <f>AO215</f>
        <v>-311898.91000000009</v>
      </c>
      <c r="D215" s="106">
        <f t="shared" ref="D215:K215" si="26">SUM(D201:D214)</f>
        <v>3.5799999999868302</v>
      </c>
      <c r="E215" s="107">
        <f t="shared" si="26"/>
        <v>-29492.850000000013</v>
      </c>
      <c r="F215" s="107">
        <f t="shared" si="26"/>
        <v>0</v>
      </c>
      <c r="G215" s="107">
        <f t="shared" si="26"/>
        <v>15912.239999999994</v>
      </c>
      <c r="H215" s="107">
        <f t="shared" si="26"/>
        <v>29432.960000000014</v>
      </c>
      <c r="I215" s="107">
        <f t="shared" si="26"/>
        <v>9689.52</v>
      </c>
      <c r="J215" s="107">
        <f t="shared" si="26"/>
        <v>0</v>
      </c>
      <c r="K215" s="108">
        <f t="shared" si="26"/>
        <v>7966</v>
      </c>
      <c r="L215" s="109">
        <f>M215/K215</f>
        <v>5.1099071051970872</v>
      </c>
      <c r="M215" s="107">
        <f>ROUND(SUM(M201:M214),2)</f>
        <v>40705.519999999997</v>
      </c>
      <c r="N215" s="108">
        <f>SUM(N201:N214)</f>
        <v>3491</v>
      </c>
      <c r="O215" s="109">
        <f>P215/N215</f>
        <v>3.5486422228587795</v>
      </c>
      <c r="P215" s="107">
        <f>ROUND(SUM(P201:P214),2)</f>
        <v>12388.31</v>
      </c>
      <c r="Q215" s="110">
        <f t="shared" ref="Q215:AN215" si="27">SUM(Q201:Q214)</f>
        <v>-324378.32</v>
      </c>
      <c r="R215" s="107">
        <f t="shared" si="27"/>
        <v>7865.57</v>
      </c>
      <c r="S215" s="107">
        <f t="shared" si="27"/>
        <v>0</v>
      </c>
      <c r="T215" s="107">
        <f t="shared" si="27"/>
        <v>-12858.760000000002</v>
      </c>
      <c r="U215" s="107">
        <f t="shared" si="27"/>
        <v>0</v>
      </c>
      <c r="V215" s="107">
        <f t="shared" si="27"/>
        <v>-61166.680000000022</v>
      </c>
      <c r="W215" s="107">
        <f t="shared" si="27"/>
        <v>0</v>
      </c>
      <c r="X215" s="107">
        <f t="shared" si="27"/>
        <v>0</v>
      </c>
      <c r="Y215" s="107">
        <f t="shared" si="27"/>
        <v>0</v>
      </c>
      <c r="Z215" s="107">
        <f t="shared" si="27"/>
        <v>0</v>
      </c>
      <c r="AA215" s="107">
        <f t="shared" si="27"/>
        <v>0</v>
      </c>
      <c r="AB215" s="107">
        <f t="shared" si="27"/>
        <v>0</v>
      </c>
      <c r="AC215" s="107">
        <f t="shared" si="27"/>
        <v>0</v>
      </c>
      <c r="AD215" s="107">
        <f t="shared" si="27"/>
        <v>0</v>
      </c>
      <c r="AE215" s="107">
        <f t="shared" si="27"/>
        <v>0</v>
      </c>
      <c r="AF215" s="107">
        <f t="shared" si="27"/>
        <v>0</v>
      </c>
      <c r="AG215" s="107">
        <f t="shared" si="27"/>
        <v>0</v>
      </c>
      <c r="AH215" s="107">
        <f t="shared" si="27"/>
        <v>0</v>
      </c>
      <c r="AI215" s="107">
        <f t="shared" si="27"/>
        <v>0</v>
      </c>
      <c r="AJ215" s="107">
        <f t="shared" si="27"/>
        <v>0</v>
      </c>
      <c r="AK215" s="107">
        <f t="shared" si="27"/>
        <v>0</v>
      </c>
      <c r="AL215" s="107">
        <f t="shared" si="27"/>
        <v>0</v>
      </c>
      <c r="AM215" s="107">
        <f t="shared" si="27"/>
        <v>0</v>
      </c>
      <c r="AN215" s="107">
        <f t="shared" si="27"/>
        <v>0</v>
      </c>
      <c r="AO215" s="111">
        <f>D215+E215+F215+G215+H215+I215+J215+M215+P215+SUM(Q215:AN215)</f>
        <v>-311898.91000000009</v>
      </c>
      <c r="AP215" s="4"/>
      <c r="AQ215" s="5"/>
      <c r="AR215" s="5"/>
      <c r="AS215" s="2" t="s">
        <v>6</v>
      </c>
    </row>
    <row r="216" spans="1:46" s="2" customFormat="1" ht="17.25" customHeight="1" thickTop="1" x14ac:dyDescent="0.25">
      <c r="A216" s="23">
        <f>A202+1</f>
        <v>45945</v>
      </c>
      <c r="B216" s="210" t="s">
        <v>64</v>
      </c>
      <c r="C216" s="203"/>
      <c r="D216" s="63">
        <v>9431.33</v>
      </c>
      <c r="E216" s="66"/>
      <c r="F216" s="66"/>
      <c r="G216" s="66"/>
      <c r="H216" s="66"/>
      <c r="I216" s="66">
        <f>-D216</f>
        <v>-9431.33</v>
      </c>
      <c r="J216" s="66"/>
      <c r="K216" s="18"/>
      <c r="L216" s="18"/>
      <c r="M216" s="66"/>
      <c r="N216" s="18"/>
      <c r="O216" s="18"/>
      <c r="P216" s="66"/>
      <c r="Q216" s="46"/>
      <c r="R216" s="46"/>
      <c r="S216" s="45"/>
      <c r="T216" s="18"/>
      <c r="U216" s="18"/>
      <c r="V216" s="18"/>
      <c r="W216" s="18"/>
      <c r="X216" s="18"/>
      <c r="Y216" s="14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31"/>
      <c r="AQ216" s="10"/>
      <c r="AR216" s="27"/>
    </row>
    <row r="217" spans="1:46" s="4" customFormat="1" ht="17.25" customHeight="1" x14ac:dyDescent="0.25">
      <c r="A217" s="23"/>
      <c r="B217" s="201" t="s">
        <v>96</v>
      </c>
      <c r="C217" s="202"/>
      <c r="D217" s="63"/>
      <c r="E217" s="64"/>
      <c r="F217" s="64"/>
      <c r="G217" s="64"/>
      <c r="H217" s="64"/>
      <c r="I217" s="117">
        <f>-I215-I216</f>
        <v>-258.19000000000051</v>
      </c>
      <c r="J217" s="64"/>
      <c r="K217" s="16"/>
      <c r="L217" s="92"/>
      <c r="M217" s="64"/>
      <c r="N217" s="16"/>
      <c r="O217" s="92"/>
      <c r="P217" s="64"/>
      <c r="Q217" s="40"/>
      <c r="R217" s="46"/>
      <c r="S217" s="39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22"/>
      <c r="AP217" s="30"/>
    </row>
    <row r="218" spans="1:46" s="4" customFormat="1" ht="17.25" customHeight="1" x14ac:dyDescent="0.25">
      <c r="A218" s="23"/>
      <c r="B218" s="201" t="s">
        <v>13</v>
      </c>
      <c r="C218" s="203"/>
      <c r="D218" s="63"/>
      <c r="E218" s="64">
        <f>1690+50+742</f>
        <v>2482</v>
      </c>
      <c r="F218" s="64"/>
      <c r="G218" s="64"/>
      <c r="H218" s="64">
        <f>-E218</f>
        <v>-2482</v>
      </c>
      <c r="I218" s="66"/>
      <c r="J218" s="64"/>
      <c r="K218" s="16"/>
      <c r="L218" s="92"/>
      <c r="M218" s="64"/>
      <c r="N218" s="16"/>
      <c r="O218" s="92"/>
      <c r="P218" s="64"/>
      <c r="Q218" s="40"/>
      <c r="R218" s="46">
        <f>-D218</f>
        <v>0</v>
      </c>
      <c r="S218" s="39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22"/>
      <c r="AP218" s="30"/>
    </row>
    <row r="219" spans="1:46" s="2" customFormat="1" ht="17.25" customHeight="1" x14ac:dyDescent="0.25">
      <c r="A219" s="24"/>
      <c r="B219" s="201" t="s">
        <v>189</v>
      </c>
      <c r="C219" s="203"/>
      <c r="D219" s="63"/>
      <c r="E219" s="64">
        <f>211+1180+2000</f>
        <v>3391</v>
      </c>
      <c r="F219" s="64"/>
      <c r="G219" s="64"/>
      <c r="H219" s="64">
        <f>-E219</f>
        <v>-3391</v>
      </c>
      <c r="I219" s="64"/>
      <c r="J219" s="64"/>
      <c r="K219" s="16"/>
      <c r="L219" s="92"/>
      <c r="M219" s="64"/>
      <c r="N219" s="16"/>
      <c r="O219" s="92"/>
      <c r="P219" s="64"/>
      <c r="Q219" s="40"/>
      <c r="R219" s="40"/>
      <c r="S219" s="39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22"/>
      <c r="AQ219" s="10"/>
      <c r="AR219" s="11"/>
    </row>
    <row r="220" spans="1:46" s="2" customFormat="1" ht="17.25" customHeight="1" x14ac:dyDescent="0.2">
      <c r="A220" s="23"/>
      <c r="B220" s="201" t="s">
        <v>184</v>
      </c>
      <c r="C220" s="203"/>
      <c r="D220" s="63"/>
      <c r="E220" s="64">
        <f>-200-200</f>
        <v>-400</v>
      </c>
      <c r="F220" s="74"/>
      <c r="G220" s="74"/>
      <c r="H220" s="64"/>
      <c r="I220" s="64"/>
      <c r="J220" s="64"/>
      <c r="K220" s="16"/>
      <c r="L220" s="16"/>
      <c r="M220" s="64"/>
      <c r="N220" s="16"/>
      <c r="O220" s="16"/>
      <c r="P220" s="64"/>
      <c r="Q220" s="46"/>
      <c r="R220" s="39"/>
      <c r="S220" s="40"/>
      <c r="T220" s="16"/>
      <c r="U220" s="16"/>
      <c r="V220" s="16"/>
      <c r="W220" s="16"/>
      <c r="X220" s="16"/>
      <c r="Y220" s="19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35"/>
      <c r="AQ220" s="10"/>
      <c r="AR220" s="27"/>
    </row>
    <row r="221" spans="1:46" s="2" customFormat="1" ht="17.25" customHeight="1" x14ac:dyDescent="0.2">
      <c r="A221" s="23"/>
      <c r="B221" s="201" t="s">
        <v>36</v>
      </c>
      <c r="C221" s="203"/>
      <c r="D221" s="63"/>
      <c r="E221" s="64">
        <f>-806.08-93.36</f>
        <v>-899.44</v>
      </c>
      <c r="F221" s="74"/>
      <c r="G221" s="74"/>
      <c r="H221" s="64"/>
      <c r="I221" s="64"/>
      <c r="J221" s="64"/>
      <c r="K221" s="16"/>
      <c r="L221" s="16"/>
      <c r="M221" s="64"/>
      <c r="N221" s="16"/>
      <c r="O221" s="16"/>
      <c r="P221" s="64"/>
      <c r="Q221" s="46"/>
      <c r="R221" s="39"/>
      <c r="S221" s="40"/>
      <c r="T221" s="16"/>
      <c r="U221" s="16"/>
      <c r="V221" s="16"/>
      <c r="W221" s="16"/>
      <c r="X221" s="16"/>
      <c r="Y221" s="19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35"/>
      <c r="AQ221" s="10"/>
      <c r="AR221" s="27"/>
    </row>
    <row r="222" spans="1:46" s="2" customFormat="1" ht="17.25" customHeight="1" x14ac:dyDescent="0.2">
      <c r="A222" s="23"/>
      <c r="B222" s="201" t="s">
        <v>76</v>
      </c>
      <c r="C222" s="202"/>
      <c r="D222" s="63"/>
      <c r="E222" s="64">
        <v>-225</v>
      </c>
      <c r="F222" s="74"/>
      <c r="G222" s="74">
        <f>-E222</f>
        <v>225</v>
      </c>
      <c r="H222" s="64"/>
      <c r="I222" s="64"/>
      <c r="J222" s="64"/>
      <c r="K222" s="16"/>
      <c r="L222" s="16"/>
      <c r="M222" s="64"/>
      <c r="N222" s="16"/>
      <c r="O222" s="16"/>
      <c r="P222" s="64"/>
      <c r="Q222" s="46"/>
      <c r="R222" s="39"/>
      <c r="S222" s="40"/>
      <c r="T222" s="16"/>
      <c r="U222" s="16"/>
      <c r="V222" s="16"/>
      <c r="W222" s="16"/>
      <c r="X222" s="16"/>
      <c r="Y222" s="19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35"/>
      <c r="AQ222" s="10"/>
      <c r="AR222" s="27"/>
    </row>
    <row r="223" spans="1:46" s="2" customFormat="1" ht="17.25" customHeight="1" x14ac:dyDescent="0.2">
      <c r="A223" s="23"/>
      <c r="B223" s="201" t="s">
        <v>186</v>
      </c>
      <c r="C223" s="202"/>
      <c r="D223" s="64"/>
      <c r="E223" s="64">
        <v>-150.77000000000001</v>
      </c>
      <c r="F223" s="74"/>
      <c r="G223" s="74"/>
      <c r="H223" s="64"/>
      <c r="I223" s="64"/>
      <c r="J223" s="64"/>
      <c r="K223" s="16"/>
      <c r="L223" s="16"/>
      <c r="M223" s="64"/>
      <c r="N223" s="16"/>
      <c r="O223" s="16"/>
      <c r="P223" s="64"/>
      <c r="Q223" s="46"/>
      <c r="R223" s="39"/>
      <c r="S223" s="40"/>
      <c r="T223" s="16"/>
      <c r="U223" s="16"/>
      <c r="V223" s="16"/>
      <c r="W223" s="16"/>
      <c r="X223" s="16"/>
      <c r="Y223" s="19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35"/>
      <c r="AQ223" s="10"/>
      <c r="AR223" s="27"/>
    </row>
    <row r="224" spans="1:46" s="2" customFormat="1" ht="17.25" customHeight="1" x14ac:dyDescent="0.2">
      <c r="A224" s="23"/>
      <c r="B224" s="201" t="s">
        <v>185</v>
      </c>
      <c r="C224" s="203"/>
      <c r="D224" s="63"/>
      <c r="E224" s="64">
        <v>-22062.95</v>
      </c>
      <c r="F224" s="74"/>
      <c r="G224" s="74"/>
      <c r="H224" s="64"/>
      <c r="I224" s="64"/>
      <c r="J224" s="64"/>
      <c r="K224" s="16"/>
      <c r="L224" s="16"/>
      <c r="M224" s="64"/>
      <c r="N224" s="16"/>
      <c r="O224" s="16"/>
      <c r="P224" s="64"/>
      <c r="Q224" s="46"/>
      <c r="R224" s="39">
        <f>-E224</f>
        <v>22062.95</v>
      </c>
      <c r="S224" s="40"/>
      <c r="T224" s="16"/>
      <c r="U224" s="16"/>
      <c r="V224" s="16"/>
      <c r="W224" s="16"/>
      <c r="X224" s="16"/>
      <c r="Y224" s="19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35"/>
      <c r="AQ224" s="10"/>
      <c r="AR224" s="27"/>
    </row>
    <row r="225" spans="1:46" s="2" customFormat="1" ht="17.25" customHeight="1" x14ac:dyDescent="0.2">
      <c r="A225" s="23"/>
      <c r="B225" s="205" t="s">
        <v>222</v>
      </c>
      <c r="C225" s="206"/>
      <c r="D225" s="64"/>
      <c r="E225" s="64"/>
      <c r="F225" s="64"/>
      <c r="G225" s="64">
        <f>-P225</f>
        <v>-34600</v>
      </c>
      <c r="H225" s="64"/>
      <c r="I225" s="64"/>
      <c r="J225" s="64"/>
      <c r="K225" s="57"/>
      <c r="L225" s="88"/>
      <c r="M225" s="62"/>
      <c r="N225" s="57">
        <v>10000</v>
      </c>
      <c r="O225" s="88">
        <v>3.46</v>
      </c>
      <c r="P225" s="62">
        <f>N225*O225</f>
        <v>34600</v>
      </c>
      <c r="Q225" s="39"/>
      <c r="R225" s="39"/>
      <c r="S225" s="39"/>
      <c r="T225" s="16"/>
      <c r="U225" s="16"/>
      <c r="V225" s="16"/>
      <c r="W225" s="16"/>
      <c r="X225" s="16"/>
      <c r="Y225" s="19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35"/>
      <c r="AQ225" s="10"/>
      <c r="AR225" s="27"/>
    </row>
    <row r="226" spans="1:46" s="2" customFormat="1" ht="17.25" customHeight="1" x14ac:dyDescent="0.25">
      <c r="A226" s="24"/>
      <c r="B226" s="205" t="s">
        <v>291</v>
      </c>
      <c r="C226" s="206"/>
      <c r="D226" s="65"/>
      <c r="E226" s="64"/>
      <c r="F226" s="117"/>
      <c r="G226" s="117"/>
      <c r="H226" s="64"/>
      <c r="I226" s="64"/>
      <c r="J226" s="64"/>
      <c r="K226" s="16"/>
      <c r="L226" s="92"/>
      <c r="M226" s="64"/>
      <c r="N226" s="16"/>
      <c r="O226" s="92"/>
      <c r="P226" s="64"/>
      <c r="Q226" s="46">
        <f>-V226</f>
        <v>-12233.33</v>
      </c>
      <c r="R226" s="46"/>
      <c r="S226" s="86"/>
      <c r="T226" s="16"/>
      <c r="U226" s="16"/>
      <c r="V226" s="20">
        <v>12233.33</v>
      </c>
      <c r="W226" s="16"/>
      <c r="X226" s="16"/>
      <c r="Y226" s="19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7"/>
      <c r="AO226" s="26"/>
      <c r="AQ226" s="10"/>
      <c r="AR226" s="27"/>
    </row>
    <row r="227" spans="1:46" s="2" customFormat="1" ht="17.25" customHeight="1" x14ac:dyDescent="0.25">
      <c r="A227" s="24"/>
      <c r="B227" s="205" t="s">
        <v>292</v>
      </c>
      <c r="C227" s="206"/>
      <c r="D227" s="65"/>
      <c r="E227" s="64"/>
      <c r="F227" s="117"/>
      <c r="G227" s="117"/>
      <c r="H227" s="64"/>
      <c r="I227" s="64"/>
      <c r="J227" s="64"/>
      <c r="K227" s="16"/>
      <c r="L227" s="92"/>
      <c r="M227" s="64"/>
      <c r="N227" s="16"/>
      <c r="O227" s="92"/>
      <c r="P227" s="64"/>
      <c r="Q227" s="46">
        <f>-V227</f>
        <v>-12233.35</v>
      </c>
      <c r="R227" s="46"/>
      <c r="S227" s="86"/>
      <c r="T227" s="16"/>
      <c r="U227" s="16"/>
      <c r="V227" s="20">
        <v>12233.35</v>
      </c>
      <c r="W227" s="16"/>
      <c r="X227" s="16"/>
      <c r="Y227" s="19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7"/>
      <c r="AO227" s="26"/>
      <c r="AQ227" s="10"/>
      <c r="AR227" s="27"/>
    </row>
    <row r="228" spans="1:46" s="2" customFormat="1" ht="17.25" customHeight="1" x14ac:dyDescent="0.2">
      <c r="A228" s="23"/>
      <c r="B228" s="201"/>
      <c r="C228" s="203"/>
      <c r="D228" s="63"/>
      <c r="E228" s="64"/>
      <c r="F228" s="74"/>
      <c r="G228" s="74"/>
      <c r="H228" s="64"/>
      <c r="I228" s="64"/>
      <c r="J228" s="64"/>
      <c r="K228" s="16"/>
      <c r="L228" s="16"/>
      <c r="M228" s="64"/>
      <c r="N228" s="16"/>
      <c r="O228" s="16"/>
      <c r="P228" s="64"/>
      <c r="Q228" s="46"/>
      <c r="R228" s="39"/>
      <c r="S228" s="40"/>
      <c r="T228" s="16"/>
      <c r="U228" s="16"/>
      <c r="V228" s="16"/>
      <c r="W228" s="16"/>
      <c r="X228" s="16"/>
      <c r="Y228" s="19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35"/>
      <c r="AQ228" s="10"/>
      <c r="AR228" s="27"/>
    </row>
    <row r="229" spans="1:46" s="2" customFormat="1" ht="17.25" customHeight="1" x14ac:dyDescent="0.25">
      <c r="A229" s="29"/>
      <c r="B229" s="201" t="s">
        <v>72</v>
      </c>
      <c r="C229" s="202"/>
      <c r="D229" s="63">
        <v>-9400</v>
      </c>
      <c r="E229" s="64"/>
      <c r="F229" s="64">
        <f>-D229</f>
        <v>9400</v>
      </c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47"/>
      <c r="R229" s="39"/>
      <c r="S229" s="39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22"/>
      <c r="AQ229" s="10" t="s">
        <v>4</v>
      </c>
      <c r="AR229" s="11" t="e">
        <v>#REF!</v>
      </c>
    </row>
    <row r="230" spans="1:46" s="2" customFormat="1" ht="17.25" customHeight="1" x14ac:dyDescent="0.25">
      <c r="A230" s="29"/>
      <c r="B230" s="201" t="s">
        <v>72</v>
      </c>
      <c r="C230" s="202"/>
      <c r="D230" s="63">
        <f>-F230</f>
        <v>9400</v>
      </c>
      <c r="E230" s="64"/>
      <c r="F230" s="64">
        <v>-9400</v>
      </c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47"/>
      <c r="R230" s="39"/>
      <c r="S230" s="39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22"/>
      <c r="AQ230" s="10" t="s">
        <v>4</v>
      </c>
      <c r="AR230" s="11" t="e">
        <v>#REF!</v>
      </c>
    </row>
    <row r="231" spans="1:46" s="2" customFormat="1" ht="17.25" customHeight="1" x14ac:dyDescent="0.2">
      <c r="A231" s="23"/>
      <c r="B231" s="201" t="s">
        <v>216</v>
      </c>
      <c r="C231" s="203"/>
      <c r="D231" s="64">
        <v>-9400</v>
      </c>
      <c r="E231" s="64">
        <f>-D231</f>
        <v>9400</v>
      </c>
      <c r="F231" s="74"/>
      <c r="G231" s="74"/>
      <c r="H231" s="64"/>
      <c r="I231" s="64"/>
      <c r="J231" s="64"/>
      <c r="K231" s="16"/>
      <c r="L231" s="16"/>
      <c r="M231" s="64"/>
      <c r="N231" s="16"/>
      <c r="O231" s="16"/>
      <c r="P231" s="64"/>
      <c r="Q231" s="46"/>
      <c r="R231" s="39"/>
      <c r="S231" s="40"/>
      <c r="T231" s="16"/>
      <c r="U231" s="16"/>
      <c r="V231" s="16"/>
      <c r="W231" s="16"/>
      <c r="X231" s="16"/>
      <c r="Y231" s="19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35"/>
      <c r="AQ231" s="10"/>
      <c r="AR231" s="27"/>
    </row>
    <row r="232" spans="1:46" s="2" customFormat="1" ht="17.25" customHeight="1" x14ac:dyDescent="0.2">
      <c r="A232" s="23"/>
      <c r="B232" s="201" t="s">
        <v>210</v>
      </c>
      <c r="C232" s="203"/>
      <c r="D232" s="63">
        <v>-4.9000000000000004</v>
      </c>
      <c r="E232" s="64"/>
      <c r="F232" s="74"/>
      <c r="G232" s="74"/>
      <c r="H232" s="64"/>
      <c r="I232" s="64"/>
      <c r="J232" s="64"/>
      <c r="K232" s="16"/>
      <c r="L232" s="16"/>
      <c r="M232" s="64"/>
      <c r="N232" s="16"/>
      <c r="O232" s="16"/>
      <c r="P232" s="64"/>
      <c r="Q232" s="46"/>
      <c r="R232" s="39"/>
      <c r="S232" s="40"/>
      <c r="T232" s="16"/>
      <c r="U232" s="16"/>
      <c r="V232" s="16"/>
      <c r="W232" s="16"/>
      <c r="X232" s="16"/>
      <c r="Y232" s="19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35"/>
      <c r="AQ232" s="10"/>
      <c r="AR232" s="27"/>
    </row>
    <row r="233" spans="1:46" s="2" customFormat="1" ht="17.25" customHeight="1" thickBot="1" x14ac:dyDescent="0.25">
      <c r="A233" s="24"/>
      <c r="B233" s="216"/>
      <c r="C233" s="217"/>
      <c r="D233" s="83"/>
      <c r="E233" s="81"/>
      <c r="F233" s="81"/>
      <c r="G233" s="81"/>
      <c r="H233" s="81"/>
      <c r="I233" s="81"/>
      <c r="J233" s="81"/>
      <c r="K233" s="37"/>
      <c r="L233" s="93"/>
      <c r="M233" s="81"/>
      <c r="N233" s="37"/>
      <c r="O233" s="93"/>
      <c r="P233" s="81"/>
      <c r="Q233" s="40"/>
      <c r="R233" s="40"/>
      <c r="S233" s="39"/>
      <c r="T233" s="16"/>
      <c r="U233" s="16"/>
      <c r="V233" s="16"/>
      <c r="W233" s="16"/>
      <c r="X233" s="16"/>
      <c r="Y233" s="19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41"/>
      <c r="AQ233" s="10"/>
      <c r="AR233" s="11"/>
    </row>
    <row r="234" spans="1:46" s="4" customFormat="1" ht="17.25" customHeight="1" x14ac:dyDescent="0.25">
      <c r="A234" s="23"/>
      <c r="B234" s="210" t="s">
        <v>94</v>
      </c>
      <c r="C234" s="203"/>
      <c r="D234" s="66"/>
      <c r="E234" s="66"/>
      <c r="F234" s="117"/>
      <c r="G234" s="117"/>
      <c r="H234" s="66"/>
      <c r="I234" s="66"/>
      <c r="J234" s="66">
        <f>-M234</f>
        <v>7306.65</v>
      </c>
      <c r="K234" s="58">
        <v>-1249</v>
      </c>
      <c r="L234" s="89">
        <v>5.85</v>
      </c>
      <c r="M234" s="73">
        <f>K234*L234</f>
        <v>-7306.65</v>
      </c>
      <c r="N234" s="58"/>
      <c r="O234" s="89"/>
      <c r="P234" s="73"/>
      <c r="Q234" s="39"/>
      <c r="R234" s="39"/>
      <c r="S234" s="8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35"/>
      <c r="AP234" s="12" t="e">
        <f>#REF!</f>
        <v>#REF!</v>
      </c>
    </row>
    <row r="235" spans="1:46" s="4" customFormat="1" ht="17.25" customHeight="1" x14ac:dyDescent="0.25">
      <c r="A235" s="23"/>
      <c r="B235" s="201" t="s">
        <v>95</v>
      </c>
      <c r="C235" s="202"/>
      <c r="D235" s="64"/>
      <c r="E235" s="64"/>
      <c r="F235" s="117"/>
      <c r="G235" s="117"/>
      <c r="H235" s="64"/>
      <c r="I235" s="64"/>
      <c r="J235" s="64">
        <f>-P235</f>
        <v>7753.9000000000005</v>
      </c>
      <c r="K235" s="57"/>
      <c r="L235" s="88"/>
      <c r="M235" s="62"/>
      <c r="N235" s="57">
        <v>-2014</v>
      </c>
      <c r="O235" s="88">
        <v>3.85</v>
      </c>
      <c r="P235" s="62">
        <f>N235*O235</f>
        <v>-7753.9000000000005</v>
      </c>
      <c r="Q235" s="39"/>
      <c r="R235" s="39"/>
      <c r="S235" s="8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35"/>
      <c r="AP235" s="12" t="e">
        <f>#REF!</f>
        <v>#REF!</v>
      </c>
    </row>
    <row r="236" spans="1:46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>
        <f>-J236-I236</f>
        <v>5362.7799999999988</v>
      </c>
      <c r="I236" s="64">
        <v>9697.77</v>
      </c>
      <c r="J236" s="64">
        <f>-SUM(J234:J235)</f>
        <v>-15060.55</v>
      </c>
      <c r="K236" s="57"/>
      <c r="L236" s="88"/>
      <c r="M236" s="62"/>
      <c r="N236" s="57"/>
      <c r="O236" s="88"/>
      <c r="P236" s="62"/>
      <c r="Q236" s="39"/>
      <c r="R236" s="39"/>
      <c r="S236" s="39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22"/>
      <c r="AO236" s="43">
        <f>A198</f>
        <v>0</v>
      </c>
      <c r="AP236" s="12" t="e">
        <f>#REF!</f>
        <v>#REF!</v>
      </c>
      <c r="AT236" s="2"/>
    </row>
    <row r="237" spans="1:46" s="4" customFormat="1" ht="17.25" customHeight="1" x14ac:dyDescent="0.25">
      <c r="A237" s="23"/>
      <c r="B237" s="201" t="s">
        <v>93</v>
      </c>
      <c r="C237" s="202"/>
      <c r="D237" s="64"/>
      <c r="E237" s="64"/>
      <c r="F237" s="64"/>
      <c r="G237" s="64"/>
      <c r="H237" s="64"/>
      <c r="I237" s="64"/>
      <c r="J237" s="64"/>
      <c r="K237" s="57">
        <v>-62</v>
      </c>
      <c r="L237" s="88"/>
      <c r="M237" s="118">
        <f>(K240*L215)-M215-M234</f>
        <v>607.56178508661651</v>
      </c>
      <c r="N237" s="57">
        <v>75</v>
      </c>
      <c r="O237" s="88"/>
      <c r="P237" s="118">
        <f>(N240*(P215+P225)/(N215+N225))-P215-P235-P225</f>
        <v>1000.4841605514812</v>
      </c>
      <c r="Q237" s="39"/>
      <c r="R237" s="39"/>
      <c r="S237" s="39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22"/>
      <c r="AO237" s="43">
        <f>A209</f>
        <v>0</v>
      </c>
      <c r="AP237" s="12" t="e">
        <f>#REF!</f>
        <v>#REF!</v>
      </c>
      <c r="AT237" s="2"/>
    </row>
    <row r="238" spans="1:46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46"/>
      <c r="R238" s="46"/>
      <c r="S238" s="39"/>
      <c r="T238" s="16"/>
      <c r="U238" s="16"/>
      <c r="V238" s="16"/>
      <c r="W238" s="16"/>
      <c r="X238" s="16"/>
      <c r="Y238" s="19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43">
        <f>A216</f>
        <v>45945</v>
      </c>
      <c r="AQ238" s="10"/>
      <c r="AR238" s="11"/>
    </row>
    <row r="239" spans="1:46" s="2" customFormat="1" ht="17.25" customHeight="1" thickBot="1" x14ac:dyDescent="0.3">
      <c r="A239" s="56"/>
      <c r="B239" s="101" t="s">
        <v>102</v>
      </c>
      <c r="C239" s="102">
        <f>D240+E240+F240+G240+H240+I240+J240+M240+P240</f>
        <v>56471.069999999992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48"/>
      <c r="R239" s="48"/>
      <c r="S239" s="51"/>
      <c r="T239" s="28"/>
      <c r="U239" s="28"/>
      <c r="V239" s="28"/>
      <c r="W239" s="28"/>
      <c r="X239" s="28"/>
      <c r="Y239" s="36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42">
        <f>SUM($Q215:AN239)</f>
        <v>-368475.24000000005</v>
      </c>
      <c r="AQ239" s="10"/>
      <c r="AR239" s="11"/>
      <c r="AS239" s="2" t="s">
        <v>5</v>
      </c>
    </row>
    <row r="240" spans="1:46" s="2" customFormat="1" ht="17.25" customHeight="1" thickTop="1" thickBot="1" x14ac:dyDescent="0.3">
      <c r="A240" s="103"/>
      <c r="B240" s="104" t="s">
        <v>103</v>
      </c>
      <c r="C240" s="105">
        <f>AO240</f>
        <v>-312004.17</v>
      </c>
      <c r="D240" s="106">
        <f t="shared" ref="D240:K240" si="28">SUM(D215:D239)</f>
        <v>30.009999999987123</v>
      </c>
      <c r="E240" s="107">
        <f t="shared" si="28"/>
        <v>-37958.010000000009</v>
      </c>
      <c r="F240" s="107">
        <f t="shared" si="28"/>
        <v>0</v>
      </c>
      <c r="G240" s="107">
        <f t="shared" si="28"/>
        <v>-18462.760000000006</v>
      </c>
      <c r="H240" s="107">
        <f t="shared" si="28"/>
        <v>28922.740000000013</v>
      </c>
      <c r="I240" s="107">
        <f t="shared" si="28"/>
        <v>9697.77</v>
      </c>
      <c r="J240" s="107">
        <f t="shared" si="28"/>
        <v>0</v>
      </c>
      <c r="K240" s="108">
        <f t="shared" si="28"/>
        <v>6655</v>
      </c>
      <c r="L240" s="109">
        <f>M240/K240</f>
        <v>5.1099068369646883</v>
      </c>
      <c r="M240" s="107">
        <f>ROUND(SUM(M215:M239),2)</f>
        <v>34006.43</v>
      </c>
      <c r="N240" s="108">
        <f>SUM(N215:N239)</f>
        <v>11552</v>
      </c>
      <c r="O240" s="109">
        <f>P240/N240</f>
        <v>3.4829371537396123</v>
      </c>
      <c r="P240" s="107">
        <f>ROUND(SUM(P215:P239),2)</f>
        <v>40234.89</v>
      </c>
      <c r="Q240" s="110">
        <f t="shared" ref="Q240:AN240" si="29">SUM(Q215:Q239)</f>
        <v>-348845</v>
      </c>
      <c r="R240" s="107">
        <f t="shared" si="29"/>
        <v>29928.52</v>
      </c>
      <c r="S240" s="107">
        <f t="shared" si="29"/>
        <v>0</v>
      </c>
      <c r="T240" s="107">
        <f t="shared" si="29"/>
        <v>-12858.760000000002</v>
      </c>
      <c r="U240" s="107">
        <f t="shared" si="29"/>
        <v>0</v>
      </c>
      <c r="V240" s="107">
        <f t="shared" si="29"/>
        <v>-36700.000000000022</v>
      </c>
      <c r="W240" s="107">
        <f t="shared" si="29"/>
        <v>0</v>
      </c>
      <c r="X240" s="107">
        <f t="shared" si="29"/>
        <v>0</v>
      </c>
      <c r="Y240" s="107">
        <f t="shared" si="29"/>
        <v>0</v>
      </c>
      <c r="Z240" s="107">
        <f t="shared" si="29"/>
        <v>0</v>
      </c>
      <c r="AA240" s="107">
        <f t="shared" si="29"/>
        <v>0</v>
      </c>
      <c r="AB240" s="107">
        <f t="shared" si="29"/>
        <v>0</v>
      </c>
      <c r="AC240" s="107">
        <f t="shared" si="29"/>
        <v>0</v>
      </c>
      <c r="AD240" s="107">
        <f t="shared" si="29"/>
        <v>0</v>
      </c>
      <c r="AE240" s="107">
        <f t="shared" si="29"/>
        <v>0</v>
      </c>
      <c r="AF240" s="107">
        <f t="shared" si="29"/>
        <v>0</v>
      </c>
      <c r="AG240" s="107">
        <f t="shared" si="29"/>
        <v>0</v>
      </c>
      <c r="AH240" s="107">
        <f t="shared" si="29"/>
        <v>0</v>
      </c>
      <c r="AI240" s="107">
        <f t="shared" si="29"/>
        <v>0</v>
      </c>
      <c r="AJ240" s="107">
        <f t="shared" si="29"/>
        <v>0</v>
      </c>
      <c r="AK240" s="107">
        <f t="shared" si="29"/>
        <v>0</v>
      </c>
      <c r="AL240" s="107">
        <f t="shared" si="29"/>
        <v>0</v>
      </c>
      <c r="AM240" s="107">
        <f t="shared" si="29"/>
        <v>0</v>
      </c>
      <c r="AN240" s="107">
        <f t="shared" si="29"/>
        <v>0</v>
      </c>
      <c r="AO240" s="111">
        <f>D240+E240+F240+G240+H240+I240+J240+M240+P240+SUM(Q240:AN240)</f>
        <v>-312004.17</v>
      </c>
      <c r="AP240" s="4"/>
      <c r="AQ240" s="5"/>
      <c r="AR240" s="5"/>
      <c r="AS240" s="2" t="s">
        <v>6</v>
      </c>
    </row>
    <row r="241" spans="1:46" s="2" customFormat="1" ht="17.25" customHeight="1" thickTop="1" x14ac:dyDescent="0.25">
      <c r="A241" s="23">
        <f>A216+1</f>
        <v>45946</v>
      </c>
      <c r="B241" s="210" t="s">
        <v>64</v>
      </c>
      <c r="C241" s="203"/>
      <c r="D241" s="63">
        <v>9455.18</v>
      </c>
      <c r="E241" s="66"/>
      <c r="F241" s="66"/>
      <c r="G241" s="66"/>
      <c r="H241" s="66"/>
      <c r="I241" s="66">
        <f>-D241</f>
        <v>-9455.18</v>
      </c>
      <c r="J241" s="66"/>
      <c r="K241" s="18"/>
      <c r="L241" s="18"/>
      <c r="M241" s="66"/>
      <c r="N241" s="18"/>
      <c r="O241" s="18"/>
      <c r="P241" s="66"/>
      <c r="Q241" s="46"/>
      <c r="R241" s="46"/>
      <c r="S241" s="45"/>
      <c r="T241" s="18"/>
      <c r="U241" s="18"/>
      <c r="V241" s="18"/>
      <c r="W241" s="18"/>
      <c r="X241" s="18"/>
      <c r="Y241" s="14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31"/>
      <c r="AQ241" s="10"/>
      <c r="AR241" s="27"/>
    </row>
    <row r="242" spans="1:46" s="4" customFormat="1" ht="17.25" customHeight="1" x14ac:dyDescent="0.25">
      <c r="A242" s="23"/>
      <c r="B242" s="201" t="s">
        <v>96</v>
      </c>
      <c r="C242" s="202"/>
      <c r="D242" s="63"/>
      <c r="E242" s="64"/>
      <c r="F242" s="64"/>
      <c r="G242" s="64"/>
      <c r="H242" s="64"/>
      <c r="I242" s="117">
        <f>-I240-I241</f>
        <v>-242.59000000000015</v>
      </c>
      <c r="J242" s="64"/>
      <c r="K242" s="16"/>
      <c r="L242" s="92"/>
      <c r="M242" s="64"/>
      <c r="N242" s="16"/>
      <c r="O242" s="92"/>
      <c r="P242" s="64"/>
      <c r="Q242" s="40"/>
      <c r="R242" s="46"/>
      <c r="S242" s="39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22"/>
      <c r="AP242" s="30"/>
    </row>
    <row r="243" spans="1:46" s="2" customFormat="1" ht="17.25" customHeight="1" x14ac:dyDescent="0.2">
      <c r="A243" s="23"/>
      <c r="B243" s="201" t="s">
        <v>221</v>
      </c>
      <c r="C243" s="203"/>
      <c r="D243" s="64">
        <v>-9480</v>
      </c>
      <c r="E243" s="64">
        <v>9480</v>
      </c>
      <c r="F243" s="74"/>
      <c r="G243" s="74"/>
      <c r="H243" s="64"/>
      <c r="I243" s="64"/>
      <c r="J243" s="64"/>
      <c r="K243" s="16"/>
      <c r="L243" s="16"/>
      <c r="M243" s="64"/>
      <c r="N243" s="16"/>
      <c r="O243" s="16"/>
      <c r="P243" s="64"/>
      <c r="Q243" s="46"/>
      <c r="R243" s="39"/>
      <c r="S243" s="40"/>
      <c r="T243" s="16"/>
      <c r="U243" s="16"/>
      <c r="V243" s="16"/>
      <c r="W243" s="16"/>
      <c r="X243" s="16"/>
      <c r="Y243" s="19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35"/>
      <c r="AQ243" s="10"/>
      <c r="AR243" s="27"/>
    </row>
    <row r="244" spans="1:46" s="2" customFormat="1" ht="17.25" customHeight="1" x14ac:dyDescent="0.2">
      <c r="A244" s="23"/>
      <c r="B244" s="201" t="s">
        <v>187</v>
      </c>
      <c r="C244" s="203"/>
      <c r="D244" s="63"/>
      <c r="E244" s="64">
        <f>-200-200-200-100</f>
        <v>-700</v>
      </c>
      <c r="F244" s="74"/>
      <c r="G244" s="74"/>
      <c r="H244" s="64"/>
      <c r="I244" s="64"/>
      <c r="J244" s="64"/>
      <c r="K244" s="16"/>
      <c r="L244" s="16"/>
      <c r="M244" s="64"/>
      <c r="N244" s="16"/>
      <c r="O244" s="16"/>
      <c r="P244" s="64"/>
      <c r="Q244" s="46"/>
      <c r="R244" s="39"/>
      <c r="S244" s="40"/>
      <c r="T244" s="16"/>
      <c r="U244" s="16"/>
      <c r="V244" s="16"/>
      <c r="W244" s="16"/>
      <c r="X244" s="16"/>
      <c r="Y244" s="19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35"/>
      <c r="AQ244" s="10"/>
      <c r="AR244" s="27"/>
    </row>
    <row r="245" spans="1:46" s="2" customFormat="1" ht="17.25" customHeight="1" x14ac:dyDescent="0.2">
      <c r="A245" s="23"/>
      <c r="B245" s="201" t="s">
        <v>188</v>
      </c>
      <c r="C245" s="203"/>
      <c r="D245" s="63"/>
      <c r="E245" s="64">
        <v>-369.62</v>
      </c>
      <c r="F245" s="74"/>
      <c r="G245" s="74"/>
      <c r="H245" s="64"/>
      <c r="I245" s="64"/>
      <c r="J245" s="64"/>
      <c r="K245" s="16"/>
      <c r="L245" s="16"/>
      <c r="M245" s="64"/>
      <c r="N245" s="16"/>
      <c r="O245" s="16"/>
      <c r="P245" s="64"/>
      <c r="Q245" s="46"/>
      <c r="R245" s="39"/>
      <c r="S245" s="40"/>
      <c r="T245" s="16"/>
      <c r="U245" s="16"/>
      <c r="V245" s="16"/>
      <c r="W245" s="16"/>
      <c r="X245" s="16"/>
      <c r="Y245" s="19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35"/>
      <c r="AQ245" s="10"/>
      <c r="AR245" s="27"/>
    </row>
    <row r="246" spans="1:46" s="2" customFormat="1" ht="17.25" customHeight="1" x14ac:dyDescent="0.2">
      <c r="A246" s="23"/>
      <c r="B246" s="201" t="s">
        <v>210</v>
      </c>
      <c r="C246" s="203"/>
      <c r="D246" s="63">
        <v>-4.9000000000000004</v>
      </c>
      <c r="E246" s="64"/>
      <c r="F246" s="74"/>
      <c r="G246" s="74"/>
      <c r="H246" s="64"/>
      <c r="I246" s="64"/>
      <c r="J246" s="64"/>
      <c r="K246" s="16"/>
      <c r="L246" s="16"/>
      <c r="M246" s="64"/>
      <c r="N246" s="16"/>
      <c r="O246" s="16"/>
      <c r="P246" s="64"/>
      <c r="Q246" s="46"/>
      <c r="R246" s="39"/>
      <c r="S246" s="40"/>
      <c r="T246" s="16"/>
      <c r="U246" s="16"/>
      <c r="V246" s="16"/>
      <c r="W246" s="16"/>
      <c r="X246" s="16"/>
      <c r="Y246" s="19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35"/>
      <c r="AQ246" s="10"/>
      <c r="AR246" s="27"/>
    </row>
    <row r="247" spans="1:46" s="2" customFormat="1" ht="17.25" customHeight="1" thickBot="1" x14ac:dyDescent="0.25">
      <c r="A247" s="24"/>
      <c r="B247" s="216"/>
      <c r="C247" s="217"/>
      <c r="D247" s="83"/>
      <c r="E247" s="81"/>
      <c r="F247" s="81"/>
      <c r="G247" s="81"/>
      <c r="H247" s="81"/>
      <c r="I247" s="81"/>
      <c r="J247" s="81"/>
      <c r="K247" s="37"/>
      <c r="L247" s="93"/>
      <c r="M247" s="81"/>
      <c r="N247" s="37"/>
      <c r="O247" s="93"/>
      <c r="P247" s="81"/>
      <c r="Q247" s="40"/>
      <c r="R247" s="40"/>
      <c r="S247" s="39"/>
      <c r="T247" s="16"/>
      <c r="U247" s="16"/>
      <c r="V247" s="16"/>
      <c r="W247" s="16"/>
      <c r="X247" s="16"/>
      <c r="Y247" s="19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41"/>
      <c r="AQ247" s="10"/>
      <c r="AR247" s="11"/>
    </row>
    <row r="248" spans="1:46" s="4" customFormat="1" ht="17.25" customHeight="1" x14ac:dyDescent="0.25">
      <c r="A248" s="23"/>
      <c r="B248" s="210" t="s">
        <v>94</v>
      </c>
      <c r="C248" s="203"/>
      <c r="D248" s="66"/>
      <c r="E248" s="66"/>
      <c r="F248" s="117"/>
      <c r="G248" s="117"/>
      <c r="H248" s="66"/>
      <c r="I248" s="66"/>
      <c r="J248" s="66">
        <f>-M248</f>
        <v>6628.0499999999993</v>
      </c>
      <c r="K248" s="58">
        <v>-1133</v>
      </c>
      <c r="L248" s="89">
        <v>5.85</v>
      </c>
      <c r="M248" s="73">
        <f>K248*L248</f>
        <v>-6628.0499999999993</v>
      </c>
      <c r="N248" s="58"/>
      <c r="O248" s="89"/>
      <c r="P248" s="73"/>
      <c r="Q248" s="39"/>
      <c r="R248" s="39"/>
      <c r="S248" s="8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35"/>
      <c r="AP248" s="12" t="e">
        <f>#REF!</f>
        <v>#REF!</v>
      </c>
    </row>
    <row r="249" spans="1:46" s="4" customFormat="1" ht="17.25" customHeight="1" x14ac:dyDescent="0.25">
      <c r="A249" s="23"/>
      <c r="B249" s="201" t="s">
        <v>95</v>
      </c>
      <c r="C249" s="202"/>
      <c r="D249" s="64"/>
      <c r="E249" s="64"/>
      <c r="F249" s="117"/>
      <c r="G249" s="117"/>
      <c r="H249" s="64"/>
      <c r="I249" s="64"/>
      <c r="J249" s="64">
        <f>-P249</f>
        <v>7488.25</v>
      </c>
      <c r="K249" s="57"/>
      <c r="L249" s="88"/>
      <c r="M249" s="62"/>
      <c r="N249" s="57">
        <v>-1945</v>
      </c>
      <c r="O249" s="88">
        <v>3.85</v>
      </c>
      <c r="P249" s="62">
        <f>N249*O249</f>
        <v>-7488.25</v>
      </c>
      <c r="Q249" s="39"/>
      <c r="R249" s="39"/>
      <c r="S249" s="8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35"/>
      <c r="AP249" s="12" t="e">
        <f>#REF!</f>
        <v>#REF!</v>
      </c>
    </row>
    <row r="250" spans="1:46" s="4" customFormat="1" ht="17.25" customHeight="1" x14ac:dyDescent="0.25">
      <c r="A250" s="23"/>
      <c r="B250" s="201" t="s">
        <v>97</v>
      </c>
      <c r="C250" s="203"/>
      <c r="D250" s="64"/>
      <c r="E250" s="64"/>
      <c r="F250" s="64"/>
      <c r="G250" s="64"/>
      <c r="H250" s="64">
        <f>-J250-I250</f>
        <v>4557.2999999999993</v>
      </c>
      <c r="I250" s="64">
        <v>9559</v>
      </c>
      <c r="J250" s="64">
        <f>-SUM(J248:J249)</f>
        <v>-14116.3</v>
      </c>
      <c r="K250" s="57"/>
      <c r="L250" s="88"/>
      <c r="M250" s="62"/>
      <c r="N250" s="57"/>
      <c r="O250" s="88"/>
      <c r="P250" s="62"/>
      <c r="Q250" s="39"/>
      <c r="R250" s="39"/>
      <c r="S250" s="39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22"/>
      <c r="AO250" s="43">
        <f>A212</f>
        <v>0</v>
      </c>
      <c r="AP250" s="12" t="e">
        <f>#REF!</f>
        <v>#REF!</v>
      </c>
      <c r="AT250" s="2"/>
    </row>
    <row r="251" spans="1:46" s="4" customFormat="1" ht="17.25" customHeight="1" x14ac:dyDescent="0.25">
      <c r="A251" s="23"/>
      <c r="B251" s="201" t="s">
        <v>93</v>
      </c>
      <c r="C251" s="202"/>
      <c r="D251" s="64"/>
      <c r="E251" s="64"/>
      <c r="F251" s="64"/>
      <c r="G251" s="64"/>
      <c r="H251" s="64"/>
      <c r="I251" s="64"/>
      <c r="J251" s="64"/>
      <c r="K251" s="57">
        <v>60</v>
      </c>
      <c r="L251" s="88"/>
      <c r="M251" s="118">
        <f>(K254*L240)-M240-M248</f>
        <v>1145.1199639368897</v>
      </c>
      <c r="N251" s="57">
        <v>-167</v>
      </c>
      <c r="O251" s="88"/>
      <c r="P251" s="118">
        <f>(N254*O240)-P240-P249</f>
        <v>132.28673130193783</v>
      </c>
      <c r="Q251" s="39"/>
      <c r="R251" s="39"/>
      <c r="S251" s="39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22"/>
      <c r="AO251" s="43">
        <f>A234</f>
        <v>0</v>
      </c>
      <c r="AP251" s="12" t="e">
        <f>#REF!</f>
        <v>#REF!</v>
      </c>
      <c r="AT251" s="2"/>
    </row>
    <row r="252" spans="1:46" s="2" customFormat="1" ht="17.25" customHeight="1" x14ac:dyDescent="0.2">
      <c r="A252" s="24"/>
      <c r="B252" s="201"/>
      <c r="C252" s="204"/>
      <c r="D252" s="63"/>
      <c r="E252" s="64"/>
      <c r="F252" s="64"/>
      <c r="G252" s="64"/>
      <c r="H252" s="64"/>
      <c r="I252" s="64"/>
      <c r="J252" s="64"/>
      <c r="K252" s="16"/>
      <c r="L252" s="16"/>
      <c r="M252" s="64"/>
      <c r="N252" s="16"/>
      <c r="O252" s="16"/>
      <c r="P252" s="64"/>
      <c r="Q252" s="46"/>
      <c r="R252" s="46"/>
      <c r="S252" s="39"/>
      <c r="T252" s="16"/>
      <c r="U252" s="16"/>
      <c r="V252" s="16"/>
      <c r="W252" s="16"/>
      <c r="X252" s="16"/>
      <c r="Y252" s="19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43">
        <f>A241</f>
        <v>45946</v>
      </c>
      <c r="AQ252" s="10"/>
      <c r="AR252" s="11"/>
    </row>
    <row r="253" spans="1:46" s="2" customFormat="1" ht="17.25" customHeight="1" thickBot="1" x14ac:dyDescent="0.3">
      <c r="A253" s="56"/>
      <c r="B253" s="101" t="s">
        <v>102</v>
      </c>
      <c r="C253" s="102">
        <f>D254+E254+F254+G254+H254+I254+J254+M254+P254</f>
        <v>56431.369999999981</v>
      </c>
      <c r="D253" s="84"/>
      <c r="E253" s="85"/>
      <c r="F253" s="85"/>
      <c r="G253" s="85"/>
      <c r="H253" s="85"/>
      <c r="I253" s="85"/>
      <c r="J253" s="85"/>
      <c r="K253" s="28"/>
      <c r="L253" s="28"/>
      <c r="M253" s="85"/>
      <c r="N253" s="28"/>
      <c r="O253" s="28"/>
      <c r="P253" s="85"/>
      <c r="Q253" s="48"/>
      <c r="R253" s="48"/>
      <c r="S253" s="51"/>
      <c r="T253" s="28"/>
      <c r="U253" s="28"/>
      <c r="V253" s="28"/>
      <c r="W253" s="28"/>
      <c r="X253" s="28"/>
      <c r="Y253" s="36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42">
        <f>SUM($Q240:AN253)</f>
        <v>-368475.24</v>
      </c>
      <c r="AQ253" s="10"/>
      <c r="AR253" s="11"/>
      <c r="AS253" s="2" t="s">
        <v>5</v>
      </c>
    </row>
    <row r="254" spans="1:46" s="2" customFormat="1" ht="17.25" customHeight="1" thickTop="1" thickBot="1" x14ac:dyDescent="0.3">
      <c r="A254" s="103"/>
      <c r="B254" s="104" t="s">
        <v>103</v>
      </c>
      <c r="C254" s="105">
        <f>AO254</f>
        <v>-312043.87</v>
      </c>
      <c r="D254" s="106">
        <f t="shared" ref="D254:K254" si="30">SUM(D240:D253)</f>
        <v>0.28999999998777604</v>
      </c>
      <c r="E254" s="107">
        <f t="shared" si="30"/>
        <v>-29547.630000000008</v>
      </c>
      <c r="F254" s="107">
        <f t="shared" si="30"/>
        <v>0</v>
      </c>
      <c r="G254" s="107">
        <f t="shared" si="30"/>
        <v>-18462.760000000006</v>
      </c>
      <c r="H254" s="107">
        <f t="shared" si="30"/>
        <v>33480.040000000008</v>
      </c>
      <c r="I254" s="107">
        <f t="shared" si="30"/>
        <v>9559</v>
      </c>
      <c r="J254" s="107">
        <f t="shared" si="30"/>
        <v>0</v>
      </c>
      <c r="K254" s="108">
        <f t="shared" si="30"/>
        <v>5582</v>
      </c>
      <c r="L254" s="109">
        <f>M254/K254</f>
        <v>5.1099068434252954</v>
      </c>
      <c r="M254" s="107">
        <f>ROUND(SUM(M240:M253),2)</f>
        <v>28523.5</v>
      </c>
      <c r="N254" s="108">
        <f>SUM(N240:N253)</f>
        <v>9440</v>
      </c>
      <c r="O254" s="109">
        <f>P254/N254</f>
        <v>3.4829375000000002</v>
      </c>
      <c r="P254" s="107">
        <f>ROUND(SUM(P240:P253),2)</f>
        <v>32878.93</v>
      </c>
      <c r="Q254" s="110">
        <f t="shared" ref="Q254:AN254" si="31">SUM(Q240:Q253)</f>
        <v>-348845</v>
      </c>
      <c r="R254" s="107">
        <f t="shared" si="31"/>
        <v>29928.52</v>
      </c>
      <c r="S254" s="107">
        <f t="shared" si="31"/>
        <v>0</v>
      </c>
      <c r="T254" s="107">
        <f t="shared" si="31"/>
        <v>-12858.760000000002</v>
      </c>
      <c r="U254" s="107">
        <f t="shared" si="31"/>
        <v>0</v>
      </c>
      <c r="V254" s="107">
        <f t="shared" si="31"/>
        <v>-36700.000000000022</v>
      </c>
      <c r="W254" s="107">
        <f t="shared" si="31"/>
        <v>0</v>
      </c>
      <c r="X254" s="107">
        <f t="shared" si="31"/>
        <v>0</v>
      </c>
      <c r="Y254" s="107">
        <f t="shared" si="31"/>
        <v>0</v>
      </c>
      <c r="Z254" s="107">
        <f t="shared" si="31"/>
        <v>0</v>
      </c>
      <c r="AA254" s="107">
        <f t="shared" si="31"/>
        <v>0</v>
      </c>
      <c r="AB254" s="107">
        <f t="shared" si="31"/>
        <v>0</v>
      </c>
      <c r="AC254" s="107">
        <f t="shared" si="31"/>
        <v>0</v>
      </c>
      <c r="AD254" s="107">
        <f t="shared" si="31"/>
        <v>0</v>
      </c>
      <c r="AE254" s="107">
        <f t="shared" si="31"/>
        <v>0</v>
      </c>
      <c r="AF254" s="107">
        <f t="shared" si="31"/>
        <v>0</v>
      </c>
      <c r="AG254" s="107">
        <f t="shared" si="31"/>
        <v>0</v>
      </c>
      <c r="AH254" s="107">
        <f t="shared" si="31"/>
        <v>0</v>
      </c>
      <c r="AI254" s="107">
        <f t="shared" si="31"/>
        <v>0</v>
      </c>
      <c r="AJ254" s="107">
        <f t="shared" si="31"/>
        <v>0</v>
      </c>
      <c r="AK254" s="107">
        <f t="shared" si="31"/>
        <v>0</v>
      </c>
      <c r="AL254" s="107">
        <f t="shared" si="31"/>
        <v>0</v>
      </c>
      <c r="AM254" s="107">
        <f t="shared" si="31"/>
        <v>0</v>
      </c>
      <c r="AN254" s="107">
        <f t="shared" si="31"/>
        <v>0</v>
      </c>
      <c r="AO254" s="111">
        <f>D254+E254+F254+G254+H254+I254+J254+M254+P254+SUM(Q254:AN254)</f>
        <v>-312043.87</v>
      </c>
      <c r="AP254" s="4"/>
      <c r="AQ254" s="5"/>
      <c r="AR254" s="5"/>
      <c r="AS254" s="2" t="s">
        <v>6</v>
      </c>
    </row>
    <row r="255" spans="1:46" s="2" customFormat="1" ht="17.25" customHeight="1" thickTop="1" x14ac:dyDescent="0.25">
      <c r="A255" s="23">
        <f>A241+1</f>
        <v>45947</v>
      </c>
      <c r="B255" s="210" t="s">
        <v>64</v>
      </c>
      <c r="C255" s="203"/>
      <c r="D255" s="63">
        <v>9311.08</v>
      </c>
      <c r="E255" s="66"/>
      <c r="F255" s="66"/>
      <c r="G255" s="66"/>
      <c r="H255" s="66"/>
      <c r="I255" s="66">
        <f>-D255</f>
        <v>-9311.08</v>
      </c>
      <c r="J255" s="66"/>
      <c r="K255" s="18"/>
      <c r="L255" s="18"/>
      <c r="M255" s="66"/>
      <c r="N255" s="18"/>
      <c r="O255" s="18"/>
      <c r="P255" s="66"/>
      <c r="Q255" s="46"/>
      <c r="R255" s="46"/>
      <c r="S255" s="45"/>
      <c r="T255" s="18"/>
      <c r="U255" s="18"/>
      <c r="V255" s="18"/>
      <c r="W255" s="18"/>
      <c r="X255" s="18"/>
      <c r="Y255" s="14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31"/>
      <c r="AQ255" s="10"/>
      <c r="AR255" s="27"/>
    </row>
    <row r="256" spans="1:46" s="4" customFormat="1" ht="17.25" customHeight="1" x14ac:dyDescent="0.25">
      <c r="A256" s="23"/>
      <c r="B256" s="201" t="s">
        <v>96</v>
      </c>
      <c r="C256" s="202"/>
      <c r="D256" s="63"/>
      <c r="E256" s="64"/>
      <c r="F256" s="64"/>
      <c r="G256" s="64"/>
      <c r="H256" s="64"/>
      <c r="I256" s="117">
        <f>-I254-I255</f>
        <v>-247.92000000000007</v>
      </c>
      <c r="J256" s="64"/>
      <c r="K256" s="16"/>
      <c r="L256" s="92"/>
      <c r="M256" s="64"/>
      <c r="N256" s="16"/>
      <c r="O256" s="92"/>
      <c r="P256" s="64"/>
      <c r="Q256" s="40"/>
      <c r="R256" s="46"/>
      <c r="S256" s="39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22"/>
      <c r="AP256" s="30"/>
    </row>
    <row r="257" spans="1:46" s="2" customFormat="1" ht="17.25" customHeight="1" x14ac:dyDescent="0.25">
      <c r="A257" s="29"/>
      <c r="B257" s="201" t="s">
        <v>72</v>
      </c>
      <c r="C257" s="202"/>
      <c r="D257" s="63">
        <v>-9300</v>
      </c>
      <c r="E257" s="64"/>
      <c r="F257" s="64">
        <f>-D257</f>
        <v>9300</v>
      </c>
      <c r="G257" s="64"/>
      <c r="H257" s="64"/>
      <c r="I257" s="64"/>
      <c r="J257" s="64"/>
      <c r="K257" s="57"/>
      <c r="L257" s="88"/>
      <c r="M257" s="62"/>
      <c r="N257" s="57"/>
      <c r="O257" s="88"/>
      <c r="P257" s="62"/>
      <c r="Q257" s="47"/>
      <c r="R257" s="39"/>
      <c r="S257" s="39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22"/>
      <c r="AQ257" s="10" t="s">
        <v>4</v>
      </c>
      <c r="AR257" s="11" t="e">
        <v>#REF!</v>
      </c>
    </row>
    <row r="258" spans="1:46" s="2" customFormat="1" ht="17.25" customHeight="1" thickBot="1" x14ac:dyDescent="0.25">
      <c r="A258" s="24"/>
      <c r="B258" s="216"/>
      <c r="C258" s="217"/>
      <c r="D258" s="83"/>
      <c r="E258" s="81"/>
      <c r="F258" s="81"/>
      <c r="G258" s="81"/>
      <c r="H258" s="81"/>
      <c r="I258" s="81"/>
      <c r="J258" s="81"/>
      <c r="K258" s="37"/>
      <c r="L258" s="93"/>
      <c r="M258" s="81"/>
      <c r="N258" s="37"/>
      <c r="O258" s="93"/>
      <c r="P258" s="81"/>
      <c r="Q258" s="40"/>
      <c r="R258" s="40"/>
      <c r="S258" s="39"/>
      <c r="T258" s="16"/>
      <c r="U258" s="16"/>
      <c r="V258" s="16"/>
      <c r="W258" s="16"/>
      <c r="X258" s="16"/>
      <c r="Y258" s="19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41"/>
      <c r="AQ258" s="10"/>
      <c r="AR258" s="11"/>
    </row>
    <row r="259" spans="1:46" s="4" customFormat="1" ht="17.25" customHeight="1" x14ac:dyDescent="0.25">
      <c r="A259" s="23"/>
      <c r="B259" s="210" t="s">
        <v>94</v>
      </c>
      <c r="C259" s="203"/>
      <c r="D259" s="66"/>
      <c r="E259" s="66"/>
      <c r="F259" s="117"/>
      <c r="G259" s="117"/>
      <c r="H259" s="66"/>
      <c r="I259" s="66"/>
      <c r="J259" s="66">
        <f>-M259</f>
        <v>7312.5</v>
      </c>
      <c r="K259" s="58">
        <v>-1250</v>
      </c>
      <c r="L259" s="89">
        <v>5.85</v>
      </c>
      <c r="M259" s="73">
        <f>K259*L259</f>
        <v>-7312.5</v>
      </c>
      <c r="N259" s="58"/>
      <c r="O259" s="89"/>
      <c r="P259" s="73"/>
      <c r="Q259" s="39"/>
      <c r="R259" s="39"/>
      <c r="S259" s="8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35"/>
      <c r="AP259" s="12" t="e">
        <f>#REF!</f>
        <v>#REF!</v>
      </c>
    </row>
    <row r="260" spans="1:46" s="4" customFormat="1" ht="17.25" customHeight="1" x14ac:dyDescent="0.25">
      <c r="A260" s="23"/>
      <c r="B260" s="201" t="s">
        <v>95</v>
      </c>
      <c r="C260" s="202"/>
      <c r="D260" s="64"/>
      <c r="E260" s="64"/>
      <c r="F260" s="117"/>
      <c r="G260" s="117"/>
      <c r="H260" s="64"/>
      <c r="I260" s="64"/>
      <c r="J260" s="64">
        <f>-P260</f>
        <v>9317</v>
      </c>
      <c r="K260" s="57"/>
      <c r="L260" s="88"/>
      <c r="M260" s="62"/>
      <c r="N260" s="57">
        <v>-2420</v>
      </c>
      <c r="O260" s="88">
        <v>3.85</v>
      </c>
      <c r="P260" s="62">
        <f>N260*O260</f>
        <v>-9317</v>
      </c>
      <c r="Q260" s="39"/>
      <c r="R260" s="39"/>
      <c r="S260" s="8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35"/>
      <c r="AP260" s="12" t="e">
        <f>#REF!</f>
        <v>#REF!</v>
      </c>
    </row>
    <row r="261" spans="1:46" s="4" customFormat="1" ht="17.25" customHeight="1" x14ac:dyDescent="0.25">
      <c r="A261" s="23"/>
      <c r="B261" s="201" t="s">
        <v>97</v>
      </c>
      <c r="C261" s="203"/>
      <c r="D261" s="64"/>
      <c r="E261" s="64"/>
      <c r="F261" s="64"/>
      <c r="G261" s="64"/>
      <c r="H261" s="64">
        <f>-J261-I261</f>
        <v>5437.09</v>
      </c>
      <c r="I261" s="64">
        <v>11192.41</v>
      </c>
      <c r="J261" s="64">
        <f>-SUM(J259:J260)</f>
        <v>-16629.5</v>
      </c>
      <c r="K261" s="57"/>
      <c r="L261" s="88"/>
      <c r="M261" s="62"/>
      <c r="N261" s="57"/>
      <c r="O261" s="88"/>
      <c r="P261" s="62"/>
      <c r="Q261" s="39"/>
      <c r="R261" s="39"/>
      <c r="S261" s="39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22"/>
      <c r="AO261" s="43">
        <f>A237</f>
        <v>0</v>
      </c>
      <c r="AP261" s="12" t="e">
        <f>#REF!</f>
        <v>#REF!</v>
      </c>
      <c r="AT261" s="2"/>
    </row>
    <row r="262" spans="1:46" s="4" customFormat="1" ht="17.25" customHeight="1" x14ac:dyDescent="0.25">
      <c r="A262" s="23"/>
      <c r="B262" s="201" t="s">
        <v>93</v>
      </c>
      <c r="C262" s="202"/>
      <c r="D262" s="64"/>
      <c r="E262" s="64"/>
      <c r="F262" s="64"/>
      <c r="G262" s="64"/>
      <c r="H262" s="64"/>
      <c r="I262" s="64"/>
      <c r="J262" s="64"/>
      <c r="K262" s="57">
        <v>122</v>
      </c>
      <c r="L262" s="88"/>
      <c r="M262" s="118">
        <f>(K265*L254)-M254-M259</f>
        <v>1548.5250806162658</v>
      </c>
      <c r="N262" s="57">
        <v>247</v>
      </c>
      <c r="O262" s="88"/>
      <c r="P262" s="118">
        <f>(N265*O254)-P254-P260</f>
        <v>1748.5768125000031</v>
      </c>
      <c r="Q262" s="39"/>
      <c r="R262" s="39"/>
      <c r="S262" s="39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22"/>
      <c r="AO262" s="43">
        <f>A248</f>
        <v>0</v>
      </c>
      <c r="AP262" s="12" t="e">
        <f>#REF!</f>
        <v>#REF!</v>
      </c>
      <c r="AT262" s="2"/>
    </row>
    <row r="263" spans="1:46" s="2" customFormat="1" ht="17.25" customHeight="1" x14ac:dyDescent="0.2">
      <c r="A263" s="24"/>
      <c r="B263" s="201"/>
      <c r="C263" s="204"/>
      <c r="D263" s="63"/>
      <c r="E263" s="64"/>
      <c r="F263" s="64"/>
      <c r="G263" s="64"/>
      <c r="H263" s="64"/>
      <c r="I263" s="64"/>
      <c r="J263" s="64"/>
      <c r="K263" s="16"/>
      <c r="L263" s="16"/>
      <c r="M263" s="64"/>
      <c r="N263" s="16"/>
      <c r="O263" s="16"/>
      <c r="P263" s="64"/>
      <c r="Q263" s="46"/>
      <c r="R263" s="46"/>
      <c r="S263" s="39"/>
      <c r="T263" s="16"/>
      <c r="U263" s="16"/>
      <c r="V263" s="16"/>
      <c r="W263" s="16"/>
      <c r="X263" s="16"/>
      <c r="Y263" s="19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43">
        <f>A255</f>
        <v>45947</v>
      </c>
      <c r="AQ263" s="10"/>
      <c r="AR263" s="11"/>
    </row>
    <row r="264" spans="1:46" s="2" customFormat="1" ht="17.25" customHeight="1" thickBot="1" x14ac:dyDescent="0.3">
      <c r="A264" s="56"/>
      <c r="B264" s="101" t="s">
        <v>102</v>
      </c>
      <c r="C264" s="102">
        <f>D265+E265+F265+G265+H265+I265+J265+M265+P265</f>
        <v>59480.559999999969</v>
      </c>
      <c r="D264" s="84"/>
      <c r="E264" s="85"/>
      <c r="F264" s="85"/>
      <c r="G264" s="85"/>
      <c r="H264" s="85"/>
      <c r="I264" s="85"/>
      <c r="J264" s="85"/>
      <c r="K264" s="28"/>
      <c r="L264" s="28"/>
      <c r="M264" s="85"/>
      <c r="N264" s="28"/>
      <c r="O264" s="28"/>
      <c r="P264" s="85"/>
      <c r="Q264" s="48"/>
      <c r="R264" s="48"/>
      <c r="S264" s="51"/>
      <c r="T264" s="28"/>
      <c r="U264" s="28"/>
      <c r="V264" s="28"/>
      <c r="W264" s="28"/>
      <c r="X264" s="28"/>
      <c r="Y264" s="36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42">
        <f>SUM($Q254:AN264)</f>
        <v>-368475.24</v>
      </c>
      <c r="AQ264" s="10"/>
      <c r="AR264" s="11"/>
      <c r="AS264" s="2" t="s">
        <v>5</v>
      </c>
    </row>
    <row r="265" spans="1:46" s="2" customFormat="1" ht="17.25" customHeight="1" thickTop="1" thickBot="1" x14ac:dyDescent="0.3">
      <c r="A265" s="103"/>
      <c r="B265" s="104" t="s">
        <v>103</v>
      </c>
      <c r="C265" s="105">
        <f>AO265</f>
        <v>-308994.68000000005</v>
      </c>
      <c r="D265" s="106">
        <f t="shared" ref="D265:K265" si="32">SUM(D254:D264)</f>
        <v>11.369999999988067</v>
      </c>
      <c r="E265" s="107">
        <f t="shared" si="32"/>
        <v>-29547.630000000008</v>
      </c>
      <c r="F265" s="107">
        <f t="shared" si="32"/>
        <v>9300</v>
      </c>
      <c r="G265" s="107">
        <f t="shared" si="32"/>
        <v>-18462.760000000006</v>
      </c>
      <c r="H265" s="107">
        <f t="shared" si="32"/>
        <v>38917.130000000005</v>
      </c>
      <c r="I265" s="107">
        <f t="shared" si="32"/>
        <v>11192.41</v>
      </c>
      <c r="J265" s="107">
        <f t="shared" si="32"/>
        <v>0</v>
      </c>
      <c r="K265" s="108">
        <f t="shared" si="32"/>
        <v>4454</v>
      </c>
      <c r="L265" s="109">
        <f>M265/K265</f>
        <v>5.1099079479119887</v>
      </c>
      <c r="M265" s="107">
        <f>ROUND(SUM(M254:M264),2)</f>
        <v>22759.53</v>
      </c>
      <c r="N265" s="108">
        <f>SUM(N254:N264)</f>
        <v>7267</v>
      </c>
      <c r="O265" s="109">
        <f>P265/N265</f>
        <v>3.4829379386266681</v>
      </c>
      <c r="P265" s="107">
        <f>ROUND(SUM(P254:P264),2)</f>
        <v>25310.51</v>
      </c>
      <c r="Q265" s="110">
        <f t="shared" ref="Q265:AN265" si="33">SUM(Q254:Q264)</f>
        <v>-348845</v>
      </c>
      <c r="R265" s="107">
        <f t="shared" si="33"/>
        <v>29928.52</v>
      </c>
      <c r="S265" s="107">
        <f t="shared" si="33"/>
        <v>0</v>
      </c>
      <c r="T265" s="107">
        <f t="shared" si="33"/>
        <v>-12858.760000000002</v>
      </c>
      <c r="U265" s="107">
        <f t="shared" si="33"/>
        <v>0</v>
      </c>
      <c r="V265" s="107">
        <f t="shared" si="33"/>
        <v>-36700.000000000022</v>
      </c>
      <c r="W265" s="107">
        <f t="shared" si="33"/>
        <v>0</v>
      </c>
      <c r="X265" s="107">
        <f t="shared" si="33"/>
        <v>0</v>
      </c>
      <c r="Y265" s="107">
        <f t="shared" si="33"/>
        <v>0</v>
      </c>
      <c r="Z265" s="107">
        <f t="shared" si="33"/>
        <v>0</v>
      </c>
      <c r="AA265" s="107">
        <f t="shared" si="33"/>
        <v>0</v>
      </c>
      <c r="AB265" s="107">
        <f t="shared" si="33"/>
        <v>0</v>
      </c>
      <c r="AC265" s="107">
        <f t="shared" si="33"/>
        <v>0</v>
      </c>
      <c r="AD265" s="107">
        <f t="shared" si="33"/>
        <v>0</v>
      </c>
      <c r="AE265" s="107">
        <f t="shared" si="33"/>
        <v>0</v>
      </c>
      <c r="AF265" s="107">
        <f t="shared" si="33"/>
        <v>0</v>
      </c>
      <c r="AG265" s="107">
        <f t="shared" si="33"/>
        <v>0</v>
      </c>
      <c r="AH265" s="107">
        <f t="shared" si="33"/>
        <v>0</v>
      </c>
      <c r="AI265" s="107">
        <f t="shared" si="33"/>
        <v>0</v>
      </c>
      <c r="AJ265" s="107">
        <f t="shared" si="33"/>
        <v>0</v>
      </c>
      <c r="AK265" s="107">
        <f t="shared" si="33"/>
        <v>0</v>
      </c>
      <c r="AL265" s="107">
        <f t="shared" si="33"/>
        <v>0</v>
      </c>
      <c r="AM265" s="107">
        <f t="shared" si="33"/>
        <v>0</v>
      </c>
      <c r="AN265" s="107">
        <f t="shared" si="33"/>
        <v>0</v>
      </c>
      <c r="AO265" s="111">
        <f>D265+E265+F265+G265+H265+I265+J265+M265+P265+SUM(Q265:AN265)</f>
        <v>-308994.68000000005</v>
      </c>
      <c r="AP265" s="4"/>
      <c r="AQ265" s="5"/>
      <c r="AR265" s="5"/>
      <c r="AS265" s="2" t="s">
        <v>6</v>
      </c>
    </row>
    <row r="266" spans="1:46" s="2" customFormat="1" ht="17.25" customHeight="1" thickTop="1" x14ac:dyDescent="0.25">
      <c r="A266" s="23">
        <f>A255+1</f>
        <v>45948</v>
      </c>
      <c r="B266" s="210" t="s">
        <v>64</v>
      </c>
      <c r="C266" s="203"/>
      <c r="D266" s="63">
        <v>10930.7</v>
      </c>
      <c r="E266" s="66"/>
      <c r="F266" s="66"/>
      <c r="G266" s="66"/>
      <c r="H266" s="66"/>
      <c r="I266" s="66">
        <f>-D266</f>
        <v>-10930.7</v>
      </c>
      <c r="J266" s="66"/>
      <c r="K266" s="18"/>
      <c r="L266" s="18"/>
      <c r="M266" s="66"/>
      <c r="N266" s="18"/>
      <c r="O266" s="18"/>
      <c r="P266" s="66"/>
      <c r="Q266" s="46"/>
      <c r="R266" s="46"/>
      <c r="S266" s="45"/>
      <c r="T266" s="18"/>
      <c r="U266" s="18"/>
      <c r="V266" s="18"/>
      <c r="W266" s="18"/>
      <c r="X266" s="18"/>
      <c r="Y266" s="14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31"/>
      <c r="AQ266" s="10"/>
      <c r="AR266" s="27"/>
    </row>
    <row r="267" spans="1:46" s="4" customFormat="1" ht="17.25" customHeight="1" x14ac:dyDescent="0.25">
      <c r="A267" s="23"/>
      <c r="B267" s="201" t="s">
        <v>96</v>
      </c>
      <c r="C267" s="202"/>
      <c r="D267" s="63"/>
      <c r="E267" s="64"/>
      <c r="F267" s="64"/>
      <c r="G267" s="64"/>
      <c r="H267" s="64"/>
      <c r="I267" s="117">
        <f>-I265-I266</f>
        <v>-261.70999999999913</v>
      </c>
      <c r="J267" s="64"/>
      <c r="K267" s="16"/>
      <c r="L267" s="92"/>
      <c r="M267" s="64"/>
      <c r="N267" s="16"/>
      <c r="O267" s="92"/>
      <c r="P267" s="64"/>
      <c r="Q267" s="40"/>
      <c r="R267" s="46"/>
      <c r="S267" s="39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22"/>
      <c r="AP267" s="30"/>
    </row>
    <row r="268" spans="1:46" s="2" customFormat="1" ht="17.25" customHeight="1" x14ac:dyDescent="0.25">
      <c r="A268" s="29"/>
      <c r="B268" s="201" t="s">
        <v>72</v>
      </c>
      <c r="C268" s="202"/>
      <c r="D268" s="63">
        <v>-10940</v>
      </c>
      <c r="E268" s="64"/>
      <c r="F268" s="64">
        <f>-D268</f>
        <v>10940</v>
      </c>
      <c r="G268" s="64"/>
      <c r="H268" s="64"/>
      <c r="I268" s="64"/>
      <c r="J268" s="64"/>
      <c r="K268" s="57"/>
      <c r="L268" s="88"/>
      <c r="M268" s="62"/>
      <c r="N268" s="57"/>
      <c r="O268" s="88"/>
      <c r="P268" s="62"/>
      <c r="Q268" s="47"/>
      <c r="R268" s="39"/>
      <c r="S268" s="39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22"/>
      <c r="AQ268" s="10" t="s">
        <v>4</v>
      </c>
      <c r="AR268" s="11" t="e">
        <v>#REF!</v>
      </c>
    </row>
    <row r="269" spans="1:46" s="2" customFormat="1" ht="17.25" customHeight="1" thickBot="1" x14ac:dyDescent="0.25">
      <c r="A269" s="24"/>
      <c r="B269" s="216"/>
      <c r="C269" s="217"/>
      <c r="D269" s="83"/>
      <c r="E269" s="81"/>
      <c r="F269" s="81"/>
      <c r="G269" s="81"/>
      <c r="H269" s="81"/>
      <c r="I269" s="81"/>
      <c r="J269" s="81"/>
      <c r="K269" s="37"/>
      <c r="L269" s="93"/>
      <c r="M269" s="81"/>
      <c r="N269" s="37"/>
      <c r="O269" s="93"/>
      <c r="P269" s="81"/>
      <c r="Q269" s="40"/>
      <c r="R269" s="40"/>
      <c r="S269" s="39"/>
      <c r="T269" s="16"/>
      <c r="U269" s="16"/>
      <c r="V269" s="16"/>
      <c r="W269" s="16"/>
      <c r="X269" s="16"/>
      <c r="Y269" s="19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41"/>
      <c r="AQ269" s="10"/>
      <c r="AR269" s="11"/>
    </row>
    <row r="270" spans="1:46" s="4" customFormat="1" ht="17.25" customHeight="1" x14ac:dyDescent="0.25">
      <c r="A270" s="23"/>
      <c r="B270" s="210" t="s">
        <v>94</v>
      </c>
      <c r="C270" s="203"/>
      <c r="D270" s="66"/>
      <c r="E270" s="66"/>
      <c r="F270" s="117"/>
      <c r="G270" s="117"/>
      <c r="H270" s="66"/>
      <c r="I270" s="66"/>
      <c r="J270" s="66">
        <f>-M270</f>
        <v>6592.95</v>
      </c>
      <c r="K270" s="58">
        <v>-1127</v>
      </c>
      <c r="L270" s="89">
        <v>5.85</v>
      </c>
      <c r="M270" s="73">
        <f>K270*L270</f>
        <v>-6592.95</v>
      </c>
      <c r="N270" s="58"/>
      <c r="O270" s="89"/>
      <c r="P270" s="73"/>
      <c r="Q270" s="39"/>
      <c r="R270" s="39"/>
      <c r="S270" s="8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35"/>
      <c r="AP270" s="12" t="e">
        <f>#REF!</f>
        <v>#REF!</v>
      </c>
    </row>
    <row r="271" spans="1:46" s="4" customFormat="1" ht="17.25" customHeight="1" x14ac:dyDescent="0.25">
      <c r="A271" s="23"/>
      <c r="B271" s="201" t="s">
        <v>95</v>
      </c>
      <c r="C271" s="202"/>
      <c r="D271" s="64"/>
      <c r="E271" s="64"/>
      <c r="F271" s="117"/>
      <c r="G271" s="117"/>
      <c r="H271" s="64"/>
      <c r="I271" s="64"/>
      <c r="J271" s="64">
        <f>-P271</f>
        <v>7807.8</v>
      </c>
      <c r="K271" s="57"/>
      <c r="L271" s="88"/>
      <c r="M271" s="62"/>
      <c r="N271" s="57">
        <v>-2028</v>
      </c>
      <c r="O271" s="88">
        <v>3.85</v>
      </c>
      <c r="P271" s="62">
        <f>N271*O271</f>
        <v>-7807.8</v>
      </c>
      <c r="Q271" s="39"/>
      <c r="R271" s="39"/>
      <c r="S271" s="8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35"/>
      <c r="AP271" s="12" t="e">
        <f>#REF!</f>
        <v>#REF!</v>
      </c>
    </row>
    <row r="272" spans="1:46" s="4" customFormat="1" ht="17.25" customHeight="1" x14ac:dyDescent="0.25">
      <c r="A272" s="23"/>
      <c r="B272" s="201" t="s">
        <v>97</v>
      </c>
      <c r="C272" s="203"/>
      <c r="D272" s="64"/>
      <c r="E272" s="64"/>
      <c r="F272" s="64"/>
      <c r="G272" s="64"/>
      <c r="H272" s="64">
        <f>-J272-I272</f>
        <v>4035.33</v>
      </c>
      <c r="I272" s="64">
        <v>10365.42</v>
      </c>
      <c r="J272" s="64">
        <f>-SUM(J270:J271)</f>
        <v>-14400.75</v>
      </c>
      <c r="K272" s="57"/>
      <c r="L272" s="88"/>
      <c r="M272" s="62"/>
      <c r="N272" s="57"/>
      <c r="O272" s="88"/>
      <c r="P272" s="62"/>
      <c r="Q272" s="39"/>
      <c r="R272" s="39"/>
      <c r="S272" s="39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22"/>
      <c r="AO272" s="43">
        <f>A251</f>
        <v>0</v>
      </c>
      <c r="AP272" s="12" t="e">
        <f>#REF!</f>
        <v>#REF!</v>
      </c>
      <c r="AT272" s="2"/>
    </row>
    <row r="273" spans="1:46" s="4" customFormat="1" ht="17.25" customHeight="1" x14ac:dyDescent="0.25">
      <c r="A273" s="23"/>
      <c r="B273" s="201" t="s">
        <v>93</v>
      </c>
      <c r="C273" s="202"/>
      <c r="D273" s="64"/>
      <c r="E273" s="64"/>
      <c r="F273" s="64"/>
      <c r="G273" s="64"/>
      <c r="H273" s="64"/>
      <c r="I273" s="64"/>
      <c r="J273" s="64"/>
      <c r="K273" s="57">
        <v>-27</v>
      </c>
      <c r="L273" s="88"/>
      <c r="M273" s="118">
        <f>(K276*L265)-M265-M270</f>
        <v>696.11622810956305</v>
      </c>
      <c r="N273" s="57">
        <v>-10</v>
      </c>
      <c r="O273" s="88"/>
      <c r="P273" s="118">
        <f>(N276*O265)-P265-P271</f>
        <v>709.57248107884971</v>
      </c>
      <c r="Q273" s="39"/>
      <c r="R273" s="39"/>
      <c r="S273" s="39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22"/>
      <c r="AO273" s="43">
        <f>A259</f>
        <v>0</v>
      </c>
      <c r="AP273" s="12" t="e">
        <f>#REF!</f>
        <v>#REF!</v>
      </c>
      <c r="AT273" s="2"/>
    </row>
    <row r="274" spans="1:46" s="2" customFormat="1" ht="17.25" customHeight="1" x14ac:dyDescent="0.2">
      <c r="A274" s="24"/>
      <c r="B274" s="201"/>
      <c r="C274" s="204"/>
      <c r="D274" s="63"/>
      <c r="E274" s="64"/>
      <c r="F274" s="64"/>
      <c r="G274" s="64"/>
      <c r="H274" s="64"/>
      <c r="I274" s="64"/>
      <c r="J274" s="64"/>
      <c r="K274" s="16"/>
      <c r="L274" s="16"/>
      <c r="M274" s="64"/>
      <c r="N274" s="16"/>
      <c r="O274" s="16"/>
      <c r="P274" s="64"/>
      <c r="Q274" s="46"/>
      <c r="R274" s="46"/>
      <c r="S274" s="39"/>
      <c r="T274" s="16"/>
      <c r="U274" s="16"/>
      <c r="V274" s="16"/>
      <c r="W274" s="16"/>
      <c r="X274" s="16"/>
      <c r="Y274" s="19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43">
        <f>A266</f>
        <v>45948</v>
      </c>
      <c r="AQ274" s="10"/>
      <c r="AR274" s="11"/>
    </row>
    <row r="275" spans="1:46" s="2" customFormat="1" ht="17.25" customHeight="1" thickBot="1" x14ac:dyDescent="0.3">
      <c r="A275" s="56"/>
      <c r="B275" s="101" t="s">
        <v>102</v>
      </c>
      <c r="C275" s="102">
        <f>D276+E276+F276+G276+H276+I276+J276+M276+P276</f>
        <v>60624.539999999979</v>
      </c>
      <c r="D275" s="84"/>
      <c r="E275" s="85"/>
      <c r="F275" s="85"/>
      <c r="G275" s="85"/>
      <c r="H275" s="85"/>
      <c r="I275" s="85"/>
      <c r="J275" s="85"/>
      <c r="K275" s="28"/>
      <c r="L275" s="28"/>
      <c r="M275" s="85"/>
      <c r="N275" s="28"/>
      <c r="O275" s="28"/>
      <c r="P275" s="85"/>
      <c r="Q275" s="48"/>
      <c r="R275" s="48"/>
      <c r="S275" s="51"/>
      <c r="T275" s="28"/>
      <c r="U275" s="28"/>
      <c r="V275" s="28"/>
      <c r="W275" s="28"/>
      <c r="X275" s="28"/>
      <c r="Y275" s="36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42">
        <f>SUM($Q265:AN275)</f>
        <v>-368475.24</v>
      </c>
      <c r="AQ275" s="10"/>
      <c r="AR275" s="11"/>
      <c r="AS275" s="2" t="s">
        <v>5</v>
      </c>
    </row>
    <row r="276" spans="1:46" s="2" customFormat="1" ht="17.25" customHeight="1" thickTop="1" thickBot="1" x14ac:dyDescent="0.3">
      <c r="A276" s="103"/>
      <c r="B276" s="104" t="s">
        <v>103</v>
      </c>
      <c r="C276" s="105">
        <f>AO276</f>
        <v>-307850.7</v>
      </c>
      <c r="D276" s="106">
        <f t="shared" ref="D276:K276" si="34">SUM(D265:D275)</f>
        <v>2.069999999988795</v>
      </c>
      <c r="E276" s="107">
        <f t="shared" si="34"/>
        <v>-29547.630000000008</v>
      </c>
      <c r="F276" s="107">
        <f t="shared" si="34"/>
        <v>20240</v>
      </c>
      <c r="G276" s="107">
        <f t="shared" si="34"/>
        <v>-18462.760000000006</v>
      </c>
      <c r="H276" s="107">
        <f t="shared" si="34"/>
        <v>42952.460000000006</v>
      </c>
      <c r="I276" s="107">
        <f t="shared" si="34"/>
        <v>10365.42</v>
      </c>
      <c r="J276" s="107">
        <f t="shared" si="34"/>
        <v>0</v>
      </c>
      <c r="K276" s="108">
        <f t="shared" si="34"/>
        <v>3300</v>
      </c>
      <c r="L276" s="109">
        <f>M276/K276</f>
        <v>5.109909090909091</v>
      </c>
      <c r="M276" s="107">
        <f>ROUND(SUM(M265:M275),2)</f>
        <v>16862.7</v>
      </c>
      <c r="N276" s="108">
        <f>SUM(N265:N275)</f>
        <v>5229</v>
      </c>
      <c r="O276" s="109">
        <f>P276/N276</f>
        <v>3.482937464142283</v>
      </c>
      <c r="P276" s="107">
        <f>ROUND(SUM(P265:P275),2)</f>
        <v>18212.28</v>
      </c>
      <c r="Q276" s="110">
        <f t="shared" ref="Q276:AN276" si="35">SUM(Q265:Q275)</f>
        <v>-348845</v>
      </c>
      <c r="R276" s="107">
        <f t="shared" si="35"/>
        <v>29928.52</v>
      </c>
      <c r="S276" s="107">
        <f t="shared" si="35"/>
        <v>0</v>
      </c>
      <c r="T276" s="107">
        <f t="shared" si="35"/>
        <v>-12858.760000000002</v>
      </c>
      <c r="U276" s="107">
        <f t="shared" si="35"/>
        <v>0</v>
      </c>
      <c r="V276" s="107">
        <f t="shared" si="35"/>
        <v>-36700.000000000022</v>
      </c>
      <c r="W276" s="107">
        <f t="shared" si="35"/>
        <v>0</v>
      </c>
      <c r="X276" s="107">
        <f t="shared" si="35"/>
        <v>0</v>
      </c>
      <c r="Y276" s="107">
        <f t="shared" si="35"/>
        <v>0</v>
      </c>
      <c r="Z276" s="107">
        <f t="shared" si="35"/>
        <v>0</v>
      </c>
      <c r="AA276" s="107">
        <f t="shared" si="35"/>
        <v>0</v>
      </c>
      <c r="AB276" s="107">
        <f t="shared" si="35"/>
        <v>0</v>
      </c>
      <c r="AC276" s="107">
        <f t="shared" si="35"/>
        <v>0</v>
      </c>
      <c r="AD276" s="107">
        <f t="shared" si="35"/>
        <v>0</v>
      </c>
      <c r="AE276" s="107">
        <f t="shared" si="35"/>
        <v>0</v>
      </c>
      <c r="AF276" s="107">
        <f t="shared" si="35"/>
        <v>0</v>
      </c>
      <c r="AG276" s="107">
        <f t="shared" si="35"/>
        <v>0</v>
      </c>
      <c r="AH276" s="107">
        <f t="shared" si="35"/>
        <v>0</v>
      </c>
      <c r="AI276" s="107">
        <f t="shared" si="35"/>
        <v>0</v>
      </c>
      <c r="AJ276" s="107">
        <f t="shared" si="35"/>
        <v>0</v>
      </c>
      <c r="AK276" s="107">
        <f t="shared" si="35"/>
        <v>0</v>
      </c>
      <c r="AL276" s="107">
        <f t="shared" si="35"/>
        <v>0</v>
      </c>
      <c r="AM276" s="107">
        <f t="shared" si="35"/>
        <v>0</v>
      </c>
      <c r="AN276" s="107">
        <f t="shared" si="35"/>
        <v>0</v>
      </c>
      <c r="AO276" s="111">
        <f>D276+E276+F276+G276+H276+I276+J276+M276+P276+SUM(Q276:AN276)</f>
        <v>-307850.7</v>
      </c>
      <c r="AP276" s="4"/>
      <c r="AQ276" s="5"/>
      <c r="AR276" s="5"/>
      <c r="AS276" s="2" t="s">
        <v>6</v>
      </c>
    </row>
    <row r="277" spans="1:46" s="2" customFormat="1" ht="17.25" customHeight="1" thickTop="1" x14ac:dyDescent="0.25">
      <c r="A277" s="23">
        <f>A266+1</f>
        <v>45949</v>
      </c>
      <c r="B277" s="210" t="s">
        <v>64</v>
      </c>
      <c r="C277" s="203"/>
      <c r="D277" s="63">
        <v>10114.76</v>
      </c>
      <c r="E277" s="66"/>
      <c r="F277" s="66"/>
      <c r="G277" s="66"/>
      <c r="H277" s="66"/>
      <c r="I277" s="66">
        <f>-D277</f>
        <v>-10114.76</v>
      </c>
      <c r="J277" s="66"/>
      <c r="K277" s="18"/>
      <c r="L277" s="18"/>
      <c r="M277" s="66"/>
      <c r="N277" s="18"/>
      <c r="O277" s="18"/>
      <c r="P277" s="66"/>
      <c r="Q277" s="46"/>
      <c r="R277" s="46"/>
      <c r="S277" s="45"/>
      <c r="T277" s="18"/>
      <c r="U277" s="18"/>
      <c r="V277" s="18"/>
      <c r="W277" s="18"/>
      <c r="X277" s="18"/>
      <c r="Y277" s="14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31"/>
      <c r="AQ277" s="10"/>
      <c r="AR277" s="27"/>
    </row>
    <row r="278" spans="1:46" s="4" customFormat="1" ht="17.25" customHeight="1" x14ac:dyDescent="0.25">
      <c r="A278" s="23"/>
      <c r="B278" s="201" t="s">
        <v>96</v>
      </c>
      <c r="C278" s="202"/>
      <c r="D278" s="63"/>
      <c r="E278" s="64"/>
      <c r="F278" s="64"/>
      <c r="G278" s="64"/>
      <c r="H278" s="64"/>
      <c r="I278" s="117">
        <f>-I276-I277</f>
        <v>-250.65999999999985</v>
      </c>
      <c r="J278" s="64"/>
      <c r="K278" s="16"/>
      <c r="L278" s="92"/>
      <c r="M278" s="64"/>
      <c r="N278" s="16"/>
      <c r="O278" s="92"/>
      <c r="P278" s="64"/>
      <c r="Q278" s="40"/>
      <c r="R278" s="46"/>
      <c r="S278" s="39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22"/>
      <c r="AP278" s="30"/>
    </row>
    <row r="279" spans="1:46" s="2" customFormat="1" ht="17.25" customHeight="1" x14ac:dyDescent="0.25">
      <c r="A279" s="29"/>
      <c r="B279" s="201" t="s">
        <v>72</v>
      </c>
      <c r="C279" s="202"/>
      <c r="D279" s="63">
        <v>-10100</v>
      </c>
      <c r="E279" s="64"/>
      <c r="F279" s="64">
        <f>-D279</f>
        <v>10100</v>
      </c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47"/>
      <c r="R279" s="39"/>
      <c r="S279" s="39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22"/>
      <c r="AQ279" s="10" t="s">
        <v>4</v>
      </c>
      <c r="AR279" s="11" t="e">
        <v>#REF!</v>
      </c>
    </row>
    <row r="280" spans="1:46" s="2" customFormat="1" ht="17.25" customHeight="1" thickBot="1" x14ac:dyDescent="0.25">
      <c r="A280" s="24"/>
      <c r="B280" s="216"/>
      <c r="C280" s="217"/>
      <c r="D280" s="83"/>
      <c r="E280" s="81"/>
      <c r="F280" s="81"/>
      <c r="G280" s="81"/>
      <c r="H280" s="81"/>
      <c r="I280" s="81"/>
      <c r="J280" s="81"/>
      <c r="K280" s="37"/>
      <c r="L280" s="93"/>
      <c r="M280" s="81"/>
      <c r="N280" s="37"/>
      <c r="O280" s="93"/>
      <c r="P280" s="81"/>
      <c r="Q280" s="40"/>
      <c r="R280" s="40"/>
      <c r="S280" s="39"/>
      <c r="T280" s="16"/>
      <c r="U280" s="16"/>
      <c r="V280" s="16"/>
      <c r="W280" s="16"/>
      <c r="X280" s="16"/>
      <c r="Y280" s="19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41"/>
      <c r="AQ280" s="10"/>
      <c r="AR280" s="11"/>
    </row>
    <row r="281" spans="1:46" s="4" customFormat="1" ht="17.25" customHeight="1" x14ac:dyDescent="0.25">
      <c r="A281" s="23"/>
      <c r="B281" s="210" t="s">
        <v>94</v>
      </c>
      <c r="C281" s="203"/>
      <c r="D281" s="66"/>
      <c r="E281" s="66"/>
      <c r="F281" s="117"/>
      <c r="G281" s="117"/>
      <c r="H281" s="66"/>
      <c r="I281" s="66"/>
      <c r="J281" s="66">
        <f>-M281</f>
        <v>5814.9</v>
      </c>
      <c r="K281" s="58">
        <v>-994</v>
      </c>
      <c r="L281" s="89">
        <v>5.85</v>
      </c>
      <c r="M281" s="73">
        <f>K281*L281</f>
        <v>-5814.9</v>
      </c>
      <c r="N281" s="58"/>
      <c r="O281" s="89"/>
      <c r="P281" s="73"/>
      <c r="Q281" s="39"/>
      <c r="R281" s="39"/>
      <c r="S281" s="8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35"/>
      <c r="AP281" s="12" t="e">
        <f>#REF!</f>
        <v>#REF!</v>
      </c>
    </row>
    <row r="282" spans="1:46" s="4" customFormat="1" ht="17.25" customHeight="1" x14ac:dyDescent="0.25">
      <c r="A282" s="23"/>
      <c r="B282" s="201" t="s">
        <v>95</v>
      </c>
      <c r="C282" s="202"/>
      <c r="D282" s="64"/>
      <c r="E282" s="64"/>
      <c r="F282" s="117"/>
      <c r="G282" s="117"/>
      <c r="H282" s="64"/>
      <c r="I282" s="64"/>
      <c r="J282" s="64">
        <f>-P282</f>
        <v>6244.7</v>
      </c>
      <c r="K282" s="57"/>
      <c r="L282" s="88"/>
      <c r="M282" s="62"/>
      <c r="N282" s="57">
        <v>-1622</v>
      </c>
      <c r="O282" s="88">
        <v>3.85</v>
      </c>
      <c r="P282" s="62">
        <f>N282*O282</f>
        <v>-6244.7</v>
      </c>
      <c r="Q282" s="39"/>
      <c r="R282" s="39"/>
      <c r="S282" s="8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35"/>
      <c r="AP282" s="12" t="e">
        <f>#REF!</f>
        <v>#REF!</v>
      </c>
    </row>
    <row r="283" spans="1:46" s="4" customFormat="1" ht="17.25" customHeight="1" x14ac:dyDescent="0.25">
      <c r="A283" s="23"/>
      <c r="B283" s="201" t="s">
        <v>97</v>
      </c>
      <c r="C283" s="203"/>
      <c r="D283" s="64"/>
      <c r="E283" s="64"/>
      <c r="F283" s="64"/>
      <c r="G283" s="64"/>
      <c r="H283" s="64">
        <f>-J283-I283</f>
        <v>3318.909999999998</v>
      </c>
      <c r="I283" s="64">
        <v>8740.69</v>
      </c>
      <c r="J283" s="64">
        <f>-SUM(J281:J282)</f>
        <v>-12059.599999999999</v>
      </c>
      <c r="K283" s="57"/>
      <c r="L283" s="88"/>
      <c r="M283" s="62"/>
      <c r="N283" s="57"/>
      <c r="O283" s="88"/>
      <c r="P283" s="62"/>
      <c r="Q283" s="39"/>
      <c r="R283" s="39"/>
      <c r="S283" s="39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22"/>
      <c r="AO283" s="43">
        <f>A262</f>
        <v>0</v>
      </c>
      <c r="AP283" s="12" t="e">
        <f>#REF!</f>
        <v>#REF!</v>
      </c>
      <c r="AT283" s="2"/>
    </row>
    <row r="284" spans="1:46" s="4" customFormat="1" ht="17.25" customHeight="1" x14ac:dyDescent="0.25">
      <c r="A284" s="23"/>
      <c r="B284" s="201" t="s">
        <v>93</v>
      </c>
      <c r="C284" s="202"/>
      <c r="D284" s="64"/>
      <c r="E284" s="64"/>
      <c r="F284" s="64"/>
      <c r="G284" s="64"/>
      <c r="H284" s="64"/>
      <c r="I284" s="64"/>
      <c r="J284" s="64"/>
      <c r="K284" s="57">
        <v>-64</v>
      </c>
      <c r="L284" s="88"/>
      <c r="M284" s="118">
        <f>(K287*L276)-M276-M281</f>
        <v>408.61618181818085</v>
      </c>
      <c r="N284" s="57">
        <v>2</v>
      </c>
      <c r="O284" s="88"/>
      <c r="P284" s="118">
        <f>(N287*O276)-P276-P282</f>
        <v>602.34130808949976</v>
      </c>
      <c r="Q284" s="39"/>
      <c r="R284" s="39"/>
      <c r="S284" s="39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22"/>
      <c r="AO284" s="43">
        <f>A270</f>
        <v>0</v>
      </c>
      <c r="AP284" s="12" t="e">
        <f>#REF!</f>
        <v>#REF!</v>
      </c>
      <c r="AT284" s="2"/>
    </row>
    <row r="285" spans="1:46" s="2" customFormat="1" ht="17.25" customHeight="1" x14ac:dyDescent="0.2">
      <c r="A285" s="24"/>
      <c r="B285" s="201"/>
      <c r="C285" s="204"/>
      <c r="D285" s="63"/>
      <c r="E285" s="64"/>
      <c r="F285" s="64"/>
      <c r="G285" s="64"/>
      <c r="H285" s="64"/>
      <c r="I285" s="64"/>
      <c r="J285" s="64"/>
      <c r="K285" s="16"/>
      <c r="L285" s="16"/>
      <c r="M285" s="64"/>
      <c r="N285" s="16"/>
      <c r="O285" s="16"/>
      <c r="P285" s="64"/>
      <c r="Q285" s="46"/>
      <c r="R285" s="46"/>
      <c r="S285" s="39"/>
      <c r="T285" s="16"/>
      <c r="U285" s="16"/>
      <c r="V285" s="16"/>
      <c r="W285" s="16"/>
      <c r="X285" s="16"/>
      <c r="Y285" s="19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43">
        <f>A277</f>
        <v>45949</v>
      </c>
      <c r="AQ285" s="10"/>
      <c r="AR285" s="11"/>
    </row>
    <row r="286" spans="1:46" s="2" customFormat="1" ht="17.25" customHeight="1" thickBot="1" x14ac:dyDescent="0.3">
      <c r="A286" s="56"/>
      <c r="B286" s="101" t="s">
        <v>102</v>
      </c>
      <c r="C286" s="102">
        <f>D287+E287+F287+G287+H287+I287+J287+M287+P287</f>
        <v>61384.839999999975</v>
      </c>
      <c r="D286" s="84"/>
      <c r="E286" s="85"/>
      <c r="F286" s="85"/>
      <c r="G286" s="85"/>
      <c r="H286" s="85"/>
      <c r="I286" s="85"/>
      <c r="J286" s="85"/>
      <c r="K286" s="28"/>
      <c r="L286" s="28"/>
      <c r="M286" s="85"/>
      <c r="N286" s="28"/>
      <c r="O286" s="28"/>
      <c r="P286" s="85"/>
      <c r="Q286" s="48"/>
      <c r="R286" s="48"/>
      <c r="S286" s="51"/>
      <c r="T286" s="28"/>
      <c r="U286" s="28"/>
      <c r="V286" s="28"/>
      <c r="W286" s="28"/>
      <c r="X286" s="28"/>
      <c r="Y286" s="36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42">
        <f>SUM($Q276:AN286)</f>
        <v>-368475.24</v>
      </c>
      <c r="AQ286" s="10"/>
      <c r="AR286" s="11"/>
      <c r="AS286" s="2" t="s">
        <v>5</v>
      </c>
    </row>
    <row r="287" spans="1:46" s="2" customFormat="1" ht="17.25" customHeight="1" thickTop="1" thickBot="1" x14ac:dyDescent="0.3">
      <c r="A287" s="103"/>
      <c r="B287" s="104" t="s">
        <v>103</v>
      </c>
      <c r="C287" s="105">
        <f>AO287</f>
        <v>-307090.40000000002</v>
      </c>
      <c r="D287" s="106">
        <f t="shared" ref="D287:K287" si="36">SUM(D276:D286)</f>
        <v>16.829999999989013</v>
      </c>
      <c r="E287" s="107">
        <f t="shared" si="36"/>
        <v>-29547.630000000008</v>
      </c>
      <c r="F287" s="107">
        <f t="shared" si="36"/>
        <v>30340</v>
      </c>
      <c r="G287" s="107">
        <f t="shared" si="36"/>
        <v>-18462.760000000006</v>
      </c>
      <c r="H287" s="107">
        <f t="shared" si="36"/>
        <v>46271.37</v>
      </c>
      <c r="I287" s="107">
        <f t="shared" si="36"/>
        <v>8740.69</v>
      </c>
      <c r="J287" s="107">
        <f t="shared" si="36"/>
        <v>0</v>
      </c>
      <c r="K287" s="108">
        <f t="shared" si="36"/>
        <v>2242</v>
      </c>
      <c r="L287" s="109">
        <f>M287/K287</f>
        <v>5.1099107939339872</v>
      </c>
      <c r="M287" s="107">
        <f>ROUND(SUM(M276:M286),2)</f>
        <v>11456.42</v>
      </c>
      <c r="N287" s="108">
        <f>SUM(N276:N286)</f>
        <v>3609</v>
      </c>
      <c r="O287" s="109">
        <f>P287/N287</f>
        <v>3.4829371016902191</v>
      </c>
      <c r="P287" s="107">
        <f>ROUND(SUM(P276:P286),2)</f>
        <v>12569.92</v>
      </c>
      <c r="Q287" s="110">
        <f t="shared" ref="Q287:AN287" si="37">SUM(Q276:Q286)</f>
        <v>-348845</v>
      </c>
      <c r="R287" s="107">
        <f t="shared" si="37"/>
        <v>29928.52</v>
      </c>
      <c r="S287" s="107">
        <f t="shared" si="37"/>
        <v>0</v>
      </c>
      <c r="T287" s="107">
        <f t="shared" si="37"/>
        <v>-12858.760000000002</v>
      </c>
      <c r="U287" s="107">
        <f t="shared" si="37"/>
        <v>0</v>
      </c>
      <c r="V287" s="107">
        <f t="shared" si="37"/>
        <v>-36700.000000000022</v>
      </c>
      <c r="W287" s="107">
        <f t="shared" si="37"/>
        <v>0</v>
      </c>
      <c r="X287" s="107">
        <f t="shared" si="37"/>
        <v>0</v>
      </c>
      <c r="Y287" s="107">
        <f t="shared" si="37"/>
        <v>0</v>
      </c>
      <c r="Z287" s="107">
        <f t="shared" si="37"/>
        <v>0</v>
      </c>
      <c r="AA287" s="107">
        <f t="shared" si="37"/>
        <v>0</v>
      </c>
      <c r="AB287" s="107">
        <f t="shared" si="37"/>
        <v>0</v>
      </c>
      <c r="AC287" s="107">
        <f t="shared" si="37"/>
        <v>0</v>
      </c>
      <c r="AD287" s="107">
        <f t="shared" si="37"/>
        <v>0</v>
      </c>
      <c r="AE287" s="107">
        <f t="shared" si="37"/>
        <v>0</v>
      </c>
      <c r="AF287" s="107">
        <f t="shared" si="37"/>
        <v>0</v>
      </c>
      <c r="AG287" s="107">
        <f t="shared" si="37"/>
        <v>0</v>
      </c>
      <c r="AH287" s="107">
        <f t="shared" si="37"/>
        <v>0</v>
      </c>
      <c r="AI287" s="107">
        <f t="shared" si="37"/>
        <v>0</v>
      </c>
      <c r="AJ287" s="107">
        <f t="shared" si="37"/>
        <v>0</v>
      </c>
      <c r="AK287" s="107">
        <f t="shared" si="37"/>
        <v>0</v>
      </c>
      <c r="AL287" s="107">
        <f t="shared" si="37"/>
        <v>0</v>
      </c>
      <c r="AM287" s="107">
        <f t="shared" si="37"/>
        <v>0</v>
      </c>
      <c r="AN287" s="107">
        <f t="shared" si="37"/>
        <v>0</v>
      </c>
      <c r="AO287" s="111">
        <f>D287+E287+F287+G287+H287+I287+J287+M287+P287+SUM(Q287:AN287)</f>
        <v>-307090.40000000002</v>
      </c>
      <c r="AP287" s="4"/>
      <c r="AQ287" s="5"/>
      <c r="AR287" s="5"/>
      <c r="AS287" s="2" t="s">
        <v>6</v>
      </c>
    </row>
    <row r="288" spans="1:46" s="2" customFormat="1" ht="17.25" customHeight="1" thickTop="1" x14ac:dyDescent="0.25">
      <c r="A288" s="23">
        <f>A277+1</f>
        <v>45950</v>
      </c>
      <c r="B288" s="210" t="s">
        <v>64</v>
      </c>
      <c r="C288" s="203"/>
      <c r="D288" s="63">
        <v>8513.52</v>
      </c>
      <c r="E288" s="66"/>
      <c r="F288" s="66"/>
      <c r="G288" s="66"/>
      <c r="H288" s="66"/>
      <c r="I288" s="66">
        <f>-D288</f>
        <v>-8513.52</v>
      </c>
      <c r="J288" s="66"/>
      <c r="K288" s="18"/>
      <c r="L288" s="18"/>
      <c r="M288" s="66"/>
      <c r="N288" s="18"/>
      <c r="O288" s="18"/>
      <c r="P288" s="66"/>
      <c r="Q288" s="46"/>
      <c r="R288" s="46"/>
      <c r="S288" s="45"/>
      <c r="T288" s="18"/>
      <c r="U288" s="18"/>
      <c r="V288" s="18"/>
      <c r="W288" s="18"/>
      <c r="X288" s="18"/>
      <c r="Y288" s="14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31"/>
      <c r="AQ288" s="10"/>
      <c r="AR288" s="27"/>
    </row>
    <row r="289" spans="1:46" s="4" customFormat="1" ht="17.25" customHeight="1" x14ac:dyDescent="0.25">
      <c r="A289" s="23"/>
      <c r="B289" s="201" t="s">
        <v>96</v>
      </c>
      <c r="C289" s="202"/>
      <c r="D289" s="63"/>
      <c r="E289" s="64"/>
      <c r="F289" s="64"/>
      <c r="G289" s="64"/>
      <c r="H289" s="64"/>
      <c r="I289" s="117">
        <f>-I287-I288</f>
        <v>-227.17000000000007</v>
      </c>
      <c r="J289" s="64"/>
      <c r="K289" s="16"/>
      <c r="L289" s="92"/>
      <c r="M289" s="64"/>
      <c r="N289" s="16"/>
      <c r="O289" s="92"/>
      <c r="P289" s="64"/>
      <c r="Q289" s="40"/>
      <c r="R289" s="46"/>
      <c r="S289" s="39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22"/>
      <c r="AP289" s="30"/>
    </row>
    <row r="290" spans="1:46" s="4" customFormat="1" ht="17.25" customHeight="1" x14ac:dyDescent="0.25">
      <c r="A290" s="23"/>
      <c r="B290" s="201" t="s">
        <v>13</v>
      </c>
      <c r="C290" s="203"/>
      <c r="D290" s="63"/>
      <c r="E290" s="64">
        <f>61+14+70+20+60+130+20+270+30+40+15+100+50+100+20+70+10+100+50+100+170+50+50+100+150+51+50+20</f>
        <v>1971</v>
      </c>
      <c r="F290" s="64"/>
      <c r="G290" s="64"/>
      <c r="H290" s="64">
        <f>-E290</f>
        <v>-1971</v>
      </c>
      <c r="I290" s="66"/>
      <c r="J290" s="64"/>
      <c r="K290" s="16"/>
      <c r="L290" s="92"/>
      <c r="M290" s="64"/>
      <c r="N290" s="16"/>
      <c r="O290" s="92"/>
      <c r="P290" s="64"/>
      <c r="Q290" s="40"/>
      <c r="R290" s="46">
        <f>-D290</f>
        <v>0</v>
      </c>
      <c r="S290" s="39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22"/>
      <c r="AP290" s="30"/>
    </row>
    <row r="291" spans="1:46" s="2" customFormat="1" ht="17.25" customHeight="1" x14ac:dyDescent="0.25">
      <c r="A291" s="24"/>
      <c r="B291" s="201" t="s">
        <v>189</v>
      </c>
      <c r="C291" s="203"/>
      <c r="D291" s="63"/>
      <c r="E291" s="64">
        <f>200+400+2000+2000+2000</f>
        <v>6600</v>
      </c>
      <c r="F291" s="64"/>
      <c r="G291" s="64"/>
      <c r="H291" s="64">
        <f>-E291</f>
        <v>-6600</v>
      </c>
      <c r="I291" s="64"/>
      <c r="J291" s="64"/>
      <c r="K291" s="16"/>
      <c r="L291" s="92"/>
      <c r="M291" s="64"/>
      <c r="N291" s="16"/>
      <c r="O291" s="92"/>
      <c r="P291" s="64"/>
      <c r="Q291" s="40"/>
      <c r="R291" s="40"/>
      <c r="S291" s="39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22"/>
      <c r="AQ291" s="10"/>
      <c r="AR291" s="11"/>
    </row>
    <row r="292" spans="1:46" s="2" customFormat="1" ht="17.25" customHeight="1" x14ac:dyDescent="0.2">
      <c r="A292" s="23"/>
      <c r="B292" s="201" t="s">
        <v>223</v>
      </c>
      <c r="C292" s="203"/>
      <c r="D292" s="63"/>
      <c r="E292" s="64">
        <f>-200-200</f>
        <v>-400</v>
      </c>
      <c r="F292" s="74"/>
      <c r="G292" s="74"/>
      <c r="H292" s="64"/>
      <c r="I292" s="64"/>
      <c r="J292" s="64"/>
      <c r="K292" s="16"/>
      <c r="L292" s="16"/>
      <c r="M292" s="64"/>
      <c r="N292" s="16"/>
      <c r="O292" s="16"/>
      <c r="P292" s="64"/>
      <c r="Q292" s="46"/>
      <c r="R292" s="39"/>
      <c r="S292" s="40"/>
      <c r="T292" s="16"/>
      <c r="U292" s="16"/>
      <c r="V292" s="16"/>
      <c r="W292" s="16"/>
      <c r="X292" s="16"/>
      <c r="Y292" s="19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35"/>
      <c r="AQ292" s="10"/>
      <c r="AR292" s="27"/>
    </row>
    <row r="293" spans="1:46" s="2" customFormat="1" ht="17.25" customHeight="1" x14ac:dyDescent="0.25">
      <c r="A293" s="29"/>
      <c r="B293" s="52" t="s">
        <v>72</v>
      </c>
      <c r="C293" s="54"/>
      <c r="D293" s="63">
        <v>-8500</v>
      </c>
      <c r="E293" s="64"/>
      <c r="F293" s="64">
        <f>-D293</f>
        <v>8500</v>
      </c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47"/>
      <c r="R293" s="39"/>
      <c r="S293" s="39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22"/>
      <c r="AQ293" s="10" t="s">
        <v>4</v>
      </c>
      <c r="AR293" s="11" t="e">
        <v>#REF!</v>
      </c>
    </row>
    <row r="294" spans="1:46" s="2" customFormat="1" ht="17.25" customHeight="1" x14ac:dyDescent="0.25">
      <c r="A294" s="29"/>
      <c r="B294" s="52" t="s">
        <v>72</v>
      </c>
      <c r="C294" s="54"/>
      <c r="D294" s="63">
        <f>-F294</f>
        <v>38840</v>
      </c>
      <c r="E294" s="64"/>
      <c r="F294" s="64">
        <v>-38840</v>
      </c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47"/>
      <c r="R294" s="39"/>
      <c r="S294" s="39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22"/>
      <c r="AQ294" s="10" t="s">
        <v>4</v>
      </c>
      <c r="AR294" s="11" t="e">
        <v>#REF!</v>
      </c>
    </row>
    <row r="295" spans="1:46" s="2" customFormat="1" ht="17.25" customHeight="1" x14ac:dyDescent="0.2">
      <c r="A295" s="23"/>
      <c r="B295" s="205" t="s">
        <v>224</v>
      </c>
      <c r="C295" s="206"/>
      <c r="D295" s="64">
        <v>-34800</v>
      </c>
      <c r="E295" s="64"/>
      <c r="F295" s="74"/>
      <c r="G295" s="74"/>
      <c r="H295" s="64"/>
      <c r="I295" s="64"/>
      <c r="J295" s="64"/>
      <c r="K295" s="16"/>
      <c r="L295" s="16"/>
      <c r="M295" s="64"/>
      <c r="N295" s="16"/>
      <c r="O295" s="16"/>
      <c r="P295" s="64"/>
      <c r="Q295" s="46"/>
      <c r="R295" s="39"/>
      <c r="S295" s="40"/>
      <c r="T295" s="16"/>
      <c r="U295" s="16"/>
      <c r="V295" s="16"/>
      <c r="W295" s="16"/>
      <c r="X295" s="16"/>
      <c r="Y295" s="19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35"/>
      <c r="AQ295" s="10"/>
      <c r="AR295" s="27"/>
    </row>
    <row r="296" spans="1:46" s="2" customFormat="1" ht="17.25" customHeight="1" x14ac:dyDescent="0.2">
      <c r="A296" s="23"/>
      <c r="B296" s="201" t="s">
        <v>65</v>
      </c>
      <c r="C296" s="203"/>
      <c r="D296" s="63">
        <f>-4.9-4.9</f>
        <v>-9.8000000000000007</v>
      </c>
      <c r="E296" s="64"/>
      <c r="F296" s="74"/>
      <c r="G296" s="74"/>
      <c r="H296" s="64"/>
      <c r="I296" s="64"/>
      <c r="J296" s="64"/>
      <c r="K296" s="16"/>
      <c r="L296" s="16"/>
      <c r="M296" s="64"/>
      <c r="N296" s="16"/>
      <c r="O296" s="16"/>
      <c r="P296" s="64"/>
      <c r="Q296" s="46"/>
      <c r="R296" s="39"/>
      <c r="S296" s="40"/>
      <c r="T296" s="16"/>
      <c r="U296" s="16"/>
      <c r="V296" s="16"/>
      <c r="W296" s="16"/>
      <c r="X296" s="16"/>
      <c r="Y296" s="19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35"/>
      <c r="AQ296" s="10"/>
      <c r="AR296" s="27"/>
    </row>
    <row r="297" spans="1:46" s="2" customFormat="1" ht="17.25" customHeight="1" x14ac:dyDescent="0.2">
      <c r="A297" s="23"/>
      <c r="B297" s="201" t="s">
        <v>217</v>
      </c>
      <c r="C297" s="203"/>
      <c r="D297" s="63">
        <v>-224.4</v>
      </c>
      <c r="E297" s="64"/>
      <c r="F297" s="74"/>
      <c r="G297" s="74"/>
      <c r="H297" s="64"/>
      <c r="I297" s="64"/>
      <c r="J297" s="64"/>
      <c r="K297" s="16"/>
      <c r="L297" s="16"/>
      <c r="M297" s="64"/>
      <c r="N297" s="16"/>
      <c r="O297" s="16"/>
      <c r="P297" s="64"/>
      <c r="Q297" s="46"/>
      <c r="R297" s="39"/>
      <c r="S297" s="40"/>
      <c r="T297" s="16"/>
      <c r="U297" s="16"/>
      <c r="V297" s="16"/>
      <c r="W297" s="16"/>
      <c r="X297" s="16"/>
      <c r="Y297" s="19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35"/>
      <c r="AQ297" s="10"/>
      <c r="AR297" s="27"/>
    </row>
    <row r="298" spans="1:46" s="2" customFormat="1" ht="17.25" customHeight="1" x14ac:dyDescent="0.2">
      <c r="A298" s="23"/>
      <c r="B298" s="205" t="s">
        <v>226</v>
      </c>
      <c r="C298" s="206"/>
      <c r="D298" s="64"/>
      <c r="E298" s="64"/>
      <c r="F298" s="64"/>
      <c r="G298" s="64"/>
      <c r="H298" s="64"/>
      <c r="I298" s="64"/>
      <c r="J298" s="64"/>
      <c r="K298" s="57"/>
      <c r="L298" s="88"/>
      <c r="M298" s="62"/>
      <c r="N298" s="57">
        <v>5000</v>
      </c>
      <c r="O298" s="88">
        <v>3.48</v>
      </c>
      <c r="P298" s="62">
        <f>N298*O298</f>
        <v>17400</v>
      </c>
      <c r="Q298" s="39"/>
      <c r="R298" s="39"/>
      <c r="S298" s="39"/>
      <c r="T298" s="16"/>
      <c r="U298" s="16"/>
      <c r="V298" s="16"/>
      <c r="W298" s="16"/>
      <c r="X298" s="16"/>
      <c r="Y298" s="19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35"/>
      <c r="AQ298" s="10"/>
      <c r="AR298" s="27"/>
    </row>
    <row r="299" spans="1:46" s="2" customFormat="1" ht="17.25" customHeight="1" x14ac:dyDescent="0.2">
      <c r="A299" s="23"/>
      <c r="B299" s="201"/>
      <c r="C299" s="203"/>
      <c r="D299" s="63"/>
      <c r="E299" s="64"/>
      <c r="F299" s="74"/>
      <c r="G299" s="74"/>
      <c r="H299" s="64"/>
      <c r="I299" s="64"/>
      <c r="J299" s="64"/>
      <c r="K299" s="16"/>
      <c r="L299" s="16"/>
      <c r="M299" s="64"/>
      <c r="N299" s="16"/>
      <c r="O299" s="16"/>
      <c r="P299" s="64"/>
      <c r="Q299" s="46"/>
      <c r="R299" s="39"/>
      <c r="S299" s="40"/>
      <c r="T299" s="16"/>
      <c r="U299" s="16"/>
      <c r="V299" s="16"/>
      <c r="W299" s="16"/>
      <c r="X299" s="16"/>
      <c r="Y299" s="19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35"/>
      <c r="AQ299" s="10"/>
      <c r="AR299" s="27"/>
    </row>
    <row r="300" spans="1:46" s="2" customFormat="1" ht="17.25" customHeight="1" thickBot="1" x14ac:dyDescent="0.25">
      <c r="A300" s="24"/>
      <c r="B300" s="216"/>
      <c r="C300" s="217"/>
      <c r="D300" s="83"/>
      <c r="E300" s="81"/>
      <c r="F300" s="81"/>
      <c r="G300" s="81"/>
      <c r="H300" s="81"/>
      <c r="I300" s="81"/>
      <c r="J300" s="81"/>
      <c r="K300" s="37"/>
      <c r="L300" s="93"/>
      <c r="M300" s="81"/>
      <c r="N300" s="37"/>
      <c r="O300" s="93"/>
      <c r="P300" s="81"/>
      <c r="Q300" s="40"/>
      <c r="R300" s="40"/>
      <c r="S300" s="39"/>
      <c r="T300" s="16"/>
      <c r="U300" s="16"/>
      <c r="V300" s="16"/>
      <c r="W300" s="16"/>
      <c r="X300" s="16"/>
      <c r="Y300" s="19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41"/>
      <c r="AQ300" s="10"/>
      <c r="AR300" s="11"/>
    </row>
    <row r="301" spans="1:46" s="4" customFormat="1" ht="17.25" customHeight="1" x14ac:dyDescent="0.25">
      <c r="A301" s="23"/>
      <c r="B301" s="210" t="s">
        <v>94</v>
      </c>
      <c r="C301" s="203"/>
      <c r="D301" s="66"/>
      <c r="E301" s="66"/>
      <c r="F301" s="117"/>
      <c r="G301" s="117"/>
      <c r="H301" s="66"/>
      <c r="I301" s="66"/>
      <c r="J301" s="66">
        <f>-M301</f>
        <v>9131.8499999999985</v>
      </c>
      <c r="K301" s="58">
        <v>-1561</v>
      </c>
      <c r="L301" s="89">
        <v>5.85</v>
      </c>
      <c r="M301" s="73">
        <f>K301*L301</f>
        <v>-9131.8499999999985</v>
      </c>
      <c r="N301" s="58"/>
      <c r="O301" s="89"/>
      <c r="P301" s="73"/>
      <c r="Q301" s="39"/>
      <c r="R301" s="39"/>
      <c r="S301" s="8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35"/>
      <c r="AP301" s="12" t="e">
        <f>#REF!</f>
        <v>#REF!</v>
      </c>
    </row>
    <row r="302" spans="1:46" s="4" customFormat="1" ht="17.25" customHeight="1" x14ac:dyDescent="0.25">
      <c r="A302" s="23"/>
      <c r="B302" s="201" t="s">
        <v>95</v>
      </c>
      <c r="C302" s="202"/>
      <c r="D302" s="64"/>
      <c r="E302" s="64"/>
      <c r="F302" s="117"/>
      <c r="G302" s="117"/>
      <c r="H302" s="64"/>
      <c r="I302" s="64"/>
      <c r="J302" s="64">
        <f>-P302</f>
        <v>7434.35</v>
      </c>
      <c r="K302" s="57"/>
      <c r="L302" s="88"/>
      <c r="M302" s="62"/>
      <c r="N302" s="57">
        <v>-1931</v>
      </c>
      <c r="O302" s="88">
        <v>3.85</v>
      </c>
      <c r="P302" s="62">
        <f>N302*O302</f>
        <v>-7434.35</v>
      </c>
      <c r="Q302" s="39"/>
      <c r="R302" s="39"/>
      <c r="S302" s="8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35"/>
      <c r="AP302" s="12" t="e">
        <f>#REF!</f>
        <v>#REF!</v>
      </c>
    </row>
    <row r="303" spans="1:46" s="4" customFormat="1" ht="17.25" customHeight="1" x14ac:dyDescent="0.25">
      <c r="A303" s="23"/>
      <c r="B303" s="201" t="s">
        <v>97</v>
      </c>
      <c r="C303" s="203"/>
      <c r="D303" s="64"/>
      <c r="E303" s="64"/>
      <c r="F303" s="64"/>
      <c r="G303" s="64"/>
      <c r="H303" s="64">
        <f>-J303-I303</f>
        <v>6805.8099999999977</v>
      </c>
      <c r="I303" s="64">
        <v>9760.39</v>
      </c>
      <c r="J303" s="64">
        <f>-SUM(J301:J302)</f>
        <v>-16566.199999999997</v>
      </c>
      <c r="K303" s="57"/>
      <c r="L303" s="88"/>
      <c r="M303" s="62"/>
      <c r="N303" s="57"/>
      <c r="O303" s="88"/>
      <c r="P303" s="62"/>
      <c r="Q303" s="39"/>
      <c r="R303" s="39"/>
      <c r="S303" s="39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22"/>
      <c r="AO303" s="43">
        <f>A273</f>
        <v>0</v>
      </c>
      <c r="AP303" s="12" t="e">
        <f>#REF!</f>
        <v>#REF!</v>
      </c>
      <c r="AT303" s="2"/>
    </row>
    <row r="304" spans="1:46" s="4" customFormat="1" ht="17.25" customHeight="1" x14ac:dyDescent="0.25">
      <c r="A304" s="23"/>
      <c r="B304" s="201" t="s">
        <v>93</v>
      </c>
      <c r="C304" s="202"/>
      <c r="D304" s="64"/>
      <c r="E304" s="64"/>
      <c r="F304" s="64"/>
      <c r="G304" s="64"/>
      <c r="H304" s="64"/>
      <c r="I304" s="64"/>
      <c r="J304" s="64"/>
      <c r="K304" s="57">
        <v>27</v>
      </c>
      <c r="L304" s="88"/>
      <c r="M304" s="118">
        <f>(K307*L287)-M287-M301</f>
        <v>1293.2468421052617</v>
      </c>
      <c r="N304" s="57">
        <v>31</v>
      </c>
      <c r="O304" s="88"/>
      <c r="P304" s="118">
        <f>(N307*(P287+P298)/(N287+N298))-P287-P302-P298</f>
        <v>820.01058775699858</v>
      </c>
      <c r="Q304" s="39"/>
      <c r="R304" s="39"/>
      <c r="S304" s="39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22"/>
      <c r="AO304" s="43">
        <f>A281</f>
        <v>0</v>
      </c>
      <c r="AP304" s="12" t="e">
        <f>#REF!</f>
        <v>#REF!</v>
      </c>
      <c r="AT304" s="2"/>
    </row>
    <row r="305" spans="1:45" s="2" customFormat="1" ht="17.25" customHeight="1" x14ac:dyDescent="0.2">
      <c r="A305" s="24"/>
      <c r="B305" s="201"/>
      <c r="C305" s="204"/>
      <c r="D305" s="63"/>
      <c r="E305" s="64"/>
      <c r="F305" s="64"/>
      <c r="G305" s="64"/>
      <c r="H305" s="64"/>
      <c r="I305" s="64"/>
      <c r="J305" s="64"/>
      <c r="K305" s="16"/>
      <c r="L305" s="16"/>
      <c r="M305" s="64"/>
      <c r="N305" s="16"/>
      <c r="O305" s="16"/>
      <c r="P305" s="64"/>
      <c r="Q305" s="46"/>
      <c r="R305" s="46"/>
      <c r="S305" s="39"/>
      <c r="T305" s="16"/>
      <c r="U305" s="16"/>
      <c r="V305" s="16"/>
      <c r="W305" s="16"/>
      <c r="X305" s="16"/>
      <c r="Y305" s="19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43">
        <f>A288</f>
        <v>45950</v>
      </c>
      <c r="AQ305" s="10"/>
      <c r="AR305" s="11"/>
    </row>
    <row r="306" spans="1:45" s="2" customFormat="1" ht="17.25" customHeight="1" thickBot="1" x14ac:dyDescent="0.3">
      <c r="A306" s="56"/>
      <c r="B306" s="101" t="s">
        <v>102</v>
      </c>
      <c r="C306" s="102">
        <f>D307+E307+F307+G307+H307+I307+J307+M307+P307</f>
        <v>45236.729999999981</v>
      </c>
      <c r="D306" s="84"/>
      <c r="E306" s="85"/>
      <c r="F306" s="85"/>
      <c r="G306" s="85"/>
      <c r="H306" s="85"/>
      <c r="I306" s="85"/>
      <c r="J306" s="85"/>
      <c r="K306" s="28"/>
      <c r="L306" s="28"/>
      <c r="M306" s="85"/>
      <c r="N306" s="28"/>
      <c r="O306" s="28"/>
      <c r="P306" s="85"/>
      <c r="Q306" s="48"/>
      <c r="R306" s="48"/>
      <c r="S306" s="51"/>
      <c r="T306" s="28"/>
      <c r="U306" s="28"/>
      <c r="V306" s="28"/>
      <c r="W306" s="28"/>
      <c r="X306" s="28"/>
      <c r="Y306" s="36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42">
        <f>SUM($Q287:AN306)</f>
        <v>-368475.24</v>
      </c>
      <c r="AQ306" s="10"/>
      <c r="AR306" s="11"/>
      <c r="AS306" s="2" t="s">
        <v>5</v>
      </c>
    </row>
    <row r="307" spans="1:45" s="2" customFormat="1" ht="17.25" customHeight="1" thickTop="1" thickBot="1" x14ac:dyDescent="0.3">
      <c r="A307" s="103"/>
      <c r="B307" s="104" t="s">
        <v>103</v>
      </c>
      <c r="C307" s="105">
        <f>AO307</f>
        <v>-323238.51</v>
      </c>
      <c r="D307" s="106">
        <f t="shared" ref="D307:K307" si="38">SUM(D287:D306)</f>
        <v>3836.149999999991</v>
      </c>
      <c r="E307" s="107">
        <f t="shared" si="38"/>
        <v>-21376.630000000008</v>
      </c>
      <c r="F307" s="107">
        <f t="shared" si="38"/>
        <v>0</v>
      </c>
      <c r="G307" s="107">
        <f t="shared" si="38"/>
        <v>-18462.760000000006</v>
      </c>
      <c r="H307" s="107">
        <f t="shared" si="38"/>
        <v>44506.18</v>
      </c>
      <c r="I307" s="107">
        <f t="shared" si="38"/>
        <v>9760.39</v>
      </c>
      <c r="J307" s="107">
        <f t="shared" si="38"/>
        <v>0</v>
      </c>
      <c r="K307" s="108">
        <f t="shared" si="38"/>
        <v>708</v>
      </c>
      <c r="L307" s="109">
        <f>M307/K307</f>
        <v>5.1099152542372881</v>
      </c>
      <c r="M307" s="107">
        <f>ROUND(SUM(M287:M306),2)</f>
        <v>3617.82</v>
      </c>
      <c r="N307" s="108">
        <f>SUM(N287:N306)</f>
        <v>6709</v>
      </c>
      <c r="O307" s="109">
        <f>P307/N307</f>
        <v>3.4812311819943362</v>
      </c>
      <c r="P307" s="107">
        <f>ROUND(SUM(P287:P306),2)</f>
        <v>23355.58</v>
      </c>
      <c r="Q307" s="110">
        <f t="shared" ref="Q307:AN307" si="39">SUM(Q287:Q306)</f>
        <v>-348845</v>
      </c>
      <c r="R307" s="107">
        <f t="shared" si="39"/>
        <v>29928.52</v>
      </c>
      <c r="S307" s="107">
        <f t="shared" si="39"/>
        <v>0</v>
      </c>
      <c r="T307" s="107">
        <f t="shared" si="39"/>
        <v>-12858.760000000002</v>
      </c>
      <c r="U307" s="107">
        <f t="shared" si="39"/>
        <v>0</v>
      </c>
      <c r="V307" s="107">
        <f t="shared" si="39"/>
        <v>-36700.000000000022</v>
      </c>
      <c r="W307" s="107">
        <f t="shared" si="39"/>
        <v>0</v>
      </c>
      <c r="X307" s="107">
        <f t="shared" si="39"/>
        <v>0</v>
      </c>
      <c r="Y307" s="107">
        <f t="shared" si="39"/>
        <v>0</v>
      </c>
      <c r="Z307" s="107">
        <f t="shared" si="39"/>
        <v>0</v>
      </c>
      <c r="AA307" s="107">
        <f t="shared" si="39"/>
        <v>0</v>
      </c>
      <c r="AB307" s="107">
        <f t="shared" si="39"/>
        <v>0</v>
      </c>
      <c r="AC307" s="107">
        <f t="shared" si="39"/>
        <v>0</v>
      </c>
      <c r="AD307" s="107">
        <f t="shared" si="39"/>
        <v>0</v>
      </c>
      <c r="AE307" s="107">
        <f t="shared" si="39"/>
        <v>0</v>
      </c>
      <c r="AF307" s="107">
        <f t="shared" si="39"/>
        <v>0</v>
      </c>
      <c r="AG307" s="107">
        <f t="shared" si="39"/>
        <v>0</v>
      </c>
      <c r="AH307" s="107">
        <f t="shared" si="39"/>
        <v>0</v>
      </c>
      <c r="AI307" s="107">
        <f t="shared" si="39"/>
        <v>0</v>
      </c>
      <c r="AJ307" s="107">
        <f t="shared" si="39"/>
        <v>0</v>
      </c>
      <c r="AK307" s="107">
        <f t="shared" si="39"/>
        <v>0</v>
      </c>
      <c r="AL307" s="107">
        <f t="shared" si="39"/>
        <v>0</v>
      </c>
      <c r="AM307" s="107">
        <f t="shared" si="39"/>
        <v>0</v>
      </c>
      <c r="AN307" s="107">
        <f t="shared" si="39"/>
        <v>0</v>
      </c>
      <c r="AO307" s="111">
        <f>D307+E307+F307+G307+H307+I307+J307+M307+P307+SUM(Q307:AN307)</f>
        <v>-323238.51</v>
      </c>
      <c r="AP307" s="4"/>
      <c r="AQ307" s="5"/>
      <c r="AR307" s="5"/>
      <c r="AS307" s="2" t="s">
        <v>6</v>
      </c>
    </row>
    <row r="308" spans="1:45" s="2" customFormat="1" ht="17.25" customHeight="1" thickTop="1" x14ac:dyDescent="0.25">
      <c r="A308" s="23">
        <f>A288+1</f>
        <v>45951</v>
      </c>
      <c r="B308" s="210" t="s">
        <v>64</v>
      </c>
      <c r="C308" s="203"/>
      <c r="D308" s="63">
        <v>9518.1</v>
      </c>
      <c r="E308" s="66"/>
      <c r="F308" s="66"/>
      <c r="G308" s="66"/>
      <c r="H308" s="66"/>
      <c r="I308" s="66">
        <f>-D308</f>
        <v>-9518.1</v>
      </c>
      <c r="J308" s="66"/>
      <c r="K308" s="18"/>
      <c r="L308" s="18"/>
      <c r="M308" s="66"/>
      <c r="N308" s="18"/>
      <c r="O308" s="18"/>
      <c r="P308" s="66"/>
      <c r="Q308" s="46"/>
      <c r="R308" s="46"/>
      <c r="S308" s="45"/>
      <c r="T308" s="18"/>
      <c r="U308" s="18"/>
      <c r="V308" s="18"/>
      <c r="W308" s="18"/>
      <c r="X308" s="18"/>
      <c r="Y308" s="14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31"/>
      <c r="AQ308" s="10"/>
      <c r="AR308" s="27"/>
    </row>
    <row r="309" spans="1:45" s="4" customFormat="1" ht="17.25" customHeight="1" x14ac:dyDescent="0.25">
      <c r="A309" s="23"/>
      <c r="B309" s="201" t="s">
        <v>96</v>
      </c>
      <c r="C309" s="202"/>
      <c r="D309" s="63"/>
      <c r="E309" s="64"/>
      <c r="F309" s="64"/>
      <c r="G309" s="64"/>
      <c r="H309" s="64"/>
      <c r="I309" s="117">
        <f>-I307-I308</f>
        <v>-242.28999999999905</v>
      </c>
      <c r="J309" s="64"/>
      <c r="K309" s="16"/>
      <c r="L309" s="92"/>
      <c r="M309" s="64"/>
      <c r="N309" s="16"/>
      <c r="O309" s="92"/>
      <c r="P309" s="64"/>
      <c r="Q309" s="40"/>
      <c r="R309" s="46"/>
      <c r="S309" s="39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22"/>
      <c r="AP309" s="30"/>
    </row>
    <row r="310" spans="1:45" s="2" customFormat="1" ht="17.25" customHeight="1" x14ac:dyDescent="0.2">
      <c r="A310" s="23"/>
      <c r="B310" s="201" t="s">
        <v>13</v>
      </c>
      <c r="C310" s="203"/>
      <c r="D310" s="63"/>
      <c r="E310" s="64">
        <f>1000+50+50+100+20+50+10+65+58.5+60+50+29.71+100+50+30+50+8+50+22+50+30+50+67+20+100+50+37+60+15+20+20+70</f>
        <v>2442.21</v>
      </c>
      <c r="F310" s="64"/>
      <c r="G310" s="64"/>
      <c r="H310" s="64">
        <f>-E310</f>
        <v>-2442.21</v>
      </c>
      <c r="I310" s="64"/>
      <c r="J310" s="64"/>
      <c r="K310" s="16"/>
      <c r="L310" s="16"/>
      <c r="M310" s="64"/>
      <c r="N310" s="16"/>
      <c r="O310" s="16"/>
      <c r="P310" s="64"/>
      <c r="Q310" s="46"/>
      <c r="R310" s="39"/>
      <c r="S310" s="40"/>
      <c r="T310" s="16"/>
      <c r="U310" s="16"/>
      <c r="V310" s="16"/>
      <c r="W310" s="16"/>
      <c r="X310" s="16"/>
      <c r="Y310" s="19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35"/>
      <c r="AQ310" s="10"/>
      <c r="AR310" s="27"/>
    </row>
    <row r="311" spans="1:45" s="2" customFormat="1" ht="17.25" customHeight="1" x14ac:dyDescent="0.2">
      <c r="A311" s="23"/>
      <c r="B311" s="201" t="s">
        <v>190</v>
      </c>
      <c r="C311" s="203"/>
      <c r="D311" s="63"/>
      <c r="E311" s="64">
        <v>-800</v>
      </c>
      <c r="F311" s="74"/>
      <c r="G311" s="74"/>
      <c r="H311" s="64"/>
      <c r="I311" s="64"/>
      <c r="J311" s="64"/>
      <c r="K311" s="16"/>
      <c r="L311" s="16"/>
      <c r="M311" s="64"/>
      <c r="N311" s="16"/>
      <c r="O311" s="16"/>
      <c r="P311" s="64"/>
      <c r="Q311" s="46"/>
      <c r="R311" s="39"/>
      <c r="S311" s="40"/>
      <c r="T311" s="16"/>
      <c r="U311" s="16"/>
      <c r="V311" s="16"/>
      <c r="W311" s="16"/>
      <c r="X311" s="16"/>
      <c r="Y311" s="19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35"/>
      <c r="AQ311" s="10"/>
      <c r="AR311" s="27"/>
    </row>
    <row r="312" spans="1:45" s="2" customFormat="1" ht="17.25" customHeight="1" x14ac:dyDescent="0.2">
      <c r="A312" s="23"/>
      <c r="B312" s="201" t="s">
        <v>188</v>
      </c>
      <c r="C312" s="203"/>
      <c r="D312" s="63"/>
      <c r="E312" s="64">
        <v>-25.18</v>
      </c>
      <c r="F312" s="74"/>
      <c r="G312" s="74"/>
      <c r="H312" s="64"/>
      <c r="I312" s="64"/>
      <c r="J312" s="64"/>
      <c r="K312" s="16"/>
      <c r="L312" s="16"/>
      <c r="M312" s="64"/>
      <c r="N312" s="16"/>
      <c r="O312" s="16"/>
      <c r="P312" s="64"/>
      <c r="Q312" s="46"/>
      <c r="R312" s="39"/>
      <c r="S312" s="40"/>
      <c r="T312" s="16"/>
      <c r="U312" s="16"/>
      <c r="V312" s="16"/>
      <c r="W312" s="16"/>
      <c r="X312" s="16"/>
      <c r="Y312" s="19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35"/>
      <c r="AQ312" s="10"/>
      <c r="AR312" s="27"/>
    </row>
    <row r="313" spans="1:45" s="2" customFormat="1" ht="17.25" customHeight="1" x14ac:dyDescent="0.2">
      <c r="A313" s="24"/>
      <c r="B313" s="201" t="s">
        <v>53</v>
      </c>
      <c r="C313" s="203"/>
      <c r="D313" s="63"/>
      <c r="E313" s="64">
        <v>-544.29999999999995</v>
      </c>
      <c r="F313" s="64"/>
      <c r="G313" s="64"/>
      <c r="H313" s="64"/>
      <c r="I313" s="64"/>
      <c r="J313" s="64"/>
      <c r="K313" s="16"/>
      <c r="L313" s="16"/>
      <c r="M313" s="64"/>
      <c r="N313" s="16"/>
      <c r="O313" s="16"/>
      <c r="P313" s="64"/>
      <c r="Q313" s="40"/>
      <c r="R313" s="40"/>
      <c r="S313" s="39"/>
      <c r="T313" s="16"/>
      <c r="U313" s="16"/>
      <c r="V313" s="16"/>
      <c r="W313" s="16"/>
      <c r="X313" s="16"/>
      <c r="Y313" s="19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41"/>
      <c r="AQ313" s="10"/>
      <c r="AR313" s="11"/>
    </row>
    <row r="314" spans="1:45" s="2" customFormat="1" ht="17.25" customHeight="1" x14ac:dyDescent="0.2">
      <c r="A314" s="23"/>
      <c r="B314" s="201" t="s">
        <v>227</v>
      </c>
      <c r="C314" s="203"/>
      <c r="D314" s="63">
        <v>12500</v>
      </c>
      <c r="E314" s="64"/>
      <c r="F314" s="74"/>
      <c r="G314" s="74"/>
      <c r="H314" s="64"/>
      <c r="I314" s="64"/>
      <c r="J314" s="64"/>
      <c r="K314" s="16"/>
      <c r="L314" s="16"/>
      <c r="M314" s="64"/>
      <c r="N314" s="16"/>
      <c r="O314" s="16"/>
      <c r="P314" s="64"/>
      <c r="Q314" s="46">
        <f>-D314</f>
        <v>-12500</v>
      </c>
      <c r="R314" s="39"/>
      <c r="S314" s="40"/>
      <c r="T314" s="16"/>
      <c r="U314" s="16"/>
      <c r="V314" s="16"/>
      <c r="W314" s="16"/>
      <c r="X314" s="16"/>
      <c r="Y314" s="19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35"/>
      <c r="AQ314" s="10"/>
      <c r="AR314" s="27"/>
    </row>
    <row r="315" spans="1:45" s="2" customFormat="1" ht="17.25" customHeight="1" x14ac:dyDescent="0.2">
      <c r="A315" s="23"/>
      <c r="B315" s="201" t="s">
        <v>218</v>
      </c>
      <c r="C315" s="203"/>
      <c r="D315" s="63">
        <f>-D314*0.008</f>
        <v>-100</v>
      </c>
      <c r="E315" s="64"/>
      <c r="F315" s="74"/>
      <c r="G315" s="74"/>
      <c r="H315" s="64"/>
      <c r="I315" s="64"/>
      <c r="J315" s="64"/>
      <c r="K315" s="16"/>
      <c r="L315" s="16"/>
      <c r="M315" s="64"/>
      <c r="N315" s="16"/>
      <c r="O315" s="16"/>
      <c r="P315" s="64"/>
      <c r="Q315" s="46"/>
      <c r="R315" s="39"/>
      <c r="S315" s="40"/>
      <c r="T315" s="16"/>
      <c r="U315" s="16"/>
      <c r="V315" s="16"/>
      <c r="W315" s="16"/>
      <c r="X315" s="16"/>
      <c r="Y315" s="19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35"/>
      <c r="AQ315" s="10"/>
      <c r="AR315" s="27"/>
    </row>
    <row r="316" spans="1:45" s="2" customFormat="1" ht="17.25" customHeight="1" x14ac:dyDescent="0.2">
      <c r="A316" s="23"/>
      <c r="B316" s="201" t="s">
        <v>65</v>
      </c>
      <c r="C316" s="203"/>
      <c r="D316" s="63">
        <v>-4.9000000000000004</v>
      </c>
      <c r="E316" s="64"/>
      <c r="F316" s="74"/>
      <c r="G316" s="74"/>
      <c r="H316" s="64"/>
      <c r="I316" s="64"/>
      <c r="J316" s="64"/>
      <c r="K316" s="16"/>
      <c r="L316" s="16"/>
      <c r="M316" s="64"/>
      <c r="N316" s="16"/>
      <c r="O316" s="16"/>
      <c r="P316" s="64"/>
      <c r="Q316" s="46"/>
      <c r="R316" s="39"/>
      <c r="S316" s="40"/>
      <c r="T316" s="16"/>
      <c r="U316" s="16"/>
      <c r="V316" s="16"/>
      <c r="W316" s="16"/>
      <c r="X316" s="16"/>
      <c r="Y316" s="19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35"/>
      <c r="AQ316" s="10"/>
      <c r="AR316" s="27"/>
    </row>
    <row r="317" spans="1:45" s="2" customFormat="1" ht="17.25" customHeight="1" x14ac:dyDescent="0.25">
      <c r="A317" s="24"/>
      <c r="B317" s="205" t="s">
        <v>228</v>
      </c>
      <c r="C317" s="206"/>
      <c r="D317" s="64">
        <f>-M317</f>
        <v>-25600</v>
      </c>
      <c r="E317" s="64"/>
      <c r="F317" s="64"/>
      <c r="G317" s="64"/>
      <c r="H317" s="64"/>
      <c r="I317" s="64"/>
      <c r="J317" s="64"/>
      <c r="K317" s="57">
        <v>5000</v>
      </c>
      <c r="L317" s="88">
        <v>5.12</v>
      </c>
      <c r="M317" s="62">
        <f>K317*L317</f>
        <v>25600</v>
      </c>
      <c r="N317" s="57"/>
      <c r="O317" s="88"/>
      <c r="P317" s="62"/>
      <c r="Q317" s="39"/>
      <c r="R317" s="39"/>
      <c r="S317" s="39"/>
      <c r="T317" s="16"/>
      <c r="U317" s="16">
        <f>-P317</f>
        <v>0</v>
      </c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22"/>
      <c r="AQ317" s="10"/>
      <c r="AR317" s="11"/>
    </row>
    <row r="318" spans="1:45" s="2" customFormat="1" ht="17.25" customHeight="1" x14ac:dyDescent="0.2">
      <c r="A318" s="23"/>
      <c r="B318" s="205" t="s">
        <v>225</v>
      </c>
      <c r="C318" s="206"/>
      <c r="D318" s="64"/>
      <c r="E318" s="64"/>
      <c r="F318" s="64"/>
      <c r="G318" s="64"/>
      <c r="H318" s="64"/>
      <c r="I318" s="64"/>
      <c r="J318" s="64"/>
      <c r="K318" s="57"/>
      <c r="L318" s="88"/>
      <c r="M318" s="62"/>
      <c r="N318" s="57">
        <v>5000</v>
      </c>
      <c r="O318" s="88">
        <v>3.48</v>
      </c>
      <c r="P318" s="62">
        <f>N318*O318</f>
        <v>17400</v>
      </c>
      <c r="Q318" s="39"/>
      <c r="R318" s="39"/>
      <c r="S318" s="39"/>
      <c r="T318" s="16"/>
      <c r="U318" s="16"/>
      <c r="V318" s="16"/>
      <c r="W318" s="16"/>
      <c r="X318" s="16"/>
      <c r="Y318" s="19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35"/>
      <c r="AQ318" s="10"/>
      <c r="AR318" s="27"/>
    </row>
    <row r="319" spans="1:45" s="2" customFormat="1" ht="17.25" customHeight="1" thickBot="1" x14ac:dyDescent="0.25">
      <c r="A319" s="24"/>
      <c r="B319" s="216"/>
      <c r="C319" s="217"/>
      <c r="D319" s="83"/>
      <c r="E319" s="81"/>
      <c r="F319" s="81"/>
      <c r="G319" s="81"/>
      <c r="H319" s="81"/>
      <c r="I319" s="81"/>
      <c r="J319" s="81"/>
      <c r="K319" s="37"/>
      <c r="L319" s="93"/>
      <c r="M319" s="81"/>
      <c r="N319" s="37"/>
      <c r="O319" s="93"/>
      <c r="P319" s="81"/>
      <c r="Q319" s="40"/>
      <c r="R319" s="40"/>
      <c r="S319" s="39"/>
      <c r="T319" s="16"/>
      <c r="U319" s="16"/>
      <c r="V319" s="16"/>
      <c r="W319" s="16"/>
      <c r="X319" s="16"/>
      <c r="Y319" s="19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41"/>
      <c r="AQ319" s="10"/>
      <c r="AR319" s="11"/>
    </row>
    <row r="320" spans="1:45" s="4" customFormat="1" ht="17.25" customHeight="1" x14ac:dyDescent="0.25">
      <c r="A320" s="23"/>
      <c r="B320" s="210" t="s">
        <v>94</v>
      </c>
      <c r="C320" s="203"/>
      <c r="D320" s="66"/>
      <c r="E320" s="66"/>
      <c r="F320" s="117"/>
      <c r="G320" s="117"/>
      <c r="H320" s="66"/>
      <c r="I320" s="66"/>
      <c r="J320" s="66">
        <f>-M320</f>
        <v>6821.0999999999995</v>
      </c>
      <c r="K320" s="58">
        <v>-1166</v>
      </c>
      <c r="L320" s="89">
        <v>5.85</v>
      </c>
      <c r="M320" s="73">
        <f>K320*L320</f>
        <v>-6821.0999999999995</v>
      </c>
      <c r="N320" s="58"/>
      <c r="O320" s="89"/>
      <c r="P320" s="73"/>
      <c r="Q320" s="39"/>
      <c r="R320" s="39"/>
      <c r="S320" s="8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35"/>
      <c r="AP320" s="12" t="e">
        <f>#REF!</f>
        <v>#REF!</v>
      </c>
    </row>
    <row r="321" spans="1:46" s="4" customFormat="1" ht="17.25" customHeight="1" x14ac:dyDescent="0.25">
      <c r="A321" s="23"/>
      <c r="B321" s="201" t="s">
        <v>95</v>
      </c>
      <c r="C321" s="202"/>
      <c r="D321" s="64"/>
      <c r="E321" s="64"/>
      <c r="F321" s="117"/>
      <c r="G321" s="117"/>
      <c r="H321" s="64"/>
      <c r="I321" s="64"/>
      <c r="J321" s="64">
        <f>-P321</f>
        <v>8847.3000000000011</v>
      </c>
      <c r="K321" s="57"/>
      <c r="L321" s="88"/>
      <c r="M321" s="62"/>
      <c r="N321" s="57">
        <v>-2298</v>
      </c>
      <c r="O321" s="88">
        <v>3.85</v>
      </c>
      <c r="P321" s="62">
        <f>N321*O321</f>
        <v>-8847.3000000000011</v>
      </c>
      <c r="Q321" s="39"/>
      <c r="R321" s="39"/>
      <c r="S321" s="8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35"/>
      <c r="AP321" s="12" t="e">
        <f>#REF!</f>
        <v>#REF!</v>
      </c>
    </row>
    <row r="322" spans="1:46" s="4" customFormat="1" ht="17.25" customHeight="1" x14ac:dyDescent="0.25">
      <c r="A322" s="23"/>
      <c r="B322" s="201" t="s">
        <v>97</v>
      </c>
      <c r="C322" s="203"/>
      <c r="D322" s="64"/>
      <c r="E322" s="64"/>
      <c r="F322" s="64"/>
      <c r="G322" s="64"/>
      <c r="H322" s="64">
        <f>-J322-I322</f>
        <v>5547.8000000000011</v>
      </c>
      <c r="I322" s="64">
        <v>10120.6</v>
      </c>
      <c r="J322" s="64">
        <f>-SUM(J320:J321)</f>
        <v>-15668.400000000001</v>
      </c>
      <c r="K322" s="57"/>
      <c r="L322" s="88"/>
      <c r="M322" s="62"/>
      <c r="N322" s="57"/>
      <c r="O322" s="88"/>
      <c r="P322" s="62"/>
      <c r="Q322" s="39"/>
      <c r="R322" s="39"/>
      <c r="S322" s="39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22"/>
      <c r="AO322" s="43">
        <f>A284</f>
        <v>0</v>
      </c>
      <c r="AP322" s="12" t="e">
        <f>#REF!</f>
        <v>#REF!</v>
      </c>
      <c r="AT322" s="2"/>
    </row>
    <row r="323" spans="1:46" s="4" customFormat="1" ht="17.25" customHeight="1" x14ac:dyDescent="0.25">
      <c r="A323" s="23"/>
      <c r="B323" s="201" t="s">
        <v>93</v>
      </c>
      <c r="C323" s="202"/>
      <c r="D323" s="64"/>
      <c r="E323" s="64"/>
      <c r="F323" s="64"/>
      <c r="G323" s="64"/>
      <c r="H323" s="64"/>
      <c r="I323" s="64"/>
      <c r="J323" s="64"/>
      <c r="K323" s="57">
        <v>-88</v>
      </c>
      <c r="L323" s="88"/>
      <c r="M323" s="118">
        <f>(K326*(M307+M317)/(K307+K317))-M307-M320-M317</f>
        <v>402.18859845830229</v>
      </c>
      <c r="N323" s="57">
        <v>-150</v>
      </c>
      <c r="O323" s="88"/>
      <c r="P323" s="118">
        <f>(N326*(P307+P318)/(N307+N318))-P307-P321-P318</f>
        <v>326.53308224442299</v>
      </c>
      <c r="Q323" s="39"/>
      <c r="R323" s="39"/>
      <c r="S323" s="39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22"/>
      <c r="AO323" s="43">
        <f>A301</f>
        <v>0</v>
      </c>
      <c r="AP323" s="12" t="e">
        <f>#REF!</f>
        <v>#REF!</v>
      </c>
      <c r="AT323" s="2"/>
    </row>
    <row r="324" spans="1:46" s="2" customFormat="1" ht="17.25" customHeight="1" x14ac:dyDescent="0.2">
      <c r="A324" s="24"/>
      <c r="B324" s="201"/>
      <c r="C324" s="204"/>
      <c r="D324" s="63"/>
      <c r="E324" s="64"/>
      <c r="F324" s="64"/>
      <c r="G324" s="64"/>
      <c r="H324" s="64"/>
      <c r="I324" s="64"/>
      <c r="J324" s="64"/>
      <c r="K324" s="16"/>
      <c r="L324" s="16"/>
      <c r="M324" s="64"/>
      <c r="N324" s="16"/>
      <c r="O324" s="16"/>
      <c r="P324" s="64"/>
      <c r="Q324" s="46"/>
      <c r="R324" s="46"/>
      <c r="S324" s="39"/>
      <c r="T324" s="16"/>
      <c r="U324" s="16"/>
      <c r="V324" s="16"/>
      <c r="W324" s="16"/>
      <c r="X324" s="16"/>
      <c r="Y324" s="19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43">
        <f>A293</f>
        <v>0</v>
      </c>
      <c r="AQ324" s="10"/>
      <c r="AR324" s="11"/>
    </row>
    <row r="325" spans="1:46" s="2" customFormat="1" ht="17.25" customHeight="1" thickBot="1" x14ac:dyDescent="0.3">
      <c r="A325" s="56"/>
      <c r="B325" s="101" t="s">
        <v>102</v>
      </c>
      <c r="C325" s="102">
        <f>D326+E326+F326+G326+H326+I326+J326+M326+P326</f>
        <v>74148.77999999997</v>
      </c>
      <c r="D325" s="84"/>
      <c r="E325" s="85"/>
      <c r="F325" s="85"/>
      <c r="G325" s="85"/>
      <c r="H325" s="85"/>
      <c r="I325" s="85"/>
      <c r="J325" s="85"/>
      <c r="K325" s="28"/>
      <c r="L325" s="28"/>
      <c r="M325" s="85"/>
      <c r="N325" s="28"/>
      <c r="O325" s="28"/>
      <c r="P325" s="85"/>
      <c r="Q325" s="48"/>
      <c r="R325" s="48"/>
      <c r="S325" s="51"/>
      <c r="T325" s="28"/>
      <c r="U325" s="28"/>
      <c r="V325" s="28"/>
      <c r="W325" s="28"/>
      <c r="X325" s="28"/>
      <c r="Y325" s="36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42">
        <f>SUM($Q307:AN325)</f>
        <v>-380975.24</v>
      </c>
      <c r="AQ325" s="10"/>
      <c r="AR325" s="11"/>
      <c r="AS325" s="2" t="s">
        <v>5</v>
      </c>
    </row>
    <row r="326" spans="1:46" s="2" customFormat="1" ht="17.25" customHeight="1" thickTop="1" thickBot="1" x14ac:dyDescent="0.3">
      <c r="A326" s="103"/>
      <c r="B326" s="104" t="s">
        <v>103</v>
      </c>
      <c r="C326" s="105">
        <f>AO326</f>
        <v>-306826.46000000002</v>
      </c>
      <c r="D326" s="106">
        <f t="shared" ref="D326:K326" si="40">SUM(D307:D325)</f>
        <v>149.34999999999127</v>
      </c>
      <c r="E326" s="107">
        <f t="shared" si="40"/>
        <v>-20303.900000000009</v>
      </c>
      <c r="F326" s="107">
        <f t="shared" si="40"/>
        <v>0</v>
      </c>
      <c r="G326" s="107">
        <f t="shared" si="40"/>
        <v>-18462.760000000006</v>
      </c>
      <c r="H326" s="107">
        <f t="shared" si="40"/>
        <v>47611.770000000004</v>
      </c>
      <c r="I326" s="107">
        <f t="shared" si="40"/>
        <v>10120.6</v>
      </c>
      <c r="J326" s="107">
        <f t="shared" si="40"/>
        <v>0</v>
      </c>
      <c r="K326" s="108">
        <f t="shared" si="40"/>
        <v>4454</v>
      </c>
      <c r="L326" s="109">
        <f>M326/K326</f>
        <v>5.1187494387067805</v>
      </c>
      <c r="M326" s="107">
        <f>ROUND(SUM(M307:M325),2)</f>
        <v>22798.91</v>
      </c>
      <c r="N326" s="108">
        <f>SUM(N307:N325)</f>
        <v>9261</v>
      </c>
      <c r="O326" s="109">
        <f>P326/N326</f>
        <v>3.4807051074398014</v>
      </c>
      <c r="P326" s="107">
        <f>ROUND(SUM(P307:P325),2)</f>
        <v>32234.81</v>
      </c>
      <c r="Q326" s="110">
        <f t="shared" ref="Q326:AN326" si="41">SUM(Q307:Q325)</f>
        <v>-361345</v>
      </c>
      <c r="R326" s="107">
        <f t="shared" si="41"/>
        <v>29928.52</v>
      </c>
      <c r="S326" s="107">
        <f t="shared" si="41"/>
        <v>0</v>
      </c>
      <c r="T326" s="107">
        <f t="shared" si="41"/>
        <v>-12858.760000000002</v>
      </c>
      <c r="U326" s="107">
        <f t="shared" si="41"/>
        <v>0</v>
      </c>
      <c r="V326" s="107">
        <f t="shared" si="41"/>
        <v>-36700.000000000022</v>
      </c>
      <c r="W326" s="107">
        <f t="shared" si="41"/>
        <v>0</v>
      </c>
      <c r="X326" s="107">
        <f t="shared" si="41"/>
        <v>0</v>
      </c>
      <c r="Y326" s="107">
        <f t="shared" si="41"/>
        <v>0</v>
      </c>
      <c r="Z326" s="107">
        <f t="shared" si="41"/>
        <v>0</v>
      </c>
      <c r="AA326" s="107">
        <f t="shared" si="41"/>
        <v>0</v>
      </c>
      <c r="AB326" s="107">
        <f t="shared" si="41"/>
        <v>0</v>
      </c>
      <c r="AC326" s="107">
        <f t="shared" si="41"/>
        <v>0</v>
      </c>
      <c r="AD326" s="107">
        <f t="shared" si="41"/>
        <v>0</v>
      </c>
      <c r="AE326" s="107">
        <f t="shared" si="41"/>
        <v>0</v>
      </c>
      <c r="AF326" s="107">
        <f t="shared" si="41"/>
        <v>0</v>
      </c>
      <c r="AG326" s="107">
        <f t="shared" si="41"/>
        <v>0</v>
      </c>
      <c r="AH326" s="107">
        <f t="shared" si="41"/>
        <v>0</v>
      </c>
      <c r="AI326" s="107">
        <f t="shared" si="41"/>
        <v>0</v>
      </c>
      <c r="AJ326" s="107">
        <f t="shared" si="41"/>
        <v>0</v>
      </c>
      <c r="AK326" s="107">
        <f t="shared" si="41"/>
        <v>0</v>
      </c>
      <c r="AL326" s="107">
        <f t="shared" si="41"/>
        <v>0</v>
      </c>
      <c r="AM326" s="107">
        <f t="shared" si="41"/>
        <v>0</v>
      </c>
      <c r="AN326" s="107">
        <f t="shared" si="41"/>
        <v>0</v>
      </c>
      <c r="AO326" s="111">
        <f>D326+E326+F326+G326+H326+I326+J326+M326+P326+SUM(Q326:AN326)</f>
        <v>-306826.46000000002</v>
      </c>
      <c r="AP326" s="4"/>
      <c r="AQ326" s="5"/>
      <c r="AR326" s="5"/>
      <c r="AS326" s="2" t="s">
        <v>6</v>
      </c>
    </row>
    <row r="327" spans="1:46" s="2" customFormat="1" ht="17.25" customHeight="1" thickTop="1" x14ac:dyDescent="0.25">
      <c r="A327" s="23">
        <f>A308+1</f>
        <v>45952</v>
      </c>
      <c r="B327" s="210" t="s">
        <v>64</v>
      </c>
      <c r="C327" s="203"/>
      <c r="D327" s="63">
        <v>9868.7800000000007</v>
      </c>
      <c r="E327" s="66"/>
      <c r="F327" s="66"/>
      <c r="G327" s="66"/>
      <c r="H327" s="66"/>
      <c r="I327" s="66">
        <f>-D327</f>
        <v>-9868.7800000000007</v>
      </c>
      <c r="J327" s="66"/>
      <c r="K327" s="18"/>
      <c r="L327" s="18"/>
      <c r="M327" s="66"/>
      <c r="N327" s="18"/>
      <c r="O327" s="18"/>
      <c r="P327" s="66"/>
      <c r="Q327" s="46"/>
      <c r="R327" s="46"/>
      <c r="S327" s="45"/>
      <c r="T327" s="18"/>
      <c r="U327" s="18"/>
      <c r="V327" s="18"/>
      <c r="W327" s="18"/>
      <c r="X327" s="18"/>
      <c r="Y327" s="14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31"/>
      <c r="AQ327" s="10"/>
      <c r="AR327" s="27"/>
    </row>
    <row r="328" spans="1:46" s="4" customFormat="1" ht="17.25" customHeight="1" x14ac:dyDescent="0.25">
      <c r="A328" s="23"/>
      <c r="B328" s="201" t="s">
        <v>96</v>
      </c>
      <c r="C328" s="202"/>
      <c r="D328" s="63"/>
      <c r="E328" s="64"/>
      <c r="F328" s="64"/>
      <c r="G328" s="64"/>
      <c r="H328" s="64"/>
      <c r="I328" s="117">
        <f>-I326-I327</f>
        <v>-251.81999999999971</v>
      </c>
      <c r="J328" s="64"/>
      <c r="K328" s="16"/>
      <c r="L328" s="92"/>
      <c r="M328" s="64"/>
      <c r="N328" s="16"/>
      <c r="O328" s="92"/>
      <c r="P328" s="64"/>
      <c r="Q328" s="40"/>
      <c r="R328" s="46"/>
      <c r="S328" s="39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22"/>
      <c r="AP328" s="30"/>
    </row>
    <row r="329" spans="1:46" s="2" customFormat="1" ht="17.25" customHeight="1" x14ac:dyDescent="0.2">
      <c r="A329" s="23"/>
      <c r="B329" s="201" t="s">
        <v>13</v>
      </c>
      <c r="C329" s="203"/>
      <c r="D329" s="63"/>
      <c r="E329" s="64">
        <f>50.08+30+100+10+5+20+25+35+20+59+20+606+50+30+50+50+100</f>
        <v>1260.08</v>
      </c>
      <c r="F329" s="64"/>
      <c r="G329" s="64"/>
      <c r="H329" s="64">
        <f>-E329</f>
        <v>-1260.08</v>
      </c>
      <c r="I329" s="64"/>
      <c r="J329" s="64"/>
      <c r="K329" s="16"/>
      <c r="L329" s="16"/>
      <c r="M329" s="64"/>
      <c r="N329" s="16"/>
      <c r="O329" s="16"/>
      <c r="P329" s="64"/>
      <c r="Q329" s="46"/>
      <c r="R329" s="39"/>
      <c r="S329" s="40"/>
      <c r="T329" s="16"/>
      <c r="U329" s="16"/>
      <c r="V329" s="16"/>
      <c r="W329" s="16"/>
      <c r="X329" s="16"/>
      <c r="Y329" s="19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35"/>
      <c r="AQ329" s="10"/>
      <c r="AR329" s="27"/>
    </row>
    <row r="330" spans="1:46" s="2" customFormat="1" ht="17.25" customHeight="1" x14ac:dyDescent="0.2">
      <c r="A330" s="23"/>
      <c r="B330" s="201" t="s">
        <v>191</v>
      </c>
      <c r="C330" s="202"/>
      <c r="D330" s="63"/>
      <c r="E330" s="64">
        <f>-574.07-510.76</f>
        <v>-1084.83</v>
      </c>
      <c r="F330" s="74"/>
      <c r="G330" s="74"/>
      <c r="H330" s="64"/>
      <c r="I330" s="64"/>
      <c r="J330" s="64"/>
      <c r="K330" s="16"/>
      <c r="L330" s="16"/>
      <c r="M330" s="64"/>
      <c r="N330" s="16"/>
      <c r="O330" s="16"/>
      <c r="P330" s="64"/>
      <c r="Q330" s="46"/>
      <c r="R330" s="39"/>
      <c r="S330" s="40"/>
      <c r="T330" s="16"/>
      <c r="U330" s="16"/>
      <c r="V330" s="16"/>
      <c r="W330" s="16"/>
      <c r="X330" s="16"/>
      <c r="Y330" s="19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35"/>
      <c r="AQ330" s="10"/>
      <c r="AR330" s="27"/>
    </row>
    <row r="331" spans="1:46" s="2" customFormat="1" ht="17.25" customHeight="1" x14ac:dyDescent="0.25">
      <c r="A331" s="24"/>
      <c r="B331" s="205" t="s">
        <v>293</v>
      </c>
      <c r="C331" s="206"/>
      <c r="D331" s="65"/>
      <c r="E331" s="64"/>
      <c r="F331" s="117"/>
      <c r="G331" s="117"/>
      <c r="H331" s="64"/>
      <c r="I331" s="64"/>
      <c r="J331" s="64"/>
      <c r="K331" s="16"/>
      <c r="L331" s="92"/>
      <c r="M331" s="64"/>
      <c r="N331" s="16"/>
      <c r="O331" s="92"/>
      <c r="P331" s="64"/>
      <c r="Q331" s="46">
        <f>-V331</f>
        <v>-12233.33</v>
      </c>
      <c r="R331" s="46"/>
      <c r="S331" s="86"/>
      <c r="T331" s="16"/>
      <c r="U331" s="16"/>
      <c r="V331" s="20">
        <v>12233.33</v>
      </c>
      <c r="W331" s="16"/>
      <c r="X331" s="16"/>
      <c r="Y331" s="19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7"/>
      <c r="AO331" s="26"/>
      <c r="AQ331" s="10"/>
      <c r="AR331" s="27"/>
    </row>
    <row r="332" spans="1:46" s="2" customFormat="1" ht="17.25" customHeight="1" thickBot="1" x14ac:dyDescent="0.25">
      <c r="A332" s="24"/>
      <c r="B332" s="216"/>
      <c r="C332" s="217"/>
      <c r="D332" s="83"/>
      <c r="E332" s="81"/>
      <c r="F332" s="81"/>
      <c r="G332" s="81"/>
      <c r="H332" s="81"/>
      <c r="I332" s="81"/>
      <c r="J332" s="81"/>
      <c r="K332" s="37"/>
      <c r="L332" s="93"/>
      <c r="M332" s="81"/>
      <c r="N332" s="37"/>
      <c r="O332" s="93"/>
      <c r="P332" s="81"/>
      <c r="Q332" s="40"/>
      <c r="R332" s="40"/>
      <c r="S332" s="39"/>
      <c r="T332" s="16"/>
      <c r="U332" s="16"/>
      <c r="V332" s="16"/>
      <c r="W332" s="16"/>
      <c r="X332" s="16"/>
      <c r="Y332" s="19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41"/>
      <c r="AQ332" s="10"/>
      <c r="AR332" s="11"/>
    </row>
    <row r="333" spans="1:46" s="4" customFormat="1" ht="17.25" customHeight="1" x14ac:dyDescent="0.25">
      <c r="A333" s="23"/>
      <c r="B333" s="210" t="s">
        <v>94</v>
      </c>
      <c r="C333" s="203"/>
      <c r="D333" s="66"/>
      <c r="E333" s="66"/>
      <c r="F333" s="117"/>
      <c r="G333" s="117"/>
      <c r="H333" s="66"/>
      <c r="I333" s="66"/>
      <c r="J333" s="66">
        <f>-M333</f>
        <v>5967</v>
      </c>
      <c r="K333" s="58">
        <v>-1020</v>
      </c>
      <c r="L333" s="89">
        <v>5.85</v>
      </c>
      <c r="M333" s="73">
        <f>K333*L333</f>
        <v>-5967</v>
      </c>
      <c r="N333" s="58"/>
      <c r="O333" s="89"/>
      <c r="P333" s="73"/>
      <c r="Q333" s="39"/>
      <c r="R333" s="39"/>
      <c r="S333" s="8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35"/>
      <c r="AP333" s="12" t="e">
        <f>#REF!</f>
        <v>#REF!</v>
      </c>
    </row>
    <row r="334" spans="1:46" s="4" customFormat="1" ht="17.25" customHeight="1" x14ac:dyDescent="0.25">
      <c r="A334" s="23"/>
      <c r="B334" s="201" t="s">
        <v>95</v>
      </c>
      <c r="C334" s="202"/>
      <c r="D334" s="64"/>
      <c r="E334" s="64"/>
      <c r="F334" s="117"/>
      <c r="G334" s="117"/>
      <c r="H334" s="64"/>
      <c r="I334" s="64"/>
      <c r="J334" s="64">
        <f>-P334</f>
        <v>6995.45</v>
      </c>
      <c r="K334" s="57"/>
      <c r="L334" s="88"/>
      <c r="M334" s="62"/>
      <c r="N334" s="57">
        <v>-1817</v>
      </c>
      <c r="O334" s="88">
        <v>3.85</v>
      </c>
      <c r="P334" s="62">
        <f>N334*O334</f>
        <v>-6995.45</v>
      </c>
      <c r="Q334" s="39"/>
      <c r="R334" s="39"/>
      <c r="S334" s="8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35"/>
      <c r="AP334" s="12" t="e">
        <f>#REF!</f>
        <v>#REF!</v>
      </c>
    </row>
    <row r="335" spans="1:46" s="4" customFormat="1" ht="17.25" customHeight="1" x14ac:dyDescent="0.25">
      <c r="A335" s="23"/>
      <c r="B335" s="201" t="s">
        <v>97</v>
      </c>
      <c r="C335" s="203"/>
      <c r="D335" s="64"/>
      <c r="E335" s="64"/>
      <c r="F335" s="64"/>
      <c r="G335" s="64"/>
      <c r="H335" s="64">
        <f>-J335-I335</f>
        <v>4562.25</v>
      </c>
      <c r="I335" s="64">
        <v>8400.2000000000007</v>
      </c>
      <c r="J335" s="64">
        <f>-SUM(J333:J334)</f>
        <v>-12962.45</v>
      </c>
      <c r="K335" s="57"/>
      <c r="L335" s="88"/>
      <c r="M335" s="62"/>
      <c r="N335" s="57"/>
      <c r="O335" s="88"/>
      <c r="P335" s="62"/>
      <c r="Q335" s="39"/>
      <c r="R335" s="39"/>
      <c r="S335" s="39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22"/>
      <c r="AO335" s="43">
        <f>A304</f>
        <v>0</v>
      </c>
      <c r="AP335" s="12" t="e">
        <f>#REF!</f>
        <v>#REF!</v>
      </c>
      <c r="AT335" s="2"/>
    </row>
    <row r="336" spans="1:46" s="4" customFormat="1" ht="17.25" customHeight="1" x14ac:dyDescent="0.25">
      <c r="A336" s="23"/>
      <c r="B336" s="201" t="s">
        <v>93</v>
      </c>
      <c r="C336" s="202"/>
      <c r="D336" s="64"/>
      <c r="E336" s="64"/>
      <c r="F336" s="64"/>
      <c r="G336" s="64"/>
      <c r="H336" s="64"/>
      <c r="I336" s="64"/>
      <c r="J336" s="64"/>
      <c r="K336" s="57">
        <v>-46</v>
      </c>
      <c r="L336" s="88"/>
      <c r="M336" s="118">
        <f>(K339*L326)-M326-M333</f>
        <v>510.41309833857304</v>
      </c>
      <c r="N336" s="57">
        <v>-36</v>
      </c>
      <c r="O336" s="88"/>
      <c r="P336" s="118">
        <f>(N339*O326)-P326-P334</f>
        <v>545.70343591404799</v>
      </c>
      <c r="Q336" s="39"/>
      <c r="R336" s="39"/>
      <c r="S336" s="39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22"/>
      <c r="AO336" s="43">
        <f>A320</f>
        <v>0</v>
      </c>
      <c r="AP336" s="12" t="e">
        <f>#REF!</f>
        <v>#REF!</v>
      </c>
      <c r="AT336" s="2"/>
    </row>
    <row r="337" spans="1:45" s="2" customFormat="1" ht="17.25" customHeight="1" x14ac:dyDescent="0.2">
      <c r="A337" s="24"/>
      <c r="B337" s="201"/>
      <c r="C337" s="204"/>
      <c r="D337" s="63"/>
      <c r="E337" s="64"/>
      <c r="F337" s="64"/>
      <c r="G337" s="64"/>
      <c r="H337" s="64"/>
      <c r="I337" s="64"/>
      <c r="J337" s="64"/>
      <c r="K337" s="16"/>
      <c r="L337" s="16"/>
      <c r="M337" s="64"/>
      <c r="N337" s="16"/>
      <c r="O337" s="16"/>
      <c r="P337" s="64"/>
      <c r="Q337" s="46"/>
      <c r="R337" s="46"/>
      <c r="S337" s="39"/>
      <c r="T337" s="16"/>
      <c r="U337" s="16"/>
      <c r="V337" s="16"/>
      <c r="W337" s="16"/>
      <c r="X337" s="16"/>
      <c r="Y337" s="19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43">
        <f>A327</f>
        <v>45952</v>
      </c>
      <c r="AQ337" s="10"/>
      <c r="AR337" s="11"/>
    </row>
    <row r="338" spans="1:45" s="2" customFormat="1" ht="17.25" customHeight="1" thickBot="1" x14ac:dyDescent="0.3">
      <c r="A338" s="56"/>
      <c r="B338" s="101" t="s">
        <v>102</v>
      </c>
      <c r="C338" s="102">
        <f>D339+E339+F339+G339+H339+I339+J339+M339+P339</f>
        <v>73868.239999999976</v>
      </c>
      <c r="D338" s="84"/>
      <c r="E338" s="85"/>
      <c r="F338" s="85"/>
      <c r="G338" s="85"/>
      <c r="H338" s="85"/>
      <c r="I338" s="85"/>
      <c r="J338" s="85"/>
      <c r="K338" s="28"/>
      <c r="L338" s="28"/>
      <c r="M338" s="85"/>
      <c r="N338" s="28"/>
      <c r="O338" s="28"/>
      <c r="P338" s="85"/>
      <c r="Q338" s="48"/>
      <c r="R338" s="48"/>
      <c r="S338" s="51"/>
      <c r="T338" s="28"/>
      <c r="U338" s="28"/>
      <c r="V338" s="28"/>
      <c r="W338" s="28"/>
      <c r="X338" s="28"/>
      <c r="Y338" s="36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42">
        <f>SUM($Q326:AN338)</f>
        <v>-380975.24</v>
      </c>
      <c r="AQ338" s="10"/>
      <c r="AR338" s="11"/>
      <c r="AS338" s="2" t="s">
        <v>5</v>
      </c>
    </row>
    <row r="339" spans="1:45" s="2" customFormat="1" ht="17.25" customHeight="1" thickTop="1" thickBot="1" x14ac:dyDescent="0.3">
      <c r="A339" s="103"/>
      <c r="B339" s="104" t="s">
        <v>103</v>
      </c>
      <c r="C339" s="105">
        <f>AO339</f>
        <v>-307107.00000000006</v>
      </c>
      <c r="D339" s="106">
        <f t="shared" ref="D339:K339" si="42">SUM(D326:D338)</f>
        <v>10018.129999999992</v>
      </c>
      <c r="E339" s="107">
        <f t="shared" si="42"/>
        <v>-20128.650000000009</v>
      </c>
      <c r="F339" s="107">
        <f t="shared" si="42"/>
        <v>0</v>
      </c>
      <c r="G339" s="107">
        <f t="shared" si="42"/>
        <v>-18462.760000000006</v>
      </c>
      <c r="H339" s="107">
        <f t="shared" si="42"/>
        <v>50913.94</v>
      </c>
      <c r="I339" s="107">
        <f t="shared" si="42"/>
        <v>8400.2000000000007</v>
      </c>
      <c r="J339" s="107">
        <f t="shared" si="42"/>
        <v>0</v>
      </c>
      <c r="K339" s="108">
        <f t="shared" si="42"/>
        <v>3388</v>
      </c>
      <c r="L339" s="109">
        <f>M339/K339</f>
        <v>5.1187485242030695</v>
      </c>
      <c r="M339" s="107">
        <f>ROUND(SUM(M326:M338),2)</f>
        <v>17342.32</v>
      </c>
      <c r="N339" s="108">
        <f>SUM(N326:N338)</f>
        <v>7408</v>
      </c>
      <c r="O339" s="109">
        <f>P339/N339</f>
        <v>3.4807046436285098</v>
      </c>
      <c r="P339" s="107">
        <f>ROUND(SUM(P326:P338),2)</f>
        <v>25785.06</v>
      </c>
      <c r="Q339" s="110">
        <f t="shared" ref="Q339:AN339" si="43">SUM(Q326:Q338)</f>
        <v>-373578.33</v>
      </c>
      <c r="R339" s="107">
        <f t="shared" si="43"/>
        <v>29928.52</v>
      </c>
      <c r="S339" s="107">
        <f t="shared" si="43"/>
        <v>0</v>
      </c>
      <c r="T339" s="107">
        <f t="shared" si="43"/>
        <v>-12858.760000000002</v>
      </c>
      <c r="U339" s="107">
        <f t="shared" si="43"/>
        <v>0</v>
      </c>
      <c r="V339" s="107">
        <f t="shared" si="43"/>
        <v>-24466.67000000002</v>
      </c>
      <c r="W339" s="107">
        <f t="shared" si="43"/>
        <v>0</v>
      </c>
      <c r="X339" s="107">
        <f t="shared" si="43"/>
        <v>0</v>
      </c>
      <c r="Y339" s="107">
        <f t="shared" si="43"/>
        <v>0</v>
      </c>
      <c r="Z339" s="107">
        <f t="shared" si="43"/>
        <v>0</v>
      </c>
      <c r="AA339" s="107">
        <f t="shared" si="43"/>
        <v>0</v>
      </c>
      <c r="AB339" s="107">
        <f t="shared" si="43"/>
        <v>0</v>
      </c>
      <c r="AC339" s="107">
        <f t="shared" si="43"/>
        <v>0</v>
      </c>
      <c r="AD339" s="107">
        <f t="shared" si="43"/>
        <v>0</v>
      </c>
      <c r="AE339" s="107">
        <f t="shared" si="43"/>
        <v>0</v>
      </c>
      <c r="AF339" s="107">
        <f t="shared" si="43"/>
        <v>0</v>
      </c>
      <c r="AG339" s="107">
        <f t="shared" si="43"/>
        <v>0</v>
      </c>
      <c r="AH339" s="107">
        <f t="shared" si="43"/>
        <v>0</v>
      </c>
      <c r="AI339" s="107">
        <f t="shared" si="43"/>
        <v>0</v>
      </c>
      <c r="AJ339" s="107">
        <f t="shared" si="43"/>
        <v>0</v>
      </c>
      <c r="AK339" s="107">
        <f t="shared" si="43"/>
        <v>0</v>
      </c>
      <c r="AL339" s="107">
        <f t="shared" si="43"/>
        <v>0</v>
      </c>
      <c r="AM339" s="107">
        <f t="shared" si="43"/>
        <v>0</v>
      </c>
      <c r="AN339" s="107">
        <f t="shared" si="43"/>
        <v>0</v>
      </c>
      <c r="AO339" s="111">
        <f>D339+E339+F339+G339+H339+I339+J339+M339+P339+SUM(Q339:AN339)</f>
        <v>-307107.00000000006</v>
      </c>
      <c r="AP339" s="4"/>
      <c r="AQ339" s="5"/>
      <c r="AR339" s="5"/>
      <c r="AS339" s="2" t="s">
        <v>6</v>
      </c>
    </row>
    <row r="340" spans="1:45" s="2" customFormat="1" ht="17.25" customHeight="1" thickTop="1" x14ac:dyDescent="0.25">
      <c r="A340" s="23">
        <f>A327+1</f>
        <v>45953</v>
      </c>
      <c r="B340" s="210" t="s">
        <v>64</v>
      </c>
      <c r="C340" s="203"/>
      <c r="D340" s="63">
        <v>8188.46</v>
      </c>
      <c r="E340" s="66"/>
      <c r="F340" s="66"/>
      <c r="G340" s="66"/>
      <c r="H340" s="66"/>
      <c r="I340" s="66">
        <f>-D340</f>
        <v>-8188.46</v>
      </c>
      <c r="J340" s="66"/>
      <c r="K340" s="18"/>
      <c r="L340" s="18"/>
      <c r="M340" s="66"/>
      <c r="N340" s="18"/>
      <c r="O340" s="18"/>
      <c r="P340" s="66"/>
      <c r="Q340" s="46"/>
      <c r="R340" s="46"/>
      <c r="S340" s="45"/>
      <c r="T340" s="18"/>
      <c r="U340" s="18"/>
      <c r="V340" s="18"/>
      <c r="W340" s="18"/>
      <c r="X340" s="18"/>
      <c r="Y340" s="14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31"/>
      <c r="AQ340" s="10"/>
      <c r="AR340" s="27"/>
    </row>
    <row r="341" spans="1:45" s="4" customFormat="1" ht="17.25" customHeight="1" x14ac:dyDescent="0.25">
      <c r="A341" s="23"/>
      <c r="B341" s="201" t="s">
        <v>96</v>
      </c>
      <c r="C341" s="202"/>
      <c r="D341" s="63"/>
      <c r="E341" s="64"/>
      <c r="F341" s="64"/>
      <c r="G341" s="64"/>
      <c r="H341" s="64"/>
      <c r="I341" s="117">
        <f>-I339-I340</f>
        <v>-211.74000000000069</v>
      </c>
      <c r="J341" s="64"/>
      <c r="K341" s="16"/>
      <c r="L341" s="92"/>
      <c r="M341" s="64"/>
      <c r="N341" s="16"/>
      <c r="O341" s="92"/>
      <c r="P341" s="64"/>
      <c r="Q341" s="40"/>
      <c r="R341" s="46"/>
      <c r="S341" s="39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22"/>
      <c r="AP341" s="30"/>
    </row>
    <row r="342" spans="1:45" s="2" customFormat="1" ht="17.25" customHeight="1" x14ac:dyDescent="0.2">
      <c r="A342" s="23"/>
      <c r="B342" s="201" t="s">
        <v>13</v>
      </c>
      <c r="C342" s="203"/>
      <c r="D342" s="63"/>
      <c r="E342" s="64">
        <f>50+25+25+30+20+20.88+20+30+50.08+40+31+50+14+20+15+50+50+31+20+20+105+810</f>
        <v>1526.96</v>
      </c>
      <c r="F342" s="64"/>
      <c r="G342" s="64"/>
      <c r="H342" s="64">
        <f>-E342</f>
        <v>-1526.96</v>
      </c>
      <c r="I342" s="64"/>
      <c r="J342" s="64"/>
      <c r="K342" s="16"/>
      <c r="L342" s="16"/>
      <c r="M342" s="64"/>
      <c r="N342" s="16"/>
      <c r="O342" s="16"/>
      <c r="P342" s="64"/>
      <c r="Q342" s="46"/>
      <c r="R342" s="39"/>
      <c r="S342" s="40"/>
      <c r="T342" s="16"/>
      <c r="U342" s="16"/>
      <c r="V342" s="16"/>
      <c r="W342" s="16"/>
      <c r="X342" s="16"/>
      <c r="Y342" s="19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35"/>
      <c r="AQ342" s="10"/>
      <c r="AR342" s="27"/>
    </row>
    <row r="343" spans="1:45" s="2" customFormat="1" ht="17.25" customHeight="1" x14ac:dyDescent="0.25">
      <c r="A343" s="24"/>
      <c r="B343" s="201" t="s">
        <v>189</v>
      </c>
      <c r="C343" s="203"/>
      <c r="D343" s="63"/>
      <c r="E343" s="64">
        <v>2000</v>
      </c>
      <c r="F343" s="64"/>
      <c r="G343" s="64"/>
      <c r="H343" s="64">
        <f>-E343</f>
        <v>-2000</v>
      </c>
      <c r="I343" s="64"/>
      <c r="J343" s="64"/>
      <c r="K343" s="16"/>
      <c r="L343" s="92"/>
      <c r="M343" s="64"/>
      <c r="N343" s="16"/>
      <c r="O343" s="92"/>
      <c r="P343" s="64"/>
      <c r="Q343" s="40"/>
      <c r="R343" s="40"/>
      <c r="S343" s="39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22"/>
      <c r="AQ343" s="10"/>
      <c r="AR343" s="11"/>
    </row>
    <row r="344" spans="1:45" s="2" customFormat="1" ht="17.25" customHeight="1" x14ac:dyDescent="0.25">
      <c r="A344" s="29"/>
      <c r="B344" s="201" t="s">
        <v>72</v>
      </c>
      <c r="C344" s="202"/>
      <c r="D344" s="63">
        <v>-10000</v>
      </c>
      <c r="E344" s="64"/>
      <c r="F344" s="64">
        <f>-D344</f>
        <v>10000</v>
      </c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47"/>
      <c r="R344" s="39"/>
      <c r="S344" s="39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22"/>
      <c r="AQ344" s="10" t="s">
        <v>4</v>
      </c>
      <c r="AR344" s="11" t="e">
        <v>#REF!</v>
      </c>
    </row>
    <row r="345" spans="1:45" s="2" customFormat="1" ht="17.25" customHeight="1" x14ac:dyDescent="0.25">
      <c r="A345" s="29"/>
      <c r="B345" s="201" t="s">
        <v>72</v>
      </c>
      <c r="C345" s="202"/>
      <c r="D345" s="63">
        <v>-8200</v>
      </c>
      <c r="E345" s="64"/>
      <c r="F345" s="64">
        <f>-D345</f>
        <v>8200</v>
      </c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47"/>
      <c r="R345" s="39"/>
      <c r="S345" s="39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22"/>
      <c r="AQ345" s="10" t="s">
        <v>4</v>
      </c>
      <c r="AR345" s="11" t="e">
        <v>#REF!</v>
      </c>
    </row>
    <row r="346" spans="1:45" s="2" customFormat="1" ht="17.25" customHeight="1" x14ac:dyDescent="0.25">
      <c r="A346" s="29"/>
      <c r="B346" s="201" t="s">
        <v>72</v>
      </c>
      <c r="C346" s="202"/>
      <c r="D346" s="63">
        <f>-F346</f>
        <v>18200</v>
      </c>
      <c r="E346" s="64"/>
      <c r="F346" s="64">
        <v>-18200</v>
      </c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47"/>
      <c r="R346" s="39"/>
      <c r="S346" s="39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22"/>
      <c r="AQ346" s="10" t="s">
        <v>4</v>
      </c>
      <c r="AR346" s="11" t="e">
        <v>#REF!</v>
      </c>
    </row>
    <row r="347" spans="1:45" s="2" customFormat="1" ht="17.25" customHeight="1" x14ac:dyDescent="0.25">
      <c r="A347" s="29"/>
      <c r="B347" s="201" t="s">
        <v>72</v>
      </c>
      <c r="C347" s="202"/>
      <c r="D347" s="63">
        <v>-17800</v>
      </c>
      <c r="E347" s="64"/>
      <c r="F347" s="64">
        <f>-D347</f>
        <v>17800</v>
      </c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47"/>
      <c r="R347" s="39"/>
      <c r="S347" s="39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22"/>
      <c r="AQ347" s="10" t="s">
        <v>4</v>
      </c>
      <c r="AR347" s="11" t="e">
        <v>#REF!</v>
      </c>
    </row>
    <row r="348" spans="1:45" s="2" customFormat="1" ht="17.25" customHeight="1" x14ac:dyDescent="0.2">
      <c r="A348" s="23"/>
      <c r="B348" s="205" t="s">
        <v>229</v>
      </c>
      <c r="C348" s="206"/>
      <c r="D348" s="63">
        <v>50200</v>
      </c>
      <c r="E348" s="64"/>
      <c r="F348" s="74"/>
      <c r="G348" s="74"/>
      <c r="H348" s="64"/>
      <c r="I348" s="64"/>
      <c r="J348" s="64"/>
      <c r="K348" s="16"/>
      <c r="L348" s="16"/>
      <c r="M348" s="64"/>
      <c r="N348" s="16"/>
      <c r="O348" s="16"/>
      <c r="P348" s="64"/>
      <c r="Q348" s="46">
        <f>-D348</f>
        <v>-50200</v>
      </c>
      <c r="R348" s="39"/>
      <c r="S348" s="40"/>
      <c r="T348" s="16"/>
      <c r="U348" s="16"/>
      <c r="V348" s="16"/>
      <c r="W348" s="16"/>
      <c r="X348" s="16"/>
      <c r="Y348" s="19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35"/>
      <c r="AQ348" s="10"/>
      <c r="AR348" s="27"/>
    </row>
    <row r="349" spans="1:45" s="2" customFormat="1" ht="17.25" customHeight="1" x14ac:dyDescent="0.2">
      <c r="A349" s="23"/>
      <c r="B349" s="201" t="s">
        <v>218</v>
      </c>
      <c r="C349" s="203"/>
      <c r="D349" s="63">
        <f>-D348*0.008</f>
        <v>-401.6</v>
      </c>
      <c r="E349" s="64"/>
      <c r="F349" s="74"/>
      <c r="G349" s="74"/>
      <c r="H349" s="64"/>
      <c r="I349" s="64"/>
      <c r="J349" s="64"/>
      <c r="K349" s="16"/>
      <c r="L349" s="16"/>
      <c r="M349" s="64"/>
      <c r="N349" s="16"/>
      <c r="O349" s="16"/>
      <c r="P349" s="64"/>
      <c r="Q349" s="46"/>
      <c r="R349" s="39"/>
      <c r="S349" s="40"/>
      <c r="T349" s="16"/>
      <c r="U349" s="16"/>
      <c r="V349" s="16"/>
      <c r="W349" s="16"/>
      <c r="X349" s="16"/>
      <c r="Y349" s="19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35"/>
      <c r="AQ349" s="10"/>
      <c r="AR349" s="27"/>
    </row>
    <row r="350" spans="1:45" s="2" customFormat="1" ht="17.25" customHeight="1" x14ac:dyDescent="0.25">
      <c r="A350" s="24"/>
      <c r="B350" s="205" t="s">
        <v>230</v>
      </c>
      <c r="C350" s="206"/>
      <c r="D350" s="64">
        <v>-50200</v>
      </c>
      <c r="E350" s="64"/>
      <c r="F350" s="64"/>
      <c r="G350" s="64"/>
      <c r="H350" s="64"/>
      <c r="I350" s="64"/>
      <c r="J350" s="64"/>
      <c r="K350" s="57"/>
      <c r="L350" s="88"/>
      <c r="M350" s="62"/>
      <c r="N350" s="57"/>
      <c r="O350" s="88"/>
      <c r="P350" s="62"/>
      <c r="Q350" s="39"/>
      <c r="R350" s="39"/>
      <c r="S350" s="39"/>
      <c r="T350" s="16"/>
      <c r="U350" s="16">
        <f>-P350</f>
        <v>0</v>
      </c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22"/>
      <c r="AQ350" s="10"/>
      <c r="AR350" s="11"/>
    </row>
    <row r="351" spans="1:45" s="2" customFormat="1" ht="17.25" customHeight="1" x14ac:dyDescent="0.2">
      <c r="A351" s="23"/>
      <c r="B351" s="201" t="s">
        <v>67</v>
      </c>
      <c r="C351" s="203"/>
      <c r="D351" s="63">
        <v>-4.9000000000000004</v>
      </c>
      <c r="E351" s="64"/>
      <c r="F351" s="74"/>
      <c r="G351" s="74"/>
      <c r="H351" s="64"/>
      <c r="I351" s="64"/>
      <c r="J351" s="64"/>
      <c r="K351" s="16"/>
      <c r="L351" s="16"/>
      <c r="M351" s="64"/>
      <c r="N351" s="16"/>
      <c r="O351" s="16"/>
      <c r="P351" s="64"/>
      <c r="Q351" s="46"/>
      <c r="R351" s="39"/>
      <c r="S351" s="40"/>
      <c r="T351" s="16"/>
      <c r="U351" s="16"/>
      <c r="V351" s="16"/>
      <c r="W351" s="16"/>
      <c r="X351" s="16"/>
      <c r="Y351" s="19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35"/>
      <c r="AQ351" s="10"/>
      <c r="AR351" s="27"/>
    </row>
    <row r="352" spans="1:45" s="2" customFormat="1" ht="17.25" customHeight="1" thickBot="1" x14ac:dyDescent="0.25">
      <c r="A352" s="24"/>
      <c r="B352" s="216"/>
      <c r="C352" s="217"/>
      <c r="D352" s="83"/>
      <c r="E352" s="81"/>
      <c r="F352" s="81"/>
      <c r="G352" s="81"/>
      <c r="H352" s="81"/>
      <c r="I352" s="81"/>
      <c r="J352" s="81"/>
      <c r="K352" s="37"/>
      <c r="L352" s="93"/>
      <c r="M352" s="81"/>
      <c r="N352" s="37"/>
      <c r="O352" s="93"/>
      <c r="P352" s="81"/>
      <c r="Q352" s="40"/>
      <c r="R352" s="40"/>
      <c r="S352" s="39"/>
      <c r="T352" s="16"/>
      <c r="U352" s="16"/>
      <c r="V352" s="16"/>
      <c r="W352" s="16"/>
      <c r="X352" s="16"/>
      <c r="Y352" s="19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41"/>
      <c r="AQ352" s="10"/>
      <c r="AR352" s="11"/>
    </row>
    <row r="353" spans="1:46" s="4" customFormat="1" ht="17.25" customHeight="1" x14ac:dyDescent="0.25">
      <c r="A353" s="23"/>
      <c r="B353" s="210" t="s">
        <v>94</v>
      </c>
      <c r="C353" s="203"/>
      <c r="D353" s="66"/>
      <c r="E353" s="66"/>
      <c r="F353" s="117"/>
      <c r="G353" s="117"/>
      <c r="H353" s="66"/>
      <c r="I353" s="66"/>
      <c r="J353" s="66">
        <f>-M353</f>
        <v>6382.3499999999995</v>
      </c>
      <c r="K353" s="58">
        <v>-1091</v>
      </c>
      <c r="L353" s="89">
        <v>5.85</v>
      </c>
      <c r="M353" s="73">
        <f>K353*L353</f>
        <v>-6382.3499999999995</v>
      </c>
      <c r="N353" s="58"/>
      <c r="O353" s="89"/>
      <c r="P353" s="73"/>
      <c r="Q353" s="39"/>
      <c r="R353" s="39"/>
      <c r="S353" s="8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35"/>
      <c r="AP353" s="12" t="e">
        <f>#REF!</f>
        <v>#REF!</v>
      </c>
    </row>
    <row r="354" spans="1:46" s="4" customFormat="1" ht="17.25" customHeight="1" x14ac:dyDescent="0.25">
      <c r="A354" s="23"/>
      <c r="B354" s="201" t="s">
        <v>95</v>
      </c>
      <c r="C354" s="202"/>
      <c r="D354" s="64"/>
      <c r="E354" s="64"/>
      <c r="F354" s="117"/>
      <c r="G354" s="117"/>
      <c r="H354" s="64"/>
      <c r="I354" s="64"/>
      <c r="J354" s="64">
        <f>-P354</f>
        <v>6741.35</v>
      </c>
      <c r="K354" s="57"/>
      <c r="L354" s="88"/>
      <c r="M354" s="62"/>
      <c r="N354" s="57">
        <v>-1751</v>
      </c>
      <c r="O354" s="88">
        <v>3.85</v>
      </c>
      <c r="P354" s="62">
        <f>N354*O354</f>
        <v>-6741.35</v>
      </c>
      <c r="Q354" s="39"/>
      <c r="R354" s="39"/>
      <c r="S354" s="8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35"/>
      <c r="AP354" s="12" t="e">
        <f>#REF!</f>
        <v>#REF!</v>
      </c>
    </row>
    <row r="355" spans="1:46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>
        <f>-J355-I355</f>
        <v>-7700.59</v>
      </c>
      <c r="I355" s="64">
        <v>20824.29</v>
      </c>
      <c r="J355" s="64">
        <f>-SUM(J353:J354)</f>
        <v>-13123.7</v>
      </c>
      <c r="K355" s="57"/>
      <c r="L355" s="88"/>
      <c r="M355" s="62"/>
      <c r="N355" s="57"/>
      <c r="O355" s="88"/>
      <c r="P355" s="62"/>
      <c r="Q355" s="39"/>
      <c r="R355" s="39"/>
      <c r="S355" s="39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22"/>
      <c r="AO355" s="43">
        <f>A323</f>
        <v>0</v>
      </c>
      <c r="AP355" s="12" t="e">
        <f>#REF!</f>
        <v>#REF!</v>
      </c>
      <c r="AT355" s="2"/>
    </row>
    <row r="356" spans="1:46" s="4" customFormat="1" ht="17.25" customHeight="1" x14ac:dyDescent="0.25">
      <c r="A356" s="23"/>
      <c r="B356" s="201" t="s">
        <v>93</v>
      </c>
      <c r="C356" s="202"/>
      <c r="D356" s="64"/>
      <c r="E356" s="64"/>
      <c r="F356" s="64"/>
      <c r="G356" s="64"/>
      <c r="H356" s="64"/>
      <c r="I356" s="64"/>
      <c r="J356" s="64"/>
      <c r="K356" s="57">
        <v>-133</v>
      </c>
      <c r="L356" s="88"/>
      <c r="M356" s="118">
        <f>(K359*L339)-M339-M353</f>
        <v>117.00180637544236</v>
      </c>
      <c r="N356" s="57">
        <v>-34</v>
      </c>
      <c r="O356" s="88"/>
      <c r="P356" s="118">
        <f>(N359*O339)-P339-P354</f>
        <v>528.29221112311097</v>
      </c>
      <c r="Q356" s="39"/>
      <c r="R356" s="39"/>
      <c r="S356" s="39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22"/>
      <c r="AO356" s="43">
        <f>A333</f>
        <v>0</v>
      </c>
      <c r="AP356" s="12" t="e">
        <f>#REF!</f>
        <v>#REF!</v>
      </c>
      <c r="AT356" s="2"/>
    </row>
    <row r="357" spans="1:46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46"/>
      <c r="R357" s="46"/>
      <c r="S357" s="39"/>
      <c r="T357" s="16"/>
      <c r="U357" s="16"/>
      <c r="V357" s="16"/>
      <c r="W357" s="16"/>
      <c r="X357" s="16"/>
      <c r="Y357" s="19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43">
        <f>A340</f>
        <v>45953</v>
      </c>
      <c r="AQ357" s="10"/>
      <c r="AR357" s="11"/>
    </row>
    <row r="358" spans="1:46" s="2" customFormat="1" ht="17.25" customHeight="1" thickBot="1" x14ac:dyDescent="0.3">
      <c r="A358" s="56"/>
      <c r="B358" s="101" t="s">
        <v>102</v>
      </c>
      <c r="C358" s="102">
        <f>D359+E359+F359+G359+H359+I359+J359+M359+P359</f>
        <v>73895.289999999979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48"/>
      <c r="R358" s="48"/>
      <c r="S358" s="51"/>
      <c r="T358" s="28"/>
      <c r="U358" s="28"/>
      <c r="V358" s="28"/>
      <c r="W358" s="28"/>
      <c r="X358" s="28"/>
      <c r="Y358" s="36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42">
        <f>SUM($Q339:AN358)</f>
        <v>-431175.24000000005</v>
      </c>
      <c r="AQ358" s="10"/>
      <c r="AR358" s="11"/>
      <c r="AS358" s="2" t="s">
        <v>5</v>
      </c>
    </row>
    <row r="359" spans="1:46" s="2" customFormat="1" ht="17.25" customHeight="1" thickTop="1" thickBot="1" x14ac:dyDescent="0.3">
      <c r="A359" s="103"/>
      <c r="B359" s="104" t="s">
        <v>103</v>
      </c>
      <c r="C359" s="105">
        <f>AO359</f>
        <v>-357279.95000000007</v>
      </c>
      <c r="D359" s="106">
        <f t="shared" ref="D359:K359" si="44">SUM(D339:D358)</f>
        <v>8.9999999997962377E-2</v>
      </c>
      <c r="E359" s="107">
        <f t="shared" si="44"/>
        <v>-16601.69000000001</v>
      </c>
      <c r="F359" s="107">
        <f t="shared" si="44"/>
        <v>17800</v>
      </c>
      <c r="G359" s="107">
        <f t="shared" si="44"/>
        <v>-18462.760000000006</v>
      </c>
      <c r="H359" s="107">
        <f t="shared" si="44"/>
        <v>39686.39</v>
      </c>
      <c r="I359" s="107">
        <f t="shared" si="44"/>
        <v>20824.29</v>
      </c>
      <c r="J359" s="107">
        <f t="shared" si="44"/>
        <v>0</v>
      </c>
      <c r="K359" s="108">
        <f t="shared" si="44"/>
        <v>2164</v>
      </c>
      <c r="L359" s="109">
        <f>M359/K359</f>
        <v>5.1187476894639552</v>
      </c>
      <c r="M359" s="107">
        <f>ROUND(SUM(M339:M358),2)</f>
        <v>11076.97</v>
      </c>
      <c r="N359" s="108">
        <f>SUM(N339:N358)</f>
        <v>5623</v>
      </c>
      <c r="O359" s="109">
        <f>P359/N359</f>
        <v>3.4807042504001422</v>
      </c>
      <c r="P359" s="107">
        <f>ROUND(SUM(P339:P358),2)</f>
        <v>19572</v>
      </c>
      <c r="Q359" s="110">
        <f t="shared" ref="Q359:AN359" si="45">SUM(Q339:Q358)</f>
        <v>-423778.33</v>
      </c>
      <c r="R359" s="107">
        <f t="shared" si="45"/>
        <v>29928.52</v>
      </c>
      <c r="S359" s="107">
        <f t="shared" si="45"/>
        <v>0</v>
      </c>
      <c r="T359" s="107">
        <f t="shared" si="45"/>
        <v>-12858.760000000002</v>
      </c>
      <c r="U359" s="107">
        <f t="shared" si="45"/>
        <v>0</v>
      </c>
      <c r="V359" s="107">
        <f t="shared" si="45"/>
        <v>-24466.67000000002</v>
      </c>
      <c r="W359" s="107">
        <f t="shared" si="45"/>
        <v>0</v>
      </c>
      <c r="X359" s="107">
        <f t="shared" si="45"/>
        <v>0</v>
      </c>
      <c r="Y359" s="107">
        <f t="shared" si="45"/>
        <v>0</v>
      </c>
      <c r="Z359" s="107">
        <f t="shared" si="45"/>
        <v>0</v>
      </c>
      <c r="AA359" s="107">
        <f t="shared" si="45"/>
        <v>0</v>
      </c>
      <c r="AB359" s="107">
        <f t="shared" si="45"/>
        <v>0</v>
      </c>
      <c r="AC359" s="107">
        <f t="shared" si="45"/>
        <v>0</v>
      </c>
      <c r="AD359" s="107">
        <f t="shared" si="45"/>
        <v>0</v>
      </c>
      <c r="AE359" s="107">
        <f t="shared" si="45"/>
        <v>0</v>
      </c>
      <c r="AF359" s="107">
        <f t="shared" si="45"/>
        <v>0</v>
      </c>
      <c r="AG359" s="107">
        <f t="shared" si="45"/>
        <v>0</v>
      </c>
      <c r="AH359" s="107">
        <f t="shared" si="45"/>
        <v>0</v>
      </c>
      <c r="AI359" s="107">
        <f t="shared" si="45"/>
        <v>0</v>
      </c>
      <c r="AJ359" s="107">
        <f t="shared" si="45"/>
        <v>0</v>
      </c>
      <c r="AK359" s="107">
        <f t="shared" si="45"/>
        <v>0</v>
      </c>
      <c r="AL359" s="107">
        <f t="shared" si="45"/>
        <v>0</v>
      </c>
      <c r="AM359" s="107">
        <f t="shared" si="45"/>
        <v>0</v>
      </c>
      <c r="AN359" s="107">
        <f t="shared" si="45"/>
        <v>0</v>
      </c>
      <c r="AO359" s="111">
        <f>D359+E359+F359+G359+H359+I359+J359+M359+P359+SUM(Q359:AN359)</f>
        <v>-357279.95000000007</v>
      </c>
      <c r="AP359" s="4"/>
      <c r="AQ359" s="5"/>
      <c r="AR359" s="5"/>
      <c r="AS359" s="2" t="s">
        <v>6</v>
      </c>
    </row>
    <row r="360" spans="1:46" s="2" customFormat="1" ht="17.25" customHeight="1" thickTop="1" x14ac:dyDescent="0.25">
      <c r="A360" s="23">
        <f>A340+1</f>
        <v>45954</v>
      </c>
      <c r="B360" s="210" t="s">
        <v>64</v>
      </c>
      <c r="C360" s="203"/>
      <c r="D360" s="63">
        <v>20107.34</v>
      </c>
      <c r="E360" s="66"/>
      <c r="F360" s="66"/>
      <c r="G360" s="66"/>
      <c r="H360" s="66"/>
      <c r="I360" s="66">
        <f>-D360</f>
        <v>-20107.34</v>
      </c>
      <c r="J360" s="66"/>
      <c r="K360" s="18"/>
      <c r="L360" s="18"/>
      <c r="M360" s="66"/>
      <c r="N360" s="18"/>
      <c r="O360" s="18"/>
      <c r="P360" s="66"/>
      <c r="Q360" s="46"/>
      <c r="R360" s="46"/>
      <c r="S360" s="45"/>
      <c r="T360" s="18"/>
      <c r="U360" s="18"/>
      <c r="V360" s="18"/>
      <c r="W360" s="18"/>
      <c r="X360" s="18"/>
      <c r="Y360" s="14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31"/>
      <c r="AQ360" s="10"/>
      <c r="AR360" s="27"/>
    </row>
    <row r="361" spans="1:46" s="4" customFormat="1" ht="17.25" customHeight="1" x14ac:dyDescent="0.25">
      <c r="A361" s="23"/>
      <c r="B361" s="201" t="s">
        <v>96</v>
      </c>
      <c r="C361" s="202"/>
      <c r="D361" s="63"/>
      <c r="E361" s="64"/>
      <c r="F361" s="64"/>
      <c r="G361" s="64"/>
      <c r="H361" s="64"/>
      <c r="I361" s="117">
        <f>-I359-I360</f>
        <v>-716.95000000000073</v>
      </c>
      <c r="J361" s="64"/>
      <c r="K361" s="16"/>
      <c r="L361" s="92"/>
      <c r="M361" s="64"/>
      <c r="N361" s="16"/>
      <c r="O361" s="92"/>
      <c r="P361" s="64"/>
      <c r="Q361" s="40"/>
      <c r="R361" s="46"/>
      <c r="S361" s="39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22"/>
      <c r="AP361" s="30"/>
    </row>
    <row r="362" spans="1:46" s="2" customFormat="1" ht="17.25" customHeight="1" x14ac:dyDescent="0.2">
      <c r="A362" s="23"/>
      <c r="B362" s="201" t="s">
        <v>13</v>
      </c>
      <c r="C362" s="203"/>
      <c r="D362" s="63"/>
      <c r="E362" s="64">
        <f>90+50+254.12+20+50+102.95+40+101.7+100+130+20+8+100+10+20+100+50+50+145+50+20+150+107</f>
        <v>1768.77</v>
      </c>
      <c r="F362" s="64"/>
      <c r="G362" s="64"/>
      <c r="H362" s="64">
        <f>-E362</f>
        <v>-1768.77</v>
      </c>
      <c r="I362" s="64"/>
      <c r="J362" s="64"/>
      <c r="K362" s="16"/>
      <c r="L362" s="16"/>
      <c r="M362" s="64"/>
      <c r="N362" s="16"/>
      <c r="O362" s="16"/>
      <c r="P362" s="64"/>
      <c r="Q362" s="46"/>
      <c r="R362" s="39"/>
      <c r="S362" s="40"/>
      <c r="T362" s="16"/>
      <c r="U362" s="16"/>
      <c r="V362" s="16"/>
      <c r="W362" s="16"/>
      <c r="X362" s="16"/>
      <c r="Y362" s="19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35"/>
      <c r="AQ362" s="10"/>
      <c r="AR362" s="27"/>
    </row>
    <row r="363" spans="1:46" s="2" customFormat="1" ht="17.25" customHeight="1" x14ac:dyDescent="0.25">
      <c r="A363" s="29"/>
      <c r="B363" s="201" t="s">
        <v>72</v>
      </c>
      <c r="C363" s="202"/>
      <c r="D363" s="63">
        <v>-20000</v>
      </c>
      <c r="E363" s="64"/>
      <c r="F363" s="64">
        <f>-D363</f>
        <v>20000</v>
      </c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47"/>
      <c r="R363" s="39"/>
      <c r="S363" s="39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22"/>
      <c r="AQ363" s="10" t="s">
        <v>4</v>
      </c>
      <c r="AR363" s="11" t="e">
        <v>#REF!</v>
      </c>
    </row>
    <row r="364" spans="1:46" s="2" customFormat="1" ht="17.25" customHeight="1" x14ac:dyDescent="0.25">
      <c r="A364" s="29"/>
      <c r="B364" s="201" t="s">
        <v>72</v>
      </c>
      <c r="C364" s="202"/>
      <c r="D364" s="63">
        <f>-F364</f>
        <v>37800</v>
      </c>
      <c r="E364" s="64"/>
      <c r="F364" s="64">
        <v>-37800</v>
      </c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47"/>
      <c r="R364" s="39"/>
      <c r="S364" s="39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22"/>
      <c r="AQ364" s="10" t="s">
        <v>4</v>
      </c>
      <c r="AR364" s="11" t="e">
        <v>#REF!</v>
      </c>
    </row>
    <row r="365" spans="1:46" s="2" customFormat="1" ht="17.25" customHeight="1" x14ac:dyDescent="0.25">
      <c r="A365" s="24"/>
      <c r="B365" s="205" t="s">
        <v>231</v>
      </c>
      <c r="C365" s="206"/>
      <c r="D365" s="64"/>
      <c r="E365" s="64"/>
      <c r="F365" s="64"/>
      <c r="G365" s="64"/>
      <c r="H365" s="64"/>
      <c r="I365" s="64"/>
      <c r="J365" s="64"/>
      <c r="K365" s="57">
        <v>10000</v>
      </c>
      <c r="L365" s="88">
        <v>5.0199999999999996</v>
      </c>
      <c r="M365" s="62">
        <f>K365*L365</f>
        <v>50199.999999999993</v>
      </c>
      <c r="N365" s="57"/>
      <c r="O365" s="88"/>
      <c r="P365" s="62"/>
      <c r="Q365" s="39"/>
      <c r="R365" s="39"/>
      <c r="S365" s="39"/>
      <c r="T365" s="16"/>
      <c r="U365" s="16">
        <f>-P365</f>
        <v>0</v>
      </c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22"/>
      <c r="AQ365" s="10"/>
      <c r="AR365" s="11"/>
    </row>
    <row r="366" spans="1:46" s="2" customFormat="1" ht="17.25" customHeight="1" x14ac:dyDescent="0.2">
      <c r="A366" s="23"/>
      <c r="B366" s="205" t="s">
        <v>232</v>
      </c>
      <c r="C366" s="206"/>
      <c r="D366" s="64">
        <f>-P366</f>
        <v>-34700</v>
      </c>
      <c r="E366" s="64"/>
      <c r="F366" s="64"/>
      <c r="G366" s="64"/>
      <c r="H366" s="64"/>
      <c r="I366" s="64"/>
      <c r="J366" s="64"/>
      <c r="K366" s="57"/>
      <c r="L366" s="88"/>
      <c r="M366" s="62"/>
      <c r="N366" s="57">
        <v>10000</v>
      </c>
      <c r="O366" s="88">
        <v>3.47</v>
      </c>
      <c r="P366" s="62">
        <f>N366*O366</f>
        <v>34700</v>
      </c>
      <c r="Q366" s="39"/>
      <c r="R366" s="39"/>
      <c r="S366" s="39"/>
      <c r="T366" s="16"/>
      <c r="U366" s="16"/>
      <c r="V366" s="16"/>
      <c r="W366" s="16"/>
      <c r="X366" s="16"/>
      <c r="Y366" s="19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35"/>
      <c r="AQ366" s="10"/>
      <c r="AR366" s="27"/>
    </row>
    <row r="367" spans="1:46" s="2" customFormat="1" ht="17.25" customHeight="1" x14ac:dyDescent="0.2">
      <c r="A367" s="23"/>
      <c r="B367" s="201" t="s">
        <v>233</v>
      </c>
      <c r="C367" s="203"/>
      <c r="D367" s="63">
        <v>-4.9000000000000004</v>
      </c>
      <c r="E367" s="64"/>
      <c r="F367" s="74"/>
      <c r="G367" s="74"/>
      <c r="H367" s="64"/>
      <c r="I367" s="64"/>
      <c r="J367" s="64"/>
      <c r="K367" s="16"/>
      <c r="L367" s="16"/>
      <c r="M367" s="64"/>
      <c r="N367" s="16"/>
      <c r="O367" s="16"/>
      <c r="P367" s="64"/>
      <c r="Q367" s="46"/>
      <c r="R367" s="39"/>
      <c r="S367" s="40"/>
      <c r="T367" s="16"/>
      <c r="U367" s="16"/>
      <c r="V367" s="16"/>
      <c r="W367" s="16"/>
      <c r="X367" s="16"/>
      <c r="Y367" s="19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35"/>
      <c r="AQ367" s="10"/>
      <c r="AR367" s="27"/>
    </row>
    <row r="368" spans="1:46" s="2" customFormat="1" ht="17.25" customHeight="1" thickBot="1" x14ac:dyDescent="0.25">
      <c r="A368" s="24"/>
      <c r="B368" s="216"/>
      <c r="C368" s="217"/>
      <c r="D368" s="83"/>
      <c r="E368" s="81"/>
      <c r="F368" s="81"/>
      <c r="G368" s="81"/>
      <c r="H368" s="81"/>
      <c r="I368" s="81"/>
      <c r="J368" s="81"/>
      <c r="K368" s="37"/>
      <c r="L368" s="93"/>
      <c r="M368" s="81"/>
      <c r="N368" s="37"/>
      <c r="O368" s="93"/>
      <c r="P368" s="81"/>
      <c r="Q368" s="40"/>
      <c r="R368" s="40"/>
      <c r="S368" s="39"/>
      <c r="T368" s="16"/>
      <c r="U368" s="16"/>
      <c r="V368" s="16"/>
      <c r="W368" s="16"/>
      <c r="X368" s="16"/>
      <c r="Y368" s="19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41"/>
      <c r="AQ368" s="10"/>
      <c r="AR368" s="11"/>
    </row>
    <row r="369" spans="1:46" s="4" customFormat="1" ht="17.25" customHeight="1" x14ac:dyDescent="0.25">
      <c r="A369" s="23"/>
      <c r="B369" s="210" t="s">
        <v>94</v>
      </c>
      <c r="C369" s="203"/>
      <c r="D369" s="66"/>
      <c r="E369" s="66"/>
      <c r="F369" s="117"/>
      <c r="G369" s="117"/>
      <c r="H369" s="66"/>
      <c r="I369" s="66"/>
      <c r="J369" s="66">
        <f>-M369</f>
        <v>7798.0499999999993</v>
      </c>
      <c r="K369" s="58">
        <v>-1333</v>
      </c>
      <c r="L369" s="89">
        <v>5.85</v>
      </c>
      <c r="M369" s="73">
        <f>K369*L369</f>
        <v>-7798.0499999999993</v>
      </c>
      <c r="N369" s="58"/>
      <c r="O369" s="89"/>
      <c r="P369" s="73"/>
      <c r="Q369" s="39"/>
      <c r="R369" s="39"/>
      <c r="S369" s="8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35"/>
      <c r="AP369" s="12" t="e">
        <f>#REF!</f>
        <v>#REF!</v>
      </c>
    </row>
    <row r="370" spans="1:46" s="4" customFormat="1" ht="17.25" customHeight="1" x14ac:dyDescent="0.25">
      <c r="A370" s="23"/>
      <c r="B370" s="201" t="s">
        <v>95</v>
      </c>
      <c r="C370" s="202"/>
      <c r="D370" s="64"/>
      <c r="E370" s="64"/>
      <c r="F370" s="117"/>
      <c r="G370" s="117"/>
      <c r="H370" s="64"/>
      <c r="I370" s="64"/>
      <c r="J370" s="64">
        <f>-P370</f>
        <v>9463.6299999999992</v>
      </c>
      <c r="K370" s="57"/>
      <c r="L370" s="88"/>
      <c r="M370" s="62"/>
      <c r="N370" s="57">
        <v>-2497</v>
      </c>
      <c r="O370" s="88">
        <v>3.79</v>
      </c>
      <c r="P370" s="62">
        <f>N370*O370</f>
        <v>-9463.6299999999992</v>
      </c>
      <c r="Q370" s="39"/>
      <c r="R370" s="39"/>
      <c r="S370" s="8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35"/>
      <c r="AP370" s="12" t="e">
        <f>#REF!</f>
        <v>#REF!</v>
      </c>
    </row>
    <row r="371" spans="1:46" s="4" customFormat="1" ht="17.25" customHeight="1" x14ac:dyDescent="0.25">
      <c r="A371" s="23"/>
      <c r="B371" s="201" t="s">
        <v>97</v>
      </c>
      <c r="C371" s="203"/>
      <c r="D371" s="64"/>
      <c r="E371" s="64"/>
      <c r="F371" s="64"/>
      <c r="G371" s="64"/>
      <c r="H371" s="64">
        <f>-J371-I371</f>
        <v>5916.2900000000009</v>
      </c>
      <c r="I371" s="64">
        <v>11345.39</v>
      </c>
      <c r="J371" s="64">
        <f>-SUM(J369:J370)</f>
        <v>-17261.68</v>
      </c>
      <c r="K371" s="57"/>
      <c r="L371" s="88"/>
      <c r="M371" s="62"/>
      <c r="N371" s="57"/>
      <c r="O371" s="88"/>
      <c r="P371" s="62"/>
      <c r="Q371" s="39"/>
      <c r="R371" s="39"/>
      <c r="S371" s="39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22"/>
      <c r="AO371" s="43">
        <f>A336</f>
        <v>0</v>
      </c>
      <c r="AP371" s="12" t="e">
        <f>#REF!</f>
        <v>#REF!</v>
      </c>
      <c r="AT371" s="2"/>
    </row>
    <row r="372" spans="1:46" s="4" customFormat="1" ht="17.25" customHeight="1" x14ac:dyDescent="0.25">
      <c r="A372" s="23"/>
      <c r="B372" s="201" t="s">
        <v>93</v>
      </c>
      <c r="C372" s="202"/>
      <c r="D372" s="64"/>
      <c r="E372" s="64"/>
      <c r="F372" s="64"/>
      <c r="G372" s="64"/>
      <c r="H372" s="64"/>
      <c r="I372" s="64"/>
      <c r="J372" s="64"/>
      <c r="K372" s="57">
        <v>29</v>
      </c>
      <c r="L372" s="88"/>
      <c r="M372" s="118">
        <f>(K375*(M359+M365)/(K359+K365))-M359-M369-M365</f>
        <v>1229.0620947056814</v>
      </c>
      <c r="N372" s="57">
        <v>-32</v>
      </c>
      <c r="O372" s="88"/>
      <c r="P372" s="118">
        <f>(N375*(P359+P366)/(N359+N366))-P359-P370-P366</f>
        <v>678.25664020994736</v>
      </c>
      <c r="Q372" s="39"/>
      <c r="R372" s="39"/>
      <c r="S372" s="39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22"/>
      <c r="AO372" s="43">
        <f>A353</f>
        <v>0</v>
      </c>
      <c r="AP372" s="12" t="e">
        <f>#REF!</f>
        <v>#REF!</v>
      </c>
      <c r="AT372" s="2"/>
    </row>
    <row r="373" spans="1:46" s="2" customFormat="1" ht="17.25" customHeight="1" x14ac:dyDescent="0.2">
      <c r="A373" s="24"/>
      <c r="B373" s="201"/>
      <c r="C373" s="204"/>
      <c r="D373" s="63"/>
      <c r="E373" s="64"/>
      <c r="F373" s="64"/>
      <c r="G373" s="64"/>
      <c r="H373" s="64"/>
      <c r="I373" s="64"/>
      <c r="J373" s="64"/>
      <c r="K373" s="16"/>
      <c r="L373" s="16"/>
      <c r="M373" s="64"/>
      <c r="N373" s="16"/>
      <c r="O373" s="16"/>
      <c r="P373" s="64"/>
      <c r="Q373" s="46"/>
      <c r="R373" s="46"/>
      <c r="S373" s="39"/>
      <c r="T373" s="16"/>
      <c r="U373" s="16"/>
      <c r="V373" s="16"/>
      <c r="W373" s="16"/>
      <c r="X373" s="16"/>
      <c r="Y373" s="19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43">
        <f>A360</f>
        <v>45954</v>
      </c>
      <c r="AQ373" s="10"/>
      <c r="AR373" s="11"/>
    </row>
    <row r="374" spans="1:46" s="2" customFormat="1" ht="17.25" customHeight="1" thickBot="1" x14ac:dyDescent="0.3">
      <c r="A374" s="56"/>
      <c r="B374" s="101" t="s">
        <v>102</v>
      </c>
      <c r="C374" s="102">
        <f>D375+E375+F375+G375+H375+I375+J375+M375+P375</f>
        <v>125280.75999999998</v>
      </c>
      <c r="D374" s="84"/>
      <c r="E374" s="85"/>
      <c r="F374" s="85"/>
      <c r="G374" s="85"/>
      <c r="H374" s="85"/>
      <c r="I374" s="85"/>
      <c r="J374" s="85"/>
      <c r="K374" s="28"/>
      <c r="L374" s="28"/>
      <c r="M374" s="85"/>
      <c r="N374" s="28"/>
      <c r="O374" s="28"/>
      <c r="P374" s="85"/>
      <c r="Q374" s="48"/>
      <c r="R374" s="48"/>
      <c r="S374" s="51"/>
      <c r="T374" s="28"/>
      <c r="U374" s="28"/>
      <c r="V374" s="28"/>
      <c r="W374" s="28"/>
      <c r="X374" s="28"/>
      <c r="Y374" s="36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42">
        <f>SUM($Q359:AN374)</f>
        <v>-431175.24000000005</v>
      </c>
      <c r="AQ374" s="10"/>
      <c r="AR374" s="11"/>
      <c r="AS374" s="2" t="s">
        <v>5</v>
      </c>
    </row>
    <row r="375" spans="1:46" s="2" customFormat="1" ht="17.25" customHeight="1" thickTop="1" thickBot="1" x14ac:dyDescent="0.3">
      <c r="A375" s="103"/>
      <c r="B375" s="104" t="s">
        <v>103</v>
      </c>
      <c r="C375" s="105">
        <f>AO375</f>
        <v>-305894.4800000001</v>
      </c>
      <c r="D375" s="106">
        <f t="shared" ref="D375:K375" si="46">SUM(D359:D374)</f>
        <v>3202.5299999999929</v>
      </c>
      <c r="E375" s="107">
        <f t="shared" si="46"/>
        <v>-14832.920000000009</v>
      </c>
      <c r="F375" s="107">
        <f t="shared" si="46"/>
        <v>0</v>
      </c>
      <c r="G375" s="107">
        <f t="shared" si="46"/>
        <v>-18462.760000000006</v>
      </c>
      <c r="H375" s="107">
        <f t="shared" si="46"/>
        <v>43833.91</v>
      </c>
      <c r="I375" s="107">
        <f t="shared" si="46"/>
        <v>11345.39</v>
      </c>
      <c r="J375" s="107">
        <f t="shared" si="46"/>
        <v>0</v>
      </c>
      <c r="K375" s="108">
        <f t="shared" si="46"/>
        <v>10860</v>
      </c>
      <c r="L375" s="109">
        <f>M375/K375</f>
        <v>5.0375672191528551</v>
      </c>
      <c r="M375" s="107">
        <f>ROUND(SUM(M359:M374),2)</f>
        <v>54707.98</v>
      </c>
      <c r="N375" s="108">
        <f>SUM(N359:N374)</f>
        <v>13094</v>
      </c>
      <c r="O375" s="109">
        <f>P375/N375</f>
        <v>3.4738529097296471</v>
      </c>
      <c r="P375" s="107">
        <f>ROUND(SUM(P359:P374),2)</f>
        <v>45486.63</v>
      </c>
      <c r="Q375" s="110">
        <f t="shared" ref="Q375:AN375" si="47">SUM(Q359:Q374)</f>
        <v>-423778.33</v>
      </c>
      <c r="R375" s="107">
        <f t="shared" si="47"/>
        <v>29928.52</v>
      </c>
      <c r="S375" s="107">
        <f t="shared" si="47"/>
        <v>0</v>
      </c>
      <c r="T375" s="107">
        <f t="shared" si="47"/>
        <v>-12858.760000000002</v>
      </c>
      <c r="U375" s="107">
        <f t="shared" si="47"/>
        <v>0</v>
      </c>
      <c r="V375" s="107">
        <f t="shared" si="47"/>
        <v>-24466.67000000002</v>
      </c>
      <c r="W375" s="107">
        <f t="shared" si="47"/>
        <v>0</v>
      </c>
      <c r="X375" s="107">
        <f t="shared" si="47"/>
        <v>0</v>
      </c>
      <c r="Y375" s="107">
        <f t="shared" si="47"/>
        <v>0</v>
      </c>
      <c r="Z375" s="107">
        <f t="shared" si="47"/>
        <v>0</v>
      </c>
      <c r="AA375" s="107">
        <f t="shared" si="47"/>
        <v>0</v>
      </c>
      <c r="AB375" s="107">
        <f t="shared" si="47"/>
        <v>0</v>
      </c>
      <c r="AC375" s="107">
        <f t="shared" si="47"/>
        <v>0</v>
      </c>
      <c r="AD375" s="107">
        <f t="shared" si="47"/>
        <v>0</v>
      </c>
      <c r="AE375" s="107">
        <f t="shared" si="47"/>
        <v>0</v>
      </c>
      <c r="AF375" s="107">
        <f t="shared" si="47"/>
        <v>0</v>
      </c>
      <c r="AG375" s="107">
        <f t="shared" si="47"/>
        <v>0</v>
      </c>
      <c r="AH375" s="107">
        <f t="shared" si="47"/>
        <v>0</v>
      </c>
      <c r="AI375" s="107">
        <f t="shared" si="47"/>
        <v>0</v>
      </c>
      <c r="AJ375" s="107">
        <f t="shared" si="47"/>
        <v>0</v>
      </c>
      <c r="AK375" s="107">
        <f t="shared" si="47"/>
        <v>0</v>
      </c>
      <c r="AL375" s="107">
        <f t="shared" si="47"/>
        <v>0</v>
      </c>
      <c r="AM375" s="107">
        <f t="shared" si="47"/>
        <v>0</v>
      </c>
      <c r="AN375" s="107">
        <f t="shared" si="47"/>
        <v>0</v>
      </c>
      <c r="AO375" s="111">
        <f>D375+E375+F375+G375+H375+I375+J375+M375+P375+SUM(Q375:AN375)</f>
        <v>-305894.4800000001</v>
      </c>
      <c r="AP375" s="4"/>
      <c r="AQ375" s="5"/>
      <c r="AR375" s="5"/>
      <c r="AS375" s="2" t="s">
        <v>6</v>
      </c>
    </row>
    <row r="376" spans="1:46" s="2" customFormat="1" ht="17.25" customHeight="1" thickTop="1" x14ac:dyDescent="0.25">
      <c r="A376" s="23">
        <f>A360+1</f>
        <v>45955</v>
      </c>
      <c r="B376" s="210" t="s">
        <v>64</v>
      </c>
      <c r="C376" s="203"/>
      <c r="D376" s="63">
        <v>11093.72</v>
      </c>
      <c r="E376" s="66"/>
      <c r="F376" s="66"/>
      <c r="G376" s="66"/>
      <c r="H376" s="66"/>
      <c r="I376" s="66">
        <f>-D376</f>
        <v>-11093.72</v>
      </c>
      <c r="J376" s="66"/>
      <c r="K376" s="18"/>
      <c r="L376" s="18"/>
      <c r="M376" s="66"/>
      <c r="N376" s="18"/>
      <c r="O376" s="18"/>
      <c r="P376" s="66"/>
      <c r="Q376" s="46"/>
      <c r="R376" s="46"/>
      <c r="S376" s="45"/>
      <c r="T376" s="18"/>
      <c r="U376" s="18"/>
      <c r="V376" s="18"/>
      <c r="W376" s="18"/>
      <c r="X376" s="18"/>
      <c r="Y376" s="14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31"/>
      <c r="AQ376" s="10"/>
      <c r="AR376" s="27"/>
    </row>
    <row r="377" spans="1:46" s="4" customFormat="1" ht="17.25" customHeight="1" x14ac:dyDescent="0.25">
      <c r="A377" s="23"/>
      <c r="B377" s="201" t="s">
        <v>96</v>
      </c>
      <c r="C377" s="202"/>
      <c r="D377" s="63"/>
      <c r="E377" s="64"/>
      <c r="F377" s="64"/>
      <c r="G377" s="64"/>
      <c r="H377" s="64"/>
      <c r="I377" s="117">
        <f>-I375-I376</f>
        <v>-251.67000000000007</v>
      </c>
      <c r="J377" s="64"/>
      <c r="K377" s="16"/>
      <c r="L377" s="92"/>
      <c r="M377" s="64"/>
      <c r="N377" s="16"/>
      <c r="O377" s="92"/>
      <c r="P377" s="64"/>
      <c r="Q377" s="40"/>
      <c r="R377" s="46"/>
      <c r="S377" s="39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22"/>
      <c r="AP377" s="30"/>
    </row>
    <row r="378" spans="1:46" s="2" customFormat="1" ht="17.25" customHeight="1" x14ac:dyDescent="0.25">
      <c r="A378" s="29"/>
      <c r="B378" s="201" t="s">
        <v>72</v>
      </c>
      <c r="C378" s="202"/>
      <c r="D378" s="63">
        <v>-14200</v>
      </c>
      <c r="E378" s="64"/>
      <c r="F378" s="64">
        <f>-D378</f>
        <v>14200</v>
      </c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47"/>
      <c r="R378" s="39"/>
      <c r="S378" s="39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22"/>
      <c r="AQ378" s="10" t="s">
        <v>4</v>
      </c>
      <c r="AR378" s="11" t="e">
        <v>#REF!</v>
      </c>
    </row>
    <row r="379" spans="1:46" s="2" customFormat="1" ht="17.25" customHeight="1" thickBot="1" x14ac:dyDescent="0.25">
      <c r="A379" s="24"/>
      <c r="B379" s="216"/>
      <c r="C379" s="217"/>
      <c r="D379" s="83"/>
      <c r="E379" s="81"/>
      <c r="F379" s="81"/>
      <c r="G379" s="81"/>
      <c r="H379" s="81"/>
      <c r="I379" s="81"/>
      <c r="J379" s="81"/>
      <c r="K379" s="37"/>
      <c r="L379" s="93"/>
      <c r="M379" s="81"/>
      <c r="N379" s="37"/>
      <c r="O379" s="93"/>
      <c r="P379" s="81"/>
      <c r="Q379" s="40"/>
      <c r="R379" s="40"/>
      <c r="S379" s="39"/>
      <c r="T379" s="16"/>
      <c r="U379" s="16"/>
      <c r="V379" s="16"/>
      <c r="W379" s="16"/>
      <c r="X379" s="16"/>
      <c r="Y379" s="19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41"/>
      <c r="AQ379" s="10"/>
      <c r="AR379" s="11"/>
    </row>
    <row r="380" spans="1:46" s="4" customFormat="1" ht="17.25" customHeight="1" x14ac:dyDescent="0.25">
      <c r="A380" s="23"/>
      <c r="B380" s="210" t="s">
        <v>94</v>
      </c>
      <c r="C380" s="203"/>
      <c r="D380" s="66"/>
      <c r="E380" s="66"/>
      <c r="F380" s="117"/>
      <c r="G380" s="117"/>
      <c r="H380" s="66"/>
      <c r="I380" s="66"/>
      <c r="J380" s="66">
        <f>-M380</f>
        <v>8441.5499999999993</v>
      </c>
      <c r="K380" s="58">
        <v>-1443</v>
      </c>
      <c r="L380" s="89">
        <v>5.85</v>
      </c>
      <c r="M380" s="73">
        <f>K380*L380</f>
        <v>-8441.5499999999993</v>
      </c>
      <c r="N380" s="58"/>
      <c r="O380" s="89"/>
      <c r="P380" s="73"/>
      <c r="Q380" s="39"/>
      <c r="R380" s="39"/>
      <c r="S380" s="8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35"/>
      <c r="AP380" s="12" t="e">
        <f>#REF!</f>
        <v>#REF!</v>
      </c>
    </row>
    <row r="381" spans="1:46" s="4" customFormat="1" ht="17.25" customHeight="1" x14ac:dyDescent="0.25">
      <c r="A381" s="23"/>
      <c r="B381" s="201" t="s">
        <v>95</v>
      </c>
      <c r="C381" s="202"/>
      <c r="D381" s="64"/>
      <c r="E381" s="64"/>
      <c r="F381" s="117"/>
      <c r="G381" s="117"/>
      <c r="H381" s="64"/>
      <c r="I381" s="64"/>
      <c r="J381" s="64">
        <f>-P381</f>
        <v>8807.9600000000009</v>
      </c>
      <c r="K381" s="57"/>
      <c r="L381" s="88"/>
      <c r="M381" s="62"/>
      <c r="N381" s="57">
        <v>-2324</v>
      </c>
      <c r="O381" s="88">
        <v>3.79</v>
      </c>
      <c r="P381" s="62">
        <f>N381*O381</f>
        <v>-8807.9600000000009</v>
      </c>
      <c r="Q381" s="39"/>
      <c r="R381" s="39"/>
      <c r="S381" s="8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35"/>
      <c r="AP381" s="12" t="e">
        <f>#REF!</f>
        <v>#REF!</v>
      </c>
    </row>
    <row r="382" spans="1:46" s="4" customFormat="1" ht="17.25" customHeight="1" x14ac:dyDescent="0.25">
      <c r="A382" s="23"/>
      <c r="B382" s="201" t="s">
        <v>97</v>
      </c>
      <c r="C382" s="203"/>
      <c r="D382" s="64"/>
      <c r="E382" s="64"/>
      <c r="F382" s="64"/>
      <c r="G382" s="64"/>
      <c r="H382" s="64">
        <f>-J382-I382</f>
        <v>5809.7900000000027</v>
      </c>
      <c r="I382" s="64">
        <v>11439.72</v>
      </c>
      <c r="J382" s="64">
        <f>-SUM(J380:J381)</f>
        <v>-17249.510000000002</v>
      </c>
      <c r="K382" s="57"/>
      <c r="L382" s="88"/>
      <c r="M382" s="62"/>
      <c r="N382" s="57"/>
      <c r="O382" s="88"/>
      <c r="P382" s="62"/>
      <c r="Q382" s="39"/>
      <c r="R382" s="39"/>
      <c r="S382" s="39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22"/>
      <c r="AO382" s="43">
        <f>A356</f>
        <v>0</v>
      </c>
      <c r="AP382" s="12" t="e">
        <f>#REF!</f>
        <v>#REF!</v>
      </c>
      <c r="AT382" s="2"/>
    </row>
    <row r="383" spans="1:46" s="4" customFormat="1" ht="17.25" customHeight="1" x14ac:dyDescent="0.25">
      <c r="A383" s="23"/>
      <c r="B383" s="201" t="s">
        <v>93</v>
      </c>
      <c r="C383" s="202"/>
      <c r="D383" s="64"/>
      <c r="E383" s="64"/>
      <c r="F383" s="64"/>
      <c r="G383" s="64"/>
      <c r="H383" s="64"/>
      <c r="I383" s="64"/>
      <c r="J383" s="64"/>
      <c r="K383" s="57">
        <v>-10</v>
      </c>
      <c r="L383" s="88"/>
      <c r="M383" s="118">
        <f>(K386*L375)-M375-M380</f>
        <v>1121.9648305709015</v>
      </c>
      <c r="N383" s="57">
        <v>20</v>
      </c>
      <c r="O383" s="88"/>
      <c r="P383" s="118">
        <f>(N386*O375)-P375-P381</f>
        <v>804.20289598289855</v>
      </c>
      <c r="Q383" s="39"/>
      <c r="R383" s="39"/>
      <c r="S383" s="39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22"/>
      <c r="AO383" s="43">
        <f>A369</f>
        <v>0</v>
      </c>
      <c r="AP383" s="12" t="e">
        <f>#REF!</f>
        <v>#REF!</v>
      </c>
      <c r="AT383" s="2"/>
    </row>
    <row r="384" spans="1:46" s="2" customFormat="1" ht="17.25" customHeight="1" x14ac:dyDescent="0.2">
      <c r="A384" s="24"/>
      <c r="B384" s="201"/>
      <c r="C384" s="204"/>
      <c r="D384" s="63"/>
      <c r="E384" s="64"/>
      <c r="F384" s="64"/>
      <c r="G384" s="64"/>
      <c r="H384" s="64"/>
      <c r="I384" s="64"/>
      <c r="J384" s="64"/>
      <c r="K384" s="16"/>
      <c r="L384" s="16"/>
      <c r="M384" s="64"/>
      <c r="N384" s="16"/>
      <c r="O384" s="16"/>
      <c r="P384" s="64"/>
      <c r="Q384" s="46"/>
      <c r="R384" s="46"/>
      <c r="S384" s="39"/>
      <c r="T384" s="16"/>
      <c r="U384" s="16"/>
      <c r="V384" s="16"/>
      <c r="W384" s="16"/>
      <c r="X384" s="16"/>
      <c r="Y384" s="19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43">
        <f>A376</f>
        <v>45955</v>
      </c>
      <c r="AQ384" s="10"/>
      <c r="AR384" s="11"/>
    </row>
    <row r="385" spans="1:46" s="2" customFormat="1" ht="17.25" customHeight="1" thickBot="1" x14ac:dyDescent="0.3">
      <c r="A385" s="56"/>
      <c r="B385" s="101" t="s">
        <v>102</v>
      </c>
      <c r="C385" s="102">
        <f>D386+E386+F386+G386+H386+I386+J386+M386+P386</f>
        <v>126955.24999999997</v>
      </c>
      <c r="D385" s="84"/>
      <c r="E385" s="85"/>
      <c r="F385" s="85"/>
      <c r="G385" s="85"/>
      <c r="H385" s="85"/>
      <c r="I385" s="85"/>
      <c r="J385" s="85"/>
      <c r="K385" s="28"/>
      <c r="L385" s="28"/>
      <c r="M385" s="85"/>
      <c r="N385" s="28"/>
      <c r="O385" s="28"/>
      <c r="P385" s="85"/>
      <c r="Q385" s="48"/>
      <c r="R385" s="48"/>
      <c r="S385" s="51"/>
      <c r="T385" s="28"/>
      <c r="U385" s="28"/>
      <c r="V385" s="28"/>
      <c r="W385" s="28"/>
      <c r="X385" s="28"/>
      <c r="Y385" s="36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42">
        <f>SUM($Q375:AN385)</f>
        <v>-431175.24000000005</v>
      </c>
      <c r="AQ385" s="10"/>
      <c r="AR385" s="11"/>
      <c r="AS385" s="2" t="s">
        <v>5</v>
      </c>
    </row>
    <row r="386" spans="1:46" s="2" customFormat="1" ht="17.25" customHeight="1" thickTop="1" thickBot="1" x14ac:dyDescent="0.3">
      <c r="A386" s="103"/>
      <c r="B386" s="104" t="s">
        <v>103</v>
      </c>
      <c r="C386" s="105">
        <f>AO386</f>
        <v>-304219.99000000011</v>
      </c>
      <c r="D386" s="106">
        <f t="shared" ref="D386:K386" si="48">SUM(D375:D385)</f>
        <v>96.249999999992724</v>
      </c>
      <c r="E386" s="107">
        <f t="shared" si="48"/>
        <v>-14832.920000000009</v>
      </c>
      <c r="F386" s="107">
        <f t="shared" si="48"/>
        <v>14200</v>
      </c>
      <c r="G386" s="107">
        <f t="shared" si="48"/>
        <v>-18462.760000000006</v>
      </c>
      <c r="H386" s="107">
        <f t="shared" si="48"/>
        <v>49643.700000000004</v>
      </c>
      <c r="I386" s="107">
        <f t="shared" si="48"/>
        <v>11439.72</v>
      </c>
      <c r="J386" s="107">
        <f t="shared" si="48"/>
        <v>0</v>
      </c>
      <c r="K386" s="108">
        <f t="shared" si="48"/>
        <v>9407</v>
      </c>
      <c r="L386" s="109">
        <f>M386/K386</f>
        <v>5.0375667056447329</v>
      </c>
      <c r="M386" s="107">
        <f>ROUND(SUM(M375:M385),2)</f>
        <v>47388.39</v>
      </c>
      <c r="N386" s="108">
        <f>SUM(N375:N385)</f>
        <v>10790</v>
      </c>
      <c r="O386" s="109">
        <f>P386/N386</f>
        <v>3.4738526413345694</v>
      </c>
      <c r="P386" s="107">
        <f>ROUND(SUM(P375:P385),2)</f>
        <v>37482.870000000003</v>
      </c>
      <c r="Q386" s="110">
        <f t="shared" ref="Q386:AN386" si="49">SUM(Q375:Q385)</f>
        <v>-423778.33</v>
      </c>
      <c r="R386" s="107">
        <f t="shared" si="49"/>
        <v>29928.52</v>
      </c>
      <c r="S386" s="107">
        <f t="shared" si="49"/>
        <v>0</v>
      </c>
      <c r="T386" s="107">
        <f t="shared" si="49"/>
        <v>-12858.760000000002</v>
      </c>
      <c r="U386" s="107">
        <f t="shared" si="49"/>
        <v>0</v>
      </c>
      <c r="V386" s="107">
        <f t="shared" si="49"/>
        <v>-24466.67000000002</v>
      </c>
      <c r="W386" s="107">
        <f t="shared" si="49"/>
        <v>0</v>
      </c>
      <c r="X386" s="107">
        <f t="shared" si="49"/>
        <v>0</v>
      </c>
      <c r="Y386" s="107">
        <f t="shared" si="49"/>
        <v>0</v>
      </c>
      <c r="Z386" s="107">
        <f t="shared" si="49"/>
        <v>0</v>
      </c>
      <c r="AA386" s="107">
        <f t="shared" si="49"/>
        <v>0</v>
      </c>
      <c r="AB386" s="107">
        <f t="shared" si="49"/>
        <v>0</v>
      </c>
      <c r="AC386" s="107">
        <f t="shared" si="49"/>
        <v>0</v>
      </c>
      <c r="AD386" s="107">
        <f t="shared" si="49"/>
        <v>0</v>
      </c>
      <c r="AE386" s="107">
        <f t="shared" si="49"/>
        <v>0</v>
      </c>
      <c r="AF386" s="107">
        <f t="shared" si="49"/>
        <v>0</v>
      </c>
      <c r="AG386" s="107">
        <f t="shared" si="49"/>
        <v>0</v>
      </c>
      <c r="AH386" s="107">
        <f t="shared" si="49"/>
        <v>0</v>
      </c>
      <c r="AI386" s="107">
        <f t="shared" si="49"/>
        <v>0</v>
      </c>
      <c r="AJ386" s="107">
        <f t="shared" si="49"/>
        <v>0</v>
      </c>
      <c r="AK386" s="107">
        <f t="shared" si="49"/>
        <v>0</v>
      </c>
      <c r="AL386" s="107">
        <f t="shared" si="49"/>
        <v>0</v>
      </c>
      <c r="AM386" s="107">
        <f t="shared" si="49"/>
        <v>0</v>
      </c>
      <c r="AN386" s="107">
        <f t="shared" si="49"/>
        <v>0</v>
      </c>
      <c r="AO386" s="111">
        <f>D386+E386+F386+G386+H386+I386+J386+M386+P386+SUM(Q386:AN386)</f>
        <v>-304219.99000000011</v>
      </c>
      <c r="AP386" s="4"/>
      <c r="AQ386" s="5"/>
      <c r="AR386" s="5"/>
      <c r="AS386" s="2" t="s">
        <v>6</v>
      </c>
    </row>
    <row r="387" spans="1:46" s="2" customFormat="1" ht="17.25" customHeight="1" thickTop="1" x14ac:dyDescent="0.25">
      <c r="A387" s="23">
        <f>A376+1</f>
        <v>45956</v>
      </c>
      <c r="B387" s="210" t="s">
        <v>64</v>
      </c>
      <c r="C387" s="203"/>
      <c r="D387" s="63">
        <v>11168.3</v>
      </c>
      <c r="E387" s="66"/>
      <c r="F387" s="66"/>
      <c r="G387" s="66"/>
      <c r="H387" s="66"/>
      <c r="I387" s="66">
        <f>-D387</f>
        <v>-11168.3</v>
      </c>
      <c r="J387" s="66"/>
      <c r="K387" s="18"/>
      <c r="L387" s="18"/>
      <c r="M387" s="66"/>
      <c r="N387" s="18"/>
      <c r="O387" s="18"/>
      <c r="P387" s="66"/>
      <c r="Q387" s="46"/>
      <c r="R387" s="46"/>
      <c r="S387" s="45"/>
      <c r="T387" s="18"/>
      <c r="U387" s="18"/>
      <c r="V387" s="18"/>
      <c r="W387" s="18"/>
      <c r="X387" s="18"/>
      <c r="Y387" s="14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31"/>
      <c r="AQ387" s="10"/>
      <c r="AR387" s="27"/>
    </row>
    <row r="388" spans="1:46" s="4" customFormat="1" ht="17.25" customHeight="1" x14ac:dyDescent="0.25">
      <c r="A388" s="23"/>
      <c r="B388" s="201" t="s">
        <v>96</v>
      </c>
      <c r="C388" s="202"/>
      <c r="D388" s="63"/>
      <c r="E388" s="64"/>
      <c r="F388" s="64"/>
      <c r="G388" s="64"/>
      <c r="H388" s="64"/>
      <c r="I388" s="117">
        <f>-I386-I387</f>
        <v>-271.42000000000007</v>
      </c>
      <c r="J388" s="64"/>
      <c r="K388" s="16"/>
      <c r="L388" s="92"/>
      <c r="M388" s="64"/>
      <c r="N388" s="16"/>
      <c r="O388" s="92"/>
      <c r="P388" s="64"/>
      <c r="Q388" s="40"/>
      <c r="R388" s="46"/>
      <c r="S388" s="39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22"/>
      <c r="AP388" s="30"/>
    </row>
    <row r="389" spans="1:46" s="2" customFormat="1" ht="17.25" customHeight="1" x14ac:dyDescent="0.25">
      <c r="A389" s="29"/>
      <c r="B389" s="201" t="s">
        <v>72</v>
      </c>
      <c r="C389" s="202"/>
      <c r="D389" s="63">
        <v>-11200</v>
      </c>
      <c r="E389" s="64"/>
      <c r="F389" s="64">
        <f>-D389</f>
        <v>11200</v>
      </c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47"/>
      <c r="R389" s="39"/>
      <c r="S389" s="39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22"/>
      <c r="AQ389" s="10" t="s">
        <v>4</v>
      </c>
      <c r="AR389" s="11" t="e">
        <v>#REF!</v>
      </c>
    </row>
    <row r="390" spans="1:46" s="2" customFormat="1" ht="17.25" customHeight="1" thickBot="1" x14ac:dyDescent="0.25">
      <c r="A390" s="24"/>
      <c r="B390" s="216"/>
      <c r="C390" s="217"/>
      <c r="D390" s="83"/>
      <c r="E390" s="81"/>
      <c r="F390" s="81"/>
      <c r="G390" s="81"/>
      <c r="H390" s="81"/>
      <c r="I390" s="81"/>
      <c r="J390" s="81"/>
      <c r="K390" s="37"/>
      <c r="L390" s="93"/>
      <c r="M390" s="81"/>
      <c r="N390" s="37"/>
      <c r="O390" s="93"/>
      <c r="P390" s="81"/>
      <c r="Q390" s="40"/>
      <c r="R390" s="40"/>
      <c r="S390" s="39"/>
      <c r="T390" s="16"/>
      <c r="U390" s="16"/>
      <c r="V390" s="16"/>
      <c r="W390" s="16"/>
      <c r="X390" s="16"/>
      <c r="Y390" s="19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41"/>
      <c r="AQ390" s="10"/>
      <c r="AR390" s="11"/>
    </row>
    <row r="391" spans="1:46" s="4" customFormat="1" ht="17.25" customHeight="1" x14ac:dyDescent="0.25">
      <c r="A391" s="23"/>
      <c r="B391" s="210" t="s">
        <v>94</v>
      </c>
      <c r="C391" s="203"/>
      <c r="D391" s="66"/>
      <c r="E391" s="66"/>
      <c r="F391" s="117"/>
      <c r="G391" s="117"/>
      <c r="H391" s="66"/>
      <c r="I391" s="66"/>
      <c r="J391" s="66">
        <f>-M391</f>
        <v>5341.0499999999993</v>
      </c>
      <c r="K391" s="58">
        <v>-913</v>
      </c>
      <c r="L391" s="89">
        <v>5.85</v>
      </c>
      <c r="M391" s="73">
        <f>K391*L391</f>
        <v>-5341.0499999999993</v>
      </c>
      <c r="N391" s="58"/>
      <c r="O391" s="89"/>
      <c r="P391" s="73"/>
      <c r="Q391" s="39"/>
      <c r="R391" s="39"/>
      <c r="S391" s="8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35"/>
      <c r="AP391" s="12" t="e">
        <f>#REF!</f>
        <v>#REF!</v>
      </c>
    </row>
    <row r="392" spans="1:46" s="4" customFormat="1" ht="17.25" customHeight="1" x14ac:dyDescent="0.25">
      <c r="A392" s="23"/>
      <c r="B392" s="201" t="s">
        <v>95</v>
      </c>
      <c r="C392" s="202"/>
      <c r="D392" s="64"/>
      <c r="E392" s="64"/>
      <c r="F392" s="117"/>
      <c r="G392" s="117"/>
      <c r="H392" s="64"/>
      <c r="I392" s="64"/>
      <c r="J392" s="64">
        <f>-P392</f>
        <v>6037.47</v>
      </c>
      <c r="K392" s="57"/>
      <c r="L392" s="88"/>
      <c r="M392" s="62"/>
      <c r="N392" s="57">
        <v>-1593</v>
      </c>
      <c r="O392" s="88">
        <v>3.79</v>
      </c>
      <c r="P392" s="62">
        <f>N392*O392</f>
        <v>-6037.47</v>
      </c>
      <c r="Q392" s="39"/>
      <c r="R392" s="39"/>
      <c r="S392" s="8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35"/>
      <c r="AP392" s="12" t="e">
        <f>#REF!</f>
        <v>#REF!</v>
      </c>
    </row>
    <row r="393" spans="1:46" s="4" customFormat="1" ht="17.25" customHeight="1" x14ac:dyDescent="0.25">
      <c r="A393" s="23"/>
      <c r="B393" s="201" t="s">
        <v>97</v>
      </c>
      <c r="C393" s="203"/>
      <c r="D393" s="64"/>
      <c r="E393" s="64"/>
      <c r="F393" s="64"/>
      <c r="G393" s="64"/>
      <c r="H393" s="64">
        <f>-J393-I393</f>
        <v>3539.8500000000004</v>
      </c>
      <c r="I393" s="64">
        <v>7838.67</v>
      </c>
      <c r="J393" s="64">
        <f>-SUM(J391:J392)</f>
        <v>-11378.52</v>
      </c>
      <c r="K393" s="57"/>
      <c r="L393" s="88"/>
      <c r="M393" s="62"/>
      <c r="N393" s="57"/>
      <c r="O393" s="88"/>
      <c r="P393" s="62"/>
      <c r="Q393" s="39"/>
      <c r="R393" s="39"/>
      <c r="S393" s="39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22"/>
      <c r="AO393" s="43"/>
      <c r="AP393" s="12" t="e">
        <f>#REF!</f>
        <v>#REF!</v>
      </c>
      <c r="AT393" s="2"/>
    </row>
    <row r="394" spans="1:46" s="4" customFormat="1" ht="17.25" customHeight="1" x14ac:dyDescent="0.25">
      <c r="A394" s="23"/>
      <c r="B394" s="201" t="s">
        <v>93</v>
      </c>
      <c r="C394" s="202"/>
      <c r="D394" s="64"/>
      <c r="E394" s="64"/>
      <c r="F394" s="64"/>
      <c r="G394" s="64"/>
      <c r="H394" s="64"/>
      <c r="I394" s="64"/>
      <c r="J394" s="64"/>
      <c r="K394" s="57">
        <v>-7</v>
      </c>
      <c r="L394" s="88"/>
      <c r="M394" s="118">
        <f>(K397*L386)-M386-M391</f>
        <v>706.48863080684896</v>
      </c>
      <c r="N394" s="57">
        <v>-53</v>
      </c>
      <c r="O394" s="88"/>
      <c r="P394" s="118">
        <f>(N397*O386)-P386-P392</f>
        <v>319.50855236330153</v>
      </c>
      <c r="Q394" s="39"/>
      <c r="R394" s="39"/>
      <c r="S394" s="39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22"/>
      <c r="AO394" s="43">
        <f>A380</f>
        <v>0</v>
      </c>
      <c r="AP394" s="12" t="e">
        <f>#REF!</f>
        <v>#REF!</v>
      </c>
      <c r="AT394" s="2"/>
    </row>
    <row r="395" spans="1:46" s="2" customFormat="1" ht="17.25" customHeight="1" x14ac:dyDescent="0.2">
      <c r="A395" s="24"/>
      <c r="B395" s="201"/>
      <c r="C395" s="204"/>
      <c r="D395" s="63"/>
      <c r="E395" s="64"/>
      <c r="F395" s="64"/>
      <c r="G395" s="64"/>
      <c r="H395" s="64"/>
      <c r="I395" s="64"/>
      <c r="J395" s="64"/>
      <c r="K395" s="16"/>
      <c r="L395" s="16"/>
      <c r="M395" s="64"/>
      <c r="N395" s="16"/>
      <c r="O395" s="16"/>
      <c r="P395" s="64"/>
      <c r="Q395" s="46"/>
      <c r="R395" s="46"/>
      <c r="S395" s="39"/>
      <c r="T395" s="16"/>
      <c r="U395" s="16"/>
      <c r="V395" s="16"/>
      <c r="W395" s="16"/>
      <c r="X395" s="16"/>
      <c r="Y395" s="19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43">
        <f>A387</f>
        <v>45956</v>
      </c>
      <c r="AQ395" s="10"/>
      <c r="AR395" s="11"/>
    </row>
    <row r="396" spans="1:46" s="2" customFormat="1" ht="17.25" customHeight="1" thickBot="1" x14ac:dyDescent="0.3">
      <c r="A396" s="56"/>
      <c r="B396" s="101" t="s">
        <v>102</v>
      </c>
      <c r="C396" s="102">
        <f>D397+E397+F397+G397+H397+I397+J397+M397+P397</f>
        <v>127709.82999999999</v>
      </c>
      <c r="D396" s="84"/>
      <c r="E396" s="85"/>
      <c r="F396" s="85"/>
      <c r="G396" s="85"/>
      <c r="H396" s="85"/>
      <c r="I396" s="85"/>
      <c r="J396" s="85"/>
      <c r="K396" s="28"/>
      <c r="L396" s="28"/>
      <c r="M396" s="85"/>
      <c r="N396" s="28"/>
      <c r="O396" s="28"/>
      <c r="P396" s="85"/>
      <c r="Q396" s="48"/>
      <c r="R396" s="48"/>
      <c r="S396" s="51"/>
      <c r="T396" s="28"/>
      <c r="U396" s="28"/>
      <c r="V396" s="28"/>
      <c r="W396" s="28"/>
      <c r="X396" s="28"/>
      <c r="Y396" s="36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42">
        <f>SUM($Q386:AN396)</f>
        <v>-431175.24000000005</v>
      </c>
      <c r="AQ396" s="10"/>
      <c r="AR396" s="11"/>
      <c r="AS396" s="2" t="s">
        <v>5</v>
      </c>
    </row>
    <row r="397" spans="1:46" s="2" customFormat="1" ht="17.25" customHeight="1" thickTop="1" thickBot="1" x14ac:dyDescent="0.3">
      <c r="A397" s="103"/>
      <c r="B397" s="104" t="s">
        <v>103</v>
      </c>
      <c r="C397" s="105">
        <f>AO397</f>
        <v>-303465.41000000003</v>
      </c>
      <c r="D397" s="106">
        <f t="shared" ref="D397:K397" si="50">SUM(D386:D396)</f>
        <v>64.549999999991996</v>
      </c>
      <c r="E397" s="107">
        <f t="shared" si="50"/>
        <v>-14832.920000000009</v>
      </c>
      <c r="F397" s="107">
        <f t="shared" si="50"/>
        <v>25400</v>
      </c>
      <c r="G397" s="107">
        <f t="shared" si="50"/>
        <v>-18462.760000000006</v>
      </c>
      <c r="H397" s="107">
        <f t="shared" si="50"/>
        <v>53183.55</v>
      </c>
      <c r="I397" s="107">
        <f t="shared" si="50"/>
        <v>7838.67</v>
      </c>
      <c r="J397" s="107">
        <f t="shared" si="50"/>
        <v>0</v>
      </c>
      <c r="K397" s="108">
        <f t="shared" si="50"/>
        <v>8487</v>
      </c>
      <c r="L397" s="109">
        <f>M397/K397</f>
        <v>5.0375668669730178</v>
      </c>
      <c r="M397" s="107">
        <f>ROUND(SUM(M386:M396),2)</f>
        <v>42753.83</v>
      </c>
      <c r="N397" s="108">
        <f>SUM(N386:N396)</f>
        <v>9144</v>
      </c>
      <c r="O397" s="109">
        <f>P397/N397</f>
        <v>3.4738527996500439</v>
      </c>
      <c r="P397" s="107">
        <f>ROUND(SUM(P386:P396),2)</f>
        <v>31764.91</v>
      </c>
      <c r="Q397" s="110">
        <f t="shared" ref="Q397:AN397" si="51">SUM(Q386:Q396)</f>
        <v>-423778.33</v>
      </c>
      <c r="R397" s="107">
        <f t="shared" si="51"/>
        <v>29928.52</v>
      </c>
      <c r="S397" s="107">
        <f t="shared" si="51"/>
        <v>0</v>
      </c>
      <c r="T397" s="107">
        <f t="shared" si="51"/>
        <v>-12858.760000000002</v>
      </c>
      <c r="U397" s="107">
        <f t="shared" si="51"/>
        <v>0</v>
      </c>
      <c r="V397" s="107">
        <f t="shared" si="51"/>
        <v>-24466.67000000002</v>
      </c>
      <c r="W397" s="107">
        <f t="shared" si="51"/>
        <v>0</v>
      </c>
      <c r="X397" s="107">
        <f t="shared" si="51"/>
        <v>0</v>
      </c>
      <c r="Y397" s="107">
        <f t="shared" si="51"/>
        <v>0</v>
      </c>
      <c r="Z397" s="107">
        <f t="shared" si="51"/>
        <v>0</v>
      </c>
      <c r="AA397" s="107">
        <f t="shared" si="51"/>
        <v>0</v>
      </c>
      <c r="AB397" s="107">
        <f t="shared" si="51"/>
        <v>0</v>
      </c>
      <c r="AC397" s="107">
        <f t="shared" si="51"/>
        <v>0</v>
      </c>
      <c r="AD397" s="107">
        <f t="shared" si="51"/>
        <v>0</v>
      </c>
      <c r="AE397" s="107">
        <f t="shared" si="51"/>
        <v>0</v>
      </c>
      <c r="AF397" s="107">
        <f t="shared" si="51"/>
        <v>0</v>
      </c>
      <c r="AG397" s="107">
        <f t="shared" si="51"/>
        <v>0</v>
      </c>
      <c r="AH397" s="107">
        <f t="shared" si="51"/>
        <v>0</v>
      </c>
      <c r="AI397" s="107">
        <f t="shared" si="51"/>
        <v>0</v>
      </c>
      <c r="AJ397" s="107">
        <f t="shared" si="51"/>
        <v>0</v>
      </c>
      <c r="AK397" s="107">
        <f t="shared" si="51"/>
        <v>0</v>
      </c>
      <c r="AL397" s="107">
        <f t="shared" si="51"/>
        <v>0</v>
      </c>
      <c r="AM397" s="107">
        <f t="shared" si="51"/>
        <v>0</v>
      </c>
      <c r="AN397" s="107">
        <f t="shared" si="51"/>
        <v>0</v>
      </c>
      <c r="AO397" s="111">
        <f>D397+E397+F397+G397+H397+I397+J397+M397+P397+SUM(Q397:AN397)</f>
        <v>-303465.41000000003</v>
      </c>
      <c r="AP397" s="4"/>
      <c r="AQ397" s="5"/>
      <c r="AR397" s="5"/>
      <c r="AS397" s="2" t="s">
        <v>6</v>
      </c>
    </row>
    <row r="398" spans="1:46" s="2" customFormat="1" ht="17.25" customHeight="1" thickTop="1" x14ac:dyDescent="0.25">
      <c r="A398" s="23">
        <f>A387+1</f>
        <v>45957</v>
      </c>
      <c r="B398" s="210" t="s">
        <v>64</v>
      </c>
      <c r="C398" s="203"/>
      <c r="D398" s="63">
        <v>7657.51</v>
      </c>
      <c r="E398" s="66"/>
      <c r="F398" s="66"/>
      <c r="G398" s="66"/>
      <c r="H398" s="66"/>
      <c r="I398" s="66">
        <f>-D398</f>
        <v>-7657.51</v>
      </c>
      <c r="J398" s="66"/>
      <c r="K398" s="18"/>
      <c r="L398" s="18"/>
      <c r="M398" s="66"/>
      <c r="N398" s="18"/>
      <c r="O398" s="18"/>
      <c r="P398" s="66"/>
      <c r="Q398" s="46"/>
      <c r="R398" s="46"/>
      <c r="S398" s="45"/>
      <c r="T398" s="18"/>
      <c r="U398" s="18"/>
      <c r="V398" s="18"/>
      <c r="W398" s="18"/>
      <c r="X398" s="18"/>
      <c r="Y398" s="14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31"/>
      <c r="AQ398" s="10"/>
      <c r="AR398" s="27"/>
    </row>
    <row r="399" spans="1:46" s="4" customFormat="1" ht="17.25" customHeight="1" x14ac:dyDescent="0.25">
      <c r="A399" s="23"/>
      <c r="B399" s="201" t="s">
        <v>96</v>
      </c>
      <c r="C399" s="202"/>
      <c r="D399" s="63"/>
      <c r="E399" s="64"/>
      <c r="F399" s="64"/>
      <c r="G399" s="64"/>
      <c r="H399" s="64"/>
      <c r="I399" s="117">
        <f>-I397-I398</f>
        <v>-181.15999999999985</v>
      </c>
      <c r="J399" s="64"/>
      <c r="K399" s="16"/>
      <c r="L399" s="92"/>
      <c r="M399" s="64"/>
      <c r="N399" s="16"/>
      <c r="O399" s="92"/>
      <c r="P399" s="64"/>
      <c r="Q399" s="40"/>
      <c r="R399" s="46"/>
      <c r="S399" s="39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22"/>
      <c r="AP399" s="30"/>
    </row>
    <row r="400" spans="1:46" s="2" customFormat="1" ht="17.25" customHeight="1" x14ac:dyDescent="0.2">
      <c r="A400" s="23"/>
      <c r="B400" s="201" t="s">
        <v>13</v>
      </c>
      <c r="C400" s="203"/>
      <c r="D400" s="63"/>
      <c r="E400" s="64">
        <f>70+80+30+20+50+10+10+20+150+100+20+50+20+30+24+10+175+121.5+100+10+60+43+40+50+67.5+30+30+20+35+15+20+108+50+30+20+50+50+30+50+100+100+120+20+15+30+50+20+30+50+30+30.77+80+7+50+20+100</f>
        <v>2751.77</v>
      </c>
      <c r="F400" s="64"/>
      <c r="G400" s="64"/>
      <c r="H400" s="64">
        <f>-E400</f>
        <v>-2751.77</v>
      </c>
      <c r="I400" s="64"/>
      <c r="J400" s="64"/>
      <c r="K400" s="16"/>
      <c r="L400" s="16"/>
      <c r="M400" s="64"/>
      <c r="N400" s="16"/>
      <c r="O400" s="16"/>
      <c r="P400" s="64"/>
      <c r="Q400" s="46"/>
      <c r="R400" s="39"/>
      <c r="S400" s="40"/>
      <c r="T400" s="16"/>
      <c r="U400" s="16"/>
      <c r="V400" s="16"/>
      <c r="W400" s="16"/>
      <c r="X400" s="16"/>
      <c r="Y400" s="19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35"/>
      <c r="AQ400" s="10"/>
      <c r="AR400" s="27"/>
    </row>
    <row r="401" spans="1:46" s="2" customFormat="1" ht="17.25" customHeight="1" x14ac:dyDescent="0.25">
      <c r="A401" s="24"/>
      <c r="B401" s="201" t="s">
        <v>76</v>
      </c>
      <c r="C401" s="203"/>
      <c r="D401" s="63"/>
      <c r="E401" s="64">
        <v>-1000</v>
      </c>
      <c r="F401" s="64"/>
      <c r="G401" s="64"/>
      <c r="H401" s="64">
        <f>-E401</f>
        <v>1000</v>
      </c>
      <c r="I401" s="64"/>
      <c r="J401" s="64"/>
      <c r="K401" s="16"/>
      <c r="L401" s="92"/>
      <c r="M401" s="64"/>
      <c r="N401" s="16"/>
      <c r="O401" s="92"/>
      <c r="P401" s="64"/>
      <c r="Q401" s="40"/>
      <c r="R401" s="40"/>
      <c r="S401" s="39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22"/>
      <c r="AQ401" s="10"/>
      <c r="AR401" s="11"/>
    </row>
    <row r="402" spans="1:46" s="2" customFormat="1" ht="17.25" customHeight="1" x14ac:dyDescent="0.2">
      <c r="A402" s="23"/>
      <c r="B402" s="201" t="s">
        <v>192</v>
      </c>
      <c r="C402" s="203"/>
      <c r="D402" s="63"/>
      <c r="E402" s="64">
        <v>-8000</v>
      </c>
      <c r="F402" s="74"/>
      <c r="G402" s="74"/>
      <c r="H402" s="64"/>
      <c r="I402" s="64"/>
      <c r="J402" s="64"/>
      <c r="K402" s="16"/>
      <c r="L402" s="16"/>
      <c r="M402" s="64"/>
      <c r="N402" s="16"/>
      <c r="O402" s="16"/>
      <c r="P402" s="64"/>
      <c r="Q402" s="46"/>
      <c r="R402" s="39">
        <f>-E402</f>
        <v>8000</v>
      </c>
      <c r="S402" s="40"/>
      <c r="T402" s="16"/>
      <c r="U402" s="16"/>
      <c r="V402" s="16"/>
      <c r="W402" s="16"/>
      <c r="X402" s="16"/>
      <c r="Y402" s="19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35"/>
      <c r="AQ402" s="10"/>
      <c r="AR402" s="27"/>
    </row>
    <row r="403" spans="1:46" s="2" customFormat="1" ht="17.25" customHeight="1" x14ac:dyDescent="0.2">
      <c r="A403" s="23"/>
      <c r="B403" s="201" t="s">
        <v>235</v>
      </c>
      <c r="C403" s="202"/>
      <c r="D403" s="63">
        <f>-G403</f>
        <v>10505.37</v>
      </c>
      <c r="E403" s="64"/>
      <c r="F403" s="74"/>
      <c r="G403" s="74">
        <v>-10505.37</v>
      </c>
      <c r="H403" s="64"/>
      <c r="I403" s="64"/>
      <c r="J403" s="64"/>
      <c r="K403" s="16"/>
      <c r="L403" s="16"/>
      <c r="M403" s="64"/>
      <c r="N403" s="16"/>
      <c r="O403" s="16"/>
      <c r="P403" s="64"/>
      <c r="Q403" s="46"/>
      <c r="R403" s="39"/>
      <c r="S403" s="40"/>
      <c r="T403" s="16"/>
      <c r="U403" s="16"/>
      <c r="V403" s="16"/>
      <c r="W403" s="16"/>
      <c r="X403" s="16"/>
      <c r="Y403" s="19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35"/>
      <c r="AQ403" s="10"/>
      <c r="AR403" s="27"/>
    </row>
    <row r="404" spans="1:46" s="2" customFormat="1" ht="17.25" customHeight="1" x14ac:dyDescent="0.2">
      <c r="A404" s="23"/>
      <c r="B404" s="201" t="s">
        <v>236</v>
      </c>
      <c r="C404" s="203"/>
      <c r="D404" s="74">
        <f>-D403*0.008</f>
        <v>-84.042960000000008</v>
      </c>
      <c r="E404" s="64"/>
      <c r="F404" s="74"/>
      <c r="G404" s="74"/>
      <c r="H404" s="64"/>
      <c r="I404" s="64"/>
      <c r="J404" s="64"/>
      <c r="K404" s="16"/>
      <c r="L404" s="16"/>
      <c r="M404" s="64"/>
      <c r="N404" s="16"/>
      <c r="O404" s="16"/>
      <c r="P404" s="64"/>
      <c r="Q404" s="46"/>
      <c r="R404" s="39"/>
      <c r="S404" s="40"/>
      <c r="T404" s="16"/>
      <c r="U404" s="16"/>
      <c r="V404" s="16"/>
      <c r="W404" s="16"/>
      <c r="X404" s="16"/>
      <c r="Y404" s="19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35"/>
      <c r="AQ404" s="10"/>
      <c r="AR404" s="27"/>
    </row>
    <row r="405" spans="1:46" s="2" customFormat="1" ht="17.25" customHeight="1" x14ac:dyDescent="0.25">
      <c r="A405" s="29"/>
      <c r="B405" s="201" t="s">
        <v>72</v>
      </c>
      <c r="C405" s="202"/>
      <c r="D405" s="63">
        <v>-7700</v>
      </c>
      <c r="E405" s="64"/>
      <c r="F405" s="64">
        <f>-D405</f>
        <v>7700</v>
      </c>
      <c r="G405" s="64"/>
      <c r="H405" s="64"/>
      <c r="I405" s="64"/>
      <c r="J405" s="64"/>
      <c r="K405" s="57"/>
      <c r="L405" s="88"/>
      <c r="M405" s="62"/>
      <c r="N405" s="57"/>
      <c r="O405" s="88"/>
      <c r="P405" s="62"/>
      <c r="Q405" s="47"/>
      <c r="R405" s="39"/>
      <c r="S405" s="39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22"/>
      <c r="AQ405" s="10" t="s">
        <v>4</v>
      </c>
      <c r="AR405" s="11" t="e">
        <v>#REF!</v>
      </c>
    </row>
    <row r="406" spans="1:46" s="2" customFormat="1" ht="17.25" customHeight="1" x14ac:dyDescent="0.25">
      <c r="A406" s="29"/>
      <c r="B406" s="201" t="s">
        <v>72</v>
      </c>
      <c r="C406" s="202"/>
      <c r="D406" s="63">
        <v>-10400</v>
      </c>
      <c r="E406" s="64"/>
      <c r="F406" s="64">
        <f>-D406</f>
        <v>10400</v>
      </c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47"/>
      <c r="R406" s="39"/>
      <c r="S406" s="39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22"/>
      <c r="AQ406" s="10" t="s">
        <v>4</v>
      </c>
      <c r="AR406" s="11" t="e">
        <v>#REF!</v>
      </c>
    </row>
    <row r="407" spans="1:46" s="2" customFormat="1" ht="17.25" customHeight="1" thickBot="1" x14ac:dyDescent="0.25">
      <c r="A407" s="24"/>
      <c r="B407" s="216"/>
      <c r="C407" s="217"/>
      <c r="D407" s="83"/>
      <c r="E407" s="81"/>
      <c r="F407" s="81"/>
      <c r="G407" s="81"/>
      <c r="H407" s="81"/>
      <c r="I407" s="81"/>
      <c r="J407" s="81"/>
      <c r="K407" s="37"/>
      <c r="L407" s="93"/>
      <c r="M407" s="81"/>
      <c r="N407" s="37"/>
      <c r="O407" s="93"/>
      <c r="P407" s="81"/>
      <c r="Q407" s="40"/>
      <c r="R407" s="40"/>
      <c r="S407" s="39"/>
      <c r="T407" s="16"/>
      <c r="U407" s="16"/>
      <c r="V407" s="16"/>
      <c r="W407" s="16"/>
      <c r="X407" s="16"/>
      <c r="Y407" s="19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41"/>
      <c r="AQ407" s="10"/>
      <c r="AR407" s="11"/>
    </row>
    <row r="408" spans="1:46" s="4" customFormat="1" ht="17.25" customHeight="1" x14ac:dyDescent="0.25">
      <c r="A408" s="23"/>
      <c r="B408" s="210" t="s">
        <v>94</v>
      </c>
      <c r="C408" s="203"/>
      <c r="D408" s="66"/>
      <c r="E408" s="66"/>
      <c r="F408" s="117"/>
      <c r="G408" s="117"/>
      <c r="H408" s="66"/>
      <c r="I408" s="66"/>
      <c r="J408" s="66">
        <f>-M408</f>
        <v>6253.65</v>
      </c>
      <c r="K408" s="58">
        <v>-1069</v>
      </c>
      <c r="L408" s="89">
        <v>5.85</v>
      </c>
      <c r="M408" s="73">
        <f>K408*L408</f>
        <v>-6253.65</v>
      </c>
      <c r="N408" s="58"/>
      <c r="O408" s="89"/>
      <c r="P408" s="73"/>
      <c r="Q408" s="39"/>
      <c r="R408" s="39"/>
      <c r="S408" s="8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35"/>
      <c r="AP408" s="12" t="e">
        <f>#REF!</f>
        <v>#REF!</v>
      </c>
    </row>
    <row r="409" spans="1:46" s="4" customFormat="1" ht="17.25" customHeight="1" x14ac:dyDescent="0.25">
      <c r="A409" s="23"/>
      <c r="B409" s="201" t="s">
        <v>95</v>
      </c>
      <c r="C409" s="202"/>
      <c r="D409" s="64"/>
      <c r="E409" s="64"/>
      <c r="F409" s="117"/>
      <c r="G409" s="117"/>
      <c r="H409" s="64"/>
      <c r="I409" s="64"/>
      <c r="J409" s="64">
        <f>-P409</f>
        <v>6568.07</v>
      </c>
      <c r="K409" s="57"/>
      <c r="L409" s="88"/>
      <c r="M409" s="62"/>
      <c r="N409" s="57">
        <v>-1733</v>
      </c>
      <c r="O409" s="88">
        <v>3.79</v>
      </c>
      <c r="P409" s="62">
        <f>N409*O409</f>
        <v>-6568.07</v>
      </c>
      <c r="Q409" s="39"/>
      <c r="R409" s="39"/>
      <c r="S409" s="8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35"/>
      <c r="AP409" s="12" t="e">
        <f>#REF!</f>
        <v>#REF!</v>
      </c>
    </row>
    <row r="410" spans="1:46" s="4" customFormat="1" ht="17.25" customHeight="1" x14ac:dyDescent="0.25">
      <c r="A410" s="23"/>
      <c r="B410" s="201" t="s">
        <v>97</v>
      </c>
      <c r="C410" s="203"/>
      <c r="D410" s="64"/>
      <c r="E410" s="64"/>
      <c r="F410" s="64"/>
      <c r="G410" s="64"/>
      <c r="H410" s="64">
        <f>-J410-I410</f>
        <v>3987.9699999999993</v>
      </c>
      <c r="I410" s="64">
        <v>8833.75</v>
      </c>
      <c r="J410" s="64">
        <f>-SUM(J408:J409)</f>
        <v>-12821.72</v>
      </c>
      <c r="K410" s="57"/>
      <c r="L410" s="88"/>
      <c r="M410" s="62"/>
      <c r="N410" s="57"/>
      <c r="O410" s="88"/>
      <c r="P410" s="62"/>
      <c r="Q410" s="39"/>
      <c r="R410" s="39"/>
      <c r="S410" s="39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22"/>
      <c r="AO410" s="43"/>
      <c r="AP410" s="12" t="e">
        <f>#REF!</f>
        <v>#REF!</v>
      </c>
      <c r="AT410" s="2"/>
    </row>
    <row r="411" spans="1:46" s="4" customFormat="1" ht="17.25" customHeight="1" x14ac:dyDescent="0.25">
      <c r="A411" s="23"/>
      <c r="B411" s="201" t="s">
        <v>93</v>
      </c>
      <c r="C411" s="202"/>
      <c r="D411" s="64"/>
      <c r="E411" s="64"/>
      <c r="F411" s="64"/>
      <c r="G411" s="64"/>
      <c r="H411" s="64"/>
      <c r="I411" s="64"/>
      <c r="J411" s="64"/>
      <c r="K411" s="57">
        <v>-73</v>
      </c>
      <c r="L411" s="88"/>
      <c r="M411" s="118">
        <f>(K414*L397)-M397-M408</f>
        <v>500.74863791681673</v>
      </c>
      <c r="N411" s="57">
        <v>-3</v>
      </c>
      <c r="O411" s="88"/>
      <c r="P411" s="118">
        <f>(N414*O397)-P397-P409</f>
        <v>537.4615398075257</v>
      </c>
      <c r="Q411" s="39"/>
      <c r="R411" s="39"/>
      <c r="S411" s="39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22"/>
      <c r="AO411" s="43">
        <f>A391</f>
        <v>0</v>
      </c>
      <c r="AP411" s="12" t="e">
        <f>#REF!</f>
        <v>#REF!</v>
      </c>
      <c r="AT411" s="2"/>
    </row>
    <row r="412" spans="1:46" s="2" customFormat="1" ht="17.25" customHeight="1" x14ac:dyDescent="0.2">
      <c r="A412" s="24"/>
      <c r="B412" s="201"/>
      <c r="C412" s="204"/>
      <c r="D412" s="63"/>
      <c r="E412" s="64"/>
      <c r="F412" s="64"/>
      <c r="G412" s="64"/>
      <c r="H412" s="64"/>
      <c r="I412" s="64"/>
      <c r="J412" s="64"/>
      <c r="K412" s="16"/>
      <c r="L412" s="16"/>
      <c r="M412" s="64"/>
      <c r="N412" s="16"/>
      <c r="O412" s="16"/>
      <c r="P412" s="64"/>
      <c r="Q412" s="46"/>
      <c r="R412" s="46"/>
      <c r="S412" s="39"/>
      <c r="T412" s="16"/>
      <c r="U412" s="16"/>
      <c r="V412" s="16"/>
      <c r="W412" s="16"/>
      <c r="X412" s="16"/>
      <c r="Y412" s="19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43">
        <f>A398</f>
        <v>45957</v>
      </c>
      <c r="AQ412" s="10"/>
      <c r="AR412" s="11"/>
    </row>
    <row r="413" spans="1:46" s="2" customFormat="1" ht="17.25" customHeight="1" thickBot="1" x14ac:dyDescent="0.3">
      <c r="A413" s="56"/>
      <c r="B413" s="101" t="s">
        <v>102</v>
      </c>
      <c r="C413" s="102">
        <f>D414+E414+F414+G414+H414+I414+J414+M414+P414</f>
        <v>120482.83704</v>
      </c>
      <c r="D413" s="84"/>
      <c r="E413" s="85"/>
      <c r="F413" s="85"/>
      <c r="G413" s="85"/>
      <c r="H413" s="85"/>
      <c r="I413" s="85"/>
      <c r="J413" s="85"/>
      <c r="K413" s="28"/>
      <c r="L413" s="28"/>
      <c r="M413" s="85"/>
      <c r="N413" s="28"/>
      <c r="O413" s="28"/>
      <c r="P413" s="85"/>
      <c r="Q413" s="48"/>
      <c r="R413" s="48"/>
      <c r="S413" s="51"/>
      <c r="T413" s="28"/>
      <c r="U413" s="28"/>
      <c r="V413" s="28"/>
      <c r="W413" s="28"/>
      <c r="X413" s="28"/>
      <c r="Y413" s="36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42">
        <f>SUM($Q397:AN413)</f>
        <v>-423175.24000000005</v>
      </c>
      <c r="AQ413" s="10"/>
      <c r="AR413" s="11"/>
      <c r="AS413" s="2" t="s">
        <v>5</v>
      </c>
    </row>
    <row r="414" spans="1:46" s="2" customFormat="1" ht="17.25" customHeight="1" thickTop="1" thickBot="1" x14ac:dyDescent="0.3">
      <c r="A414" s="103"/>
      <c r="B414" s="104" t="s">
        <v>103</v>
      </c>
      <c r="C414" s="105">
        <f>AO414</f>
        <v>-302692.40296000004</v>
      </c>
      <c r="D414" s="106">
        <f t="shared" ref="D414:K414" si="52">SUM(D397:D413)</f>
        <v>43.387039999994158</v>
      </c>
      <c r="E414" s="107">
        <f t="shared" si="52"/>
        <v>-21081.150000000009</v>
      </c>
      <c r="F414" s="107">
        <f t="shared" si="52"/>
        <v>43500</v>
      </c>
      <c r="G414" s="107">
        <f t="shared" si="52"/>
        <v>-28968.130000000005</v>
      </c>
      <c r="H414" s="107">
        <f t="shared" si="52"/>
        <v>55419.750000000007</v>
      </c>
      <c r="I414" s="107">
        <f t="shared" si="52"/>
        <v>8833.75</v>
      </c>
      <c r="J414" s="107">
        <f t="shared" si="52"/>
        <v>0</v>
      </c>
      <c r="K414" s="108">
        <f t="shared" si="52"/>
        <v>7345</v>
      </c>
      <c r="L414" s="109">
        <f>M414/K414</f>
        <v>5.0375670524166098</v>
      </c>
      <c r="M414" s="107">
        <f>ROUND(SUM(M397:M413),2)</f>
        <v>37000.93</v>
      </c>
      <c r="N414" s="108">
        <f>SUM(N397:N413)</f>
        <v>7408</v>
      </c>
      <c r="O414" s="109">
        <f>P414/N414</f>
        <v>3.4738525917926566</v>
      </c>
      <c r="P414" s="107">
        <f>ROUND(SUM(P397:P413),2)</f>
        <v>25734.3</v>
      </c>
      <c r="Q414" s="110">
        <f t="shared" ref="Q414:AN414" si="53">SUM(Q397:Q413)</f>
        <v>-423778.33</v>
      </c>
      <c r="R414" s="107">
        <f t="shared" si="53"/>
        <v>37928.520000000004</v>
      </c>
      <c r="S414" s="107">
        <f t="shared" si="53"/>
        <v>0</v>
      </c>
      <c r="T414" s="107">
        <f t="shared" si="53"/>
        <v>-12858.760000000002</v>
      </c>
      <c r="U414" s="107">
        <f t="shared" si="53"/>
        <v>0</v>
      </c>
      <c r="V414" s="107">
        <f t="shared" si="53"/>
        <v>-24466.67000000002</v>
      </c>
      <c r="W414" s="107">
        <f t="shared" si="53"/>
        <v>0</v>
      </c>
      <c r="X414" s="107">
        <f t="shared" si="53"/>
        <v>0</v>
      </c>
      <c r="Y414" s="107">
        <f t="shared" si="53"/>
        <v>0</v>
      </c>
      <c r="Z414" s="107">
        <f t="shared" si="53"/>
        <v>0</v>
      </c>
      <c r="AA414" s="107">
        <f t="shared" si="53"/>
        <v>0</v>
      </c>
      <c r="AB414" s="107">
        <f t="shared" si="53"/>
        <v>0</v>
      </c>
      <c r="AC414" s="107">
        <f t="shared" si="53"/>
        <v>0</v>
      </c>
      <c r="AD414" s="107">
        <f t="shared" si="53"/>
        <v>0</v>
      </c>
      <c r="AE414" s="107">
        <f t="shared" si="53"/>
        <v>0</v>
      </c>
      <c r="AF414" s="107">
        <f t="shared" si="53"/>
        <v>0</v>
      </c>
      <c r="AG414" s="107">
        <f t="shared" si="53"/>
        <v>0</v>
      </c>
      <c r="AH414" s="107">
        <f t="shared" si="53"/>
        <v>0</v>
      </c>
      <c r="AI414" s="107">
        <f t="shared" si="53"/>
        <v>0</v>
      </c>
      <c r="AJ414" s="107">
        <f t="shared" si="53"/>
        <v>0</v>
      </c>
      <c r="AK414" s="107">
        <f t="shared" si="53"/>
        <v>0</v>
      </c>
      <c r="AL414" s="107">
        <f t="shared" si="53"/>
        <v>0</v>
      </c>
      <c r="AM414" s="107">
        <f t="shared" si="53"/>
        <v>0</v>
      </c>
      <c r="AN414" s="107">
        <f t="shared" si="53"/>
        <v>0</v>
      </c>
      <c r="AO414" s="111">
        <f>D414+E414+F414+G414+H414+I414+J414+M414+P414+SUM(Q414:AN414)</f>
        <v>-302692.40296000004</v>
      </c>
      <c r="AP414" s="4"/>
      <c r="AQ414" s="5"/>
      <c r="AR414" s="5"/>
      <c r="AS414" s="2" t="s">
        <v>6</v>
      </c>
    </row>
    <row r="415" spans="1:46" s="2" customFormat="1" ht="17.25" customHeight="1" thickTop="1" x14ac:dyDescent="0.25">
      <c r="A415" s="23">
        <f>A398+1</f>
        <v>45958</v>
      </c>
      <c r="B415" s="210" t="s">
        <v>64</v>
      </c>
      <c r="C415" s="203"/>
      <c r="D415" s="63">
        <v>8629.16</v>
      </c>
      <c r="E415" s="66"/>
      <c r="F415" s="66"/>
      <c r="G415" s="66"/>
      <c r="H415" s="66"/>
      <c r="I415" s="66">
        <f>-D415</f>
        <v>-8629.16</v>
      </c>
      <c r="J415" s="66"/>
      <c r="K415" s="18"/>
      <c r="L415" s="18"/>
      <c r="M415" s="66"/>
      <c r="N415" s="18"/>
      <c r="O415" s="18"/>
      <c r="P415" s="66"/>
      <c r="Q415" s="46"/>
      <c r="R415" s="46"/>
      <c r="S415" s="45"/>
      <c r="T415" s="18"/>
      <c r="U415" s="18"/>
      <c r="V415" s="18"/>
      <c r="W415" s="18"/>
      <c r="X415" s="18"/>
      <c r="Y415" s="14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31"/>
      <c r="AQ415" s="10"/>
      <c r="AR415" s="27"/>
    </row>
    <row r="416" spans="1:46" s="4" customFormat="1" ht="17.25" customHeight="1" x14ac:dyDescent="0.25">
      <c r="A416" s="23"/>
      <c r="B416" s="201" t="s">
        <v>96</v>
      </c>
      <c r="C416" s="202"/>
      <c r="D416" s="63"/>
      <c r="E416" s="64"/>
      <c r="F416" s="64"/>
      <c r="G416" s="64"/>
      <c r="H416" s="64"/>
      <c r="I416" s="117">
        <f>-I414-I415</f>
        <v>-204.59000000000015</v>
      </c>
      <c r="J416" s="64"/>
      <c r="K416" s="16"/>
      <c r="L416" s="92"/>
      <c r="M416" s="64"/>
      <c r="N416" s="16"/>
      <c r="O416" s="92"/>
      <c r="P416" s="64"/>
      <c r="Q416" s="40"/>
      <c r="R416" s="46"/>
      <c r="S416" s="39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22"/>
      <c r="AP416" s="30"/>
    </row>
    <row r="417" spans="1:46" s="2" customFormat="1" ht="17.25" customHeight="1" x14ac:dyDescent="0.2">
      <c r="A417" s="23"/>
      <c r="B417" s="201" t="s">
        <v>13</v>
      </c>
      <c r="C417" s="203"/>
      <c r="D417" s="63"/>
      <c r="E417" s="64">
        <f>10+111+4+30+20+30+50+20+30+50+50+1380+30+60+60+20+20+20+20+50+50+12.11+100+30+10+30+50+30+111</f>
        <v>2488.11</v>
      </c>
      <c r="F417" s="64"/>
      <c r="G417" s="64"/>
      <c r="H417" s="64">
        <f>-E417</f>
        <v>-2488.11</v>
      </c>
      <c r="I417" s="64"/>
      <c r="J417" s="64"/>
      <c r="K417" s="16"/>
      <c r="L417" s="16"/>
      <c r="M417" s="64"/>
      <c r="N417" s="16"/>
      <c r="O417" s="16"/>
      <c r="P417" s="64"/>
      <c r="Q417" s="46"/>
      <c r="R417" s="39"/>
      <c r="S417" s="40"/>
      <c r="T417" s="16"/>
      <c r="U417" s="16"/>
      <c r="V417" s="16"/>
      <c r="W417" s="16"/>
      <c r="X417" s="16"/>
      <c r="Y417" s="19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35"/>
      <c r="AQ417" s="10"/>
      <c r="AR417" s="27"/>
    </row>
    <row r="418" spans="1:46" s="2" customFormat="1" ht="17.25" customHeight="1" x14ac:dyDescent="0.2">
      <c r="A418" s="23"/>
      <c r="B418" s="211" t="s">
        <v>193</v>
      </c>
      <c r="C418" s="206"/>
      <c r="D418" s="63"/>
      <c r="E418" s="66">
        <v>-12233.33</v>
      </c>
      <c r="F418" s="64"/>
      <c r="G418" s="74"/>
      <c r="H418" s="64"/>
      <c r="I418" s="64"/>
      <c r="J418" s="64"/>
      <c r="K418" s="16"/>
      <c r="L418" s="16"/>
      <c r="M418" s="64"/>
      <c r="N418" s="16"/>
      <c r="O418" s="16"/>
      <c r="P418" s="64"/>
      <c r="Q418" s="46"/>
      <c r="R418" s="39"/>
      <c r="S418" s="40"/>
      <c r="T418" s="16"/>
      <c r="U418" s="16"/>
      <c r="V418" s="16">
        <f>-E418</f>
        <v>12233.33</v>
      </c>
      <c r="W418" s="16"/>
      <c r="X418" s="16"/>
      <c r="Y418" s="19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35"/>
      <c r="AQ418" s="10"/>
      <c r="AR418" s="27"/>
    </row>
    <row r="419" spans="1:46" s="2" customFormat="1" ht="17.25" customHeight="1" x14ac:dyDescent="0.2">
      <c r="A419" s="23"/>
      <c r="B419" s="201"/>
      <c r="C419" s="203"/>
      <c r="D419" s="63"/>
      <c r="E419" s="64"/>
      <c r="F419" s="74"/>
      <c r="G419" s="74"/>
      <c r="H419" s="64"/>
      <c r="I419" s="64"/>
      <c r="J419" s="64"/>
      <c r="K419" s="16"/>
      <c r="L419" s="16"/>
      <c r="M419" s="64"/>
      <c r="N419" s="16"/>
      <c r="O419" s="16"/>
      <c r="P419" s="64"/>
      <c r="Q419" s="46"/>
      <c r="R419" s="39"/>
      <c r="S419" s="40"/>
      <c r="T419" s="16"/>
      <c r="U419" s="16"/>
      <c r="V419" s="16"/>
      <c r="W419" s="16"/>
      <c r="X419" s="16"/>
      <c r="Y419" s="19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35"/>
      <c r="AQ419" s="10"/>
      <c r="AR419" s="27"/>
    </row>
    <row r="420" spans="1:46" s="2" customFormat="1" ht="17.25" customHeight="1" x14ac:dyDescent="0.25">
      <c r="A420" s="29"/>
      <c r="B420" s="201" t="s">
        <v>72</v>
      </c>
      <c r="C420" s="202"/>
      <c r="D420" s="63">
        <v>-8600</v>
      </c>
      <c r="E420" s="64"/>
      <c r="F420" s="64">
        <f>-D420</f>
        <v>8600</v>
      </c>
      <c r="G420" s="64"/>
      <c r="H420" s="64"/>
      <c r="I420" s="64"/>
      <c r="J420" s="64"/>
      <c r="K420" s="57"/>
      <c r="L420" s="88"/>
      <c r="M420" s="62"/>
      <c r="N420" s="57"/>
      <c r="O420" s="88"/>
      <c r="P420" s="62"/>
      <c r="Q420" s="47"/>
      <c r="R420" s="39"/>
      <c r="S420" s="39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22"/>
      <c r="AQ420" s="10" t="s">
        <v>4</v>
      </c>
      <c r="AR420" s="11" t="e">
        <v>#REF!</v>
      </c>
    </row>
    <row r="421" spans="1:46" s="2" customFormat="1" ht="17.25" customHeight="1" x14ac:dyDescent="0.25">
      <c r="A421" s="29"/>
      <c r="B421" s="201" t="s">
        <v>72</v>
      </c>
      <c r="C421" s="202"/>
      <c r="D421" s="63">
        <f>-F421</f>
        <v>35000</v>
      </c>
      <c r="E421" s="64"/>
      <c r="F421" s="64">
        <v>-35000</v>
      </c>
      <c r="G421" s="64"/>
      <c r="H421" s="64"/>
      <c r="I421" s="64"/>
      <c r="J421" s="64"/>
      <c r="K421" s="57"/>
      <c r="L421" s="88"/>
      <c r="M421" s="62"/>
      <c r="N421" s="57"/>
      <c r="O421" s="88"/>
      <c r="P421" s="62"/>
      <c r="Q421" s="47"/>
      <c r="R421" s="39"/>
      <c r="S421" s="39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22"/>
      <c r="AQ421" s="10" t="s">
        <v>4</v>
      </c>
      <c r="AR421" s="11" t="e">
        <v>#REF!</v>
      </c>
    </row>
    <row r="422" spans="1:46" s="2" customFormat="1" ht="17.25" customHeight="1" x14ac:dyDescent="0.2">
      <c r="A422" s="23"/>
      <c r="B422" s="205" t="s">
        <v>237</v>
      </c>
      <c r="C422" s="206"/>
      <c r="D422" s="64">
        <f>-P422</f>
        <v>-34900</v>
      </c>
      <c r="E422" s="64"/>
      <c r="F422" s="64"/>
      <c r="G422" s="64"/>
      <c r="H422" s="64"/>
      <c r="I422" s="64"/>
      <c r="J422" s="64"/>
      <c r="K422" s="57"/>
      <c r="L422" s="88"/>
      <c r="M422" s="62"/>
      <c r="N422" s="57">
        <v>10000</v>
      </c>
      <c r="O422" s="88">
        <v>3.49</v>
      </c>
      <c r="P422" s="62">
        <f>N422*O422</f>
        <v>34900</v>
      </c>
      <c r="Q422" s="39"/>
      <c r="R422" s="39"/>
      <c r="S422" s="39"/>
      <c r="T422" s="16"/>
      <c r="U422" s="16"/>
      <c r="V422" s="16"/>
      <c r="W422" s="16"/>
      <c r="X422" s="16"/>
      <c r="Y422" s="19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35"/>
      <c r="AQ422" s="10"/>
      <c r="AR422" s="27"/>
    </row>
    <row r="423" spans="1:46" s="2" customFormat="1" ht="17.25" customHeight="1" x14ac:dyDescent="0.2">
      <c r="A423" s="23"/>
      <c r="B423" s="201" t="s">
        <v>233</v>
      </c>
      <c r="C423" s="203"/>
      <c r="D423" s="63">
        <v>-4.9000000000000004</v>
      </c>
      <c r="E423" s="64"/>
      <c r="F423" s="74"/>
      <c r="G423" s="74"/>
      <c r="H423" s="64"/>
      <c r="I423" s="64"/>
      <c r="J423" s="64"/>
      <c r="K423" s="16"/>
      <c r="L423" s="16"/>
      <c r="M423" s="64"/>
      <c r="N423" s="16"/>
      <c r="O423" s="16"/>
      <c r="P423" s="64"/>
      <c r="Q423" s="46"/>
      <c r="R423" s="39"/>
      <c r="S423" s="40"/>
      <c r="T423" s="16"/>
      <c r="U423" s="16"/>
      <c r="V423" s="16"/>
      <c r="W423" s="16"/>
      <c r="X423" s="16"/>
      <c r="Y423" s="19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35"/>
      <c r="AQ423" s="10"/>
      <c r="AR423" s="27"/>
    </row>
    <row r="424" spans="1:46" s="2" customFormat="1" ht="17.25" customHeight="1" thickBot="1" x14ac:dyDescent="0.25">
      <c r="A424" s="24"/>
      <c r="B424" s="216"/>
      <c r="C424" s="217"/>
      <c r="D424" s="83"/>
      <c r="E424" s="81"/>
      <c r="F424" s="81"/>
      <c r="G424" s="81"/>
      <c r="H424" s="81"/>
      <c r="I424" s="81"/>
      <c r="J424" s="81"/>
      <c r="K424" s="37"/>
      <c r="L424" s="93"/>
      <c r="M424" s="81"/>
      <c r="N424" s="37"/>
      <c r="O424" s="93"/>
      <c r="P424" s="81"/>
      <c r="Q424" s="40"/>
      <c r="R424" s="40"/>
      <c r="S424" s="39"/>
      <c r="T424" s="16"/>
      <c r="U424" s="16"/>
      <c r="V424" s="16"/>
      <c r="W424" s="16"/>
      <c r="X424" s="16"/>
      <c r="Y424" s="19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41"/>
      <c r="AQ424" s="10"/>
      <c r="AR424" s="11"/>
    </row>
    <row r="425" spans="1:46" s="4" customFormat="1" ht="17.25" customHeight="1" x14ac:dyDescent="0.25">
      <c r="A425" s="23"/>
      <c r="B425" s="210" t="s">
        <v>94</v>
      </c>
      <c r="C425" s="203"/>
      <c r="D425" s="66"/>
      <c r="E425" s="66"/>
      <c r="F425" s="117"/>
      <c r="G425" s="117"/>
      <c r="H425" s="66"/>
      <c r="I425" s="66"/>
      <c r="J425" s="66">
        <f>-M425</f>
        <v>6411.5999999999995</v>
      </c>
      <c r="K425" s="58">
        <v>-1096</v>
      </c>
      <c r="L425" s="89">
        <v>5.85</v>
      </c>
      <c r="M425" s="73">
        <f>K425*L425</f>
        <v>-6411.5999999999995</v>
      </c>
      <c r="N425" s="58"/>
      <c r="O425" s="89"/>
      <c r="P425" s="73"/>
      <c r="Q425" s="39"/>
      <c r="R425" s="39"/>
      <c r="S425" s="8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35"/>
      <c r="AP425" s="12" t="e">
        <f>#REF!</f>
        <v>#REF!</v>
      </c>
    </row>
    <row r="426" spans="1:46" s="4" customFormat="1" ht="17.25" customHeight="1" x14ac:dyDescent="0.25">
      <c r="A426" s="23"/>
      <c r="B426" s="201" t="s">
        <v>95</v>
      </c>
      <c r="C426" s="202"/>
      <c r="D426" s="64"/>
      <c r="E426" s="64"/>
      <c r="F426" s="117"/>
      <c r="G426" s="117"/>
      <c r="H426" s="64"/>
      <c r="I426" s="64"/>
      <c r="J426" s="64">
        <f>-P426</f>
        <v>7435.9800000000005</v>
      </c>
      <c r="K426" s="57"/>
      <c r="L426" s="88"/>
      <c r="M426" s="62"/>
      <c r="N426" s="57">
        <v>-1962</v>
      </c>
      <c r="O426" s="88">
        <v>3.79</v>
      </c>
      <c r="P426" s="62">
        <f>N426*O426</f>
        <v>-7435.9800000000005</v>
      </c>
      <c r="Q426" s="39"/>
      <c r="R426" s="39"/>
      <c r="S426" s="8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35"/>
      <c r="AP426" s="12" t="e">
        <f>#REF!</f>
        <v>#REF!</v>
      </c>
    </row>
    <row r="427" spans="1:46" s="4" customFormat="1" ht="17.25" customHeight="1" x14ac:dyDescent="0.25">
      <c r="A427" s="23"/>
      <c r="B427" s="201" t="s">
        <v>97</v>
      </c>
      <c r="C427" s="203"/>
      <c r="D427" s="64"/>
      <c r="E427" s="64"/>
      <c r="F427" s="64"/>
      <c r="G427" s="64"/>
      <c r="H427" s="64">
        <f>-J427-I427</f>
        <v>4484.7099999999991</v>
      </c>
      <c r="I427" s="64">
        <v>9362.8700000000008</v>
      </c>
      <c r="J427" s="64">
        <f>-SUM(J425:J426)</f>
        <v>-13847.58</v>
      </c>
      <c r="K427" s="57"/>
      <c r="L427" s="88"/>
      <c r="M427" s="62"/>
      <c r="N427" s="57"/>
      <c r="O427" s="88"/>
      <c r="P427" s="62"/>
      <c r="Q427" s="39"/>
      <c r="R427" s="39"/>
      <c r="S427" s="39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22"/>
      <c r="AO427" s="43">
        <f>A400</f>
        <v>0</v>
      </c>
      <c r="AP427" s="12" t="e">
        <f>#REF!</f>
        <v>#REF!</v>
      </c>
      <c r="AT427" s="2"/>
    </row>
    <row r="428" spans="1:46" s="4" customFormat="1" ht="17.25" customHeight="1" x14ac:dyDescent="0.25">
      <c r="A428" s="23"/>
      <c r="B428" s="201" t="s">
        <v>93</v>
      </c>
      <c r="C428" s="202"/>
      <c r="D428" s="64"/>
      <c r="E428" s="64"/>
      <c r="F428" s="64"/>
      <c r="G428" s="64"/>
      <c r="H428" s="64"/>
      <c r="I428" s="64"/>
      <c r="J428" s="64"/>
      <c r="K428" s="57">
        <v>103</v>
      </c>
      <c r="L428" s="88"/>
      <c r="M428" s="118">
        <f>(K431*L414)-M414-M425</f>
        <v>1409.2959169503056</v>
      </c>
      <c r="N428" s="57">
        <v>143</v>
      </c>
      <c r="O428" s="88"/>
      <c r="P428" s="118">
        <f>(N431*(P414+P422)/(N414+N422))-P414-P426-P422</f>
        <v>1100.1693554687517</v>
      </c>
      <c r="Q428" s="39"/>
      <c r="R428" s="39"/>
      <c r="S428" s="39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22"/>
      <c r="AO428" s="43">
        <f>A408</f>
        <v>0</v>
      </c>
      <c r="AP428" s="12" t="e">
        <f>#REF!</f>
        <v>#REF!</v>
      </c>
      <c r="AT428" s="2"/>
    </row>
    <row r="429" spans="1:46" s="2" customFormat="1" ht="17.25" customHeight="1" x14ac:dyDescent="0.2">
      <c r="A429" s="24"/>
      <c r="B429" s="201"/>
      <c r="C429" s="204"/>
      <c r="D429" s="63"/>
      <c r="E429" s="64"/>
      <c r="F429" s="64"/>
      <c r="G429" s="64"/>
      <c r="H429" s="64"/>
      <c r="I429" s="64"/>
      <c r="J429" s="64"/>
      <c r="K429" s="16"/>
      <c r="L429" s="16"/>
      <c r="M429" s="64"/>
      <c r="N429" s="16"/>
      <c r="O429" s="16"/>
      <c r="P429" s="64"/>
      <c r="Q429" s="46"/>
      <c r="R429" s="46"/>
      <c r="S429" s="39"/>
      <c r="T429" s="16"/>
      <c r="U429" s="16"/>
      <c r="V429" s="16"/>
      <c r="W429" s="16"/>
      <c r="X429" s="16"/>
      <c r="Y429" s="19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43">
        <f>A415</f>
        <v>45958</v>
      </c>
      <c r="AQ429" s="10"/>
      <c r="AR429" s="11"/>
    </row>
    <row r="430" spans="1:46" s="2" customFormat="1" ht="17.25" customHeight="1" thickBot="1" x14ac:dyDescent="0.3">
      <c r="A430" s="56"/>
      <c r="B430" s="101" t="s">
        <v>102</v>
      </c>
      <c r="C430" s="102">
        <f>D431+E431+F431+G431+H431+I431+J431+M431+P431</f>
        <v>110549.48703999998</v>
      </c>
      <c r="D430" s="84"/>
      <c r="E430" s="85"/>
      <c r="F430" s="85"/>
      <c r="G430" s="85"/>
      <c r="H430" s="85"/>
      <c r="I430" s="85"/>
      <c r="J430" s="85"/>
      <c r="K430" s="28"/>
      <c r="L430" s="28"/>
      <c r="M430" s="85"/>
      <c r="N430" s="28"/>
      <c r="O430" s="28"/>
      <c r="P430" s="85"/>
      <c r="Q430" s="48"/>
      <c r="R430" s="48"/>
      <c r="S430" s="51"/>
      <c r="T430" s="28"/>
      <c r="U430" s="28"/>
      <c r="V430" s="28"/>
      <c r="W430" s="28"/>
      <c r="X430" s="28"/>
      <c r="Y430" s="36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42">
        <f>SUM($Q414:AN430)</f>
        <v>-410941.91000000003</v>
      </c>
      <c r="AQ430" s="10"/>
      <c r="AR430" s="11"/>
      <c r="AS430" s="2" t="s">
        <v>5</v>
      </c>
    </row>
    <row r="431" spans="1:46" s="2" customFormat="1" ht="17.25" customHeight="1" thickTop="1" thickBot="1" x14ac:dyDescent="0.3">
      <c r="A431" s="103"/>
      <c r="B431" s="104" t="s">
        <v>103</v>
      </c>
      <c r="C431" s="105">
        <f>AO431</f>
        <v>-300392.42296000005</v>
      </c>
      <c r="D431" s="106">
        <f t="shared" ref="D431:K431" si="54">SUM(D414:D430)</f>
        <v>167.64703999999037</v>
      </c>
      <c r="E431" s="107">
        <f t="shared" si="54"/>
        <v>-30826.37000000001</v>
      </c>
      <c r="F431" s="107">
        <f t="shared" si="54"/>
        <v>17100</v>
      </c>
      <c r="G431" s="107">
        <f t="shared" si="54"/>
        <v>-28968.130000000005</v>
      </c>
      <c r="H431" s="107">
        <f t="shared" si="54"/>
        <v>57416.350000000006</v>
      </c>
      <c r="I431" s="107">
        <f t="shared" si="54"/>
        <v>9362.8700000000008</v>
      </c>
      <c r="J431" s="107">
        <f t="shared" si="54"/>
        <v>0</v>
      </c>
      <c r="K431" s="108">
        <f t="shared" si="54"/>
        <v>6352</v>
      </c>
      <c r="L431" s="109">
        <f>M431/K431</f>
        <v>5.037567695214106</v>
      </c>
      <c r="M431" s="107">
        <f>ROUND(SUM(M414:M430),2)</f>
        <v>31998.63</v>
      </c>
      <c r="N431" s="108">
        <f>SUM(N414:N430)</f>
        <v>15589</v>
      </c>
      <c r="O431" s="109">
        <f>P431/N431</f>
        <v>3.4831284880364359</v>
      </c>
      <c r="P431" s="107">
        <f>ROUND(SUM(P414:P430),2)</f>
        <v>54298.49</v>
      </c>
      <c r="Q431" s="110">
        <f t="shared" ref="Q431:AN431" si="55">SUM(Q414:Q430)</f>
        <v>-423778.33</v>
      </c>
      <c r="R431" s="107">
        <f t="shared" si="55"/>
        <v>37928.520000000004</v>
      </c>
      <c r="S431" s="107">
        <f t="shared" si="55"/>
        <v>0</v>
      </c>
      <c r="T431" s="107">
        <f t="shared" si="55"/>
        <v>-12858.760000000002</v>
      </c>
      <c r="U431" s="107">
        <f t="shared" si="55"/>
        <v>0</v>
      </c>
      <c r="V431" s="107">
        <f t="shared" si="55"/>
        <v>-12233.34000000002</v>
      </c>
      <c r="W431" s="107">
        <f t="shared" si="55"/>
        <v>0</v>
      </c>
      <c r="X431" s="107">
        <f t="shared" si="55"/>
        <v>0</v>
      </c>
      <c r="Y431" s="107">
        <f t="shared" si="55"/>
        <v>0</v>
      </c>
      <c r="Z431" s="107">
        <f t="shared" si="55"/>
        <v>0</v>
      </c>
      <c r="AA431" s="107">
        <f t="shared" si="55"/>
        <v>0</v>
      </c>
      <c r="AB431" s="107">
        <f t="shared" si="55"/>
        <v>0</v>
      </c>
      <c r="AC431" s="107">
        <f t="shared" si="55"/>
        <v>0</v>
      </c>
      <c r="AD431" s="107">
        <f t="shared" si="55"/>
        <v>0</v>
      </c>
      <c r="AE431" s="107">
        <f t="shared" si="55"/>
        <v>0</v>
      </c>
      <c r="AF431" s="107">
        <f t="shared" si="55"/>
        <v>0</v>
      </c>
      <c r="AG431" s="107">
        <f t="shared" si="55"/>
        <v>0</v>
      </c>
      <c r="AH431" s="107">
        <f t="shared" si="55"/>
        <v>0</v>
      </c>
      <c r="AI431" s="107">
        <f t="shared" si="55"/>
        <v>0</v>
      </c>
      <c r="AJ431" s="107">
        <f t="shared" si="55"/>
        <v>0</v>
      </c>
      <c r="AK431" s="107">
        <f t="shared" si="55"/>
        <v>0</v>
      </c>
      <c r="AL431" s="107">
        <f t="shared" si="55"/>
        <v>0</v>
      </c>
      <c r="AM431" s="107">
        <f t="shared" si="55"/>
        <v>0</v>
      </c>
      <c r="AN431" s="107">
        <f t="shared" si="55"/>
        <v>0</v>
      </c>
      <c r="AO431" s="111">
        <f>D431+E431+F431+G431+H431+I431+J431+M431+P431+SUM(Q431:AN431)</f>
        <v>-300392.42296000005</v>
      </c>
      <c r="AP431" s="4"/>
      <c r="AQ431" s="5"/>
      <c r="AR431" s="5"/>
      <c r="AS431" s="2" t="s">
        <v>6</v>
      </c>
    </row>
    <row r="432" spans="1:46" s="2" customFormat="1" ht="17.25" customHeight="1" thickTop="1" x14ac:dyDescent="0.25">
      <c r="A432" s="23">
        <f>A415+1</f>
        <v>45959</v>
      </c>
      <c r="B432" s="210" t="s">
        <v>64</v>
      </c>
      <c r="C432" s="203"/>
      <c r="D432" s="63">
        <v>9128.2900000000009</v>
      </c>
      <c r="E432" s="66"/>
      <c r="F432" s="66"/>
      <c r="G432" s="66"/>
      <c r="H432" s="66"/>
      <c r="I432" s="66">
        <f>-D432</f>
        <v>-9128.2900000000009</v>
      </c>
      <c r="J432" s="66"/>
      <c r="K432" s="18"/>
      <c r="L432" s="18"/>
      <c r="M432" s="66"/>
      <c r="N432" s="18"/>
      <c r="O432" s="18"/>
      <c r="P432" s="66"/>
      <c r="Q432" s="46"/>
      <c r="R432" s="46"/>
      <c r="S432" s="45"/>
      <c r="T432" s="18"/>
      <c r="U432" s="18"/>
      <c r="V432" s="18"/>
      <c r="W432" s="18"/>
      <c r="X432" s="18"/>
      <c r="Y432" s="14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31"/>
      <c r="AQ432" s="10"/>
      <c r="AR432" s="27"/>
    </row>
    <row r="433" spans="1:46" s="4" customFormat="1" ht="17.25" customHeight="1" x14ac:dyDescent="0.25">
      <c r="A433" s="23"/>
      <c r="B433" s="201" t="s">
        <v>96</v>
      </c>
      <c r="C433" s="202"/>
      <c r="D433" s="63"/>
      <c r="E433" s="64"/>
      <c r="F433" s="64"/>
      <c r="G433" s="64"/>
      <c r="H433" s="64"/>
      <c r="I433" s="117">
        <f>-I431-I432</f>
        <v>-234.57999999999993</v>
      </c>
      <c r="J433" s="64"/>
      <c r="K433" s="16"/>
      <c r="L433" s="92"/>
      <c r="M433" s="64"/>
      <c r="N433" s="16"/>
      <c r="O433" s="92"/>
      <c r="P433" s="64"/>
      <c r="Q433" s="40"/>
      <c r="R433" s="46"/>
      <c r="S433" s="39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22"/>
      <c r="AP433" s="30"/>
    </row>
    <row r="434" spans="1:46" s="2" customFormat="1" ht="17.25" customHeight="1" x14ac:dyDescent="0.2">
      <c r="A434" s="23"/>
      <c r="B434" s="201" t="s">
        <v>13</v>
      </c>
      <c r="C434" s="203"/>
      <c r="D434" s="63"/>
      <c r="E434" s="64">
        <f>100+35+60+20+50.3+604+20+60+40+3+127+50+10+40+50+60+20+65+40+16</f>
        <v>1470.3</v>
      </c>
      <c r="F434" s="64"/>
      <c r="G434" s="64"/>
      <c r="H434" s="64">
        <f>-E434</f>
        <v>-1470.3</v>
      </c>
      <c r="I434" s="64"/>
      <c r="J434" s="64"/>
      <c r="K434" s="16"/>
      <c r="L434" s="16"/>
      <c r="M434" s="64"/>
      <c r="N434" s="16"/>
      <c r="O434" s="16"/>
      <c r="P434" s="64"/>
      <c r="Q434" s="46"/>
      <c r="R434" s="39"/>
      <c r="S434" s="40"/>
      <c r="T434" s="16"/>
      <c r="U434" s="16"/>
      <c r="V434" s="16"/>
      <c r="W434" s="16"/>
      <c r="X434" s="16"/>
      <c r="Y434" s="19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35"/>
      <c r="AQ434" s="10"/>
      <c r="AR434" s="27"/>
    </row>
    <row r="435" spans="1:46" s="2" customFormat="1" ht="17.25" customHeight="1" x14ac:dyDescent="0.25">
      <c r="A435" s="29"/>
      <c r="B435" s="201" t="s">
        <v>72</v>
      </c>
      <c r="C435" s="202"/>
      <c r="D435" s="63">
        <v>-9200</v>
      </c>
      <c r="E435" s="64"/>
      <c r="F435" s="64">
        <f>-D435</f>
        <v>9200</v>
      </c>
      <c r="G435" s="64"/>
      <c r="H435" s="64"/>
      <c r="I435" s="64"/>
      <c r="J435" s="64"/>
      <c r="K435" s="57"/>
      <c r="L435" s="88"/>
      <c r="M435" s="62"/>
      <c r="N435" s="57"/>
      <c r="O435" s="88"/>
      <c r="P435" s="62"/>
      <c r="Q435" s="47"/>
      <c r="R435" s="39"/>
      <c r="S435" s="39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22"/>
      <c r="AQ435" s="10" t="s">
        <v>4</v>
      </c>
      <c r="AR435" s="11" t="e">
        <v>#REF!</v>
      </c>
    </row>
    <row r="436" spans="1:46" s="2" customFormat="1" ht="17.25" customHeight="1" x14ac:dyDescent="0.2">
      <c r="A436" s="23"/>
      <c r="B436" s="205" t="s">
        <v>239</v>
      </c>
      <c r="C436" s="206"/>
      <c r="D436" s="64"/>
      <c r="E436" s="64"/>
      <c r="F436" s="64"/>
      <c r="G436" s="64"/>
      <c r="H436" s="64"/>
      <c r="I436" s="64"/>
      <c r="J436" s="64"/>
      <c r="K436" s="57"/>
      <c r="L436" s="88"/>
      <c r="M436" s="62"/>
      <c r="N436" s="57">
        <v>10000</v>
      </c>
      <c r="O436" s="88">
        <v>3.51</v>
      </c>
      <c r="P436" s="62">
        <f>N436*O436</f>
        <v>35100</v>
      </c>
      <c r="Q436" s="39"/>
      <c r="R436" s="39"/>
      <c r="S436" s="39"/>
      <c r="T436" s="16"/>
      <c r="U436" s="16">
        <f>-P436</f>
        <v>-35100</v>
      </c>
      <c r="V436" s="16"/>
      <c r="W436" s="16"/>
      <c r="X436" s="16"/>
      <c r="Y436" s="19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35"/>
      <c r="AQ436" s="10"/>
      <c r="AR436" s="27"/>
    </row>
    <row r="437" spans="1:46" s="2" customFormat="1" ht="17.25" customHeight="1" thickBot="1" x14ac:dyDescent="0.25">
      <c r="A437" s="24"/>
      <c r="B437" s="216"/>
      <c r="C437" s="217"/>
      <c r="D437" s="83"/>
      <c r="E437" s="81"/>
      <c r="F437" s="81"/>
      <c r="G437" s="81"/>
      <c r="H437" s="81"/>
      <c r="I437" s="81"/>
      <c r="J437" s="81"/>
      <c r="K437" s="37"/>
      <c r="L437" s="93"/>
      <c r="M437" s="81"/>
      <c r="N437" s="37"/>
      <c r="O437" s="93"/>
      <c r="P437" s="81"/>
      <c r="Q437" s="40"/>
      <c r="R437" s="40"/>
      <c r="S437" s="39"/>
      <c r="T437" s="16"/>
      <c r="U437" s="16"/>
      <c r="V437" s="16"/>
      <c r="W437" s="16"/>
      <c r="X437" s="16"/>
      <c r="Y437" s="19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41"/>
      <c r="AQ437" s="10"/>
      <c r="AR437" s="11"/>
    </row>
    <row r="438" spans="1:46" s="4" customFormat="1" ht="17.25" customHeight="1" x14ac:dyDescent="0.25">
      <c r="A438" s="23"/>
      <c r="B438" s="210" t="s">
        <v>94</v>
      </c>
      <c r="C438" s="203"/>
      <c r="D438" s="66"/>
      <c r="E438" s="66"/>
      <c r="F438" s="117"/>
      <c r="G438" s="117"/>
      <c r="H438" s="66"/>
      <c r="I438" s="66"/>
      <c r="J438" s="66">
        <f>-M438</f>
        <v>7236.45</v>
      </c>
      <c r="K438" s="58">
        <v>-1237</v>
      </c>
      <c r="L438" s="89">
        <v>5.85</v>
      </c>
      <c r="M438" s="73">
        <f>K438*L438</f>
        <v>-7236.45</v>
      </c>
      <c r="N438" s="58"/>
      <c r="O438" s="89"/>
      <c r="P438" s="73"/>
      <c r="Q438" s="39"/>
      <c r="R438" s="39"/>
      <c r="S438" s="8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35"/>
      <c r="AP438" s="12" t="e">
        <f>#REF!</f>
        <v>#REF!</v>
      </c>
    </row>
    <row r="439" spans="1:46" s="4" customFormat="1" ht="17.25" customHeight="1" x14ac:dyDescent="0.25">
      <c r="A439" s="23"/>
      <c r="B439" s="201" t="s">
        <v>95</v>
      </c>
      <c r="C439" s="202"/>
      <c r="D439" s="64"/>
      <c r="E439" s="64"/>
      <c r="F439" s="117"/>
      <c r="G439" s="117"/>
      <c r="H439" s="64"/>
      <c r="I439" s="64"/>
      <c r="J439" s="64">
        <f>-P439</f>
        <v>8804.17</v>
      </c>
      <c r="K439" s="57"/>
      <c r="L439" s="88"/>
      <c r="M439" s="62"/>
      <c r="N439" s="57">
        <v>-2323</v>
      </c>
      <c r="O439" s="88">
        <v>3.79</v>
      </c>
      <c r="P439" s="62">
        <f>N439*O439</f>
        <v>-8804.17</v>
      </c>
      <c r="Q439" s="39"/>
      <c r="R439" s="39"/>
      <c r="S439" s="8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35"/>
      <c r="AP439" s="12" t="e">
        <f>#REF!</f>
        <v>#REF!</v>
      </c>
    </row>
    <row r="440" spans="1:46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>
        <f>-J440-I440</f>
        <v>5740.16</v>
      </c>
      <c r="I440" s="64">
        <v>10300.459999999999</v>
      </c>
      <c r="J440" s="64">
        <f>-SUM(J438:J439)</f>
        <v>-16040.619999999999</v>
      </c>
      <c r="K440" s="57"/>
      <c r="L440" s="88"/>
      <c r="M440" s="62"/>
      <c r="N440" s="57"/>
      <c r="O440" s="88"/>
      <c r="P440" s="62"/>
      <c r="Q440" s="39"/>
      <c r="R440" s="39"/>
      <c r="S440" s="39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22"/>
      <c r="AO440" s="43">
        <f>A417</f>
        <v>0</v>
      </c>
      <c r="AP440" s="12" t="e">
        <f>#REF!</f>
        <v>#REF!</v>
      </c>
      <c r="AT440" s="2"/>
    </row>
    <row r="441" spans="1:46" s="4" customFormat="1" ht="17.25" customHeight="1" x14ac:dyDescent="0.25">
      <c r="A441" s="23"/>
      <c r="B441" s="201" t="s">
        <v>93</v>
      </c>
      <c r="C441" s="202"/>
      <c r="D441" s="64"/>
      <c r="E441" s="64"/>
      <c r="F441" s="64"/>
      <c r="G441" s="64"/>
      <c r="H441" s="64"/>
      <c r="I441" s="64"/>
      <c r="J441" s="64"/>
      <c r="K441" s="57">
        <v>-115</v>
      </c>
      <c r="L441" s="88"/>
      <c r="M441" s="118">
        <f>(K444*L431)-M431-M438</f>
        <v>425.6584760705291</v>
      </c>
      <c r="N441" s="57">
        <v>376</v>
      </c>
      <c r="O441" s="88"/>
      <c r="P441" s="118">
        <f>(N444*(P431+P436)/(N431+N436))-P431-P439-P436</f>
        <v>2002.0730040251583</v>
      </c>
      <c r="Q441" s="39"/>
      <c r="R441" s="39"/>
      <c r="S441" s="39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22"/>
      <c r="AO441" s="43">
        <f>A425</f>
        <v>0</v>
      </c>
      <c r="AP441" s="12" t="e">
        <f>#REF!</f>
        <v>#REF!</v>
      </c>
      <c r="AT441" s="2"/>
    </row>
    <row r="442" spans="1:46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46"/>
      <c r="R442" s="46"/>
      <c r="S442" s="39"/>
      <c r="T442" s="16"/>
      <c r="U442" s="16"/>
      <c r="V442" s="16"/>
      <c r="W442" s="16"/>
      <c r="X442" s="16"/>
      <c r="Y442" s="19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43">
        <f>A432</f>
        <v>45959</v>
      </c>
      <c r="AQ442" s="10"/>
      <c r="AR442" s="11"/>
    </row>
    <row r="443" spans="1:46" s="2" customFormat="1" ht="17.25" customHeight="1" thickBot="1" x14ac:dyDescent="0.3">
      <c r="A443" s="56"/>
      <c r="B443" s="101" t="s">
        <v>102</v>
      </c>
      <c r="C443" s="102">
        <f>D444+E444+F444+G444+H444+I444+J444+M444+P444</f>
        <v>147842.63704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48"/>
      <c r="R443" s="48"/>
      <c r="S443" s="51"/>
      <c r="T443" s="28"/>
      <c r="U443" s="28"/>
      <c r="V443" s="28"/>
      <c r="W443" s="28"/>
      <c r="X443" s="28"/>
      <c r="Y443" s="36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42">
        <f>SUM($Q431:AN443)</f>
        <v>-446041.91000000003</v>
      </c>
      <c r="AQ443" s="10"/>
      <c r="AR443" s="11"/>
      <c r="AS443" s="2" t="s">
        <v>5</v>
      </c>
    </row>
    <row r="444" spans="1:46" s="2" customFormat="1" ht="17.25" customHeight="1" thickTop="1" thickBot="1" x14ac:dyDescent="0.3">
      <c r="A444" s="103"/>
      <c r="B444" s="104" t="s">
        <v>103</v>
      </c>
      <c r="C444" s="105">
        <f>AO444</f>
        <v>-298199.27296000003</v>
      </c>
      <c r="D444" s="106">
        <f t="shared" ref="D444:K444" si="56">SUM(D431:D443)</f>
        <v>95.937039999991612</v>
      </c>
      <c r="E444" s="107">
        <f t="shared" si="56"/>
        <v>-29356.070000000011</v>
      </c>
      <c r="F444" s="107">
        <f t="shared" si="56"/>
        <v>26300</v>
      </c>
      <c r="G444" s="107">
        <f t="shared" si="56"/>
        <v>-28968.130000000005</v>
      </c>
      <c r="H444" s="107">
        <f t="shared" si="56"/>
        <v>61686.210000000006</v>
      </c>
      <c r="I444" s="107">
        <f t="shared" si="56"/>
        <v>10300.459999999999</v>
      </c>
      <c r="J444" s="107">
        <f t="shared" si="56"/>
        <v>0</v>
      </c>
      <c r="K444" s="108">
        <f t="shared" si="56"/>
        <v>5000</v>
      </c>
      <c r="L444" s="109">
        <f>M444/K444</f>
        <v>5.0375680000000003</v>
      </c>
      <c r="M444" s="107">
        <f>ROUND(SUM(M431:M443),2)</f>
        <v>25187.84</v>
      </c>
      <c r="N444" s="108">
        <f>SUM(N431:N443)</f>
        <v>23642</v>
      </c>
      <c r="O444" s="109">
        <f>P444/N444</f>
        <v>3.4936295575670417</v>
      </c>
      <c r="P444" s="107">
        <f>ROUND(SUM(P431:P443),2)</f>
        <v>82596.39</v>
      </c>
      <c r="Q444" s="110">
        <f t="shared" ref="Q444:AN444" si="57">SUM(Q431:Q443)</f>
        <v>-423778.33</v>
      </c>
      <c r="R444" s="107">
        <f t="shared" si="57"/>
        <v>37928.520000000004</v>
      </c>
      <c r="S444" s="107">
        <f t="shared" si="57"/>
        <v>0</v>
      </c>
      <c r="T444" s="107">
        <f t="shared" si="57"/>
        <v>-12858.760000000002</v>
      </c>
      <c r="U444" s="107">
        <f t="shared" si="57"/>
        <v>-35100</v>
      </c>
      <c r="V444" s="107">
        <f t="shared" si="57"/>
        <v>-12233.34000000002</v>
      </c>
      <c r="W444" s="107">
        <f t="shared" si="57"/>
        <v>0</v>
      </c>
      <c r="X444" s="107">
        <f t="shared" si="57"/>
        <v>0</v>
      </c>
      <c r="Y444" s="107">
        <f t="shared" si="57"/>
        <v>0</v>
      </c>
      <c r="Z444" s="107">
        <f t="shared" si="57"/>
        <v>0</v>
      </c>
      <c r="AA444" s="107">
        <f t="shared" si="57"/>
        <v>0</v>
      </c>
      <c r="AB444" s="107">
        <f t="shared" si="57"/>
        <v>0</v>
      </c>
      <c r="AC444" s="107">
        <f t="shared" si="57"/>
        <v>0</v>
      </c>
      <c r="AD444" s="107">
        <f t="shared" si="57"/>
        <v>0</v>
      </c>
      <c r="AE444" s="107">
        <f t="shared" si="57"/>
        <v>0</v>
      </c>
      <c r="AF444" s="107">
        <f t="shared" si="57"/>
        <v>0</v>
      </c>
      <c r="AG444" s="107">
        <f t="shared" si="57"/>
        <v>0</v>
      </c>
      <c r="AH444" s="107">
        <f t="shared" si="57"/>
        <v>0</v>
      </c>
      <c r="AI444" s="107">
        <f t="shared" si="57"/>
        <v>0</v>
      </c>
      <c r="AJ444" s="107">
        <f t="shared" si="57"/>
        <v>0</v>
      </c>
      <c r="AK444" s="107">
        <f t="shared" si="57"/>
        <v>0</v>
      </c>
      <c r="AL444" s="107">
        <f t="shared" si="57"/>
        <v>0</v>
      </c>
      <c r="AM444" s="107">
        <f t="shared" si="57"/>
        <v>0</v>
      </c>
      <c r="AN444" s="107">
        <f t="shared" si="57"/>
        <v>0</v>
      </c>
      <c r="AO444" s="111">
        <f>D444+E444+F444+G444+H444+I444+J444+M444+P444+SUM(Q444:AN444)</f>
        <v>-298199.27296000003</v>
      </c>
      <c r="AP444" s="4"/>
      <c r="AQ444" s="5"/>
      <c r="AR444" s="5"/>
      <c r="AS444" s="2" t="s">
        <v>6</v>
      </c>
    </row>
    <row r="445" spans="1:46" s="2" customFormat="1" ht="17.25" customHeight="1" thickTop="1" x14ac:dyDescent="0.25">
      <c r="A445" s="23">
        <f>A432+1</f>
        <v>45960</v>
      </c>
      <c r="B445" s="210" t="s">
        <v>64</v>
      </c>
      <c r="C445" s="203"/>
      <c r="D445" s="63">
        <v>10046.879999999999</v>
      </c>
      <c r="E445" s="66"/>
      <c r="F445" s="66"/>
      <c r="G445" s="66"/>
      <c r="H445" s="66"/>
      <c r="I445" s="66">
        <f>-D445</f>
        <v>-10046.879999999999</v>
      </c>
      <c r="J445" s="66"/>
      <c r="K445" s="18"/>
      <c r="L445" s="18"/>
      <c r="M445" s="66"/>
      <c r="N445" s="18"/>
      <c r="O445" s="18"/>
      <c r="P445" s="66"/>
      <c r="Q445" s="46"/>
      <c r="R445" s="46"/>
      <c r="S445" s="45"/>
      <c r="T445" s="18"/>
      <c r="U445" s="18"/>
      <c r="V445" s="18"/>
      <c r="W445" s="18"/>
      <c r="X445" s="18"/>
      <c r="Y445" s="14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31"/>
      <c r="AQ445" s="10"/>
      <c r="AR445" s="27"/>
    </row>
    <row r="446" spans="1:46" s="4" customFormat="1" ht="17.25" customHeight="1" x14ac:dyDescent="0.25">
      <c r="A446" s="23"/>
      <c r="B446" s="201" t="s">
        <v>96</v>
      </c>
      <c r="C446" s="202"/>
      <c r="D446" s="63"/>
      <c r="E446" s="64"/>
      <c r="F446" s="64"/>
      <c r="G446" s="64"/>
      <c r="H446" s="64"/>
      <c r="I446" s="117">
        <f>-I444-I445</f>
        <v>-253.57999999999993</v>
      </c>
      <c r="J446" s="64"/>
      <c r="K446" s="16"/>
      <c r="L446" s="92"/>
      <c r="M446" s="64"/>
      <c r="N446" s="16"/>
      <c r="O446" s="92"/>
      <c r="P446" s="64"/>
      <c r="Q446" s="40"/>
      <c r="R446" s="46"/>
      <c r="S446" s="39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22"/>
      <c r="AP446" s="30"/>
    </row>
    <row r="447" spans="1:46" s="2" customFormat="1" ht="17.25" customHeight="1" x14ac:dyDescent="0.2">
      <c r="A447" s="23"/>
      <c r="B447" s="201" t="s">
        <v>13</v>
      </c>
      <c r="C447" s="203"/>
      <c r="D447" s="63"/>
      <c r="E447" s="64">
        <f>50+80+30+70+150+50+50+50+24+25+50+37.9+14+100+50+176.5+35+30+20+30+20+20+50</f>
        <v>1212.4000000000001</v>
      </c>
      <c r="F447" s="64"/>
      <c r="G447" s="64"/>
      <c r="H447" s="64">
        <f>-E447</f>
        <v>-1212.4000000000001</v>
      </c>
      <c r="I447" s="64"/>
      <c r="J447" s="64"/>
      <c r="K447" s="16"/>
      <c r="L447" s="16"/>
      <c r="M447" s="64"/>
      <c r="N447" s="16"/>
      <c r="O447" s="16"/>
      <c r="P447" s="64"/>
      <c r="Q447" s="46"/>
      <c r="R447" s="39"/>
      <c r="S447" s="40"/>
      <c r="T447" s="16"/>
      <c r="U447" s="16"/>
      <c r="V447" s="16"/>
      <c r="W447" s="16"/>
      <c r="X447" s="16"/>
      <c r="Y447" s="19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35"/>
      <c r="AQ447" s="10"/>
      <c r="AR447" s="27"/>
    </row>
    <row r="448" spans="1:46" s="2" customFormat="1" ht="17.25" customHeight="1" x14ac:dyDescent="0.25">
      <c r="A448" s="24"/>
      <c r="B448" s="201" t="s">
        <v>189</v>
      </c>
      <c r="C448" s="203"/>
      <c r="D448" s="63"/>
      <c r="E448" s="64">
        <f>2000+496+2000+1950+2000+2000+2000+2000+2000+50</f>
        <v>16496</v>
      </c>
      <c r="F448" s="64"/>
      <c r="G448" s="64"/>
      <c r="H448" s="64">
        <f>-E448</f>
        <v>-16496</v>
      </c>
      <c r="I448" s="64"/>
      <c r="J448" s="64"/>
      <c r="K448" s="16"/>
      <c r="L448" s="92"/>
      <c r="M448" s="64"/>
      <c r="N448" s="16"/>
      <c r="O448" s="92"/>
      <c r="P448" s="64"/>
      <c r="Q448" s="40"/>
      <c r="R448" s="40"/>
      <c r="S448" s="39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22"/>
      <c r="AQ448" s="10"/>
      <c r="AR448" s="11"/>
    </row>
    <row r="449" spans="1:46" s="2" customFormat="1" ht="17.25" customHeight="1" x14ac:dyDescent="0.2">
      <c r="A449" s="23"/>
      <c r="B449" s="201" t="s">
        <v>194</v>
      </c>
      <c r="C449" s="202"/>
      <c r="D449" s="63"/>
      <c r="E449" s="64">
        <v>-850</v>
      </c>
      <c r="F449" s="74"/>
      <c r="G449" s="74"/>
      <c r="H449" s="64"/>
      <c r="I449" s="64"/>
      <c r="J449" s="64"/>
      <c r="K449" s="16"/>
      <c r="L449" s="16"/>
      <c r="M449" s="64"/>
      <c r="N449" s="16"/>
      <c r="O449" s="16"/>
      <c r="P449" s="64"/>
      <c r="Q449" s="46"/>
      <c r="R449" s="39"/>
      <c r="S449" s="40"/>
      <c r="T449" s="16"/>
      <c r="U449" s="16"/>
      <c r="V449" s="16"/>
      <c r="W449" s="16"/>
      <c r="X449" s="16"/>
      <c r="Y449" s="19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35"/>
      <c r="AQ449" s="10"/>
      <c r="AR449" s="27"/>
    </row>
    <row r="450" spans="1:46" s="2" customFormat="1" ht="17.25" customHeight="1" x14ac:dyDescent="0.2">
      <c r="A450" s="23"/>
      <c r="B450" s="201" t="s">
        <v>240</v>
      </c>
      <c r="C450" s="202"/>
      <c r="D450" s="63">
        <f>-E450</f>
        <v>14000</v>
      </c>
      <c r="E450" s="64">
        <v>-14000</v>
      </c>
      <c r="F450" s="74"/>
      <c r="G450" s="74"/>
      <c r="H450" s="64"/>
      <c r="I450" s="64"/>
      <c r="J450" s="64"/>
      <c r="K450" s="16"/>
      <c r="L450" s="16"/>
      <c r="M450" s="64"/>
      <c r="N450" s="16"/>
      <c r="O450" s="16"/>
      <c r="P450" s="64"/>
      <c r="Q450" s="46"/>
      <c r="R450" s="39"/>
      <c r="S450" s="40"/>
      <c r="T450" s="16"/>
      <c r="U450" s="16"/>
      <c r="V450" s="16"/>
      <c r="W450" s="16"/>
      <c r="X450" s="16"/>
      <c r="Y450" s="19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35"/>
      <c r="AQ450" s="10"/>
      <c r="AR450" s="27"/>
    </row>
    <row r="451" spans="1:46" s="2" customFormat="1" ht="17.25" customHeight="1" x14ac:dyDescent="0.25">
      <c r="A451" s="29"/>
      <c r="B451" s="201" t="s">
        <v>72</v>
      </c>
      <c r="C451" s="202"/>
      <c r="D451" s="63">
        <v>-10100</v>
      </c>
      <c r="E451" s="64"/>
      <c r="F451" s="64">
        <f>-D451</f>
        <v>10100</v>
      </c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47"/>
      <c r="R451" s="39"/>
      <c r="S451" s="39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22"/>
      <c r="AQ451" s="10" t="s">
        <v>4</v>
      </c>
      <c r="AR451" s="11" t="e">
        <v>#REF!</v>
      </c>
    </row>
    <row r="452" spans="1:46" s="2" customFormat="1" ht="17.25" customHeight="1" x14ac:dyDescent="0.25">
      <c r="A452" s="29"/>
      <c r="B452" s="201" t="s">
        <v>72</v>
      </c>
      <c r="C452" s="202"/>
      <c r="D452" s="63">
        <f>-F452</f>
        <v>36400</v>
      </c>
      <c r="E452" s="64"/>
      <c r="F452" s="64">
        <v>-36400</v>
      </c>
      <c r="G452" s="64"/>
      <c r="H452" s="64"/>
      <c r="I452" s="64"/>
      <c r="J452" s="64"/>
      <c r="K452" s="57"/>
      <c r="L452" s="88"/>
      <c r="M452" s="62"/>
      <c r="N452" s="57"/>
      <c r="O452" s="88"/>
      <c r="P452" s="62"/>
      <c r="Q452" s="47"/>
      <c r="R452" s="39"/>
      <c r="S452" s="39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22"/>
      <c r="AQ452" s="10" t="s">
        <v>4</v>
      </c>
      <c r="AR452" s="11" t="e">
        <v>#REF!</v>
      </c>
    </row>
    <row r="453" spans="1:46" s="2" customFormat="1" ht="17.25" customHeight="1" x14ac:dyDescent="0.25">
      <c r="A453" s="29"/>
      <c r="B453" s="201" t="s">
        <v>72</v>
      </c>
      <c r="C453" s="202"/>
      <c r="D453" s="63">
        <v>-50300</v>
      </c>
      <c r="E453" s="64"/>
      <c r="F453" s="64">
        <f>-D453</f>
        <v>50300</v>
      </c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47"/>
      <c r="R453" s="39"/>
      <c r="S453" s="39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22"/>
      <c r="AQ453" s="10" t="s">
        <v>4</v>
      </c>
      <c r="AR453" s="11" t="e">
        <v>#REF!</v>
      </c>
    </row>
    <row r="454" spans="1:46" s="2" customFormat="1" ht="17.25" customHeight="1" x14ac:dyDescent="0.2">
      <c r="A454" s="23"/>
      <c r="B454" s="201" t="s">
        <v>463</v>
      </c>
      <c r="C454" s="202"/>
      <c r="D454" s="63">
        <v>-112</v>
      </c>
      <c r="E454" s="64"/>
      <c r="F454" s="74"/>
      <c r="G454" s="74"/>
      <c r="H454" s="64"/>
      <c r="I454" s="64"/>
      <c r="J454" s="64"/>
      <c r="K454" s="16"/>
      <c r="L454" s="16"/>
      <c r="M454" s="64"/>
      <c r="N454" s="16"/>
      <c r="O454" s="16"/>
      <c r="P454" s="64"/>
      <c r="Q454" s="46"/>
      <c r="R454" s="39"/>
      <c r="S454" s="40"/>
      <c r="T454" s="16"/>
      <c r="U454" s="16"/>
      <c r="V454" s="16"/>
      <c r="W454" s="16"/>
      <c r="X454" s="16"/>
      <c r="Y454" s="19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35"/>
      <c r="AQ454" s="10"/>
      <c r="AR454" s="27"/>
    </row>
    <row r="455" spans="1:46" s="2" customFormat="1" ht="17.25" customHeight="1" thickBot="1" x14ac:dyDescent="0.25">
      <c r="A455" s="24"/>
      <c r="B455" s="216"/>
      <c r="C455" s="217"/>
      <c r="D455" s="83"/>
      <c r="E455" s="81"/>
      <c r="F455" s="81"/>
      <c r="G455" s="81"/>
      <c r="H455" s="81"/>
      <c r="I455" s="81"/>
      <c r="J455" s="81"/>
      <c r="K455" s="37"/>
      <c r="L455" s="93"/>
      <c r="M455" s="81"/>
      <c r="N455" s="37"/>
      <c r="O455" s="93"/>
      <c r="P455" s="81"/>
      <c r="Q455" s="40"/>
      <c r="R455" s="40"/>
      <c r="S455" s="39"/>
      <c r="T455" s="16"/>
      <c r="U455" s="16"/>
      <c r="V455" s="16"/>
      <c r="W455" s="16"/>
      <c r="X455" s="16"/>
      <c r="Y455" s="19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41"/>
      <c r="AQ455" s="10"/>
      <c r="AR455" s="11"/>
    </row>
    <row r="456" spans="1:46" s="4" customFormat="1" ht="17.25" customHeight="1" x14ac:dyDescent="0.25">
      <c r="A456" s="23"/>
      <c r="B456" s="210" t="s">
        <v>94</v>
      </c>
      <c r="C456" s="203"/>
      <c r="D456" s="66"/>
      <c r="E456" s="66"/>
      <c r="F456" s="117"/>
      <c r="G456" s="117"/>
      <c r="H456" s="66"/>
      <c r="I456" s="66"/>
      <c r="J456" s="66">
        <f>-M456</f>
        <v>6891.2999999999993</v>
      </c>
      <c r="K456" s="58">
        <v>-1178</v>
      </c>
      <c r="L456" s="89">
        <v>5.85</v>
      </c>
      <c r="M456" s="73">
        <f>K456*L456</f>
        <v>-6891.2999999999993</v>
      </c>
      <c r="N456" s="58"/>
      <c r="O456" s="89"/>
      <c r="P456" s="73"/>
      <c r="Q456" s="39"/>
      <c r="R456" s="39"/>
      <c r="S456" s="8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35"/>
      <c r="AP456" s="12" t="e">
        <f>#REF!</f>
        <v>#REF!</v>
      </c>
    </row>
    <row r="457" spans="1:46" s="4" customFormat="1" ht="17.25" customHeight="1" x14ac:dyDescent="0.25">
      <c r="A457" s="23"/>
      <c r="B457" s="201" t="s">
        <v>95</v>
      </c>
      <c r="C457" s="202"/>
      <c r="D457" s="64"/>
      <c r="E457" s="64"/>
      <c r="F457" s="117"/>
      <c r="G457" s="117"/>
      <c r="H457" s="64"/>
      <c r="I457" s="64"/>
      <c r="J457" s="64">
        <f>-P457</f>
        <v>8607.09</v>
      </c>
      <c r="K457" s="57"/>
      <c r="L457" s="88"/>
      <c r="M457" s="62"/>
      <c r="N457" s="57">
        <v>-2271</v>
      </c>
      <c r="O457" s="88">
        <v>3.79</v>
      </c>
      <c r="P457" s="62">
        <f>N457*O457</f>
        <v>-8607.09</v>
      </c>
      <c r="Q457" s="39"/>
      <c r="R457" s="39"/>
      <c r="S457" s="8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35"/>
      <c r="AP457" s="12" t="e">
        <f>#REF!</f>
        <v>#REF!</v>
      </c>
    </row>
    <row r="458" spans="1:46" s="4" customFormat="1" ht="17.25" customHeight="1" x14ac:dyDescent="0.25">
      <c r="A458" s="23"/>
      <c r="B458" s="201" t="s">
        <v>97</v>
      </c>
      <c r="C458" s="203"/>
      <c r="D458" s="64"/>
      <c r="E458" s="64"/>
      <c r="F458" s="64"/>
      <c r="G458" s="64"/>
      <c r="H458" s="64">
        <f>-J458-I458</f>
        <v>6014.7999999999993</v>
      </c>
      <c r="I458" s="64">
        <v>9483.59</v>
      </c>
      <c r="J458" s="64">
        <f>-SUM(J456:J457)</f>
        <v>-15498.39</v>
      </c>
      <c r="K458" s="57"/>
      <c r="L458" s="88"/>
      <c r="M458" s="62"/>
      <c r="N458" s="57"/>
      <c r="O458" s="88"/>
      <c r="P458" s="62"/>
      <c r="Q458" s="39"/>
      <c r="R458" s="39"/>
      <c r="S458" s="39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22"/>
      <c r="AO458" s="43">
        <f>A434</f>
        <v>0</v>
      </c>
      <c r="AP458" s="12" t="e">
        <f>#REF!</f>
        <v>#REF!</v>
      </c>
      <c r="AT458" s="2"/>
    </row>
    <row r="459" spans="1:46" s="4" customFormat="1" ht="17.25" customHeight="1" x14ac:dyDescent="0.25">
      <c r="A459" s="23"/>
      <c r="B459" s="201" t="s">
        <v>93</v>
      </c>
      <c r="C459" s="202"/>
      <c r="D459" s="64"/>
      <c r="E459" s="64"/>
      <c r="F459" s="64"/>
      <c r="G459" s="64"/>
      <c r="H459" s="64"/>
      <c r="I459" s="64"/>
      <c r="J459" s="64"/>
      <c r="K459" s="57">
        <v>78</v>
      </c>
      <c r="L459" s="88"/>
      <c r="M459" s="118">
        <f>(K462*L444)-M444-M456</f>
        <v>1349.9752000000008</v>
      </c>
      <c r="N459" s="57">
        <v>-71</v>
      </c>
      <c r="O459" s="88"/>
      <c r="P459" s="118">
        <f>(N462*O444)-P444-P457</f>
        <v>425.00957617798485</v>
      </c>
      <c r="Q459" s="39"/>
      <c r="R459" s="39"/>
      <c r="S459" s="39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22"/>
      <c r="AO459" s="43">
        <f>A438</f>
        <v>0</v>
      </c>
      <c r="AP459" s="12" t="e">
        <f>#REF!</f>
        <v>#REF!</v>
      </c>
      <c r="AT459" s="2"/>
    </row>
    <row r="460" spans="1:46" s="2" customFormat="1" ht="17.25" customHeight="1" x14ac:dyDescent="0.2">
      <c r="A460" s="24"/>
      <c r="B460" s="201"/>
      <c r="C460" s="204"/>
      <c r="D460" s="63"/>
      <c r="E460" s="64"/>
      <c r="F460" s="64"/>
      <c r="G460" s="64"/>
      <c r="H460" s="64"/>
      <c r="I460" s="64"/>
      <c r="J460" s="64"/>
      <c r="K460" s="16"/>
      <c r="L460" s="16"/>
      <c r="M460" s="64"/>
      <c r="N460" s="16"/>
      <c r="O460" s="16"/>
      <c r="P460" s="64"/>
      <c r="Q460" s="46"/>
      <c r="R460" s="46"/>
      <c r="S460" s="39"/>
      <c r="T460" s="16"/>
      <c r="U460" s="16"/>
      <c r="V460" s="16"/>
      <c r="W460" s="16"/>
      <c r="X460" s="16"/>
      <c r="Y460" s="19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43">
        <f>A445</f>
        <v>45960</v>
      </c>
      <c r="AQ460" s="10"/>
      <c r="AR460" s="11"/>
    </row>
    <row r="461" spans="1:46" s="2" customFormat="1" ht="17.25" customHeight="1" thickBot="1" x14ac:dyDescent="0.3">
      <c r="A461" s="56"/>
      <c r="B461" s="101" t="s">
        <v>102</v>
      </c>
      <c r="C461" s="102">
        <f>D462+E462+F462+G462+H462+I462+J462+M462+P462</f>
        <v>148402.04703999998</v>
      </c>
      <c r="D461" s="84"/>
      <c r="E461" s="85"/>
      <c r="F461" s="85"/>
      <c r="G461" s="85"/>
      <c r="H461" s="85"/>
      <c r="I461" s="85"/>
      <c r="J461" s="85"/>
      <c r="K461" s="28"/>
      <c r="L461" s="28"/>
      <c r="M461" s="85"/>
      <c r="N461" s="28"/>
      <c r="O461" s="28"/>
      <c r="P461" s="85"/>
      <c r="Q461" s="48"/>
      <c r="R461" s="48"/>
      <c r="S461" s="51"/>
      <c r="T461" s="28"/>
      <c r="U461" s="28"/>
      <c r="V461" s="28"/>
      <c r="W461" s="28"/>
      <c r="X461" s="28"/>
      <c r="Y461" s="36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42">
        <f>SUM($Q444:AN461)</f>
        <v>-446041.91000000003</v>
      </c>
      <c r="AQ461" s="10"/>
      <c r="AR461" s="11"/>
      <c r="AS461" s="2" t="s">
        <v>5</v>
      </c>
    </row>
    <row r="462" spans="1:46" s="2" customFormat="1" ht="17.25" customHeight="1" thickTop="1" thickBot="1" x14ac:dyDescent="0.3">
      <c r="A462" s="103"/>
      <c r="B462" s="104" t="s">
        <v>103</v>
      </c>
      <c r="C462" s="105">
        <f>AO462</f>
        <v>-297639.86296000006</v>
      </c>
      <c r="D462" s="106">
        <f t="shared" ref="D462:K462" si="58">SUM(D444:D461)</f>
        <v>30.817039999994449</v>
      </c>
      <c r="E462" s="107">
        <f t="shared" si="58"/>
        <v>-26497.670000000009</v>
      </c>
      <c r="F462" s="107">
        <f t="shared" si="58"/>
        <v>50300</v>
      </c>
      <c r="G462" s="107">
        <f t="shared" si="58"/>
        <v>-28968.130000000005</v>
      </c>
      <c r="H462" s="107">
        <f t="shared" si="58"/>
        <v>49992.61</v>
      </c>
      <c r="I462" s="107">
        <f t="shared" si="58"/>
        <v>9483.59</v>
      </c>
      <c r="J462" s="107">
        <f t="shared" si="58"/>
        <v>0</v>
      </c>
      <c r="K462" s="108">
        <f t="shared" si="58"/>
        <v>3900</v>
      </c>
      <c r="L462" s="109">
        <f>M462/K462</f>
        <v>5.0375692307692308</v>
      </c>
      <c r="M462" s="107">
        <f>ROUND(SUM(M444:M461),2)</f>
        <v>19646.52</v>
      </c>
      <c r="N462" s="108">
        <f>SUM(N444:N461)</f>
        <v>21300</v>
      </c>
      <c r="O462" s="109">
        <f>P462/N462</f>
        <v>3.4936295774647887</v>
      </c>
      <c r="P462" s="107">
        <f>ROUND(SUM(P444:P461),2)</f>
        <v>74414.31</v>
      </c>
      <c r="Q462" s="110">
        <f t="shared" ref="Q462:AN462" si="59">SUM(Q444:Q461)</f>
        <v>-423778.33</v>
      </c>
      <c r="R462" s="107">
        <f t="shared" si="59"/>
        <v>37928.520000000004</v>
      </c>
      <c r="S462" s="107">
        <f t="shared" si="59"/>
        <v>0</v>
      </c>
      <c r="T462" s="107">
        <f t="shared" si="59"/>
        <v>-12858.760000000002</v>
      </c>
      <c r="U462" s="107">
        <f t="shared" si="59"/>
        <v>-35100</v>
      </c>
      <c r="V462" s="107">
        <f t="shared" si="59"/>
        <v>-12233.34000000002</v>
      </c>
      <c r="W462" s="107">
        <f t="shared" si="59"/>
        <v>0</v>
      </c>
      <c r="X462" s="107">
        <f t="shared" si="59"/>
        <v>0</v>
      </c>
      <c r="Y462" s="107">
        <f t="shared" si="59"/>
        <v>0</v>
      </c>
      <c r="Z462" s="107">
        <f t="shared" si="59"/>
        <v>0</v>
      </c>
      <c r="AA462" s="107">
        <f t="shared" si="59"/>
        <v>0</v>
      </c>
      <c r="AB462" s="107">
        <f t="shared" si="59"/>
        <v>0</v>
      </c>
      <c r="AC462" s="107">
        <f t="shared" si="59"/>
        <v>0</v>
      </c>
      <c r="AD462" s="107">
        <f t="shared" si="59"/>
        <v>0</v>
      </c>
      <c r="AE462" s="107">
        <f t="shared" si="59"/>
        <v>0</v>
      </c>
      <c r="AF462" s="107">
        <f t="shared" si="59"/>
        <v>0</v>
      </c>
      <c r="AG462" s="107">
        <f t="shared" si="59"/>
        <v>0</v>
      </c>
      <c r="AH462" s="107">
        <f t="shared" si="59"/>
        <v>0</v>
      </c>
      <c r="AI462" s="107">
        <f t="shared" si="59"/>
        <v>0</v>
      </c>
      <c r="AJ462" s="107">
        <f t="shared" si="59"/>
        <v>0</v>
      </c>
      <c r="AK462" s="107">
        <f t="shared" si="59"/>
        <v>0</v>
      </c>
      <c r="AL462" s="107">
        <f t="shared" si="59"/>
        <v>0</v>
      </c>
      <c r="AM462" s="107">
        <f t="shared" si="59"/>
        <v>0</v>
      </c>
      <c r="AN462" s="107">
        <f t="shared" si="59"/>
        <v>0</v>
      </c>
      <c r="AO462" s="111">
        <f>D462+E462+F462+G462+H462+I462+J462+M462+P462+SUM(Q462:AN462)</f>
        <v>-297639.86296000006</v>
      </c>
      <c r="AP462" s="4"/>
      <c r="AQ462" s="5"/>
      <c r="AR462" s="5"/>
      <c r="AS462" s="2" t="s">
        <v>6</v>
      </c>
    </row>
    <row r="463" spans="1:46" s="2" customFormat="1" ht="17.25" customHeight="1" thickTop="1" x14ac:dyDescent="0.25">
      <c r="A463" s="23">
        <f>A445+1</f>
        <v>45961</v>
      </c>
      <c r="B463" s="210" t="s">
        <v>64</v>
      </c>
      <c r="C463" s="203"/>
      <c r="D463" s="63">
        <v>9268.94</v>
      </c>
      <c r="E463" s="66"/>
      <c r="F463" s="66"/>
      <c r="G463" s="66"/>
      <c r="H463" s="66"/>
      <c r="I463" s="66">
        <f>-D463</f>
        <v>-9268.94</v>
      </c>
      <c r="J463" s="66"/>
      <c r="K463" s="18"/>
      <c r="L463" s="18"/>
      <c r="M463" s="66"/>
      <c r="N463" s="18"/>
      <c r="O463" s="18"/>
      <c r="P463" s="66"/>
      <c r="Q463" s="46"/>
      <c r="R463" s="46"/>
      <c r="S463" s="45"/>
      <c r="T463" s="18"/>
      <c r="U463" s="18"/>
      <c r="V463" s="18"/>
      <c r="W463" s="18"/>
      <c r="X463" s="18"/>
      <c r="Y463" s="14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31"/>
      <c r="AQ463" s="10"/>
      <c r="AR463" s="27"/>
    </row>
    <row r="464" spans="1:46" s="4" customFormat="1" ht="17.25" customHeight="1" x14ac:dyDescent="0.25">
      <c r="A464" s="23"/>
      <c r="B464" s="201" t="s">
        <v>96</v>
      </c>
      <c r="C464" s="202"/>
      <c r="D464" s="63"/>
      <c r="E464" s="64"/>
      <c r="F464" s="64"/>
      <c r="G464" s="64"/>
      <c r="H464" s="64"/>
      <c r="I464" s="117">
        <f>-I462-I463</f>
        <v>-214.64999999999964</v>
      </c>
      <c r="J464" s="64"/>
      <c r="K464" s="16"/>
      <c r="L464" s="92"/>
      <c r="M464" s="64"/>
      <c r="N464" s="16"/>
      <c r="O464" s="92"/>
      <c r="P464" s="64"/>
      <c r="Q464" s="40"/>
      <c r="R464" s="46"/>
      <c r="S464" s="39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22"/>
      <c r="AP464" s="30"/>
    </row>
    <row r="465" spans="1:44" s="2" customFormat="1" ht="17.25" customHeight="1" x14ac:dyDescent="0.2">
      <c r="A465" s="23"/>
      <c r="B465" s="201" t="s">
        <v>13</v>
      </c>
      <c r="C465" s="203"/>
      <c r="D465" s="63"/>
      <c r="E465" s="64">
        <f>20+50+30+70+50+10+30+100+30+100+1200+16+15+20+130+225+20+100+50+130+25+3361.8+30+70+75+30+199+20+20+20+150</f>
        <v>6396.8</v>
      </c>
      <c r="F465" s="64"/>
      <c r="G465" s="64"/>
      <c r="H465" s="64">
        <f>-E465</f>
        <v>-6396.8</v>
      </c>
      <c r="I465" s="64"/>
      <c r="J465" s="64"/>
      <c r="K465" s="16"/>
      <c r="L465" s="16"/>
      <c r="M465" s="64"/>
      <c r="N465" s="16"/>
      <c r="O465" s="16"/>
      <c r="P465" s="64"/>
      <c r="Q465" s="46"/>
      <c r="R465" s="39"/>
      <c r="S465" s="40"/>
      <c r="T465" s="16"/>
      <c r="U465" s="16"/>
      <c r="V465" s="16"/>
      <c r="W465" s="16"/>
      <c r="X465" s="16"/>
      <c r="Y465" s="19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35"/>
      <c r="AQ465" s="10"/>
      <c r="AR465" s="27"/>
    </row>
    <row r="466" spans="1:44" s="2" customFormat="1" ht="17.25" customHeight="1" x14ac:dyDescent="0.2">
      <c r="A466" s="23"/>
      <c r="B466" s="208" t="s">
        <v>53</v>
      </c>
      <c r="C466" s="209"/>
      <c r="D466" s="63"/>
      <c r="E466" s="64">
        <v>-544.29999999999995</v>
      </c>
      <c r="F466" s="74"/>
      <c r="G466" s="74"/>
      <c r="H466" s="64"/>
      <c r="I466" s="64"/>
      <c r="J466" s="64"/>
      <c r="K466" s="16"/>
      <c r="L466" s="16"/>
      <c r="M466" s="64"/>
      <c r="N466" s="16"/>
      <c r="O466" s="16"/>
      <c r="P466" s="64"/>
      <c r="Q466" s="46"/>
      <c r="R466" s="39"/>
      <c r="S466" s="40"/>
      <c r="T466" s="16"/>
      <c r="U466" s="16"/>
      <c r="V466" s="16"/>
      <c r="W466" s="16"/>
      <c r="X466" s="16"/>
      <c r="Y466" s="19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35"/>
      <c r="AQ466" s="10"/>
      <c r="AR466" s="27"/>
    </row>
    <row r="467" spans="1:44" s="2" customFormat="1" ht="17.25" customHeight="1" x14ac:dyDescent="0.2">
      <c r="A467" s="23"/>
      <c r="B467" s="201" t="s">
        <v>53</v>
      </c>
      <c r="C467" s="202"/>
      <c r="D467" s="63"/>
      <c r="E467" s="64">
        <v>-1693.91</v>
      </c>
      <c r="F467" s="74"/>
      <c r="G467" s="74"/>
      <c r="H467" s="64"/>
      <c r="I467" s="64"/>
      <c r="J467" s="64"/>
      <c r="K467" s="16"/>
      <c r="L467" s="16"/>
      <c r="M467" s="64"/>
      <c r="N467" s="16"/>
      <c r="O467" s="16"/>
      <c r="P467" s="64"/>
      <c r="Q467" s="46"/>
      <c r="R467" s="39"/>
      <c r="S467" s="40"/>
      <c r="T467" s="16"/>
      <c r="U467" s="16"/>
      <c r="V467" s="16"/>
      <c r="W467" s="16"/>
      <c r="X467" s="16"/>
      <c r="Y467" s="19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35"/>
      <c r="AQ467" s="10"/>
      <c r="AR467" s="27"/>
    </row>
    <row r="468" spans="1:44" s="2" customFormat="1" ht="17.25" customHeight="1" x14ac:dyDescent="0.2">
      <c r="A468" s="23"/>
      <c r="B468" s="201"/>
      <c r="C468" s="202"/>
      <c r="D468" s="63"/>
      <c r="E468" s="64"/>
      <c r="F468" s="74"/>
      <c r="G468" s="74"/>
      <c r="H468" s="64"/>
      <c r="I468" s="64"/>
      <c r="J468" s="64"/>
      <c r="K468" s="16"/>
      <c r="L468" s="16"/>
      <c r="M468" s="64"/>
      <c r="N468" s="16"/>
      <c r="O468" s="16"/>
      <c r="P468" s="64"/>
      <c r="Q468" s="46"/>
      <c r="R468" s="39"/>
      <c r="S468" s="40"/>
      <c r="T468" s="16"/>
      <c r="U468" s="16"/>
      <c r="V468" s="16"/>
      <c r="W468" s="16"/>
      <c r="X468" s="16"/>
      <c r="Y468" s="19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35"/>
      <c r="AQ468" s="10"/>
      <c r="AR468" s="27"/>
    </row>
    <row r="469" spans="1:44" s="2" customFormat="1" ht="17.25" customHeight="1" x14ac:dyDescent="0.25">
      <c r="A469" s="29"/>
      <c r="B469" s="201" t="s">
        <v>72</v>
      </c>
      <c r="C469" s="202"/>
      <c r="D469" s="63">
        <v>-9200</v>
      </c>
      <c r="E469" s="64"/>
      <c r="F469" s="64">
        <f>-D469</f>
        <v>9200</v>
      </c>
      <c r="G469" s="64"/>
      <c r="H469" s="64"/>
      <c r="I469" s="64"/>
      <c r="J469" s="64"/>
      <c r="K469" s="57"/>
      <c r="L469" s="88"/>
      <c r="M469" s="62"/>
      <c r="N469" s="57"/>
      <c r="O469" s="88"/>
      <c r="P469" s="62"/>
      <c r="Q469" s="47"/>
      <c r="R469" s="39"/>
      <c r="S469" s="39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22"/>
      <c r="AQ469" s="10" t="s">
        <v>4</v>
      </c>
      <c r="AR469" s="11" t="e">
        <v>#REF!</v>
      </c>
    </row>
    <row r="470" spans="1:44" s="2" customFormat="1" ht="17.25" customHeight="1" x14ac:dyDescent="0.25">
      <c r="A470" s="29"/>
      <c r="B470" s="201" t="s">
        <v>72</v>
      </c>
      <c r="C470" s="202"/>
      <c r="D470" s="63">
        <f>-F470</f>
        <v>59500</v>
      </c>
      <c r="E470" s="64"/>
      <c r="F470" s="64">
        <v>-59500</v>
      </c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47"/>
      <c r="R470" s="39"/>
      <c r="S470" s="39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22"/>
      <c r="AQ470" s="10" t="s">
        <v>4</v>
      </c>
      <c r="AR470" s="11" t="e">
        <v>#REF!</v>
      </c>
    </row>
    <row r="471" spans="1:44" s="2" customFormat="1" ht="17.25" customHeight="1" x14ac:dyDescent="0.25">
      <c r="A471" s="24"/>
      <c r="B471" s="205" t="s">
        <v>241</v>
      </c>
      <c r="C471" s="206"/>
      <c r="D471" s="64">
        <v>-50400</v>
      </c>
      <c r="E471" s="64"/>
      <c r="F471" s="64"/>
      <c r="G471" s="64"/>
      <c r="H471" s="64"/>
      <c r="I471" s="64"/>
      <c r="J471" s="64"/>
      <c r="K471" s="57">
        <v>10000</v>
      </c>
      <c r="L471" s="88">
        <v>5.04</v>
      </c>
      <c r="M471" s="62">
        <f>K471*L471</f>
        <v>50400</v>
      </c>
      <c r="N471" s="57"/>
      <c r="O471" s="88"/>
      <c r="P471" s="62"/>
      <c r="Q471" s="39"/>
      <c r="R471" s="39"/>
      <c r="S471" s="39"/>
      <c r="T471" s="16"/>
      <c r="U471" s="16">
        <f>-P471</f>
        <v>0</v>
      </c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22"/>
      <c r="AQ471" s="10"/>
      <c r="AR471" s="11"/>
    </row>
    <row r="472" spans="1:44" s="2" customFormat="1" ht="17.25" customHeight="1" x14ac:dyDescent="0.2">
      <c r="A472" s="23"/>
      <c r="B472" s="201" t="s">
        <v>233</v>
      </c>
      <c r="C472" s="203"/>
      <c r="D472" s="63">
        <v>-4.9000000000000004</v>
      </c>
      <c r="E472" s="64"/>
      <c r="F472" s="74"/>
      <c r="G472" s="74"/>
      <c r="H472" s="64"/>
      <c r="I472" s="64"/>
      <c r="J472" s="64"/>
      <c r="K472" s="16"/>
      <c r="L472" s="16"/>
      <c r="M472" s="64"/>
      <c r="N472" s="16"/>
      <c r="O472" s="16"/>
      <c r="P472" s="64"/>
      <c r="Q472" s="46"/>
      <c r="R472" s="39"/>
      <c r="S472" s="40"/>
      <c r="T472" s="16"/>
      <c r="U472" s="16"/>
      <c r="V472" s="16"/>
      <c r="W472" s="16"/>
      <c r="X472" s="16"/>
      <c r="Y472" s="19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35"/>
      <c r="AQ472" s="10"/>
      <c r="AR472" s="27"/>
    </row>
    <row r="473" spans="1:44" s="2" customFormat="1" ht="17.25" customHeight="1" x14ac:dyDescent="0.2">
      <c r="A473" s="23"/>
      <c r="B473" s="201"/>
      <c r="C473" s="202"/>
      <c r="D473" s="63"/>
      <c r="E473" s="64"/>
      <c r="F473" s="74"/>
      <c r="G473" s="74"/>
      <c r="H473" s="64"/>
      <c r="I473" s="64"/>
      <c r="J473" s="64"/>
      <c r="K473" s="16"/>
      <c r="L473" s="16"/>
      <c r="M473" s="64"/>
      <c r="N473" s="16"/>
      <c r="O473" s="16"/>
      <c r="P473" s="64"/>
      <c r="Q473" s="46"/>
      <c r="R473" s="39"/>
      <c r="S473" s="40"/>
      <c r="T473" s="16"/>
      <c r="U473" s="16"/>
      <c r="V473" s="16"/>
      <c r="W473" s="16"/>
      <c r="X473" s="16"/>
      <c r="Y473" s="19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35"/>
      <c r="AQ473" s="10"/>
      <c r="AR473" s="27"/>
    </row>
    <row r="474" spans="1:44" s="2" customFormat="1" ht="17.25" customHeight="1" x14ac:dyDescent="0.2">
      <c r="A474" s="23"/>
      <c r="B474" s="201" t="s">
        <v>168</v>
      </c>
      <c r="C474" s="204"/>
      <c r="D474" s="63"/>
      <c r="E474" s="64"/>
      <c r="F474" s="74"/>
      <c r="G474" s="74"/>
      <c r="H474" s="64">
        <v>-12222.84</v>
      </c>
      <c r="I474" s="64"/>
      <c r="J474" s="64"/>
      <c r="K474" s="16"/>
      <c r="L474" s="16"/>
      <c r="M474" s="64"/>
      <c r="N474" s="16"/>
      <c r="O474" s="16"/>
      <c r="P474" s="64"/>
      <c r="Q474" s="46"/>
      <c r="R474" s="39"/>
      <c r="S474" s="40"/>
      <c r="T474" s="16"/>
      <c r="U474" s="16"/>
      <c r="V474" s="16"/>
      <c r="W474" s="16"/>
      <c r="X474" s="16"/>
      <c r="Y474" s="19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35"/>
      <c r="AQ474" s="10"/>
      <c r="AR474" s="27"/>
    </row>
    <row r="475" spans="1:44" s="2" customFormat="1" ht="17.25" customHeight="1" x14ac:dyDescent="0.2">
      <c r="A475" s="23"/>
      <c r="B475" s="201" t="s">
        <v>169</v>
      </c>
      <c r="C475" s="204"/>
      <c r="D475" s="63"/>
      <c r="E475" s="64"/>
      <c r="F475" s="74"/>
      <c r="G475" s="74"/>
      <c r="H475" s="64">
        <v>-6500</v>
      </c>
      <c r="I475" s="64"/>
      <c r="J475" s="64"/>
      <c r="K475" s="16"/>
      <c r="L475" s="16"/>
      <c r="M475" s="64"/>
      <c r="N475" s="16"/>
      <c r="O475" s="16"/>
      <c r="P475" s="64"/>
      <c r="Q475" s="46"/>
      <c r="R475" s="39"/>
      <c r="S475" s="40"/>
      <c r="T475" s="16"/>
      <c r="U475" s="16"/>
      <c r="V475" s="16"/>
      <c r="W475" s="16"/>
      <c r="X475" s="16"/>
      <c r="Y475" s="19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35"/>
      <c r="AQ475" s="10"/>
      <c r="AR475" s="27"/>
    </row>
    <row r="476" spans="1:44" s="2" customFormat="1" ht="17.25" customHeight="1" x14ac:dyDescent="0.2">
      <c r="A476" s="23"/>
      <c r="B476" s="201" t="s">
        <v>170</v>
      </c>
      <c r="C476" s="204"/>
      <c r="D476" s="63"/>
      <c r="E476" s="64"/>
      <c r="F476" s="74"/>
      <c r="G476" s="74"/>
      <c r="H476" s="64">
        <v>-1920</v>
      </c>
      <c r="I476" s="64"/>
      <c r="J476" s="64"/>
      <c r="K476" s="16"/>
      <c r="L476" s="16"/>
      <c r="M476" s="64"/>
      <c r="N476" s="16"/>
      <c r="O476" s="16"/>
      <c r="P476" s="64"/>
      <c r="Q476" s="46"/>
      <c r="R476" s="39"/>
      <c r="S476" s="40"/>
      <c r="T476" s="16"/>
      <c r="U476" s="16"/>
      <c r="V476" s="16"/>
      <c r="W476" s="16"/>
      <c r="X476" s="16"/>
      <c r="Y476" s="19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35"/>
      <c r="AQ476" s="10"/>
      <c r="AR476" s="27"/>
    </row>
    <row r="477" spans="1:44" s="2" customFormat="1" ht="17.25" customHeight="1" x14ac:dyDescent="0.2">
      <c r="A477" s="23"/>
      <c r="B477" s="201" t="s">
        <v>171</v>
      </c>
      <c r="C477" s="204"/>
      <c r="D477" s="63"/>
      <c r="E477" s="64"/>
      <c r="F477" s="74"/>
      <c r="G477" s="74"/>
      <c r="H477" s="64">
        <v>-600</v>
      </c>
      <c r="I477" s="64"/>
      <c r="J477" s="64"/>
      <c r="K477" s="16"/>
      <c r="L477" s="16"/>
      <c r="M477" s="64"/>
      <c r="N477" s="16"/>
      <c r="O477" s="16"/>
      <c r="P477" s="64"/>
      <c r="Q477" s="46"/>
      <c r="R477" s="39"/>
      <c r="S477" s="40"/>
      <c r="T477" s="16"/>
      <c r="U477" s="16"/>
      <c r="V477" s="16"/>
      <c r="W477" s="16"/>
      <c r="X477" s="16"/>
      <c r="Y477" s="19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35"/>
      <c r="AQ477" s="10"/>
      <c r="AR477" s="27"/>
    </row>
    <row r="478" spans="1:44" s="2" customFormat="1" ht="17.25" customHeight="1" x14ac:dyDescent="0.2">
      <c r="A478" s="23"/>
      <c r="B478" s="201" t="s">
        <v>172</v>
      </c>
      <c r="C478" s="204"/>
      <c r="D478" s="63"/>
      <c r="E478" s="64"/>
      <c r="F478" s="74"/>
      <c r="G478" s="74"/>
      <c r="H478" s="64">
        <v>-480</v>
      </c>
      <c r="I478" s="64"/>
      <c r="J478" s="64"/>
      <c r="K478" s="16"/>
      <c r="L478" s="16"/>
      <c r="M478" s="64"/>
      <c r="N478" s="16"/>
      <c r="O478" s="16"/>
      <c r="P478" s="64"/>
      <c r="Q478" s="46"/>
      <c r="R478" s="39"/>
      <c r="S478" s="40"/>
      <c r="T478" s="16"/>
      <c r="U478" s="16"/>
      <c r="V478" s="16"/>
      <c r="W478" s="16"/>
      <c r="X478" s="16"/>
      <c r="Y478" s="19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35"/>
      <c r="AQ478" s="10"/>
      <c r="AR478" s="27"/>
    </row>
    <row r="479" spans="1:44" s="2" customFormat="1" ht="17.25" customHeight="1" thickBot="1" x14ac:dyDescent="0.25">
      <c r="A479" s="24"/>
      <c r="B479" s="216"/>
      <c r="C479" s="217"/>
      <c r="D479" s="83"/>
      <c r="E479" s="81"/>
      <c r="F479" s="81"/>
      <c r="G479" s="81"/>
      <c r="H479" s="81"/>
      <c r="I479" s="81"/>
      <c r="J479" s="81"/>
      <c r="K479" s="37"/>
      <c r="L479" s="93"/>
      <c r="M479" s="81"/>
      <c r="N479" s="37"/>
      <c r="O479" s="93"/>
      <c r="P479" s="81"/>
      <c r="Q479" s="40"/>
      <c r="R479" s="40"/>
      <c r="S479" s="39"/>
      <c r="T479" s="16"/>
      <c r="U479" s="16"/>
      <c r="V479" s="16"/>
      <c r="W479" s="16"/>
      <c r="X479" s="16"/>
      <c r="Y479" s="19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41"/>
      <c r="AQ479" s="10"/>
      <c r="AR479" s="11"/>
    </row>
    <row r="480" spans="1:44" s="4" customFormat="1" ht="17.25" customHeight="1" x14ac:dyDescent="0.25">
      <c r="A480" s="23"/>
      <c r="B480" s="210" t="s">
        <v>94</v>
      </c>
      <c r="C480" s="203"/>
      <c r="D480" s="66"/>
      <c r="E480" s="66"/>
      <c r="F480" s="117"/>
      <c r="G480" s="117"/>
      <c r="H480" s="66"/>
      <c r="I480" s="66"/>
      <c r="J480" s="66">
        <f>-M480</f>
        <v>8897.85</v>
      </c>
      <c r="K480" s="58">
        <v>-1521</v>
      </c>
      <c r="L480" s="89">
        <v>5.85</v>
      </c>
      <c r="M480" s="73">
        <f>K480*L480</f>
        <v>-8897.85</v>
      </c>
      <c r="N480" s="58"/>
      <c r="O480" s="89"/>
      <c r="P480" s="73"/>
      <c r="Q480" s="39"/>
      <c r="R480" s="39"/>
      <c r="S480" s="8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35"/>
      <c r="AP480" s="12" t="e">
        <f>#REF!</f>
        <v>#REF!</v>
      </c>
    </row>
    <row r="481" spans="1:46" s="4" customFormat="1" ht="17.25" customHeight="1" x14ac:dyDescent="0.25">
      <c r="A481" s="23"/>
      <c r="B481" s="201" t="s">
        <v>95</v>
      </c>
      <c r="C481" s="202"/>
      <c r="D481" s="64"/>
      <c r="E481" s="64"/>
      <c r="F481" s="117"/>
      <c r="G481" s="117"/>
      <c r="H481" s="64"/>
      <c r="I481" s="64"/>
      <c r="J481" s="64">
        <f>-P481</f>
        <v>9653.1299999999992</v>
      </c>
      <c r="K481" s="57"/>
      <c r="L481" s="88"/>
      <c r="M481" s="62"/>
      <c r="N481" s="57">
        <v>-2547</v>
      </c>
      <c r="O481" s="88">
        <v>3.79</v>
      </c>
      <c r="P481" s="62">
        <f>N481*O481</f>
        <v>-9653.1299999999992</v>
      </c>
      <c r="Q481" s="39"/>
      <c r="R481" s="39"/>
      <c r="S481" s="8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35"/>
      <c r="AP481" s="12" t="e">
        <f>#REF!</f>
        <v>#REF!</v>
      </c>
    </row>
    <row r="482" spans="1:46" s="4" customFormat="1" ht="17.25" customHeight="1" x14ac:dyDescent="0.25">
      <c r="A482" s="23"/>
      <c r="B482" s="201" t="s">
        <v>97</v>
      </c>
      <c r="C482" s="203"/>
      <c r="D482" s="64"/>
      <c r="E482" s="64"/>
      <c r="F482" s="64"/>
      <c r="G482" s="64"/>
      <c r="H482" s="64">
        <f>-J482-I482</f>
        <v>6727.25</v>
      </c>
      <c r="I482" s="64">
        <v>11823.73</v>
      </c>
      <c r="J482" s="64">
        <f>-SUM(J480:J481)</f>
        <v>-18550.98</v>
      </c>
      <c r="K482" s="57"/>
      <c r="L482" s="88"/>
      <c r="M482" s="62"/>
      <c r="N482" s="57"/>
      <c r="O482" s="88"/>
      <c r="P482" s="62"/>
      <c r="Q482" s="39"/>
      <c r="R482" s="39"/>
      <c r="S482" s="39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22"/>
      <c r="AO482" s="43">
        <f>A372</f>
        <v>0</v>
      </c>
      <c r="AP482" s="12" t="e">
        <f>#REF!</f>
        <v>#REF!</v>
      </c>
      <c r="AT482" s="2"/>
    </row>
    <row r="483" spans="1:46" s="4" customFormat="1" ht="17.25" customHeight="1" x14ac:dyDescent="0.25">
      <c r="A483" s="23"/>
      <c r="B483" s="201" t="s">
        <v>93</v>
      </c>
      <c r="C483" s="202"/>
      <c r="D483" s="64"/>
      <c r="E483" s="64"/>
      <c r="F483" s="64"/>
      <c r="G483" s="64"/>
      <c r="H483" s="64"/>
      <c r="I483" s="64"/>
      <c r="J483" s="64"/>
      <c r="K483" s="57">
        <v>138</v>
      </c>
      <c r="L483" s="88"/>
      <c r="M483" s="118">
        <f>(K486*(M462+M471)/(K462+K471))-M462-M480-M471</f>
        <v>1928.4732258992808</v>
      </c>
      <c r="N483" s="57">
        <v>-201</v>
      </c>
      <c r="O483" s="88"/>
      <c r="P483" s="118">
        <f>(N486*O462)-P462-P481</f>
        <v>52.635921126764515</v>
      </c>
      <c r="Q483" s="39"/>
      <c r="R483" s="39"/>
      <c r="S483" s="39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22"/>
      <c r="AO483" s="43">
        <f>A380</f>
        <v>0</v>
      </c>
      <c r="AP483" s="12" t="e">
        <f>#REF!</f>
        <v>#REF!</v>
      </c>
      <c r="AT483" s="2"/>
    </row>
    <row r="484" spans="1:46" s="2" customFormat="1" ht="17.25" customHeight="1" x14ac:dyDescent="0.2">
      <c r="A484" s="24"/>
      <c r="B484" s="201"/>
      <c r="C484" s="204"/>
      <c r="D484" s="63"/>
      <c r="E484" s="64"/>
      <c r="F484" s="64"/>
      <c r="G484" s="64">
        <v>28968.13</v>
      </c>
      <c r="H484" s="64">
        <v>-19200.22</v>
      </c>
      <c r="I484" s="64"/>
      <c r="J484" s="64"/>
      <c r="K484" s="16"/>
      <c r="L484" s="16"/>
      <c r="M484" s="64"/>
      <c r="N484" s="16"/>
      <c r="O484" s="16"/>
      <c r="P484" s="64"/>
      <c r="Q484" s="46"/>
      <c r="R484" s="46"/>
      <c r="S484" s="39"/>
      <c r="T484" s="16"/>
      <c r="U484" s="16"/>
      <c r="V484" s="16"/>
      <c r="W484" s="16"/>
      <c r="X484" s="16"/>
      <c r="Y484" s="19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43">
        <f>A463</f>
        <v>45961</v>
      </c>
      <c r="AQ484" s="10"/>
      <c r="AR484" s="11"/>
    </row>
    <row r="485" spans="1:46" s="2" customFormat="1" ht="17.25" customHeight="1" thickBot="1" x14ac:dyDescent="0.3">
      <c r="A485" s="56"/>
      <c r="B485" s="101" t="s">
        <v>102</v>
      </c>
      <c r="C485" s="102">
        <f>D486+E486+F486+G486+H486+I486+J486+M486+P486</f>
        <v>135970.46703999999</v>
      </c>
      <c r="D485" s="84"/>
      <c r="E485" s="85"/>
      <c r="F485" s="85"/>
      <c r="G485" s="85"/>
      <c r="H485" s="85"/>
      <c r="I485" s="85"/>
      <c r="J485" s="85"/>
      <c r="K485" s="28"/>
      <c r="L485" s="28"/>
      <c r="M485" s="85"/>
      <c r="N485" s="28"/>
      <c r="O485" s="28"/>
      <c r="P485" s="85"/>
      <c r="Q485" s="48"/>
      <c r="R485" s="48"/>
      <c r="S485" s="51"/>
      <c r="T485" s="28"/>
      <c r="U485" s="28"/>
      <c r="V485" s="28"/>
      <c r="W485" s="28"/>
      <c r="X485" s="28"/>
      <c r="Y485" s="36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42">
        <f>SUM($Q462:AN485)</f>
        <v>-446041.91000000003</v>
      </c>
      <c r="AQ485" s="10"/>
      <c r="AR485" s="11"/>
      <c r="AS485" s="2" t="s">
        <v>5</v>
      </c>
    </row>
    <row r="486" spans="1:46" s="2" customFormat="1" ht="17.25" customHeight="1" thickTop="1" thickBot="1" x14ac:dyDescent="0.3">
      <c r="A486" s="103"/>
      <c r="B486" s="104" t="s">
        <v>103</v>
      </c>
      <c r="C486" s="105">
        <f>AO486</f>
        <v>-310071.44296000001</v>
      </c>
      <c r="D486" s="106">
        <f>SUM(D462:D485)</f>
        <v>9194.8570399999971</v>
      </c>
      <c r="E486" s="106">
        <f t="shared" ref="E486:J486" si="60">SUM(E462:E485)</f>
        <v>-22339.080000000009</v>
      </c>
      <c r="F486" s="106">
        <f>ROUND(SUM(F462:F485),2)</f>
        <v>0</v>
      </c>
      <c r="G486" s="106">
        <f t="shared" si="60"/>
        <v>0</v>
      </c>
      <c r="H486" s="107">
        <f t="shared" si="60"/>
        <v>9399.9999999999964</v>
      </c>
      <c r="I486" s="110">
        <f>ROUND(SUM(I462:I485),2)</f>
        <v>11823.73</v>
      </c>
      <c r="J486" s="106">
        <f t="shared" si="60"/>
        <v>0</v>
      </c>
      <c r="K486" s="108">
        <f>SUM(K462:K485)</f>
        <v>12517</v>
      </c>
      <c r="L486" s="109">
        <f>M486/K486</f>
        <v>5.0393177278900696</v>
      </c>
      <c r="M486" s="107">
        <f>ROUND(SUM(M462:M485),2)</f>
        <v>63077.14</v>
      </c>
      <c r="N486" s="108">
        <f>SUM(N462:N485)</f>
        <v>18552</v>
      </c>
      <c r="O486" s="109">
        <f>P486/N486</f>
        <v>3.4936297973264336</v>
      </c>
      <c r="P486" s="107">
        <f>ROUND(SUM(P462:P485),2)</f>
        <v>64813.82</v>
      </c>
      <c r="Q486" s="110">
        <f>ROUND(SUM(Q462:Q485),2)</f>
        <v>-423778.33</v>
      </c>
      <c r="R486" s="110">
        <f>ROUND(SUM(R462:R485),2)</f>
        <v>37928.519999999997</v>
      </c>
      <c r="S486" s="110">
        <f>SUM(S462:S485)</f>
        <v>0</v>
      </c>
      <c r="T486" s="110">
        <f>ROUND(SUM(T462:T485),2)</f>
        <v>-12858.76</v>
      </c>
      <c r="U486" s="110">
        <f>ROUND(SUM(U462:U485),2)</f>
        <v>-35100</v>
      </c>
      <c r="V486" s="110">
        <f>ROUND(SUM(V462:V485),2)</f>
        <v>-12233.34</v>
      </c>
      <c r="W486" s="107">
        <f t="shared" ref="W486:AN486" si="61">SUM(W386:W485)</f>
        <v>0</v>
      </c>
      <c r="X486" s="107">
        <f t="shared" si="61"/>
        <v>0</v>
      </c>
      <c r="Y486" s="107">
        <f t="shared" si="61"/>
        <v>0</v>
      </c>
      <c r="Z486" s="107">
        <f t="shared" si="61"/>
        <v>0</v>
      </c>
      <c r="AA486" s="107">
        <f t="shared" si="61"/>
        <v>0</v>
      </c>
      <c r="AB486" s="107">
        <f t="shared" si="61"/>
        <v>0</v>
      </c>
      <c r="AC486" s="107">
        <f t="shared" si="61"/>
        <v>0</v>
      </c>
      <c r="AD486" s="107">
        <f t="shared" si="61"/>
        <v>0</v>
      </c>
      <c r="AE486" s="107">
        <f t="shared" si="61"/>
        <v>0</v>
      </c>
      <c r="AF486" s="107">
        <f t="shared" si="61"/>
        <v>0</v>
      </c>
      <c r="AG486" s="107">
        <f t="shared" si="61"/>
        <v>0</v>
      </c>
      <c r="AH486" s="107">
        <f t="shared" si="61"/>
        <v>0</v>
      </c>
      <c r="AI486" s="107">
        <f t="shared" si="61"/>
        <v>0</v>
      </c>
      <c r="AJ486" s="107">
        <f t="shared" si="61"/>
        <v>0</v>
      </c>
      <c r="AK486" s="107">
        <f t="shared" si="61"/>
        <v>0</v>
      </c>
      <c r="AL486" s="107">
        <f t="shared" si="61"/>
        <v>0</v>
      </c>
      <c r="AM486" s="107">
        <f t="shared" si="61"/>
        <v>0</v>
      </c>
      <c r="AN486" s="107">
        <f t="shared" si="61"/>
        <v>0</v>
      </c>
      <c r="AO486" s="111">
        <f>D486+E486+F486+G486+H486+I486+J486+M486+P486+SUM(Q486:AN486)</f>
        <v>-310071.44296000001</v>
      </c>
      <c r="AP486" s="4"/>
      <c r="AQ486" s="5"/>
      <c r="AR486" s="5"/>
      <c r="AS486" s="2" t="s">
        <v>6</v>
      </c>
    </row>
    <row r="487" spans="1:46" ht="17.25" customHeight="1" thickTop="1" x14ac:dyDescent="0.25">
      <c r="A487" s="127"/>
      <c r="B487" s="125"/>
      <c r="C487" s="125"/>
      <c r="D487" s="128"/>
      <c r="E487" s="128"/>
      <c r="F487" s="128"/>
      <c r="G487" s="128"/>
      <c r="H487" s="128"/>
      <c r="I487" s="128"/>
      <c r="J487" s="128"/>
    </row>
    <row r="488" spans="1:46" ht="17.25" customHeight="1" x14ac:dyDescent="0.25">
      <c r="A488" s="127"/>
      <c r="B488" s="131" t="s">
        <v>150</v>
      </c>
      <c r="C488" s="126">
        <f>N494</f>
        <v>47986.033214213778</v>
      </c>
      <c r="D488" s="128"/>
      <c r="E488" s="218" t="s">
        <v>243</v>
      </c>
      <c r="F488" s="218"/>
      <c r="G488" s="218"/>
      <c r="H488" s="213">
        <f>E84</f>
        <v>-3214.6899999999996</v>
      </c>
      <c r="I488" s="213"/>
      <c r="J488" s="129"/>
      <c r="K488" s="219" t="s">
        <v>87</v>
      </c>
      <c r="L488" s="220"/>
      <c r="M488" s="221"/>
      <c r="N488" s="223" t="s">
        <v>88</v>
      </c>
      <c r="O488" s="224"/>
      <c r="P488" s="225"/>
      <c r="R488" s="121"/>
    </row>
    <row r="489" spans="1:46" ht="17.25" customHeight="1" x14ac:dyDescent="0.25">
      <c r="A489" s="127"/>
      <c r="B489" s="131" t="s">
        <v>151</v>
      </c>
      <c r="C489" s="126">
        <f>I4+I20+I40+I59+I70+I83+I99+I111+I124+I143+I166+I188+I203+I217+I242+I256+I267+I278+I289+I309+I328+I341+I361+I377+I464+I388+I399+I416+I433+I446+I177</f>
        <v>-7960.0700000000024</v>
      </c>
      <c r="D489" s="128"/>
      <c r="E489" s="218" t="s">
        <v>158</v>
      </c>
      <c r="F489" s="218"/>
      <c r="G489" s="218"/>
      <c r="H489" s="213">
        <f>D315+D349+D404</f>
        <v>-585.64296000000002</v>
      </c>
      <c r="I489" s="213"/>
      <c r="J489" s="129"/>
      <c r="K489" s="226" t="s">
        <v>143</v>
      </c>
      <c r="L489" s="227"/>
      <c r="M489" s="57">
        <f>(K12+K32+K51+K62+K75+K91+K103+K116+K135+K158+K169+K180+K195+K209+K234+K248+K259+K270+K281+K301+K320+K333+K353+K369+K380+K480+K391+K408+K425+K438+K456)*-1</f>
        <v>37470</v>
      </c>
      <c r="N489" s="226" t="s">
        <v>143</v>
      </c>
      <c r="O489" s="227"/>
      <c r="P489" s="57">
        <f>(N13+N33+N52+N63+N76+N92+N104+N117+N136+N159+N170+N181+N196+N210+N235+N249+N260+N271+N282+N302+N321+N334+N354+N370+N381+N481+N392+N409+N426+N439+N457)*-1</f>
        <v>65370</v>
      </c>
      <c r="R489" s="121">
        <f>I14+I34+I53+I64+I77+I93+I105+I118+I137+I160+I171+I197+I211+I236+I250+I261+I272+I283+I303+I322+I335+I355+I371+I382+I393+I410+I427+I440+I458+I482+I182</f>
        <v>320900.53000000003</v>
      </c>
    </row>
    <row r="490" spans="1:46" ht="17.25" customHeight="1" x14ac:dyDescent="0.25">
      <c r="A490" s="127"/>
      <c r="B490" s="131" t="s">
        <v>160</v>
      </c>
      <c r="C490" s="126">
        <f>D5+E24+D25+E43+E44+H127+H128+E150+E151+G152+G153+G154+G155+E191+E220+E221+E223+E244+E245+E292+D297+E311+E312+E313+E330+E449+E466+E467+E147+D29</f>
        <v>-16645.23</v>
      </c>
      <c r="D490" s="128"/>
      <c r="E490" s="218" t="s">
        <v>157</v>
      </c>
      <c r="F490" s="218"/>
      <c r="G490" s="218"/>
      <c r="H490" s="213">
        <f>D30+D131+D145+D207+D232+D246+D296+D316+D351+D367+D423+D472</f>
        <v>-68.599999999999994</v>
      </c>
      <c r="I490" s="213"/>
      <c r="J490" s="129"/>
      <c r="K490" s="226" t="s">
        <v>144</v>
      </c>
      <c r="L490" s="227"/>
      <c r="M490" s="121">
        <f>(M15+M35+M54+M65+M78+M94+M106+M119+M138+M161+M172+M183+M198+M212+M237+M251+M262+M273+M284+M304+M323+M336+M356+M372+M383+M483+M394+M411+M428+M441+M459)</f>
        <v>28328.812383143024</v>
      </c>
      <c r="N490" s="226" t="s">
        <v>144</v>
      </c>
      <c r="O490" s="227"/>
      <c r="P490" s="121">
        <f>(P15+P35+P54+P65+P78+P94+P106+P119+P138+P161+P172+P183+P198+P212+P237+P251+P262+P273+P284+P304+P323+P336+P356+P372+P383+P483+P394+P411+P428+P441+P459)</f>
        <v>19657.220831070754</v>
      </c>
      <c r="R490" s="121">
        <v>-312909.86</v>
      </c>
    </row>
    <row r="491" spans="1:46" ht="17.25" customHeight="1" x14ac:dyDescent="0.25">
      <c r="A491" s="127"/>
      <c r="B491" s="131" t="s">
        <v>244</v>
      </c>
      <c r="C491" s="126">
        <f>H474+H476+H477+H478+H72+H73</f>
        <v>-19849.120000000003</v>
      </c>
      <c r="D491" s="128"/>
      <c r="E491" s="230" t="s">
        <v>156</v>
      </c>
      <c r="F491" s="230"/>
      <c r="G491" s="230"/>
      <c r="H491" s="213">
        <f>E22+E23</f>
        <v>-288.51</v>
      </c>
      <c r="I491" s="213"/>
      <c r="J491" s="133"/>
      <c r="K491" s="226" t="s">
        <v>145</v>
      </c>
      <c r="L491" s="227"/>
      <c r="M491" s="57">
        <f>(K15+K35+K54+K65+K78+K94+K106+K119+K138+K161+K172+K183+K198+K212+K237+K251+K262+K273+K284+K304+K323+K336+K356+K372+K383+K483+K394+K411+K428+K441+K459)</f>
        <v>-108</v>
      </c>
      <c r="N491" s="226" t="s">
        <v>145</v>
      </c>
      <c r="O491" s="227"/>
      <c r="P491" s="57">
        <f>(N15+N35+N54+N65+N78+N94+N106+N119+N138+N161+N172+N183+N198+N212+N237+N251+N262+N273+N284+N304+N323+N336+N356+N372+N383+N483+N394+N411+N428+N441+N459)</f>
        <v>-47</v>
      </c>
      <c r="R491" s="121">
        <f>SUM(R489:R490)</f>
        <v>7990.6700000000419</v>
      </c>
    </row>
    <row r="492" spans="1:46" ht="17.25" customHeight="1" x14ac:dyDescent="0.25">
      <c r="A492" s="127"/>
      <c r="B492" s="131" t="s">
        <v>245</v>
      </c>
      <c r="C492" s="126">
        <f>H475</f>
        <v>-6500</v>
      </c>
      <c r="D492" s="3"/>
      <c r="E492" s="230"/>
      <c r="F492" s="230"/>
      <c r="G492" s="230"/>
      <c r="H492" s="213"/>
      <c r="I492" s="213"/>
      <c r="J492" s="129"/>
      <c r="K492" s="228"/>
      <c r="L492" s="229"/>
      <c r="M492" s="122"/>
      <c r="N492" s="228"/>
      <c r="O492" s="229"/>
      <c r="P492" s="123"/>
    </row>
    <row r="493" spans="1:46" s="21" customFormat="1" ht="17.25" customHeight="1" x14ac:dyDescent="0.25">
      <c r="A493" s="127"/>
      <c r="B493" s="137" t="s">
        <v>456</v>
      </c>
      <c r="C493" s="138">
        <f>SUM(C488:C492)</f>
        <v>-2968.3867857862242</v>
      </c>
      <c r="D493" s="128"/>
      <c r="E493" s="231" t="s">
        <v>159</v>
      </c>
      <c r="F493" s="232"/>
      <c r="G493" s="232"/>
      <c r="H493" s="233">
        <f>SUM(H488:I492)</f>
        <v>-4157.4429599999994</v>
      </c>
      <c r="I493" s="234"/>
      <c r="J493" s="128"/>
      <c r="K493" s="241" t="s">
        <v>146</v>
      </c>
      <c r="L493" s="241"/>
      <c r="M493" s="241"/>
      <c r="N493" s="235">
        <f>M489+P489</f>
        <v>102840</v>
      </c>
      <c r="O493" s="236"/>
      <c r="P493" s="237"/>
      <c r="AP493" s="3"/>
      <c r="AQ493" s="3"/>
      <c r="AR493" s="3"/>
      <c r="AS493" s="3"/>
      <c r="AT493" s="3"/>
    </row>
    <row r="494" spans="1:46" s="21" customFormat="1" ht="17.25" customHeight="1" x14ac:dyDescent="0.25">
      <c r="A494" s="127"/>
      <c r="B494" s="3"/>
      <c r="C494" s="3"/>
      <c r="D494" s="3"/>
      <c r="J494" s="128"/>
      <c r="K494" s="241" t="s">
        <v>147</v>
      </c>
      <c r="L494" s="241"/>
      <c r="M494" s="241"/>
      <c r="N494" s="238">
        <f>M490+P490</f>
        <v>47986.033214213778</v>
      </c>
      <c r="O494" s="239"/>
      <c r="P494" s="240"/>
      <c r="AP494" s="3"/>
      <c r="AQ494" s="3"/>
      <c r="AR494" s="3"/>
      <c r="AS494" s="3"/>
      <c r="AT494" s="3"/>
    </row>
    <row r="495" spans="1:46" s="21" customFormat="1" ht="17.25" customHeight="1" x14ac:dyDescent="0.25">
      <c r="A495" s="127"/>
      <c r="B495" s="137" t="s">
        <v>242</v>
      </c>
      <c r="C495" s="138">
        <f>C493+H493</f>
        <v>-7125.8297457862236</v>
      </c>
      <c r="D495" s="128"/>
      <c r="E495" s="230"/>
      <c r="F495" s="230"/>
      <c r="G495" s="230"/>
      <c r="H495" s="213"/>
      <c r="I495" s="213"/>
      <c r="J495" s="128"/>
      <c r="K495" s="241" t="s">
        <v>148</v>
      </c>
      <c r="L495" s="241"/>
      <c r="M495" s="241"/>
      <c r="N495" s="235">
        <f>M491+P491</f>
        <v>-155</v>
      </c>
      <c r="O495" s="236"/>
      <c r="P495" s="237"/>
      <c r="AP495" s="3"/>
      <c r="AQ495" s="3"/>
      <c r="AR495" s="3"/>
      <c r="AS495" s="3"/>
      <c r="AT495" s="3"/>
    </row>
    <row r="496" spans="1:46" s="21" customFormat="1" ht="17.25" customHeight="1" x14ac:dyDescent="0.25">
      <c r="A496" s="25"/>
      <c r="B496" s="3"/>
      <c r="C496" s="124"/>
      <c r="E496" s="230"/>
      <c r="F496" s="230"/>
      <c r="G496" s="230"/>
      <c r="H496" s="213"/>
      <c r="I496" s="213"/>
      <c r="AP496" s="3"/>
      <c r="AQ496" s="3"/>
      <c r="AR496" s="3"/>
      <c r="AS496" s="3"/>
      <c r="AT496" s="3"/>
    </row>
    <row r="497" spans="2:6" ht="17.25" customHeight="1" x14ac:dyDescent="0.25">
      <c r="B497" s="137" t="s">
        <v>242</v>
      </c>
      <c r="C497" s="138">
        <f>C486-C2</f>
        <v>6008.227040000027</v>
      </c>
      <c r="E497" s="222">
        <f>C495-C497</f>
        <v>-13134.056785786252</v>
      </c>
      <c r="F497" s="222"/>
    </row>
  </sheetData>
  <sheetProtection selectLockedCells="1" selectUnlockedCells="1"/>
  <mergeCells count="455">
    <mergeCell ref="B10:C10"/>
    <mergeCell ref="B11:C11"/>
    <mergeCell ref="B12:C12"/>
    <mergeCell ref="B13:C13"/>
    <mergeCell ref="B14:C14"/>
    <mergeCell ref="B8:C8"/>
    <mergeCell ref="B9:C9"/>
    <mergeCell ref="K1:M1"/>
    <mergeCell ref="N1:P1"/>
    <mergeCell ref="B3:C3"/>
    <mergeCell ref="B4:C4"/>
    <mergeCell ref="B6:C6"/>
    <mergeCell ref="B7:C7"/>
    <mergeCell ref="B5:C5"/>
    <mergeCell ref="B15:C15"/>
    <mergeCell ref="B16:C16"/>
    <mergeCell ref="B19:C19"/>
    <mergeCell ref="B20:C20"/>
    <mergeCell ref="B21:C21"/>
    <mergeCell ref="B150:C150"/>
    <mergeCell ref="B22:C22"/>
    <mergeCell ref="B23:C23"/>
    <mergeCell ref="B24:C24"/>
    <mergeCell ref="B31:C31"/>
    <mergeCell ref="B32:C32"/>
    <mergeCell ref="B33:C33"/>
    <mergeCell ref="B55:C55"/>
    <mergeCell ref="B34:C34"/>
    <mergeCell ref="B35:C35"/>
    <mergeCell ref="B36:C36"/>
    <mergeCell ref="B39:C39"/>
    <mergeCell ref="B40:C40"/>
    <mergeCell ref="B48:C48"/>
    <mergeCell ref="B49:C49"/>
    <mergeCell ref="B61:C61"/>
    <mergeCell ref="B62:C62"/>
    <mergeCell ref="B58:C58"/>
    <mergeCell ref="B59:C59"/>
    <mergeCell ref="B60:C60"/>
    <mergeCell ref="B50:C50"/>
    <mergeCell ref="B51:C51"/>
    <mergeCell ref="B52:C52"/>
    <mergeCell ref="B53:C53"/>
    <mergeCell ref="B54:C54"/>
    <mergeCell ref="B75:C75"/>
    <mergeCell ref="B76:C76"/>
    <mergeCell ref="B77:C77"/>
    <mergeCell ref="B78:C78"/>
    <mergeCell ref="B79:C79"/>
    <mergeCell ref="B82:C82"/>
    <mergeCell ref="B71:C71"/>
    <mergeCell ref="B74:C74"/>
    <mergeCell ref="B63:C63"/>
    <mergeCell ref="B64:C64"/>
    <mergeCell ref="B65:C65"/>
    <mergeCell ref="B66:C66"/>
    <mergeCell ref="B69:C69"/>
    <mergeCell ref="B70:C70"/>
    <mergeCell ref="B72:C72"/>
    <mergeCell ref="B73:C73"/>
    <mergeCell ref="B86:C86"/>
    <mergeCell ref="B87:C87"/>
    <mergeCell ref="B149:C149"/>
    <mergeCell ref="B83:C83"/>
    <mergeCell ref="B84:C84"/>
    <mergeCell ref="B85:C85"/>
    <mergeCell ref="B111:C111"/>
    <mergeCell ref="B98:C98"/>
    <mergeCell ref="B101:C101"/>
    <mergeCell ref="B102:C102"/>
    <mergeCell ref="B104:C104"/>
    <mergeCell ref="B105:C105"/>
    <mergeCell ref="B106:C106"/>
    <mergeCell ref="B107:C107"/>
    <mergeCell ref="B110:C110"/>
    <mergeCell ref="B103:C103"/>
    <mergeCell ref="B90:C90"/>
    <mergeCell ref="B91:C91"/>
    <mergeCell ref="B92:C92"/>
    <mergeCell ref="B93:C93"/>
    <mergeCell ref="B94:C94"/>
    <mergeCell ref="B95:C95"/>
    <mergeCell ref="B99:C99"/>
    <mergeCell ref="B100:C100"/>
    <mergeCell ref="B115:C115"/>
    <mergeCell ref="B116:C116"/>
    <mergeCell ref="B117:C117"/>
    <mergeCell ref="B118:C118"/>
    <mergeCell ref="B119:C119"/>
    <mergeCell ref="B120:C120"/>
    <mergeCell ref="B112:C112"/>
    <mergeCell ref="B113:C113"/>
    <mergeCell ref="B114:C114"/>
    <mergeCell ref="B135:C135"/>
    <mergeCell ref="B136:C136"/>
    <mergeCell ref="B137:C137"/>
    <mergeCell ref="B138:C138"/>
    <mergeCell ref="B139:C139"/>
    <mergeCell ref="B142:C142"/>
    <mergeCell ref="B123:C123"/>
    <mergeCell ref="B124:C124"/>
    <mergeCell ref="B129:C129"/>
    <mergeCell ref="B132:C132"/>
    <mergeCell ref="B134:C134"/>
    <mergeCell ref="B168:C168"/>
    <mergeCell ref="B167:C167"/>
    <mergeCell ref="B161:C161"/>
    <mergeCell ref="B162:C162"/>
    <mergeCell ref="B165:C165"/>
    <mergeCell ref="B166:C166"/>
    <mergeCell ref="B143:C143"/>
    <mergeCell ref="B157:C157"/>
    <mergeCell ref="B158:C158"/>
    <mergeCell ref="B159:C159"/>
    <mergeCell ref="B160:C160"/>
    <mergeCell ref="B144:C144"/>
    <mergeCell ref="B145:C145"/>
    <mergeCell ref="B146:C146"/>
    <mergeCell ref="B147:C147"/>
    <mergeCell ref="B151:C151"/>
    <mergeCell ref="B148:C148"/>
    <mergeCell ref="B179:C179"/>
    <mergeCell ref="B180:C180"/>
    <mergeCell ref="B177:C177"/>
    <mergeCell ref="B178:C178"/>
    <mergeCell ref="B169:C169"/>
    <mergeCell ref="B170:C170"/>
    <mergeCell ref="B171:C171"/>
    <mergeCell ref="B172:C172"/>
    <mergeCell ref="B173:C173"/>
    <mergeCell ref="B176:C176"/>
    <mergeCell ref="B189:C189"/>
    <mergeCell ref="B190:C190"/>
    <mergeCell ref="B191:C191"/>
    <mergeCell ref="B194:C194"/>
    <mergeCell ref="B195:C195"/>
    <mergeCell ref="B196:C196"/>
    <mergeCell ref="B192:C192"/>
    <mergeCell ref="B181:C181"/>
    <mergeCell ref="B182:C182"/>
    <mergeCell ref="B183:C183"/>
    <mergeCell ref="B184:C184"/>
    <mergeCell ref="B187:C187"/>
    <mergeCell ref="B188:C188"/>
    <mergeCell ref="B197:C197"/>
    <mergeCell ref="B198:C198"/>
    <mergeCell ref="B199:C199"/>
    <mergeCell ref="B202:C202"/>
    <mergeCell ref="B213:C213"/>
    <mergeCell ref="B216:C216"/>
    <mergeCell ref="B217:C217"/>
    <mergeCell ref="B218:C218"/>
    <mergeCell ref="B208:C208"/>
    <mergeCell ref="B209:C209"/>
    <mergeCell ref="B210:C210"/>
    <mergeCell ref="B203:C203"/>
    <mergeCell ref="B204:C204"/>
    <mergeCell ref="B207:C207"/>
    <mergeCell ref="B29:C29"/>
    <mergeCell ref="B130:C130"/>
    <mergeCell ref="B131:C131"/>
    <mergeCell ref="B125:C125"/>
    <mergeCell ref="B266:C266"/>
    <mergeCell ref="B267:C267"/>
    <mergeCell ref="B268:C268"/>
    <mergeCell ref="B258:C258"/>
    <mergeCell ref="B259:C259"/>
    <mergeCell ref="B260:C260"/>
    <mergeCell ref="B261:C261"/>
    <mergeCell ref="B262:C262"/>
    <mergeCell ref="B263:C263"/>
    <mergeCell ref="B249:C249"/>
    <mergeCell ref="B250:C250"/>
    <mergeCell ref="B251:C251"/>
    <mergeCell ref="B252:C252"/>
    <mergeCell ref="B255:C255"/>
    <mergeCell ref="B256:C256"/>
    <mergeCell ref="B237:C237"/>
    <mergeCell ref="B238:C238"/>
    <mergeCell ref="B241:C241"/>
    <mergeCell ref="B242:C242"/>
    <mergeCell ref="B41:C41"/>
    <mergeCell ref="B271:C271"/>
    <mergeCell ref="B272:C272"/>
    <mergeCell ref="B273:C273"/>
    <mergeCell ref="B274:C274"/>
    <mergeCell ref="B26:C26"/>
    <mergeCell ref="B406:C406"/>
    <mergeCell ref="B193:C193"/>
    <mergeCell ref="B30:C30"/>
    <mergeCell ref="B28:C28"/>
    <mergeCell ref="B247:C247"/>
    <mergeCell ref="B248:C248"/>
    <mergeCell ref="B243:C243"/>
    <mergeCell ref="B246:C246"/>
    <mergeCell ref="B244:C244"/>
    <mergeCell ref="B245:C245"/>
    <mergeCell ref="B231:C231"/>
    <mergeCell ref="B232:C232"/>
    <mergeCell ref="B233:C233"/>
    <mergeCell ref="B234:C234"/>
    <mergeCell ref="B235:C235"/>
    <mergeCell ref="B236:C236"/>
    <mergeCell ref="B228:C228"/>
    <mergeCell ref="B229:C229"/>
    <mergeCell ref="B230:C230"/>
    <mergeCell ref="B25:C25"/>
    <mergeCell ref="B323:C323"/>
    <mergeCell ref="B324:C324"/>
    <mergeCell ref="B327:C327"/>
    <mergeCell ref="B328:C328"/>
    <mergeCell ref="B311:C311"/>
    <mergeCell ref="B312:C312"/>
    <mergeCell ref="B313:C313"/>
    <mergeCell ref="B314:C314"/>
    <mergeCell ref="B27:C27"/>
    <mergeCell ref="B315:C315"/>
    <mergeCell ref="B303:C303"/>
    <mergeCell ref="B304:C304"/>
    <mergeCell ref="B305:C305"/>
    <mergeCell ref="B308:C308"/>
    <mergeCell ref="B309:C309"/>
    <mergeCell ref="B310:C310"/>
    <mergeCell ref="B299:C299"/>
    <mergeCell ref="B300:C300"/>
    <mergeCell ref="B301:C301"/>
    <mergeCell ref="B302:C302"/>
    <mergeCell ref="B285:C285"/>
    <mergeCell ref="B288:C288"/>
    <mergeCell ref="B289:C289"/>
    <mergeCell ref="B332:C332"/>
    <mergeCell ref="B333:C333"/>
    <mergeCell ref="B334:C334"/>
    <mergeCell ref="B335:C335"/>
    <mergeCell ref="B336:C336"/>
    <mergeCell ref="B345:C345"/>
    <mergeCell ref="B343:C343"/>
    <mergeCell ref="B344:C344"/>
    <mergeCell ref="B342:C342"/>
    <mergeCell ref="B475:C475"/>
    <mergeCell ref="B473:C473"/>
    <mergeCell ref="B471:C471"/>
    <mergeCell ref="B472:C472"/>
    <mergeCell ref="B465:C465"/>
    <mergeCell ref="B466:C466"/>
    <mergeCell ref="B459:C459"/>
    <mergeCell ref="B337:C337"/>
    <mergeCell ref="B340:C340"/>
    <mergeCell ref="B341:C341"/>
    <mergeCell ref="B352:C352"/>
    <mergeCell ref="B353:C353"/>
    <mergeCell ref="B354:C354"/>
    <mergeCell ref="B346:C346"/>
    <mergeCell ref="B347:C347"/>
    <mergeCell ref="B468:C468"/>
    <mergeCell ref="B469:C469"/>
    <mergeCell ref="B442:C442"/>
    <mergeCell ref="B460:C460"/>
    <mergeCell ref="B458:C458"/>
    <mergeCell ref="B463:C463"/>
    <mergeCell ref="B464:C464"/>
    <mergeCell ref="B454:C454"/>
    <mergeCell ref="B455:C455"/>
    <mergeCell ref="E497:F497"/>
    <mergeCell ref="B369:C369"/>
    <mergeCell ref="B370:C370"/>
    <mergeCell ref="B371:C371"/>
    <mergeCell ref="B372:C372"/>
    <mergeCell ref="B373:C373"/>
    <mergeCell ref="B376:C376"/>
    <mergeCell ref="B380:C380"/>
    <mergeCell ref="B381:C381"/>
    <mergeCell ref="B382:C382"/>
    <mergeCell ref="B476:C476"/>
    <mergeCell ref="E496:G496"/>
    <mergeCell ref="B479:C479"/>
    <mergeCell ref="B480:C480"/>
    <mergeCell ref="B481:C481"/>
    <mergeCell ref="B482:C482"/>
    <mergeCell ref="B483:C483"/>
    <mergeCell ref="B456:C456"/>
    <mergeCell ref="B445:C445"/>
    <mergeCell ref="B448:C448"/>
    <mergeCell ref="B449:C449"/>
    <mergeCell ref="B450:C450"/>
    <mergeCell ref="B446:C446"/>
    <mergeCell ref="B447:C447"/>
    <mergeCell ref="N488:P488"/>
    <mergeCell ref="E488:G488"/>
    <mergeCell ref="H488:I488"/>
    <mergeCell ref="K489:L489"/>
    <mergeCell ref="N489:O489"/>
    <mergeCell ref="E489:G489"/>
    <mergeCell ref="H489:I489"/>
    <mergeCell ref="B355:C355"/>
    <mergeCell ref="B356:C356"/>
    <mergeCell ref="B357:C357"/>
    <mergeCell ref="B470:C470"/>
    <mergeCell ref="B395:C395"/>
    <mergeCell ref="B398:C398"/>
    <mergeCell ref="B416:C416"/>
    <mergeCell ref="B417:C417"/>
    <mergeCell ref="B360:C360"/>
    <mergeCell ref="B361:C361"/>
    <mergeCell ref="B368:C368"/>
    <mergeCell ref="B363:C363"/>
    <mergeCell ref="B364:C364"/>
    <mergeCell ref="B429:C429"/>
    <mergeCell ref="B410:C410"/>
    <mergeCell ref="B415:C415"/>
    <mergeCell ref="B467:C467"/>
    <mergeCell ref="K494:M494"/>
    <mergeCell ref="N494:P494"/>
    <mergeCell ref="E495:G495"/>
    <mergeCell ref="H495:I495"/>
    <mergeCell ref="K495:M495"/>
    <mergeCell ref="N495:P495"/>
    <mergeCell ref="K492:L492"/>
    <mergeCell ref="N492:O492"/>
    <mergeCell ref="B484:C484"/>
    <mergeCell ref="H493:I493"/>
    <mergeCell ref="K493:M493"/>
    <mergeCell ref="N493:P493"/>
    <mergeCell ref="E492:G492"/>
    <mergeCell ref="H492:I492"/>
    <mergeCell ref="K490:L490"/>
    <mergeCell ref="N490:O490"/>
    <mergeCell ref="E490:G490"/>
    <mergeCell ref="H490:I490"/>
    <mergeCell ref="E491:G491"/>
    <mergeCell ref="H491:I491"/>
    <mergeCell ref="E493:G493"/>
    <mergeCell ref="K491:L491"/>
    <mergeCell ref="N491:O491"/>
    <mergeCell ref="K488:M488"/>
    <mergeCell ref="H496:I496"/>
    <mergeCell ref="B477:C477"/>
    <mergeCell ref="B478:C478"/>
    <mergeCell ref="B377:C377"/>
    <mergeCell ref="B378:C378"/>
    <mergeCell ref="B391:C391"/>
    <mergeCell ref="B399:C399"/>
    <mergeCell ref="B401:C401"/>
    <mergeCell ref="B402:C402"/>
    <mergeCell ref="B403:C403"/>
    <mergeCell ref="B412:C412"/>
    <mergeCell ref="B388:C388"/>
    <mergeCell ref="B389:C389"/>
    <mergeCell ref="B392:C392"/>
    <mergeCell ref="B411:C411"/>
    <mergeCell ref="B405:C405"/>
    <mergeCell ref="B408:C408"/>
    <mergeCell ref="B409:C409"/>
    <mergeCell ref="B383:C383"/>
    <mergeCell ref="B384:C384"/>
    <mergeCell ref="B390:C390"/>
    <mergeCell ref="B394:C394"/>
    <mergeCell ref="B387:C387"/>
    <mergeCell ref="B474:C474"/>
    <mergeCell ref="B42:C42"/>
    <mergeCell ref="B43:C43"/>
    <mergeCell ref="B44:C44"/>
    <mergeCell ref="B45:C45"/>
    <mergeCell ref="B436:C436"/>
    <mergeCell ref="B296:C296"/>
    <mergeCell ref="B426:C426"/>
    <mergeCell ref="B404:C404"/>
    <mergeCell ref="B423:C423"/>
    <mergeCell ref="B433:C433"/>
    <mergeCell ref="B434:C434"/>
    <mergeCell ref="B435:C435"/>
    <mergeCell ref="B367:C367"/>
    <mergeCell ref="B393:C393"/>
    <mergeCell ref="B425:C425"/>
    <mergeCell ref="B418:C418"/>
    <mergeCell ref="B419:C419"/>
    <mergeCell ref="B420:C420"/>
    <mergeCell ref="B421:C421"/>
    <mergeCell ref="B424:C424"/>
    <mergeCell ref="B422:C422"/>
    <mergeCell ref="B400:C400"/>
    <mergeCell ref="B432:C432"/>
    <mergeCell ref="B331:C331"/>
    <mergeCell ref="B451:C451"/>
    <mergeCell ref="B457:C457"/>
    <mergeCell ref="B297:C297"/>
    <mergeCell ref="B351:C351"/>
    <mergeCell ref="B298:C298"/>
    <mergeCell ref="B317:C317"/>
    <mergeCell ref="B350:C350"/>
    <mergeCell ref="B441:C441"/>
    <mergeCell ref="B349:C349"/>
    <mergeCell ref="B365:C365"/>
    <mergeCell ref="B366:C366"/>
    <mergeCell ref="B348:C348"/>
    <mergeCell ref="B320:C320"/>
    <mergeCell ref="B318:C318"/>
    <mergeCell ref="B437:C437"/>
    <mergeCell ref="B438:C438"/>
    <mergeCell ref="B439:C439"/>
    <mergeCell ref="B440:C440"/>
    <mergeCell ref="B362:C362"/>
    <mergeCell ref="B407:C407"/>
    <mergeCell ref="B427:C427"/>
    <mergeCell ref="B428:C428"/>
    <mergeCell ref="B379:C379"/>
    <mergeCell ref="B452:C452"/>
    <mergeCell ref="B453:C453"/>
    <mergeCell ref="B46:C46"/>
    <mergeCell ref="B47:C47"/>
    <mergeCell ref="B88:C88"/>
    <mergeCell ref="B89:C89"/>
    <mergeCell ref="B226:C226"/>
    <mergeCell ref="B227:C227"/>
    <mergeCell ref="B224:C224"/>
    <mergeCell ref="B153:C153"/>
    <mergeCell ref="B154:C154"/>
    <mergeCell ref="B155:C155"/>
    <mergeCell ref="B133:C133"/>
    <mergeCell ref="B126:C126"/>
    <mergeCell ref="B127:C127"/>
    <mergeCell ref="B128:C128"/>
    <mergeCell ref="B219:C219"/>
    <mergeCell ref="B220:C220"/>
    <mergeCell ref="B221:C221"/>
    <mergeCell ref="B222:C222"/>
    <mergeCell ref="B156:C156"/>
    <mergeCell ref="B211:C211"/>
    <mergeCell ref="B212:C212"/>
    <mergeCell ref="B205:C205"/>
    <mergeCell ref="B206:C206"/>
    <mergeCell ref="B225:C225"/>
    <mergeCell ref="B223:C223"/>
    <mergeCell ref="B152:C152"/>
    <mergeCell ref="B329:C329"/>
    <mergeCell ref="B330:C330"/>
    <mergeCell ref="B316:C316"/>
    <mergeCell ref="B321:C321"/>
    <mergeCell ref="B322:C322"/>
    <mergeCell ref="B257:C257"/>
    <mergeCell ref="B319:C319"/>
    <mergeCell ref="B295:C295"/>
    <mergeCell ref="B290:C290"/>
    <mergeCell ref="B291:C291"/>
    <mergeCell ref="B292:C292"/>
    <mergeCell ref="B280:C280"/>
    <mergeCell ref="B281:C281"/>
    <mergeCell ref="B282:C282"/>
    <mergeCell ref="B283:C283"/>
    <mergeCell ref="B284:C284"/>
    <mergeCell ref="B277:C277"/>
    <mergeCell ref="B278:C278"/>
    <mergeCell ref="B279:C279"/>
    <mergeCell ref="B269:C269"/>
    <mergeCell ref="B270:C270"/>
  </mergeCells>
  <pageMargins left="0.31496062992125984" right="0.31496062992125984" top="0.39370078740157483" bottom="0.39370078740157483" header="0.31496062992125984" footer="0.31496062992125984"/>
  <pageSetup paperSize="9" scale="57" fitToHeight="2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54"/>
  <sheetViews>
    <sheetView showGridLines="0" showZeros="0" view="pageBreakPreview" zoomScale="70" zoomScaleNormal="75" zoomScaleSheetLayoutView="70" workbookViewId="0">
      <pane xSplit="16" ySplit="1" topLeftCell="Q431" activePane="bottomRight" state="frozenSplit"/>
      <selection activeCell="H486" sqref="H486"/>
      <selection pane="topRight" activeCell="H486" sqref="H486"/>
      <selection pane="bottomLeft" activeCell="H486" sqref="H486"/>
      <selection pane="bottomRight" activeCell="P448" sqref="P448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8" width="10.5703125" style="21" customWidth="1"/>
    <col min="19" max="19" width="10.5703125" style="21" hidden="1" customWidth="1"/>
    <col min="20" max="22" width="10.5703125" style="21" customWidth="1"/>
    <col min="23" max="39" width="10.5703125" style="21" hidden="1" customWidth="1"/>
    <col min="40" max="40" width="10.7109375" style="21" hidden="1" customWidth="1"/>
    <col min="41" max="41" width="11.7109375" style="21" customWidth="1"/>
    <col min="42" max="44" width="14.85546875" style="3" hidden="1" customWidth="1"/>
    <col min="45" max="45" width="9.140625" style="3"/>
    <col min="46" max="46" width="9.85546875" style="3" bestFit="1" customWidth="1"/>
    <col min="47" max="16384" width="9.140625" style="3"/>
  </cols>
  <sheetData>
    <row r="1" spans="1:46" s="1" customFormat="1" ht="17.25" customHeight="1" x14ac:dyDescent="0.25">
      <c r="A1" s="137" t="s">
        <v>302</v>
      </c>
      <c r="B1" s="142"/>
      <c r="C1" s="139">
        <f>D2+E2+F2+G2+H2+I2+J2+M2+P2</f>
        <v>135970.46703999999</v>
      </c>
      <c r="D1" s="143" t="s">
        <v>8</v>
      </c>
      <c r="E1" s="144" t="s">
        <v>9</v>
      </c>
      <c r="F1" s="145" t="s">
        <v>89</v>
      </c>
      <c r="G1" s="145" t="s">
        <v>234</v>
      </c>
      <c r="H1" s="144" t="s">
        <v>101</v>
      </c>
      <c r="I1" s="144" t="s">
        <v>91</v>
      </c>
      <c r="J1" s="144" t="s">
        <v>90</v>
      </c>
      <c r="K1" s="252" t="s">
        <v>87</v>
      </c>
      <c r="L1" s="253"/>
      <c r="M1" s="254"/>
      <c r="N1" s="252" t="s">
        <v>88</v>
      </c>
      <c r="O1" s="253"/>
      <c r="P1" s="254"/>
      <c r="Q1" s="49" t="s">
        <v>10</v>
      </c>
      <c r="R1" s="49" t="s">
        <v>11</v>
      </c>
      <c r="S1" s="49" t="s">
        <v>89</v>
      </c>
      <c r="T1" s="145" t="s">
        <v>86</v>
      </c>
      <c r="U1" s="145" t="s">
        <v>238</v>
      </c>
      <c r="V1" s="145" t="s">
        <v>92</v>
      </c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51"/>
      <c r="AO1" s="152" t="s">
        <v>0</v>
      </c>
      <c r="AP1" s="6" t="s">
        <v>1</v>
      </c>
      <c r="AQ1" s="7" t="s">
        <v>2</v>
      </c>
      <c r="AR1" s="7" t="s">
        <v>3</v>
      </c>
    </row>
    <row r="2" spans="1:46" s="1" customFormat="1" ht="17.25" customHeight="1" x14ac:dyDescent="0.25">
      <c r="A2" s="146"/>
      <c r="B2" s="137" t="s">
        <v>7</v>
      </c>
      <c r="C2" s="140">
        <f>D2+E2+F2+G2+H2+I2+J2+M2+P2+SUM(Q2:AN2)</f>
        <v>-310071.44296000001</v>
      </c>
      <c r="D2" s="147">
        <f>'Out25'!D486</f>
        <v>9194.8570399999971</v>
      </c>
      <c r="E2" s="147">
        <f>'Out25'!E486</f>
        <v>-22339.080000000009</v>
      </c>
      <c r="F2" s="148">
        <f>'Out25'!F486</f>
        <v>0</v>
      </c>
      <c r="G2" s="148">
        <f>'Out25'!G486</f>
        <v>0</v>
      </c>
      <c r="H2" s="147">
        <f>'Out25'!H486</f>
        <v>9399.9999999999964</v>
      </c>
      <c r="I2" s="147">
        <f>'Out25'!I486</f>
        <v>11823.73</v>
      </c>
      <c r="J2" s="147">
        <f>'Out25'!J486</f>
        <v>0</v>
      </c>
      <c r="K2" s="149">
        <f>'Out25'!K486</f>
        <v>12517</v>
      </c>
      <c r="L2" s="150">
        <f>'Out25'!L486</f>
        <v>5.0393177278900696</v>
      </c>
      <c r="M2" s="147">
        <f>'Out25'!M486</f>
        <v>63077.14</v>
      </c>
      <c r="N2" s="149">
        <f>'Out25'!N486</f>
        <v>18552</v>
      </c>
      <c r="O2" s="150">
        <f>'Out25'!O486</f>
        <v>3.4936297973264336</v>
      </c>
      <c r="P2" s="147">
        <f>'Out25'!P486</f>
        <v>64813.82</v>
      </c>
      <c r="Q2" s="50">
        <f>'Out25'!Q486</f>
        <v>-423778.33</v>
      </c>
      <c r="R2" s="50">
        <f>'Out25'!R486</f>
        <v>37928.519999999997</v>
      </c>
      <c r="S2" s="50">
        <f>'Out25'!S486</f>
        <v>0</v>
      </c>
      <c r="T2" s="148">
        <f>'Out25'!T486</f>
        <v>-12858.76</v>
      </c>
      <c r="U2" s="148">
        <f>'Out25'!U486</f>
        <v>-35100</v>
      </c>
      <c r="V2" s="148">
        <f>'Out25'!V486</f>
        <v>-12233.34</v>
      </c>
      <c r="W2" s="148">
        <f>'Out25'!W486</f>
        <v>0</v>
      </c>
      <c r="X2" s="148">
        <f>'Out25'!X486</f>
        <v>0</v>
      </c>
      <c r="Y2" s="148">
        <f>'Out25'!Y486</f>
        <v>0</v>
      </c>
      <c r="Z2" s="148">
        <f>'Out25'!Z486</f>
        <v>0</v>
      </c>
      <c r="AA2" s="148">
        <f>'Out25'!AA486</f>
        <v>0</v>
      </c>
      <c r="AB2" s="148">
        <f>'Out25'!AB486</f>
        <v>0</v>
      </c>
      <c r="AC2" s="148">
        <f>'Out25'!AC486</f>
        <v>0</v>
      </c>
      <c r="AD2" s="148">
        <f>'Out25'!AD486</f>
        <v>0</v>
      </c>
      <c r="AE2" s="148">
        <f>'Out25'!AE486</f>
        <v>0</v>
      </c>
      <c r="AF2" s="148">
        <f>'Out25'!AF486</f>
        <v>0</v>
      </c>
      <c r="AG2" s="148">
        <f>'Out25'!AG486</f>
        <v>0</v>
      </c>
      <c r="AH2" s="148">
        <f>'Out25'!AH486</f>
        <v>0</v>
      </c>
      <c r="AI2" s="148">
        <f>'Out25'!AI486</f>
        <v>0</v>
      </c>
      <c r="AJ2" s="148">
        <f>'Out25'!AJ486</f>
        <v>0</v>
      </c>
      <c r="AK2" s="148">
        <f>'Out25'!AK486</f>
        <v>0</v>
      </c>
      <c r="AL2" s="148">
        <f>'Out25'!AL486</f>
        <v>0</v>
      </c>
      <c r="AM2" s="148">
        <f>'Out25'!AM486</f>
        <v>0</v>
      </c>
      <c r="AN2" s="148">
        <f>'Out25'!AN486</f>
        <v>0</v>
      </c>
      <c r="AO2" s="147">
        <f>'Out25'!AO486</f>
        <v>-310071.44296000001</v>
      </c>
      <c r="AP2" s="8" t="e">
        <f>#REF!</f>
        <v>#REF!</v>
      </c>
      <c r="AQ2" s="9" t="e">
        <f>#REF!</f>
        <v>#REF!</v>
      </c>
      <c r="AR2" s="9" t="e">
        <f>AP2-AQ2</f>
        <v>#REF!</v>
      </c>
    </row>
    <row r="3" spans="1:46" s="2" customFormat="1" ht="17.25" customHeight="1" x14ac:dyDescent="0.25">
      <c r="A3" s="29">
        <v>45962</v>
      </c>
      <c r="B3" s="201" t="s">
        <v>64</v>
      </c>
      <c r="C3" s="202"/>
      <c r="D3" s="65">
        <v>11540.89</v>
      </c>
      <c r="E3" s="64"/>
      <c r="F3" s="64"/>
      <c r="G3" s="64"/>
      <c r="H3" s="64"/>
      <c r="I3" s="64">
        <f>-D3</f>
        <v>-11540.89</v>
      </c>
      <c r="J3" s="64"/>
      <c r="K3" s="57"/>
      <c r="L3" s="88"/>
      <c r="M3" s="62"/>
      <c r="N3" s="57"/>
      <c r="O3" s="88"/>
      <c r="P3" s="62"/>
      <c r="Q3" s="47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22"/>
      <c r="AQ3" s="10" t="s">
        <v>4</v>
      </c>
      <c r="AR3" s="11" t="e">
        <v>#REF!</v>
      </c>
    </row>
    <row r="4" spans="1:46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>
        <f>-I2-I3</f>
        <v>-282.84000000000015</v>
      </c>
      <c r="J4" s="64"/>
      <c r="K4" s="57"/>
      <c r="L4" s="88"/>
      <c r="M4" s="62"/>
      <c r="N4" s="57"/>
      <c r="O4" s="88"/>
      <c r="P4" s="62"/>
      <c r="Q4" s="47"/>
      <c r="R4" s="39"/>
      <c r="S4" s="39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22"/>
      <c r="AQ4" s="10" t="s">
        <v>4</v>
      </c>
      <c r="AR4" s="11" t="e">
        <v>#REF!</v>
      </c>
    </row>
    <row r="5" spans="1:46" s="2" customFormat="1" ht="17.25" customHeight="1" x14ac:dyDescent="0.25">
      <c r="A5" s="29"/>
      <c r="B5" s="201" t="s">
        <v>209</v>
      </c>
      <c r="C5" s="202"/>
      <c r="D5" s="63">
        <v>-70</v>
      </c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47"/>
      <c r="R5" s="39"/>
      <c r="S5" s="3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2"/>
      <c r="AQ5" s="10" t="s">
        <v>4</v>
      </c>
      <c r="AR5" s="11" t="e">
        <v>#REF!</v>
      </c>
    </row>
    <row r="6" spans="1:46" s="2" customFormat="1" ht="17.25" customHeight="1" x14ac:dyDescent="0.25">
      <c r="A6" s="29"/>
      <c r="B6" s="201" t="s">
        <v>13</v>
      </c>
      <c r="C6" s="203"/>
      <c r="D6" s="63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46"/>
      <c r="R6" s="46"/>
      <c r="S6" s="3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2"/>
      <c r="AQ6" s="10" t="s">
        <v>4</v>
      </c>
      <c r="AR6" s="11" t="e">
        <v>#REF!</v>
      </c>
    </row>
    <row r="7" spans="1:46" s="2" customFormat="1" ht="17.25" customHeight="1" x14ac:dyDescent="0.25">
      <c r="A7" s="29"/>
      <c r="B7" s="201" t="s">
        <v>72</v>
      </c>
      <c r="C7" s="202"/>
      <c r="D7" s="63">
        <v>-20600</v>
      </c>
      <c r="E7" s="64"/>
      <c r="F7" s="64">
        <f>-D7</f>
        <v>20600</v>
      </c>
      <c r="G7" s="64"/>
      <c r="H7" s="64"/>
      <c r="I7" s="64"/>
      <c r="J7" s="64"/>
      <c r="K7" s="57"/>
      <c r="L7" s="88"/>
      <c r="M7" s="62"/>
      <c r="N7" s="57"/>
      <c r="O7" s="88"/>
      <c r="P7" s="62"/>
      <c r="Q7" s="47"/>
      <c r="R7" s="39"/>
      <c r="S7" s="39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22"/>
      <c r="AQ7" s="10" t="s">
        <v>4</v>
      </c>
      <c r="AR7" s="11" t="e">
        <v>#REF!</v>
      </c>
    </row>
    <row r="8" spans="1:46" s="4" customFormat="1" ht="17.25" customHeight="1" thickBot="1" x14ac:dyDescent="0.3">
      <c r="A8" s="24"/>
      <c r="B8" s="246"/>
      <c r="C8" s="246"/>
      <c r="D8" s="81"/>
      <c r="E8" s="81"/>
      <c r="F8" s="81"/>
      <c r="G8" s="81"/>
      <c r="H8" s="81"/>
      <c r="I8" s="81"/>
      <c r="J8" s="81"/>
      <c r="K8" s="59"/>
      <c r="L8" s="90"/>
      <c r="M8" s="136"/>
      <c r="N8" s="59"/>
      <c r="O8" s="90"/>
      <c r="P8" s="136"/>
      <c r="Q8" s="39"/>
      <c r="R8" s="39"/>
      <c r="S8" s="39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22"/>
      <c r="AO8" s="43"/>
      <c r="AP8" s="12" t="e">
        <f>#REF!</f>
        <v>#REF!</v>
      </c>
      <c r="AT8" s="2"/>
    </row>
    <row r="9" spans="1:46" s="4" customFormat="1" ht="17.25" customHeight="1" x14ac:dyDescent="0.25">
      <c r="A9" s="23"/>
      <c r="B9" s="212" t="s">
        <v>94</v>
      </c>
      <c r="C9" s="212"/>
      <c r="D9" s="66"/>
      <c r="E9" s="66"/>
      <c r="F9" s="117"/>
      <c r="G9" s="117"/>
      <c r="H9" s="66"/>
      <c r="I9" s="66"/>
      <c r="J9" s="66">
        <f>-M9</f>
        <v>6171.75</v>
      </c>
      <c r="K9" s="58">
        <v>-1055</v>
      </c>
      <c r="L9" s="89">
        <v>5.85</v>
      </c>
      <c r="M9" s="73">
        <f>K9*L9</f>
        <v>-6171.75</v>
      </c>
      <c r="N9" s="58"/>
      <c r="O9" s="89"/>
      <c r="P9" s="73"/>
      <c r="Q9" s="39"/>
      <c r="R9" s="39"/>
      <c r="S9" s="8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35"/>
      <c r="AP9" s="12" t="e">
        <f>#REF!</f>
        <v>#REF!</v>
      </c>
    </row>
    <row r="10" spans="1:46" s="4" customFormat="1" ht="17.25" customHeight="1" x14ac:dyDescent="0.25">
      <c r="A10" s="23"/>
      <c r="B10" s="201" t="s">
        <v>95</v>
      </c>
      <c r="C10" s="203"/>
      <c r="D10" s="64"/>
      <c r="E10" s="64"/>
      <c r="F10" s="117"/>
      <c r="G10" s="117"/>
      <c r="H10" s="64"/>
      <c r="I10" s="64"/>
      <c r="J10" s="64">
        <f>-P10</f>
        <v>9365.09</v>
      </c>
      <c r="K10" s="57"/>
      <c r="L10" s="88"/>
      <c r="M10" s="62"/>
      <c r="N10" s="57">
        <v>-2471</v>
      </c>
      <c r="O10" s="88">
        <v>3.79</v>
      </c>
      <c r="P10" s="62">
        <f>N10*O10</f>
        <v>-9365.09</v>
      </c>
      <c r="Q10" s="39"/>
      <c r="R10" s="39"/>
      <c r="S10" s="8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35"/>
      <c r="AP10" s="12" t="e">
        <f>#REF!</f>
        <v>#REF!</v>
      </c>
    </row>
    <row r="11" spans="1:46" s="4" customFormat="1" ht="17.25" customHeight="1" x14ac:dyDescent="0.25">
      <c r="A11" s="23"/>
      <c r="B11" s="201" t="s">
        <v>97</v>
      </c>
      <c r="C11" s="203"/>
      <c r="D11" s="64"/>
      <c r="E11" s="64"/>
      <c r="F11" s="64"/>
      <c r="G11" s="64"/>
      <c r="H11" s="64">
        <f>-J11-I11</f>
        <v>5287.8600000000006</v>
      </c>
      <c r="I11" s="64">
        <v>10248.98</v>
      </c>
      <c r="J11" s="64">
        <f>-SUM(J9:J10)</f>
        <v>-15536.84</v>
      </c>
      <c r="K11" s="57"/>
      <c r="L11" s="88"/>
      <c r="M11" s="62"/>
      <c r="N11" s="57"/>
      <c r="O11" s="88"/>
      <c r="P11" s="62"/>
      <c r="Q11" s="39"/>
      <c r="R11" s="39"/>
      <c r="S11" s="3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22"/>
      <c r="AO11" s="43">
        <f>A2</f>
        <v>0</v>
      </c>
      <c r="AP11" s="12" t="e">
        <f>#REF!</f>
        <v>#REF!</v>
      </c>
      <c r="AT11" s="2"/>
    </row>
    <row r="12" spans="1:46" s="4" customFormat="1" ht="17.25" customHeight="1" x14ac:dyDescent="0.25">
      <c r="A12" s="23"/>
      <c r="B12" s="201" t="s">
        <v>100</v>
      </c>
      <c r="C12" s="203"/>
      <c r="D12" s="64"/>
      <c r="E12" s="64"/>
      <c r="F12" s="64"/>
      <c r="G12" s="64"/>
      <c r="H12" s="64"/>
      <c r="I12" s="64"/>
      <c r="J12" s="64"/>
      <c r="K12" s="57">
        <v>-159</v>
      </c>
      <c r="L12" s="88"/>
      <c r="M12" s="62">
        <f>(K15*((M2)/(K2))-M2-M9)</f>
        <v>54.018278341456607</v>
      </c>
      <c r="N12" s="57">
        <v>-126</v>
      </c>
      <c r="O12" s="88"/>
      <c r="P12" s="62">
        <f>(N15*((P2)/(N2))-P2-P10)</f>
        <v>292.13341634325116</v>
      </c>
      <c r="Q12" s="39"/>
      <c r="R12" s="39"/>
      <c r="S12" s="39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22"/>
      <c r="AO12" s="43"/>
      <c r="AP12" s="12" t="e">
        <f>#REF!</f>
        <v>#REF!</v>
      </c>
      <c r="AT12" s="2"/>
    </row>
    <row r="13" spans="1:46" s="4" customFormat="1" ht="17.25" customHeight="1" x14ac:dyDescent="0.25">
      <c r="A13" s="23"/>
      <c r="B13" s="201"/>
      <c r="C13" s="203"/>
      <c r="D13" s="64"/>
      <c r="E13" s="64"/>
      <c r="F13" s="64"/>
      <c r="G13" s="64"/>
      <c r="H13" s="64"/>
      <c r="I13" s="64"/>
      <c r="J13" s="64"/>
      <c r="K13" s="57"/>
      <c r="L13" s="88"/>
      <c r="M13" s="62"/>
      <c r="N13" s="57"/>
      <c r="O13" s="88"/>
      <c r="P13" s="62"/>
      <c r="Q13" s="39"/>
      <c r="R13" s="39"/>
      <c r="S13" s="39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22"/>
      <c r="AO13" s="43">
        <f>A3</f>
        <v>45962</v>
      </c>
      <c r="AP13" s="12" t="e">
        <f>#REF!</f>
        <v>#REF!</v>
      </c>
      <c r="AT13" s="2"/>
    </row>
    <row r="14" spans="1:46" s="2" customFormat="1" ht="17.25" customHeight="1" thickBot="1" x14ac:dyDescent="0.3">
      <c r="A14" s="56"/>
      <c r="B14" s="101" t="s">
        <v>102</v>
      </c>
      <c r="C14" s="102">
        <f>D15+E15+F15+G15+H15+I15+J15+M15+P15</f>
        <v>135963.77703999999</v>
      </c>
      <c r="D14" s="85"/>
      <c r="E14" s="85"/>
      <c r="F14" s="85"/>
      <c r="G14" s="85"/>
      <c r="H14" s="85"/>
      <c r="I14" s="85"/>
      <c r="J14" s="85"/>
      <c r="K14" s="97"/>
      <c r="L14" s="98"/>
      <c r="M14" s="99">
        <f>K14*L14</f>
        <v>0</v>
      </c>
      <c r="N14" s="97"/>
      <c r="O14" s="98"/>
      <c r="P14" s="99">
        <f>N14*O14</f>
        <v>0</v>
      </c>
      <c r="Q14" s="51"/>
      <c r="R14" s="51"/>
      <c r="S14" s="51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42">
        <f>SUM($Q2:AN14)</f>
        <v>-446041.91000000003</v>
      </c>
      <c r="AQ14" s="33"/>
      <c r="AR14" s="27"/>
      <c r="AS14" s="2" t="s">
        <v>5</v>
      </c>
    </row>
    <row r="15" spans="1:46" s="2" customFormat="1" ht="17.25" customHeight="1" thickTop="1" thickBot="1" x14ac:dyDescent="0.3">
      <c r="A15" s="103"/>
      <c r="B15" s="104" t="s">
        <v>103</v>
      </c>
      <c r="C15" s="105">
        <f>AO15</f>
        <v>-310078.13296000008</v>
      </c>
      <c r="D15" s="106">
        <f t="shared" ref="D15:K15" si="0">SUM(D2:D14)</f>
        <v>65.74703999999474</v>
      </c>
      <c r="E15" s="107">
        <f t="shared" si="0"/>
        <v>-22339.080000000009</v>
      </c>
      <c r="F15" s="107">
        <f t="shared" si="0"/>
        <v>20600</v>
      </c>
      <c r="G15" s="107">
        <f t="shared" si="0"/>
        <v>0</v>
      </c>
      <c r="H15" s="107">
        <f t="shared" si="0"/>
        <v>14687.859999999997</v>
      </c>
      <c r="I15" s="107">
        <f t="shared" si="0"/>
        <v>10248.98</v>
      </c>
      <c r="J15" s="107">
        <f t="shared" si="0"/>
        <v>0</v>
      </c>
      <c r="K15" s="108">
        <f t="shared" si="0"/>
        <v>11303</v>
      </c>
      <c r="L15" s="109">
        <f>M15/K15</f>
        <v>5.0393178802087943</v>
      </c>
      <c r="M15" s="107">
        <f>ROUND(SUM(M2:M14),2)</f>
        <v>56959.41</v>
      </c>
      <c r="N15" s="108">
        <f>SUM(N2:N14)</f>
        <v>15955</v>
      </c>
      <c r="O15" s="109">
        <f>P15/N15</f>
        <v>3.493629583202758</v>
      </c>
      <c r="P15" s="107">
        <f>ROUND(SUM(P2:P14),2)</f>
        <v>55740.86</v>
      </c>
      <c r="Q15" s="110">
        <f t="shared" ref="Q15:AH15" si="1">SUM(Q2:Q14)</f>
        <v>-423778.33</v>
      </c>
      <c r="R15" s="107">
        <f t="shared" si="1"/>
        <v>37928.519999999997</v>
      </c>
      <c r="S15" s="107">
        <f t="shared" si="1"/>
        <v>0</v>
      </c>
      <c r="T15" s="107">
        <f t="shared" si="1"/>
        <v>-12858.76</v>
      </c>
      <c r="U15" s="107">
        <f t="shared" si="1"/>
        <v>-35100</v>
      </c>
      <c r="V15" s="107">
        <f t="shared" si="1"/>
        <v>-12233.34</v>
      </c>
      <c r="W15" s="107">
        <f t="shared" si="1"/>
        <v>0</v>
      </c>
      <c r="X15" s="107">
        <f t="shared" si="1"/>
        <v>0</v>
      </c>
      <c r="Y15" s="107">
        <f t="shared" si="1"/>
        <v>0</v>
      </c>
      <c r="Z15" s="107">
        <f t="shared" si="1"/>
        <v>0</v>
      </c>
      <c r="AA15" s="107">
        <f t="shared" si="1"/>
        <v>0</v>
      </c>
      <c r="AB15" s="107">
        <f t="shared" si="1"/>
        <v>0</v>
      </c>
      <c r="AC15" s="107">
        <f t="shared" si="1"/>
        <v>0</v>
      </c>
      <c r="AD15" s="107">
        <f t="shared" si="1"/>
        <v>0</v>
      </c>
      <c r="AE15" s="107">
        <f t="shared" si="1"/>
        <v>0</v>
      </c>
      <c r="AF15" s="107">
        <f t="shared" si="1"/>
        <v>0</v>
      </c>
      <c r="AG15" s="107">
        <f t="shared" si="1"/>
        <v>0</v>
      </c>
      <c r="AH15" s="107">
        <f t="shared" si="1"/>
        <v>0</v>
      </c>
      <c r="AI15" s="107"/>
      <c r="AJ15" s="107">
        <f>SUM(AJ2:AJ14)</f>
        <v>0</v>
      </c>
      <c r="AK15" s="107">
        <f>SUM(AK2:AK14)</f>
        <v>0</v>
      </c>
      <c r="AL15" s="107">
        <f>SUM(AL2:AL14)</f>
        <v>0</v>
      </c>
      <c r="AM15" s="107">
        <f>SUM(AM2:AM14)</f>
        <v>0</v>
      </c>
      <c r="AN15" s="107">
        <f>SUM(AN2:AN14)</f>
        <v>0</v>
      </c>
      <c r="AO15" s="111">
        <f>D15+E15+F15+G15+H15+I15+J15+M15+P15+SUM(Q15:AN15)</f>
        <v>-310078.13296000008</v>
      </c>
      <c r="AP15" s="4"/>
      <c r="AQ15" s="5"/>
      <c r="AR15" s="5"/>
      <c r="AS15" s="2" t="s">
        <v>6</v>
      </c>
    </row>
    <row r="16" spans="1:46" s="4" customFormat="1" ht="17.25" customHeight="1" thickTop="1" x14ac:dyDescent="0.25">
      <c r="A16" s="23">
        <f>A3+1</f>
        <v>45963</v>
      </c>
      <c r="B16" s="210" t="s">
        <v>64</v>
      </c>
      <c r="C16" s="203"/>
      <c r="D16" s="63">
        <v>10001.27</v>
      </c>
      <c r="E16" s="66"/>
      <c r="F16" s="66"/>
      <c r="G16" s="66"/>
      <c r="H16" s="66"/>
      <c r="I16" s="64">
        <f>-D16</f>
        <v>-10001.27</v>
      </c>
      <c r="J16" s="66"/>
      <c r="K16" s="18"/>
      <c r="L16" s="91"/>
      <c r="M16" s="66"/>
      <c r="N16" s="18"/>
      <c r="O16" s="91"/>
      <c r="P16" s="66"/>
      <c r="Q16" s="46"/>
      <c r="R16" s="46"/>
      <c r="S16" s="45"/>
      <c r="T16" s="18"/>
      <c r="U16" s="18"/>
      <c r="V16" s="18"/>
      <c r="W16" s="18"/>
      <c r="X16" s="18"/>
      <c r="Y16" s="14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7"/>
      <c r="AO16" s="13"/>
      <c r="AP16" s="12" t="e">
        <f>#REF!</f>
        <v>#REF!</v>
      </c>
    </row>
    <row r="17" spans="1:46" s="4" customFormat="1" ht="17.25" customHeight="1" x14ac:dyDescent="0.25">
      <c r="A17" s="23"/>
      <c r="B17" s="201" t="s">
        <v>96</v>
      </c>
      <c r="C17" s="202"/>
      <c r="D17" s="63"/>
      <c r="E17" s="64"/>
      <c r="F17" s="64"/>
      <c r="G17" s="64"/>
      <c r="H17" s="64"/>
      <c r="I17" s="64">
        <f>-I15-I16</f>
        <v>-247.70999999999913</v>
      </c>
      <c r="J17" s="64"/>
      <c r="K17" s="16"/>
      <c r="L17" s="92"/>
      <c r="M17" s="64"/>
      <c r="N17" s="16"/>
      <c r="O17" s="92"/>
      <c r="P17" s="64"/>
      <c r="Q17" s="40"/>
      <c r="R17" s="46"/>
      <c r="S17" s="39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22"/>
      <c r="AP17" s="30"/>
    </row>
    <row r="18" spans="1:46" s="4" customFormat="1" ht="17.25" customHeight="1" x14ac:dyDescent="0.25">
      <c r="A18" s="23"/>
      <c r="B18" s="201" t="s">
        <v>13</v>
      </c>
      <c r="C18" s="203"/>
      <c r="D18" s="63"/>
      <c r="E18" s="64"/>
      <c r="F18" s="64"/>
      <c r="G18" s="64"/>
      <c r="H18" s="64"/>
      <c r="I18" s="66"/>
      <c r="J18" s="64"/>
      <c r="K18" s="16"/>
      <c r="L18" s="92"/>
      <c r="M18" s="64"/>
      <c r="N18" s="16"/>
      <c r="O18" s="92"/>
      <c r="P18" s="64"/>
      <c r="Q18" s="40"/>
      <c r="R18" s="46">
        <f>-D18</f>
        <v>0</v>
      </c>
      <c r="S18" s="39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22"/>
      <c r="AP18" s="30"/>
    </row>
    <row r="19" spans="1:46" s="2" customFormat="1" ht="17.25" customHeight="1" x14ac:dyDescent="0.25">
      <c r="A19" s="29"/>
      <c r="B19" s="201" t="s">
        <v>72</v>
      </c>
      <c r="C19" s="202"/>
      <c r="D19" s="63">
        <v>-10000</v>
      </c>
      <c r="E19" s="64"/>
      <c r="F19" s="64">
        <f>-D19</f>
        <v>10000</v>
      </c>
      <c r="G19" s="64"/>
      <c r="H19" s="64"/>
      <c r="I19" s="64"/>
      <c r="J19" s="64"/>
      <c r="K19" s="57"/>
      <c r="L19" s="88"/>
      <c r="M19" s="62"/>
      <c r="N19" s="57"/>
      <c r="O19" s="88"/>
      <c r="P19" s="62"/>
      <c r="Q19" s="47"/>
      <c r="R19" s="39"/>
      <c r="S19" s="39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22"/>
      <c r="AQ19" s="10" t="s">
        <v>4</v>
      </c>
      <c r="AR19" s="11" t="e">
        <v>#REF!</v>
      </c>
    </row>
    <row r="20" spans="1:46" s="4" customFormat="1" ht="17.25" customHeight="1" thickBot="1" x14ac:dyDescent="0.3">
      <c r="A20" s="24"/>
      <c r="B20" s="246"/>
      <c r="C20" s="246"/>
      <c r="D20" s="81"/>
      <c r="E20" s="81"/>
      <c r="F20" s="81"/>
      <c r="G20" s="81"/>
      <c r="H20" s="81"/>
      <c r="I20" s="81"/>
      <c r="J20" s="81"/>
      <c r="K20" s="59"/>
      <c r="L20" s="90"/>
      <c r="M20" s="136"/>
      <c r="N20" s="59"/>
      <c r="O20" s="90"/>
      <c r="P20" s="136"/>
      <c r="Q20" s="39"/>
      <c r="R20" s="39"/>
      <c r="S20" s="39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22"/>
      <c r="AO20" s="43"/>
      <c r="AP20" s="12" t="e">
        <f>#REF!</f>
        <v>#REF!</v>
      </c>
      <c r="AT20" s="2"/>
    </row>
    <row r="21" spans="1:46" s="4" customFormat="1" ht="17.25" customHeight="1" x14ac:dyDescent="0.25">
      <c r="A21" s="23"/>
      <c r="B21" s="212" t="s">
        <v>94</v>
      </c>
      <c r="C21" s="212"/>
      <c r="D21" s="66"/>
      <c r="E21" s="66"/>
      <c r="F21" s="117"/>
      <c r="G21" s="117"/>
      <c r="H21" s="66"/>
      <c r="I21" s="66"/>
      <c r="J21" s="66">
        <f>-M21</f>
        <v>5528.25</v>
      </c>
      <c r="K21" s="58">
        <v>-945</v>
      </c>
      <c r="L21" s="89">
        <v>5.85</v>
      </c>
      <c r="M21" s="73">
        <f>K21*L21</f>
        <v>-5528.25</v>
      </c>
      <c r="N21" s="58"/>
      <c r="O21" s="89"/>
      <c r="P21" s="73"/>
      <c r="Q21" s="39"/>
      <c r="R21" s="39"/>
      <c r="S21" s="8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35"/>
      <c r="AP21" s="12" t="e">
        <f>#REF!</f>
        <v>#REF!</v>
      </c>
    </row>
    <row r="22" spans="1:46" s="4" customFormat="1" ht="17.25" customHeight="1" x14ac:dyDescent="0.25">
      <c r="A22" s="24"/>
      <c r="B22" s="207" t="s">
        <v>95</v>
      </c>
      <c r="C22" s="207"/>
      <c r="D22" s="64"/>
      <c r="E22" s="64"/>
      <c r="F22" s="117"/>
      <c r="G22" s="117"/>
      <c r="H22" s="64"/>
      <c r="I22" s="64"/>
      <c r="J22" s="64">
        <f>-P22</f>
        <v>5825.2300000000005</v>
      </c>
      <c r="K22" s="57"/>
      <c r="L22" s="88"/>
      <c r="M22" s="62"/>
      <c r="N22" s="57">
        <v>-1537</v>
      </c>
      <c r="O22" s="88">
        <v>3.79</v>
      </c>
      <c r="P22" s="62">
        <f>N22*O22</f>
        <v>-5825.2300000000005</v>
      </c>
      <c r="Q22" s="39"/>
      <c r="R22" s="39"/>
      <c r="S22" s="8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35"/>
      <c r="AP22" s="12" t="e">
        <f>#REF!</f>
        <v>#REF!</v>
      </c>
    </row>
    <row r="23" spans="1:46" s="4" customFormat="1" ht="17.25" customHeight="1" x14ac:dyDescent="0.25">
      <c r="A23" s="24"/>
      <c r="B23" s="207" t="s">
        <v>97</v>
      </c>
      <c r="C23" s="207"/>
      <c r="D23" s="64"/>
      <c r="E23" s="64"/>
      <c r="F23" s="64"/>
      <c r="G23" s="64"/>
      <c r="H23" s="64">
        <f>-J23-I23</f>
        <v>4815.04</v>
      </c>
      <c r="I23" s="64">
        <v>6538.44</v>
      </c>
      <c r="J23" s="64">
        <f>-SUM(J21:J22)</f>
        <v>-11353.48</v>
      </c>
      <c r="K23" s="57"/>
      <c r="L23" s="88"/>
      <c r="M23" s="62"/>
      <c r="N23" s="57"/>
      <c r="O23" s="88"/>
      <c r="P23" s="62"/>
      <c r="Q23" s="39"/>
      <c r="R23" s="39"/>
      <c r="S23" s="39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22"/>
      <c r="AO23" s="43"/>
      <c r="AP23" s="12" t="e">
        <f>#REF!</f>
        <v>#REF!</v>
      </c>
      <c r="AT23" s="2"/>
    </row>
    <row r="24" spans="1:46" s="4" customFormat="1" ht="17.25" customHeight="1" x14ac:dyDescent="0.25">
      <c r="A24" s="24"/>
      <c r="B24" s="207" t="s">
        <v>100</v>
      </c>
      <c r="C24" s="207"/>
      <c r="D24" s="64"/>
      <c r="E24" s="64"/>
      <c r="F24" s="64"/>
      <c r="G24" s="64"/>
      <c r="H24" s="64"/>
      <c r="I24" s="64"/>
      <c r="J24" s="64"/>
      <c r="K24" s="57">
        <v>-26</v>
      </c>
      <c r="L24" s="88"/>
      <c r="M24" s="62">
        <f>(K27*((M15)/(K15))-M15-M21)</f>
        <v>635.07233831725898</v>
      </c>
      <c r="N24" s="57">
        <v>82</v>
      </c>
      <c r="O24" s="88"/>
      <c r="P24" s="62">
        <f>(N27*((P15)/(N15))-P15-P22)</f>
        <v>741.99895643999207</v>
      </c>
      <c r="Q24" s="39"/>
      <c r="R24" s="39"/>
      <c r="S24" s="39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22"/>
      <c r="AO24" s="43"/>
      <c r="AP24" s="12" t="e">
        <f>#REF!</f>
        <v>#REF!</v>
      </c>
      <c r="AT24" s="2"/>
    </row>
    <row r="25" spans="1:46" s="4" customFormat="1" ht="17.25" customHeight="1" x14ac:dyDescent="0.25">
      <c r="A25" s="24"/>
      <c r="B25" s="201"/>
      <c r="C25" s="202"/>
      <c r="D25" s="64"/>
      <c r="E25" s="64"/>
      <c r="F25" s="117"/>
      <c r="G25" s="117"/>
      <c r="H25" s="64"/>
      <c r="I25" s="64"/>
      <c r="J25" s="64"/>
      <c r="K25" s="16"/>
      <c r="L25" s="92"/>
      <c r="M25" s="64"/>
      <c r="N25" s="16"/>
      <c r="O25" s="92"/>
      <c r="P25" s="64"/>
      <c r="Q25" s="47"/>
      <c r="R25" s="39"/>
      <c r="S25" s="8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43">
        <f>A16</f>
        <v>45963</v>
      </c>
      <c r="AP25" s="12" t="e">
        <f>#REF!</f>
        <v>#REF!</v>
      </c>
    </row>
    <row r="26" spans="1:46" s="4" customFormat="1" ht="17.25" customHeight="1" thickBot="1" x14ac:dyDescent="0.3">
      <c r="A26" s="32"/>
      <c r="B26" s="101" t="s">
        <v>102</v>
      </c>
      <c r="C26" s="102">
        <f>D27+E27+F27+G27+H27+I27+J27+M27+P27</f>
        <v>137093.13704</v>
      </c>
      <c r="D26" s="96"/>
      <c r="E26" s="85"/>
      <c r="F26" s="120"/>
      <c r="G26" s="120"/>
      <c r="H26" s="85"/>
      <c r="I26" s="85"/>
      <c r="J26" s="85"/>
      <c r="K26" s="28"/>
      <c r="L26" s="112"/>
      <c r="M26" s="85"/>
      <c r="N26" s="28"/>
      <c r="O26" s="112"/>
      <c r="P26" s="85"/>
      <c r="Q26" s="113"/>
      <c r="R26" s="51"/>
      <c r="S26" s="87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42">
        <f>SUM($Q15:AN26)</f>
        <v>-446041.91000000003</v>
      </c>
      <c r="AP26" s="2"/>
      <c r="AQ26" s="33"/>
      <c r="AR26" s="27"/>
      <c r="AS26" s="2" t="s">
        <v>5</v>
      </c>
    </row>
    <row r="27" spans="1:46" s="2" customFormat="1" ht="17.25" customHeight="1" thickTop="1" thickBot="1" x14ac:dyDescent="0.3">
      <c r="A27" s="103"/>
      <c r="B27" s="104" t="s">
        <v>103</v>
      </c>
      <c r="C27" s="105">
        <f>AO27</f>
        <v>-308948.77296000003</v>
      </c>
      <c r="D27" s="106">
        <f t="shared" ref="D27:K27" si="2">SUM(D15:D26)</f>
        <v>67.017039999995177</v>
      </c>
      <c r="E27" s="107">
        <f t="shared" si="2"/>
        <v>-22339.080000000009</v>
      </c>
      <c r="F27" s="107">
        <f t="shared" si="2"/>
        <v>30600</v>
      </c>
      <c r="G27" s="107">
        <f t="shared" si="2"/>
        <v>0</v>
      </c>
      <c r="H27" s="107">
        <f t="shared" si="2"/>
        <v>19502.899999999998</v>
      </c>
      <c r="I27" s="107">
        <f t="shared" si="2"/>
        <v>6538.44</v>
      </c>
      <c r="J27" s="107">
        <f t="shared" si="2"/>
        <v>0</v>
      </c>
      <c r="K27" s="108">
        <f t="shared" si="2"/>
        <v>10332</v>
      </c>
      <c r="L27" s="109">
        <f>M27/K27</f>
        <v>5.0393176538908246</v>
      </c>
      <c r="M27" s="107">
        <f>ROUND(SUM(M15:M26),2)</f>
        <v>52066.23</v>
      </c>
      <c r="N27" s="108">
        <f>SUM(N15:N26)</f>
        <v>14500</v>
      </c>
      <c r="O27" s="114">
        <f>P27/N27</f>
        <v>3.4936296551724135</v>
      </c>
      <c r="P27" s="107">
        <f>ROUND(SUM(P15:P26),2)</f>
        <v>50657.63</v>
      </c>
      <c r="Q27" s="115">
        <f t="shared" ref="Q27:AN27" si="3">SUM(Q15:Q26)</f>
        <v>-423778.33</v>
      </c>
      <c r="R27" s="107">
        <f t="shared" si="3"/>
        <v>37928.519999999997</v>
      </c>
      <c r="S27" s="107">
        <f t="shared" si="3"/>
        <v>0</v>
      </c>
      <c r="T27" s="107">
        <f t="shared" si="3"/>
        <v>-12858.76</v>
      </c>
      <c r="U27" s="107">
        <f t="shared" si="3"/>
        <v>-35100</v>
      </c>
      <c r="V27" s="107">
        <f t="shared" si="3"/>
        <v>-12233.34</v>
      </c>
      <c r="W27" s="107">
        <f t="shared" si="3"/>
        <v>0</v>
      </c>
      <c r="X27" s="107">
        <f t="shared" si="3"/>
        <v>0</v>
      </c>
      <c r="Y27" s="107">
        <f t="shared" si="3"/>
        <v>0</v>
      </c>
      <c r="Z27" s="107">
        <f t="shared" si="3"/>
        <v>0</v>
      </c>
      <c r="AA27" s="107">
        <f t="shared" si="3"/>
        <v>0</v>
      </c>
      <c r="AB27" s="107">
        <f t="shared" si="3"/>
        <v>0</v>
      </c>
      <c r="AC27" s="107">
        <f t="shared" si="3"/>
        <v>0</v>
      </c>
      <c r="AD27" s="107">
        <f t="shared" si="3"/>
        <v>0</v>
      </c>
      <c r="AE27" s="107">
        <f t="shared" si="3"/>
        <v>0</v>
      </c>
      <c r="AF27" s="107">
        <f t="shared" si="3"/>
        <v>0</v>
      </c>
      <c r="AG27" s="107">
        <f t="shared" si="3"/>
        <v>0</v>
      </c>
      <c r="AH27" s="107">
        <f t="shared" si="3"/>
        <v>0</v>
      </c>
      <c r="AI27" s="107">
        <f t="shared" si="3"/>
        <v>0</v>
      </c>
      <c r="AJ27" s="107">
        <f t="shared" si="3"/>
        <v>0</v>
      </c>
      <c r="AK27" s="107">
        <f t="shared" si="3"/>
        <v>0</v>
      </c>
      <c r="AL27" s="107">
        <f t="shared" si="3"/>
        <v>0</v>
      </c>
      <c r="AM27" s="107">
        <f t="shared" si="3"/>
        <v>0</v>
      </c>
      <c r="AN27" s="107">
        <f t="shared" si="3"/>
        <v>0</v>
      </c>
      <c r="AO27" s="111">
        <f>D27+E27+F27+G27+H27+I27+J27+M27+P27+SUM(Q27:AN27)</f>
        <v>-308948.77296000003</v>
      </c>
      <c r="AP27" s="4"/>
      <c r="AQ27" s="5"/>
      <c r="AR27" s="5"/>
      <c r="AS27" s="2" t="s">
        <v>6</v>
      </c>
    </row>
    <row r="28" spans="1:46" s="2" customFormat="1" ht="17.25" customHeight="1" thickTop="1" x14ac:dyDescent="0.25">
      <c r="A28" s="23">
        <f>A16+1</f>
        <v>45964</v>
      </c>
      <c r="B28" s="210" t="s">
        <v>64</v>
      </c>
      <c r="C28" s="203"/>
      <c r="D28" s="63">
        <v>6358.67</v>
      </c>
      <c r="E28" s="66"/>
      <c r="F28" s="66"/>
      <c r="G28" s="66"/>
      <c r="H28" s="66"/>
      <c r="I28" s="64">
        <f>-D28</f>
        <v>-6358.67</v>
      </c>
      <c r="J28" s="66"/>
      <c r="K28" s="18"/>
      <c r="L28" s="91"/>
      <c r="M28" s="66"/>
      <c r="N28" s="18"/>
      <c r="O28" s="91"/>
      <c r="P28" s="66"/>
      <c r="Q28" s="46"/>
      <c r="R28" s="46"/>
      <c r="S28" s="45"/>
      <c r="T28" s="18"/>
      <c r="U28" s="18"/>
      <c r="V28" s="18"/>
      <c r="W28" s="18"/>
      <c r="X28" s="18"/>
      <c r="Y28" s="14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7"/>
      <c r="AO28" s="13"/>
      <c r="AQ28" s="10"/>
      <c r="AR28" s="27"/>
    </row>
    <row r="29" spans="1:46" s="4" customFormat="1" ht="17.25" customHeight="1" x14ac:dyDescent="0.25">
      <c r="A29" s="23"/>
      <c r="B29" s="201" t="s">
        <v>96</v>
      </c>
      <c r="C29" s="202"/>
      <c r="D29" s="63"/>
      <c r="E29" s="64"/>
      <c r="F29" s="64"/>
      <c r="G29" s="64"/>
      <c r="H29" s="64"/>
      <c r="I29" s="64">
        <f>-I27-I28</f>
        <v>-179.76999999999953</v>
      </c>
      <c r="J29" s="64"/>
      <c r="K29" s="16"/>
      <c r="L29" s="92"/>
      <c r="M29" s="64"/>
      <c r="N29" s="16"/>
      <c r="O29" s="92"/>
      <c r="P29" s="64"/>
      <c r="Q29" s="40"/>
      <c r="R29" s="46"/>
      <c r="S29" s="39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22"/>
      <c r="AP29" s="30"/>
    </row>
    <row r="30" spans="1:46" s="2" customFormat="1" ht="17.25" customHeight="1" x14ac:dyDescent="0.25">
      <c r="A30" s="29"/>
      <c r="B30" s="201" t="s">
        <v>72</v>
      </c>
      <c r="C30" s="202"/>
      <c r="D30" s="63">
        <v>-6400</v>
      </c>
      <c r="E30" s="64"/>
      <c r="F30" s="64">
        <f>-D30</f>
        <v>6400</v>
      </c>
      <c r="G30" s="64"/>
      <c r="H30" s="64"/>
      <c r="I30" s="64"/>
      <c r="J30" s="64"/>
      <c r="K30" s="57"/>
      <c r="L30" s="88"/>
      <c r="M30" s="62"/>
      <c r="N30" s="57"/>
      <c r="O30" s="88"/>
      <c r="P30" s="62"/>
      <c r="Q30" s="47"/>
      <c r="R30" s="39"/>
      <c r="S30" s="39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22"/>
      <c r="AQ30" s="10" t="s">
        <v>4</v>
      </c>
      <c r="AR30" s="11" t="e">
        <v>#REF!</v>
      </c>
    </row>
    <row r="31" spans="1:46" s="2" customFormat="1" ht="17.25" customHeight="1" x14ac:dyDescent="0.25">
      <c r="A31" s="29"/>
      <c r="B31" s="201" t="s">
        <v>13</v>
      </c>
      <c r="C31" s="203"/>
      <c r="D31" s="63"/>
      <c r="E31" s="64">
        <f>-18952.16+64.89-E27</f>
        <v>3451.8100000000086</v>
      </c>
      <c r="F31" s="64"/>
      <c r="G31" s="64"/>
      <c r="H31" s="64">
        <f>-E31</f>
        <v>-3451.8100000000086</v>
      </c>
      <c r="I31" s="64"/>
      <c r="J31" s="64"/>
      <c r="K31" s="57"/>
      <c r="L31" s="88"/>
      <c r="M31" s="62"/>
      <c r="N31" s="57"/>
      <c r="O31" s="88"/>
      <c r="P31" s="62"/>
      <c r="Q31" s="46"/>
      <c r="R31" s="46"/>
      <c r="S31" s="39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22"/>
      <c r="AQ31" s="10" t="s">
        <v>4</v>
      </c>
      <c r="AR31" s="11" t="e">
        <v>#REF!</v>
      </c>
    </row>
    <row r="32" spans="1:46" s="2" customFormat="1" ht="17.25" customHeight="1" x14ac:dyDescent="0.25">
      <c r="A32" s="29"/>
      <c r="B32" s="201" t="s">
        <v>301</v>
      </c>
      <c r="C32" s="203"/>
      <c r="D32" s="63"/>
      <c r="E32" s="64">
        <v>-64.89</v>
      </c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40"/>
      <c r="R32" s="46"/>
      <c r="S32" s="39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22"/>
      <c r="AQ32" s="10"/>
      <c r="AR32" s="11"/>
    </row>
    <row r="33" spans="1:46" s="2" customFormat="1" ht="17.25" customHeight="1" x14ac:dyDescent="0.2">
      <c r="A33" s="23"/>
      <c r="B33" s="205" t="s">
        <v>271</v>
      </c>
      <c r="C33" s="206"/>
      <c r="D33" s="64"/>
      <c r="E33" s="64"/>
      <c r="F33" s="64">
        <v>-35100</v>
      </c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39"/>
      <c r="R33" s="39"/>
      <c r="S33" s="39"/>
      <c r="T33" s="16"/>
      <c r="U33" s="16">
        <f>-F33</f>
        <v>35100</v>
      </c>
      <c r="V33" s="16"/>
      <c r="W33" s="16"/>
      <c r="X33" s="16"/>
      <c r="Y33" s="19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35"/>
      <c r="AQ33" s="10"/>
      <c r="AR33" s="27"/>
    </row>
    <row r="34" spans="1:46" s="4" customFormat="1" ht="17.25" customHeight="1" thickBot="1" x14ac:dyDescent="0.25">
      <c r="A34" s="23"/>
      <c r="B34" s="216"/>
      <c r="C34" s="242"/>
      <c r="D34" s="83"/>
      <c r="E34" s="81"/>
      <c r="F34" s="81"/>
      <c r="G34" s="81"/>
      <c r="H34" s="81"/>
      <c r="I34" s="81"/>
      <c r="J34" s="81"/>
      <c r="K34" s="37"/>
      <c r="L34" s="93"/>
      <c r="M34" s="81"/>
      <c r="N34" s="37"/>
      <c r="O34" s="93"/>
      <c r="P34" s="81"/>
      <c r="Q34" s="46"/>
      <c r="R34" s="46"/>
      <c r="S34" s="39"/>
      <c r="T34" s="16"/>
      <c r="U34" s="16"/>
      <c r="V34" s="16"/>
      <c r="W34" s="16"/>
      <c r="X34" s="16"/>
      <c r="Y34" s="19"/>
      <c r="Z34" s="16"/>
      <c r="AA34" s="16"/>
      <c r="AB34" s="16"/>
      <c r="AC34" s="16"/>
      <c r="AD34" s="16"/>
      <c r="AE34" s="16"/>
      <c r="AF34" s="16"/>
      <c r="AG34" s="16"/>
      <c r="AH34" s="16"/>
      <c r="AI34" s="44"/>
      <c r="AJ34" s="16"/>
      <c r="AK34" s="16"/>
      <c r="AL34" s="16"/>
      <c r="AM34" s="16"/>
      <c r="AN34" s="16"/>
      <c r="AO34" s="44"/>
    </row>
    <row r="35" spans="1:46" s="4" customFormat="1" ht="17.25" customHeight="1" x14ac:dyDescent="0.25">
      <c r="A35" s="23"/>
      <c r="B35" s="210" t="s">
        <v>94</v>
      </c>
      <c r="C35" s="203"/>
      <c r="D35" s="66"/>
      <c r="E35" s="66"/>
      <c r="F35" s="117"/>
      <c r="G35" s="117"/>
      <c r="H35" s="66"/>
      <c r="I35" s="66"/>
      <c r="J35" s="66">
        <f>-M35</f>
        <v>7914.93</v>
      </c>
      <c r="K35" s="58">
        <v>-1367</v>
      </c>
      <c r="L35" s="89">
        <v>5.79</v>
      </c>
      <c r="M35" s="73">
        <f>K35*L35</f>
        <v>-7914.93</v>
      </c>
      <c r="N35" s="58"/>
      <c r="O35" s="89"/>
      <c r="P35" s="73"/>
      <c r="Q35" s="39"/>
      <c r="R35" s="39"/>
      <c r="S35" s="8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35"/>
      <c r="AP35" s="12" t="e">
        <f>#REF!</f>
        <v>#REF!</v>
      </c>
    </row>
    <row r="36" spans="1:46" s="4" customFormat="1" ht="17.25" customHeight="1" x14ac:dyDescent="0.25">
      <c r="A36" s="23"/>
      <c r="B36" s="201" t="s">
        <v>95</v>
      </c>
      <c r="C36" s="202"/>
      <c r="D36" s="64"/>
      <c r="E36" s="64"/>
      <c r="F36" s="117"/>
      <c r="G36" s="117"/>
      <c r="H36" s="64"/>
      <c r="I36" s="64"/>
      <c r="J36" s="64">
        <f>-P36</f>
        <v>8273.57</v>
      </c>
      <c r="K36" s="57"/>
      <c r="L36" s="88"/>
      <c r="M36" s="62"/>
      <c r="N36" s="57">
        <v>-2183</v>
      </c>
      <c r="O36" s="88">
        <v>3.79</v>
      </c>
      <c r="P36" s="62">
        <f>N36*O36</f>
        <v>-8273.57</v>
      </c>
      <c r="Q36" s="39"/>
      <c r="R36" s="39"/>
      <c r="S36" s="8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35"/>
      <c r="AP36" s="12" t="e">
        <f>#REF!</f>
        <v>#REF!</v>
      </c>
    </row>
    <row r="37" spans="1:46" s="4" customFormat="1" ht="17.25" customHeight="1" x14ac:dyDescent="0.25">
      <c r="A37" s="23"/>
      <c r="B37" s="201" t="s">
        <v>97</v>
      </c>
      <c r="C37" s="203"/>
      <c r="D37" s="64"/>
      <c r="E37" s="64"/>
      <c r="F37" s="64"/>
      <c r="G37" s="64"/>
      <c r="H37" s="64">
        <f>-J37-I37</f>
        <v>5065.7900000000009</v>
      </c>
      <c r="I37" s="64">
        <v>11122.71</v>
      </c>
      <c r="J37" s="64">
        <f>-SUM(J35:J36)</f>
        <v>-16188.5</v>
      </c>
      <c r="K37" s="57"/>
      <c r="L37" s="88"/>
      <c r="M37" s="62"/>
      <c r="N37" s="57"/>
      <c r="O37" s="88"/>
      <c r="P37" s="62"/>
      <c r="Q37" s="39"/>
      <c r="R37" s="39"/>
      <c r="S37" s="39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22"/>
      <c r="AO37" s="43">
        <f>A18</f>
        <v>0</v>
      </c>
      <c r="AP37" s="12" t="e">
        <f>#REF!</f>
        <v>#REF!</v>
      </c>
      <c r="AT37" s="2"/>
    </row>
    <row r="38" spans="1:46" s="4" customFormat="1" ht="17.25" customHeight="1" x14ac:dyDescent="0.25">
      <c r="A38" s="23"/>
      <c r="B38" s="201" t="s">
        <v>93</v>
      </c>
      <c r="C38" s="202"/>
      <c r="D38" s="64"/>
      <c r="E38" s="64"/>
      <c r="F38" s="64"/>
      <c r="G38" s="64"/>
      <c r="H38" s="64"/>
      <c r="I38" s="64"/>
      <c r="J38" s="64"/>
      <c r="K38" s="57">
        <v>35</v>
      </c>
      <c r="L38" s="88"/>
      <c r="M38" s="62">
        <f>(K41*((M27)/(K27))-M27-M35)</f>
        <v>1202.5588850174172</v>
      </c>
      <c r="N38" s="57">
        <v>3</v>
      </c>
      <c r="O38" s="88"/>
      <c r="P38" s="62">
        <f>(N41*((P27)/(N27))-P27-P36)</f>
        <v>657.45735172413697</v>
      </c>
      <c r="Q38" s="39"/>
      <c r="R38" s="39"/>
      <c r="S38" s="39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22"/>
      <c r="AO38" s="43">
        <f>A17</f>
        <v>0</v>
      </c>
      <c r="AP38" s="12" t="e">
        <f>#REF!</f>
        <v>#REF!</v>
      </c>
      <c r="AT38" s="2"/>
    </row>
    <row r="39" spans="1:46" s="4" customFormat="1" ht="17.25" customHeight="1" x14ac:dyDescent="0.2">
      <c r="A39" s="23"/>
      <c r="B39" s="201"/>
      <c r="C39" s="202"/>
      <c r="D39" s="63"/>
      <c r="E39" s="64"/>
      <c r="F39" s="64"/>
      <c r="G39" s="64"/>
      <c r="H39" s="64"/>
      <c r="I39" s="64"/>
      <c r="J39" s="64"/>
      <c r="K39" s="16"/>
      <c r="L39" s="92"/>
      <c r="M39" s="64"/>
      <c r="N39" s="16"/>
      <c r="O39" s="92"/>
      <c r="P39" s="64"/>
      <c r="Q39" s="46"/>
      <c r="R39" s="46"/>
      <c r="S39" s="39"/>
      <c r="T39" s="16"/>
      <c r="U39" s="16"/>
      <c r="V39" s="16"/>
      <c r="W39" s="16"/>
      <c r="X39" s="16"/>
      <c r="Y39" s="19"/>
      <c r="Z39" s="16"/>
      <c r="AA39" s="16"/>
      <c r="AB39" s="16"/>
      <c r="AC39" s="16"/>
      <c r="AD39" s="16"/>
      <c r="AE39" s="16"/>
      <c r="AF39" s="16"/>
      <c r="AG39" s="16"/>
      <c r="AH39" s="16"/>
      <c r="AI39" s="44"/>
      <c r="AJ39" s="16"/>
      <c r="AK39" s="16"/>
      <c r="AL39" s="16"/>
      <c r="AM39" s="16"/>
      <c r="AN39" s="16"/>
      <c r="AO39" s="44"/>
    </row>
    <row r="40" spans="1:46" s="2" customFormat="1" ht="17.25" customHeight="1" thickBot="1" x14ac:dyDescent="0.3">
      <c r="A40" s="32"/>
      <c r="B40" s="101" t="s">
        <v>102</v>
      </c>
      <c r="C40" s="102">
        <f>D41+E41+F41+G41+H41+I41+J41+M41+P41</f>
        <v>103608.49703999999</v>
      </c>
      <c r="D40" s="96"/>
      <c r="E40" s="85"/>
      <c r="F40" s="85"/>
      <c r="G40" s="85"/>
      <c r="H40" s="85"/>
      <c r="I40" s="85"/>
      <c r="J40" s="85"/>
      <c r="K40" s="28"/>
      <c r="L40" s="112"/>
      <c r="M40" s="85"/>
      <c r="N40" s="28"/>
      <c r="O40" s="112"/>
      <c r="P40" s="85"/>
      <c r="Q40" s="113"/>
      <c r="R40" s="51"/>
      <c r="S40" s="51"/>
      <c r="T40" s="28"/>
      <c r="U40" s="28"/>
      <c r="V40" s="28"/>
      <c r="W40" s="3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100"/>
      <c r="AO40" s="42">
        <f>SUM($Q27:AN40)</f>
        <v>-410941.91000000003</v>
      </c>
      <c r="AQ40" s="33"/>
      <c r="AR40" s="27"/>
      <c r="AS40" s="2" t="s">
        <v>5</v>
      </c>
    </row>
    <row r="41" spans="1:46" s="2" customFormat="1" ht="17.25" customHeight="1" thickTop="1" thickBot="1" x14ac:dyDescent="0.3">
      <c r="A41" s="103"/>
      <c r="B41" s="104" t="s">
        <v>103</v>
      </c>
      <c r="C41" s="105">
        <f>AO41</f>
        <v>-307333.41296000005</v>
      </c>
      <c r="D41" s="106">
        <f t="shared" ref="D41:K41" si="4">SUM(D27:D40)</f>
        <v>25.68703999999525</v>
      </c>
      <c r="E41" s="107">
        <f t="shared" si="4"/>
        <v>-18952.16</v>
      </c>
      <c r="F41" s="107">
        <f t="shared" si="4"/>
        <v>1900</v>
      </c>
      <c r="G41" s="107">
        <f t="shared" si="4"/>
        <v>0</v>
      </c>
      <c r="H41" s="107">
        <f t="shared" si="4"/>
        <v>21116.87999999999</v>
      </c>
      <c r="I41" s="107">
        <f t="shared" si="4"/>
        <v>11122.71</v>
      </c>
      <c r="J41" s="107">
        <f t="shared" si="4"/>
        <v>0</v>
      </c>
      <c r="K41" s="108">
        <f t="shared" si="4"/>
        <v>9000</v>
      </c>
      <c r="L41" s="109">
        <f>M41/K41</f>
        <v>5.0393177777777778</v>
      </c>
      <c r="M41" s="107">
        <f>ROUND(SUM(M27:M40),2)</f>
        <v>45353.86</v>
      </c>
      <c r="N41" s="108">
        <f>SUM(N27:N40)</f>
        <v>12320</v>
      </c>
      <c r="O41" s="109">
        <f>P41/N41</f>
        <v>3.4936298701298698</v>
      </c>
      <c r="P41" s="107">
        <f>ROUND(SUM(P27:P40),2)</f>
        <v>43041.52</v>
      </c>
      <c r="Q41" s="115">
        <f t="shared" ref="Q41:AN41" si="5">SUM(Q27:Q40)</f>
        <v>-423778.33</v>
      </c>
      <c r="R41" s="107">
        <f t="shared" si="5"/>
        <v>37928.519999999997</v>
      </c>
      <c r="S41" s="107">
        <f t="shared" si="5"/>
        <v>0</v>
      </c>
      <c r="T41" s="107">
        <f t="shared" si="5"/>
        <v>-12858.76</v>
      </c>
      <c r="U41" s="107">
        <f t="shared" si="5"/>
        <v>0</v>
      </c>
      <c r="V41" s="107">
        <f t="shared" si="5"/>
        <v>-12233.34</v>
      </c>
      <c r="W41" s="107">
        <f t="shared" si="5"/>
        <v>0</v>
      </c>
      <c r="X41" s="107">
        <f t="shared" si="5"/>
        <v>0</v>
      </c>
      <c r="Y41" s="107">
        <f t="shared" si="5"/>
        <v>0</v>
      </c>
      <c r="Z41" s="107">
        <f t="shared" si="5"/>
        <v>0</v>
      </c>
      <c r="AA41" s="107">
        <f t="shared" si="5"/>
        <v>0</v>
      </c>
      <c r="AB41" s="107">
        <f t="shared" si="5"/>
        <v>0</v>
      </c>
      <c r="AC41" s="107">
        <f t="shared" si="5"/>
        <v>0</v>
      </c>
      <c r="AD41" s="107">
        <f t="shared" si="5"/>
        <v>0</v>
      </c>
      <c r="AE41" s="107">
        <f t="shared" si="5"/>
        <v>0</v>
      </c>
      <c r="AF41" s="107">
        <f t="shared" si="5"/>
        <v>0</v>
      </c>
      <c r="AG41" s="107">
        <f t="shared" si="5"/>
        <v>0</v>
      </c>
      <c r="AH41" s="107">
        <f t="shared" si="5"/>
        <v>0</v>
      </c>
      <c r="AI41" s="107">
        <f t="shared" si="5"/>
        <v>0</v>
      </c>
      <c r="AJ41" s="107">
        <f t="shared" si="5"/>
        <v>0</v>
      </c>
      <c r="AK41" s="107">
        <f t="shared" si="5"/>
        <v>0</v>
      </c>
      <c r="AL41" s="107">
        <f t="shared" si="5"/>
        <v>0</v>
      </c>
      <c r="AM41" s="107">
        <f t="shared" si="5"/>
        <v>0</v>
      </c>
      <c r="AN41" s="107">
        <f t="shared" si="5"/>
        <v>0</v>
      </c>
      <c r="AO41" s="111">
        <f>D41+E41+F41+G41+H41+I41+J41+M41+P41+SUM(Q41:AN41)</f>
        <v>-307333.41296000005</v>
      </c>
      <c r="AP41" s="4"/>
      <c r="AQ41" s="5"/>
      <c r="AR41" s="5"/>
      <c r="AS41" s="2" t="s">
        <v>6</v>
      </c>
    </row>
    <row r="42" spans="1:46" s="2" customFormat="1" ht="17.25" customHeight="1" thickTop="1" x14ac:dyDescent="0.25">
      <c r="A42" s="23">
        <f>A28+1</f>
        <v>45965</v>
      </c>
      <c r="B42" s="201" t="s">
        <v>64</v>
      </c>
      <c r="C42" s="203"/>
      <c r="D42" s="63">
        <v>10857.77</v>
      </c>
      <c r="E42" s="64"/>
      <c r="F42" s="64"/>
      <c r="G42" s="64"/>
      <c r="H42" s="64"/>
      <c r="I42" s="64">
        <f>-D42</f>
        <v>-10857.77</v>
      </c>
      <c r="J42" s="66"/>
      <c r="K42" s="18"/>
      <c r="L42" s="91"/>
      <c r="M42" s="66"/>
      <c r="N42" s="18"/>
      <c r="O42" s="91"/>
      <c r="P42" s="66"/>
      <c r="Q42" s="46"/>
      <c r="R42" s="46"/>
      <c r="S42" s="45"/>
      <c r="T42" s="18"/>
      <c r="U42" s="18"/>
      <c r="V42" s="18"/>
      <c r="W42" s="18"/>
      <c r="X42" s="18"/>
      <c r="Y42" s="14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7"/>
      <c r="AO42" s="31"/>
      <c r="AQ42" s="10"/>
      <c r="AR42" s="27"/>
    </row>
    <row r="43" spans="1:46" s="2" customFormat="1" ht="17.25" customHeight="1" x14ac:dyDescent="0.25">
      <c r="A43" s="24"/>
      <c r="B43" s="201" t="s">
        <v>96</v>
      </c>
      <c r="C43" s="202"/>
      <c r="D43" s="63"/>
      <c r="E43" s="64"/>
      <c r="F43" s="64"/>
      <c r="G43" s="64"/>
      <c r="H43" s="64"/>
      <c r="I43" s="64">
        <f>-I41-I42</f>
        <v>-264.93999999999869</v>
      </c>
      <c r="J43" s="64"/>
      <c r="K43" s="16"/>
      <c r="L43" s="92"/>
      <c r="M43" s="64"/>
      <c r="N43" s="16"/>
      <c r="O43" s="92"/>
      <c r="P43" s="64"/>
      <c r="Q43" s="46"/>
      <c r="R43" s="40"/>
      <c r="S43" s="39"/>
      <c r="T43" s="16"/>
      <c r="U43" s="16"/>
      <c r="V43" s="16"/>
      <c r="W43" s="16"/>
      <c r="X43" s="16"/>
      <c r="Y43" s="19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22"/>
      <c r="AQ43" s="10"/>
      <c r="AR43" s="11"/>
    </row>
    <row r="44" spans="1:46" s="2" customFormat="1" ht="17.25" customHeight="1" x14ac:dyDescent="0.25">
      <c r="A44" s="29"/>
      <c r="B44" s="201" t="s">
        <v>72</v>
      </c>
      <c r="C44" s="202"/>
      <c r="D44" s="63">
        <v>-10800</v>
      </c>
      <c r="E44" s="64"/>
      <c r="F44" s="64">
        <f>-D44</f>
        <v>10800</v>
      </c>
      <c r="G44" s="64"/>
      <c r="H44" s="64"/>
      <c r="I44" s="64"/>
      <c r="J44" s="64"/>
      <c r="K44" s="57"/>
      <c r="L44" s="88"/>
      <c r="M44" s="62"/>
      <c r="N44" s="57"/>
      <c r="O44" s="88"/>
      <c r="P44" s="62"/>
      <c r="Q44" s="47"/>
      <c r="R44" s="39"/>
      <c r="S44" s="39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22"/>
      <c r="AQ44" s="10" t="s">
        <v>4</v>
      </c>
      <c r="AR44" s="11" t="e">
        <v>#REF!</v>
      </c>
    </row>
    <row r="45" spans="1:46" s="2" customFormat="1" ht="17.25" customHeight="1" x14ac:dyDescent="0.25">
      <c r="A45" s="29"/>
      <c r="B45" s="201" t="s">
        <v>13</v>
      </c>
      <c r="C45" s="203"/>
      <c r="D45" s="63"/>
      <c r="E45" s="64">
        <f>-17958.79+232.07+92.5+18952.16</f>
        <v>1317.9399999999987</v>
      </c>
      <c r="F45" s="64"/>
      <c r="G45" s="64"/>
      <c r="H45" s="64">
        <f>-E45</f>
        <v>-1317.9399999999987</v>
      </c>
      <c r="I45" s="64"/>
      <c r="J45" s="64"/>
      <c r="K45" s="57"/>
      <c r="L45" s="88"/>
      <c r="M45" s="62"/>
      <c r="N45" s="57"/>
      <c r="O45" s="88"/>
      <c r="P45" s="62"/>
      <c r="Q45" s="47"/>
      <c r="R45" s="39"/>
      <c r="S45" s="39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22"/>
      <c r="AQ45" s="10" t="s">
        <v>4</v>
      </c>
      <c r="AR45" s="11" t="e">
        <v>#REF!</v>
      </c>
    </row>
    <row r="46" spans="1:46" s="2" customFormat="1" ht="17.25" customHeight="1" x14ac:dyDescent="0.25">
      <c r="A46" s="24"/>
      <c r="B46" s="201" t="s">
        <v>175</v>
      </c>
      <c r="C46" s="203"/>
      <c r="D46" s="63"/>
      <c r="E46" s="64">
        <v>-92.5</v>
      </c>
      <c r="F46" s="64"/>
      <c r="G46" s="64"/>
      <c r="H46" s="64"/>
      <c r="I46" s="64"/>
      <c r="J46" s="64"/>
      <c r="K46" s="16"/>
      <c r="L46" s="92"/>
      <c r="M46" s="64"/>
      <c r="N46" s="16"/>
      <c r="O46" s="92"/>
      <c r="P46" s="64"/>
      <c r="Q46" s="39"/>
      <c r="R46" s="39"/>
      <c r="S46" s="39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22"/>
      <c r="AQ46" s="10"/>
      <c r="AR46" s="11"/>
    </row>
    <row r="47" spans="1:46" s="2" customFormat="1" ht="17.25" customHeight="1" x14ac:dyDescent="0.25">
      <c r="A47" s="24"/>
      <c r="B47" s="201" t="s">
        <v>176</v>
      </c>
      <c r="C47" s="203"/>
      <c r="D47" s="119"/>
      <c r="E47" s="64">
        <v>-232.07</v>
      </c>
      <c r="F47" s="64"/>
      <c r="G47" s="64"/>
      <c r="H47" s="64"/>
      <c r="I47" s="64"/>
      <c r="J47" s="64"/>
      <c r="K47" s="16"/>
      <c r="L47" s="92"/>
      <c r="M47" s="64"/>
      <c r="N47" s="16"/>
      <c r="O47" s="92"/>
      <c r="P47" s="64"/>
      <c r="Q47" s="39"/>
      <c r="R47" s="39"/>
      <c r="S47" s="39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22"/>
      <c r="AQ47" s="10"/>
      <c r="AR47" s="11"/>
    </row>
    <row r="48" spans="1:46" s="4" customFormat="1" ht="17.25" customHeight="1" thickBot="1" x14ac:dyDescent="0.25">
      <c r="A48" s="23"/>
      <c r="B48" s="216"/>
      <c r="C48" s="242"/>
      <c r="D48" s="83"/>
      <c r="E48" s="81"/>
      <c r="F48" s="81"/>
      <c r="G48" s="81"/>
      <c r="H48" s="81"/>
      <c r="I48" s="81"/>
      <c r="J48" s="81"/>
      <c r="K48" s="37"/>
      <c r="L48" s="93"/>
      <c r="M48" s="81"/>
      <c r="N48" s="37"/>
      <c r="O48" s="93"/>
      <c r="P48" s="81"/>
      <c r="Q48" s="46"/>
      <c r="R48" s="46"/>
      <c r="S48" s="39"/>
      <c r="T48" s="16"/>
      <c r="U48" s="16"/>
      <c r="V48" s="16"/>
      <c r="W48" s="16"/>
      <c r="X48" s="16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44"/>
      <c r="AJ48" s="16"/>
      <c r="AK48" s="16"/>
      <c r="AL48" s="16"/>
      <c r="AM48" s="16"/>
      <c r="AN48" s="16"/>
      <c r="AO48" s="44"/>
    </row>
    <row r="49" spans="1:46" s="4" customFormat="1" ht="17.25" customHeight="1" x14ac:dyDescent="0.25">
      <c r="A49" s="23"/>
      <c r="B49" s="210" t="s">
        <v>94</v>
      </c>
      <c r="C49" s="203"/>
      <c r="D49" s="66"/>
      <c r="E49" s="66"/>
      <c r="F49" s="117"/>
      <c r="G49" s="117"/>
      <c r="H49" s="66"/>
      <c r="I49" s="66"/>
      <c r="J49" s="66">
        <f>-M49</f>
        <v>6943.95</v>
      </c>
      <c r="K49" s="58">
        <v>-1187</v>
      </c>
      <c r="L49" s="89">
        <v>5.85</v>
      </c>
      <c r="M49" s="73">
        <f>K49*L49</f>
        <v>-6943.95</v>
      </c>
      <c r="N49" s="58"/>
      <c r="O49" s="89"/>
      <c r="P49" s="73"/>
      <c r="Q49" s="39"/>
      <c r="R49" s="39"/>
      <c r="S49" s="8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35"/>
      <c r="AP49" s="12" t="e">
        <f>#REF!</f>
        <v>#REF!</v>
      </c>
    </row>
    <row r="50" spans="1:46" s="4" customFormat="1" ht="17.25" customHeight="1" x14ac:dyDescent="0.25">
      <c r="A50" s="23"/>
      <c r="B50" s="201" t="s">
        <v>95</v>
      </c>
      <c r="C50" s="202"/>
      <c r="D50" s="64"/>
      <c r="E50" s="64"/>
      <c r="F50" s="117"/>
      <c r="G50" s="117"/>
      <c r="H50" s="64"/>
      <c r="I50" s="64"/>
      <c r="J50" s="64">
        <f>-P50</f>
        <v>8156.08</v>
      </c>
      <c r="K50" s="57"/>
      <c r="L50" s="88"/>
      <c r="M50" s="62"/>
      <c r="N50" s="57">
        <v>-2152</v>
      </c>
      <c r="O50" s="88">
        <v>3.79</v>
      </c>
      <c r="P50" s="62">
        <f>N50*O50</f>
        <v>-8156.08</v>
      </c>
      <c r="Q50" s="39"/>
      <c r="R50" s="39"/>
      <c r="S50" s="8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35"/>
      <c r="AP50" s="12" t="e">
        <f>#REF!</f>
        <v>#REF!</v>
      </c>
    </row>
    <row r="51" spans="1:46" s="4" customFormat="1" ht="17.25" customHeight="1" x14ac:dyDescent="0.25">
      <c r="A51" s="23"/>
      <c r="B51" s="201" t="s">
        <v>97</v>
      </c>
      <c r="C51" s="203"/>
      <c r="D51" s="64"/>
      <c r="E51" s="64"/>
      <c r="F51" s="64"/>
      <c r="G51" s="64"/>
      <c r="H51" s="64">
        <f>-J51-I51</f>
        <v>5443.0399999999991</v>
      </c>
      <c r="I51" s="64">
        <v>9656.99</v>
      </c>
      <c r="J51" s="64">
        <f>-SUM(J49:J50)</f>
        <v>-15100.029999999999</v>
      </c>
      <c r="K51" s="57"/>
      <c r="L51" s="88"/>
      <c r="M51" s="62"/>
      <c r="N51" s="57"/>
      <c r="O51" s="88"/>
      <c r="P51" s="62"/>
      <c r="Q51" s="39"/>
      <c r="R51" s="39"/>
      <c r="S51" s="39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22"/>
      <c r="AO51" s="43"/>
      <c r="AP51" s="12" t="e">
        <f>#REF!</f>
        <v>#REF!</v>
      </c>
      <c r="AT51" s="2"/>
    </row>
    <row r="52" spans="1:46" s="4" customFormat="1" ht="17.25" customHeight="1" x14ac:dyDescent="0.25">
      <c r="A52" s="23"/>
      <c r="B52" s="201" t="s">
        <v>93</v>
      </c>
      <c r="C52" s="202"/>
      <c r="D52" s="64"/>
      <c r="E52" s="64"/>
      <c r="F52" s="64"/>
      <c r="G52" s="64"/>
      <c r="H52" s="64"/>
      <c r="I52" s="64"/>
      <c r="J52" s="64"/>
      <c r="K52" s="57">
        <v>-55</v>
      </c>
      <c r="L52" s="88"/>
      <c r="M52" s="62">
        <f>(K55*((M41)/(K41))-M41-M49)</f>
        <v>685.11732000000029</v>
      </c>
      <c r="N52" s="57">
        <v>-132</v>
      </c>
      <c r="O52" s="88"/>
      <c r="P52" s="62">
        <f>(N55*((P41)/(N41))-P41-P50)</f>
        <v>176.62937662337754</v>
      </c>
      <c r="Q52" s="39"/>
      <c r="R52" s="39"/>
      <c r="S52" s="39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22"/>
      <c r="AO52" s="43">
        <f>A27</f>
        <v>0</v>
      </c>
      <c r="AP52" s="12" t="e">
        <f>#REF!</f>
        <v>#REF!</v>
      </c>
      <c r="AT52" s="2"/>
    </row>
    <row r="53" spans="1:46" s="2" customFormat="1" ht="17.25" customHeight="1" x14ac:dyDescent="0.2">
      <c r="A53" s="24"/>
      <c r="B53" s="201"/>
      <c r="C53" s="204"/>
      <c r="D53" s="63"/>
      <c r="E53" s="64"/>
      <c r="F53" s="64"/>
      <c r="G53" s="64"/>
      <c r="H53" s="64"/>
      <c r="I53" s="64"/>
      <c r="J53" s="64"/>
      <c r="K53" s="16"/>
      <c r="L53" s="92"/>
      <c r="M53" s="64"/>
      <c r="N53" s="16"/>
      <c r="O53" s="92"/>
      <c r="P53" s="64"/>
      <c r="Q53" s="46"/>
      <c r="R53" s="46"/>
      <c r="S53" s="39"/>
      <c r="T53" s="16"/>
      <c r="U53" s="16"/>
      <c r="V53" s="16"/>
      <c r="W53" s="16"/>
      <c r="X53" s="16"/>
      <c r="Y53" s="19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43">
        <f>A42</f>
        <v>45965</v>
      </c>
      <c r="AQ53" s="10"/>
      <c r="AR53" s="11"/>
    </row>
    <row r="54" spans="1:46" s="2" customFormat="1" ht="17.25" customHeight="1" thickBot="1" x14ac:dyDescent="0.3">
      <c r="A54" s="56"/>
      <c r="B54" s="101" t="s">
        <v>102</v>
      </c>
      <c r="C54" s="102">
        <f>D55+E55+F55+G55+H55+I55+J55+M55+P55</f>
        <v>103880.73703999998</v>
      </c>
      <c r="D54" s="84"/>
      <c r="E54" s="85"/>
      <c r="F54" s="85"/>
      <c r="G54" s="85"/>
      <c r="H54" s="85"/>
      <c r="I54" s="85"/>
      <c r="J54" s="85"/>
      <c r="K54" s="28"/>
      <c r="L54" s="112"/>
      <c r="M54" s="85"/>
      <c r="N54" s="28"/>
      <c r="O54" s="112"/>
      <c r="P54" s="85"/>
      <c r="Q54" s="48"/>
      <c r="R54" s="48"/>
      <c r="S54" s="51"/>
      <c r="T54" s="28"/>
      <c r="U54" s="28"/>
      <c r="V54" s="28"/>
      <c r="W54" s="28"/>
      <c r="X54" s="28"/>
      <c r="Y54" s="36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42">
        <f>SUM($Q41:AN54)</f>
        <v>-410941.91000000003</v>
      </c>
      <c r="AQ54" s="10"/>
      <c r="AR54" s="11"/>
      <c r="AS54" s="2" t="s">
        <v>5</v>
      </c>
    </row>
    <row r="55" spans="1:46" s="2" customFormat="1" ht="17.25" customHeight="1" thickTop="1" thickBot="1" x14ac:dyDescent="0.3">
      <c r="A55" s="103"/>
      <c r="B55" s="104" t="s">
        <v>103</v>
      </c>
      <c r="C55" s="105">
        <f>AO55</f>
        <v>-307061.17296000005</v>
      </c>
      <c r="D55" s="106">
        <f t="shared" ref="D55:K55" si="6">SUM(D41:D54)</f>
        <v>83.457039999995686</v>
      </c>
      <c r="E55" s="107">
        <f t="shared" si="6"/>
        <v>-17958.79</v>
      </c>
      <c r="F55" s="107">
        <f t="shared" si="6"/>
        <v>12700</v>
      </c>
      <c r="G55" s="107">
        <f t="shared" si="6"/>
        <v>0</v>
      </c>
      <c r="H55" s="107">
        <f t="shared" si="6"/>
        <v>25241.979999999989</v>
      </c>
      <c r="I55" s="107">
        <f t="shared" si="6"/>
        <v>9656.99</v>
      </c>
      <c r="J55" s="107">
        <f t="shared" si="6"/>
        <v>0</v>
      </c>
      <c r="K55" s="108">
        <f t="shared" si="6"/>
        <v>7758</v>
      </c>
      <c r="L55" s="109">
        <f>M55/K55</f>
        <v>5.0393181232276358</v>
      </c>
      <c r="M55" s="107">
        <f>ROUND(SUM(M41:M54),2)</f>
        <v>39095.03</v>
      </c>
      <c r="N55" s="108">
        <f>SUM(N41:N54)</f>
        <v>10036</v>
      </c>
      <c r="O55" s="109">
        <f>P55/N55</f>
        <v>3.4936299322439219</v>
      </c>
      <c r="P55" s="107">
        <f>ROUND(SUM(P41:P54),2)</f>
        <v>35062.07</v>
      </c>
      <c r="Q55" s="110">
        <f t="shared" ref="Q55:AN55" si="7">SUM(Q41:Q54)</f>
        <v>-423778.33</v>
      </c>
      <c r="R55" s="107">
        <f t="shared" si="7"/>
        <v>37928.519999999997</v>
      </c>
      <c r="S55" s="107">
        <f t="shared" si="7"/>
        <v>0</v>
      </c>
      <c r="T55" s="107">
        <f t="shared" si="7"/>
        <v>-12858.76</v>
      </c>
      <c r="U55" s="107">
        <f t="shared" si="7"/>
        <v>0</v>
      </c>
      <c r="V55" s="107">
        <f t="shared" si="7"/>
        <v>-12233.34</v>
      </c>
      <c r="W55" s="107">
        <f t="shared" si="7"/>
        <v>0</v>
      </c>
      <c r="X55" s="107">
        <f t="shared" si="7"/>
        <v>0</v>
      </c>
      <c r="Y55" s="107">
        <f t="shared" si="7"/>
        <v>0</v>
      </c>
      <c r="Z55" s="107">
        <f t="shared" si="7"/>
        <v>0</v>
      </c>
      <c r="AA55" s="107">
        <f t="shared" si="7"/>
        <v>0</v>
      </c>
      <c r="AB55" s="107">
        <f t="shared" si="7"/>
        <v>0</v>
      </c>
      <c r="AC55" s="107">
        <f t="shared" si="7"/>
        <v>0</v>
      </c>
      <c r="AD55" s="107">
        <f t="shared" si="7"/>
        <v>0</v>
      </c>
      <c r="AE55" s="107">
        <f t="shared" si="7"/>
        <v>0</v>
      </c>
      <c r="AF55" s="107">
        <f t="shared" si="7"/>
        <v>0</v>
      </c>
      <c r="AG55" s="107">
        <f t="shared" si="7"/>
        <v>0</v>
      </c>
      <c r="AH55" s="107">
        <f t="shared" si="7"/>
        <v>0</v>
      </c>
      <c r="AI55" s="107">
        <f t="shared" si="7"/>
        <v>0</v>
      </c>
      <c r="AJ55" s="107">
        <f t="shared" si="7"/>
        <v>0</v>
      </c>
      <c r="AK55" s="107">
        <f t="shared" si="7"/>
        <v>0</v>
      </c>
      <c r="AL55" s="107">
        <f t="shared" si="7"/>
        <v>0</v>
      </c>
      <c r="AM55" s="107">
        <f t="shared" si="7"/>
        <v>0</v>
      </c>
      <c r="AN55" s="107">
        <f t="shared" si="7"/>
        <v>0</v>
      </c>
      <c r="AO55" s="111">
        <f>D55+E55+F55+G55+H55+I55+J55+M55+P55+SUM(Q55:AN55)</f>
        <v>-307061.17296000005</v>
      </c>
      <c r="AP55" s="4"/>
      <c r="AQ55" s="5"/>
      <c r="AR55" s="5"/>
      <c r="AS55" s="2" t="s">
        <v>6</v>
      </c>
    </row>
    <row r="56" spans="1:46" s="2" customFormat="1" ht="17.25" customHeight="1" thickTop="1" x14ac:dyDescent="0.25">
      <c r="A56" s="23">
        <f>A42+1</f>
        <v>45966</v>
      </c>
      <c r="B56" s="201" t="s">
        <v>64</v>
      </c>
      <c r="C56" s="203"/>
      <c r="D56" s="63">
        <v>9460.31</v>
      </c>
      <c r="E56" s="64"/>
      <c r="F56" s="74"/>
      <c r="G56" s="74"/>
      <c r="H56" s="64"/>
      <c r="I56" s="64">
        <f>-D56</f>
        <v>-9460.31</v>
      </c>
      <c r="J56" s="66"/>
      <c r="K56" s="18"/>
      <c r="L56" s="91"/>
      <c r="M56" s="66"/>
      <c r="N56" s="18"/>
      <c r="O56" s="91"/>
      <c r="P56" s="66"/>
      <c r="Q56" s="46"/>
      <c r="R56" s="46"/>
      <c r="S56" s="45"/>
      <c r="T56" s="18"/>
      <c r="U56" s="18"/>
      <c r="V56" s="18"/>
      <c r="W56" s="18"/>
      <c r="X56" s="18"/>
      <c r="Y56" s="14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7"/>
      <c r="AO56" s="31"/>
      <c r="AQ56" s="10"/>
      <c r="AR56" s="27"/>
    </row>
    <row r="57" spans="1:46" s="2" customFormat="1" ht="17.25" customHeight="1" x14ac:dyDescent="0.25">
      <c r="A57" s="24"/>
      <c r="B57" s="201" t="s">
        <v>96</v>
      </c>
      <c r="C57" s="202"/>
      <c r="D57" s="63"/>
      <c r="E57" s="64"/>
      <c r="F57" s="64"/>
      <c r="G57" s="64"/>
      <c r="H57" s="64"/>
      <c r="I57" s="64">
        <f>-I55-I56</f>
        <v>-196.68000000000029</v>
      </c>
      <c r="J57" s="64"/>
      <c r="K57" s="16"/>
      <c r="L57" s="92"/>
      <c r="M57" s="64"/>
      <c r="N57" s="16"/>
      <c r="O57" s="92"/>
      <c r="P57" s="64"/>
      <c r="Q57" s="46"/>
      <c r="R57" s="40"/>
      <c r="S57" s="39"/>
      <c r="T57" s="16"/>
      <c r="U57" s="16"/>
      <c r="V57" s="16"/>
      <c r="W57" s="16"/>
      <c r="X57" s="16"/>
      <c r="Y57" s="19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22"/>
      <c r="AQ57" s="10"/>
      <c r="AR57" s="11"/>
    </row>
    <row r="58" spans="1:46" s="2" customFormat="1" ht="17.25" customHeight="1" x14ac:dyDescent="0.25">
      <c r="A58" s="29"/>
      <c r="B58" s="201" t="s">
        <v>72</v>
      </c>
      <c r="C58" s="202"/>
      <c r="D58" s="63">
        <v>-9500</v>
      </c>
      <c r="E58" s="64"/>
      <c r="F58" s="64">
        <f>-D58</f>
        <v>9500</v>
      </c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47"/>
      <c r="R58" s="39"/>
      <c r="S58" s="39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22"/>
      <c r="AQ58" s="10" t="s">
        <v>4</v>
      </c>
      <c r="AR58" s="11" t="e">
        <v>#REF!</v>
      </c>
    </row>
    <row r="59" spans="1:46" s="2" customFormat="1" ht="17.25" customHeight="1" x14ac:dyDescent="0.25">
      <c r="A59" s="29"/>
      <c r="B59" s="201" t="s">
        <v>264</v>
      </c>
      <c r="C59" s="202"/>
      <c r="D59" s="63">
        <v>360.1</v>
      </c>
      <c r="E59" s="64"/>
      <c r="F59" s="64"/>
      <c r="G59" s="64"/>
      <c r="H59" s="64">
        <f>-D59</f>
        <v>-360.1</v>
      </c>
      <c r="I59" s="64"/>
      <c r="J59" s="64"/>
      <c r="K59" s="57"/>
      <c r="L59" s="88"/>
      <c r="M59" s="62"/>
      <c r="N59" s="57"/>
      <c r="O59" s="88"/>
      <c r="P59" s="62"/>
      <c r="Q59" s="47"/>
      <c r="R59" s="39"/>
      <c r="S59" s="39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22"/>
      <c r="AQ59" s="10" t="s">
        <v>4</v>
      </c>
      <c r="AR59" s="11" t="e">
        <v>#REF!</v>
      </c>
    </row>
    <row r="60" spans="1:46" s="2" customFormat="1" ht="17.25" customHeight="1" x14ac:dyDescent="0.25">
      <c r="A60" s="29"/>
      <c r="B60" s="201" t="s">
        <v>265</v>
      </c>
      <c r="C60" s="202"/>
      <c r="D60" s="63">
        <v>-2.88</v>
      </c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47"/>
      <c r="R60" s="39"/>
      <c r="S60" s="39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22"/>
      <c r="AQ60" s="10" t="s">
        <v>4</v>
      </c>
      <c r="AR60" s="11" t="e">
        <v>#REF!</v>
      </c>
    </row>
    <row r="61" spans="1:46" s="2" customFormat="1" ht="17.25" customHeight="1" x14ac:dyDescent="0.25">
      <c r="A61" s="29"/>
      <c r="B61" s="201" t="s">
        <v>13</v>
      </c>
      <c r="C61" s="203"/>
      <c r="D61" s="63"/>
      <c r="E61" s="64">
        <f>-20651.02+3214.69+227.53+1366.01+17958.79</f>
        <v>2115.9999999999982</v>
      </c>
      <c r="F61" s="64"/>
      <c r="G61" s="64"/>
      <c r="H61" s="64">
        <f>-E61</f>
        <v>-2115.9999999999982</v>
      </c>
      <c r="I61" s="64"/>
      <c r="J61" s="64"/>
      <c r="K61" s="57"/>
      <c r="L61" s="88"/>
      <c r="M61" s="62"/>
      <c r="N61" s="57"/>
      <c r="O61" s="88"/>
      <c r="P61" s="62"/>
      <c r="Q61" s="47"/>
      <c r="R61" s="39"/>
      <c r="S61" s="39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22"/>
      <c r="AQ61" s="10" t="s">
        <v>4</v>
      </c>
      <c r="AR61" s="11" t="e">
        <v>#REF!</v>
      </c>
    </row>
    <row r="62" spans="1:46" s="2" customFormat="1" ht="17.25" customHeight="1" x14ac:dyDescent="0.25">
      <c r="A62" s="24"/>
      <c r="B62" s="201" t="s">
        <v>254</v>
      </c>
      <c r="C62" s="203"/>
      <c r="D62" s="63"/>
      <c r="E62" s="64">
        <v>-227.53</v>
      </c>
      <c r="F62" s="64"/>
      <c r="G62" s="64"/>
      <c r="H62" s="64"/>
      <c r="I62" s="64"/>
      <c r="J62" s="64"/>
      <c r="K62" s="16"/>
      <c r="L62" s="92"/>
      <c r="M62" s="64"/>
      <c r="N62" s="16"/>
      <c r="O62" s="92"/>
      <c r="P62" s="64"/>
      <c r="Q62" s="39"/>
      <c r="R62" s="39"/>
      <c r="S62" s="39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22"/>
      <c r="AQ62" s="10"/>
      <c r="AR62" s="11"/>
    </row>
    <row r="63" spans="1:46" s="2" customFormat="1" ht="17.25" customHeight="1" x14ac:dyDescent="0.25">
      <c r="A63" s="24"/>
      <c r="B63" s="201" t="s">
        <v>182</v>
      </c>
      <c r="C63" s="203"/>
      <c r="D63" s="119"/>
      <c r="E63" s="64">
        <v>-1366.01</v>
      </c>
      <c r="F63" s="64"/>
      <c r="G63" s="64"/>
      <c r="H63" s="64"/>
      <c r="I63" s="64"/>
      <c r="J63" s="64"/>
      <c r="K63" s="16"/>
      <c r="L63" s="92"/>
      <c r="M63" s="64"/>
      <c r="N63" s="16"/>
      <c r="O63" s="92"/>
      <c r="P63" s="64"/>
      <c r="Q63" s="39"/>
      <c r="R63" s="39"/>
      <c r="S63" s="39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22"/>
      <c r="AQ63" s="10"/>
      <c r="AR63" s="11"/>
    </row>
    <row r="64" spans="1:46" s="2" customFormat="1" ht="17.25" customHeight="1" x14ac:dyDescent="0.25">
      <c r="A64" s="29"/>
      <c r="B64" s="205" t="s">
        <v>253</v>
      </c>
      <c r="C64" s="250"/>
      <c r="D64" s="63"/>
      <c r="E64" s="64">
        <f>-1141.12-5-50-700-20.7-20-20-50-100-170-30-50-50-25-50-732.87</f>
        <v>-3214.6899999999996</v>
      </c>
      <c r="F64" s="64"/>
      <c r="G64" s="64"/>
      <c r="H64" s="64"/>
      <c r="I64" s="64"/>
      <c r="J64" s="64"/>
      <c r="K64" s="57"/>
      <c r="L64" s="88"/>
      <c r="M64" s="62">
        <f>K64*L64</f>
        <v>0</v>
      </c>
      <c r="N64" s="57"/>
      <c r="O64" s="88"/>
      <c r="P64" s="62">
        <f>N64*O64</f>
        <v>0</v>
      </c>
      <c r="Q64" s="47"/>
      <c r="R64" s="39"/>
      <c r="S64" s="39"/>
      <c r="T64" s="20">
        <f>-E64</f>
        <v>3214.6899999999996</v>
      </c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22"/>
      <c r="AQ64" s="10" t="s">
        <v>4</v>
      </c>
      <c r="AR64" s="11" t="e">
        <v>#REF!</v>
      </c>
    </row>
    <row r="65" spans="1:46" s="2" customFormat="1" ht="17.25" customHeight="1" x14ac:dyDescent="0.2">
      <c r="A65" s="23"/>
      <c r="B65" s="201" t="s">
        <v>161</v>
      </c>
      <c r="C65" s="202"/>
      <c r="D65" s="63"/>
      <c r="E65" s="64"/>
      <c r="F65" s="74"/>
      <c r="G65" s="74"/>
      <c r="H65" s="64">
        <v>-791.28</v>
      </c>
      <c r="I65" s="64"/>
      <c r="J65" s="64"/>
      <c r="K65" s="16"/>
      <c r="L65" s="16"/>
      <c r="M65" s="64"/>
      <c r="N65" s="16"/>
      <c r="O65" s="16"/>
      <c r="P65" s="64"/>
      <c r="Q65" s="46"/>
      <c r="R65" s="39"/>
      <c r="S65" s="40"/>
      <c r="T65" s="16"/>
      <c r="U65" s="16"/>
      <c r="V65" s="16"/>
      <c r="W65" s="16"/>
      <c r="X65" s="16"/>
      <c r="Y65" s="19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35"/>
      <c r="AQ65" s="10"/>
      <c r="AR65" s="27"/>
    </row>
    <row r="66" spans="1:46" s="2" customFormat="1" ht="17.25" customHeight="1" x14ac:dyDescent="0.2">
      <c r="A66" s="23"/>
      <c r="B66" s="201" t="s">
        <v>163</v>
      </c>
      <c r="C66" s="202"/>
      <c r="D66" s="63"/>
      <c r="E66" s="64"/>
      <c r="F66" s="74"/>
      <c r="G66" s="74"/>
      <c r="H66" s="64">
        <v>-3835</v>
      </c>
      <c r="I66" s="64"/>
      <c r="J66" s="64"/>
      <c r="K66" s="16"/>
      <c r="L66" s="16"/>
      <c r="M66" s="64"/>
      <c r="N66" s="16"/>
      <c r="O66" s="16"/>
      <c r="P66" s="64"/>
      <c r="Q66" s="46"/>
      <c r="R66" s="39"/>
      <c r="S66" s="40"/>
      <c r="T66" s="16"/>
      <c r="U66" s="16"/>
      <c r="V66" s="16"/>
      <c r="W66" s="16"/>
      <c r="X66" s="16"/>
      <c r="Y66" s="19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35"/>
      <c r="AQ66" s="10"/>
      <c r="AR66" s="27"/>
    </row>
    <row r="67" spans="1:46" s="2" customFormat="1" ht="17.25" customHeight="1" thickBot="1" x14ac:dyDescent="0.25">
      <c r="A67" s="24"/>
      <c r="B67" s="216"/>
      <c r="C67" s="217"/>
      <c r="D67" s="83"/>
      <c r="E67" s="81"/>
      <c r="F67" s="81"/>
      <c r="G67" s="81"/>
      <c r="H67" s="81"/>
      <c r="I67" s="81"/>
      <c r="J67" s="81"/>
      <c r="K67" s="37"/>
      <c r="L67" s="93"/>
      <c r="M67" s="81"/>
      <c r="N67" s="37"/>
      <c r="O67" s="93"/>
      <c r="P67" s="81"/>
      <c r="Q67" s="40"/>
      <c r="R67" s="40"/>
      <c r="S67" s="39"/>
      <c r="T67" s="16"/>
      <c r="U67" s="16"/>
      <c r="V67" s="16"/>
      <c r="W67" s="16"/>
      <c r="X67" s="16"/>
      <c r="Y67" s="19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41"/>
      <c r="AQ67" s="10"/>
      <c r="AR67" s="11"/>
    </row>
    <row r="68" spans="1:46" s="4" customFormat="1" ht="17.25" customHeight="1" x14ac:dyDescent="0.25">
      <c r="A68" s="23"/>
      <c r="B68" s="210" t="s">
        <v>94</v>
      </c>
      <c r="C68" s="203"/>
      <c r="D68" s="66"/>
      <c r="E68" s="66"/>
      <c r="F68" s="117"/>
      <c r="G68" s="117"/>
      <c r="H68" s="66"/>
      <c r="I68" s="66"/>
      <c r="J68" s="66">
        <f>-M68</f>
        <v>6142.5</v>
      </c>
      <c r="K68" s="58">
        <v>-1050</v>
      </c>
      <c r="L68" s="89">
        <v>5.85</v>
      </c>
      <c r="M68" s="73">
        <f>K68*L68</f>
        <v>-6142.5</v>
      </c>
      <c r="N68" s="58"/>
      <c r="O68" s="89"/>
      <c r="P68" s="73"/>
      <c r="Q68" s="39"/>
      <c r="R68" s="39"/>
      <c r="S68" s="8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35"/>
      <c r="AP68" s="12" t="e">
        <f>#REF!</f>
        <v>#REF!</v>
      </c>
    </row>
    <row r="69" spans="1:46" s="4" customFormat="1" ht="17.25" customHeight="1" x14ac:dyDescent="0.25">
      <c r="A69" s="23"/>
      <c r="B69" s="201" t="s">
        <v>95</v>
      </c>
      <c r="C69" s="202"/>
      <c r="D69" s="64"/>
      <c r="E69" s="64"/>
      <c r="F69" s="117"/>
      <c r="G69" s="117"/>
      <c r="H69" s="64"/>
      <c r="I69" s="64"/>
      <c r="J69" s="64">
        <f>-P69</f>
        <v>9285.5</v>
      </c>
      <c r="K69" s="57"/>
      <c r="L69" s="88"/>
      <c r="M69" s="62"/>
      <c r="N69" s="57">
        <v>-2450</v>
      </c>
      <c r="O69" s="88">
        <v>3.79</v>
      </c>
      <c r="P69" s="62">
        <f>N69*O69</f>
        <v>-9285.5</v>
      </c>
      <c r="Q69" s="39"/>
      <c r="R69" s="39"/>
      <c r="S69" s="8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35"/>
      <c r="AP69" s="12" t="e">
        <f>#REF!</f>
        <v>#REF!</v>
      </c>
    </row>
    <row r="70" spans="1:46" s="4" customFormat="1" ht="17.25" customHeight="1" x14ac:dyDescent="0.25">
      <c r="A70" s="23"/>
      <c r="B70" s="201" t="s">
        <v>97</v>
      </c>
      <c r="C70" s="203"/>
      <c r="D70" s="64"/>
      <c r="E70" s="64"/>
      <c r="F70" s="64"/>
      <c r="G70" s="64"/>
      <c r="H70" s="64">
        <f>-J70-I70</f>
        <v>5750.2999999999993</v>
      </c>
      <c r="I70" s="64">
        <v>9677.7000000000007</v>
      </c>
      <c r="J70" s="64">
        <f>-SUM(J68:J69)</f>
        <v>-15428</v>
      </c>
      <c r="K70" s="57"/>
      <c r="L70" s="88"/>
      <c r="M70" s="62"/>
      <c r="N70" s="57"/>
      <c r="O70" s="88"/>
      <c r="P70" s="62"/>
      <c r="Q70" s="39"/>
      <c r="R70" s="39"/>
      <c r="S70" s="39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22"/>
      <c r="AO70" s="43"/>
      <c r="AP70" s="12" t="e">
        <f>#REF!</f>
        <v>#REF!</v>
      </c>
      <c r="AT70" s="2"/>
    </row>
    <row r="71" spans="1:46" s="4" customFormat="1" ht="17.25" customHeight="1" x14ac:dyDescent="0.25">
      <c r="A71" s="23"/>
      <c r="B71" s="201" t="s">
        <v>93</v>
      </c>
      <c r="C71" s="202"/>
      <c r="D71" s="64"/>
      <c r="E71" s="64"/>
      <c r="F71" s="64"/>
      <c r="G71" s="64"/>
      <c r="H71" s="64"/>
      <c r="I71" s="64"/>
      <c r="J71" s="64"/>
      <c r="K71" s="57">
        <v>49</v>
      </c>
      <c r="L71" s="88"/>
      <c r="M71" s="62">
        <f>(K74*((M55)/(K55))-M55-M68)</f>
        <v>1098.1425586491387</v>
      </c>
      <c r="N71" s="141">
        <v>-36</v>
      </c>
      <c r="O71" s="88"/>
      <c r="P71" s="62">
        <f>(N74*((P55)/(N55))-P55-P69)</f>
        <v>600.33598844160952</v>
      </c>
      <c r="Q71" s="39"/>
      <c r="R71" s="39"/>
      <c r="S71" s="39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22"/>
      <c r="AO71" s="43">
        <f>A43</f>
        <v>0</v>
      </c>
      <c r="AP71" s="12" t="e">
        <f>#REF!</f>
        <v>#REF!</v>
      </c>
      <c r="AT71" s="2"/>
    </row>
    <row r="72" spans="1:46" s="2" customFormat="1" ht="17.25" customHeight="1" x14ac:dyDescent="0.2">
      <c r="A72" s="24"/>
      <c r="B72" s="201"/>
      <c r="C72" s="204"/>
      <c r="D72" s="63"/>
      <c r="E72" s="64"/>
      <c r="F72" s="64"/>
      <c r="G72" s="64"/>
      <c r="H72" s="64"/>
      <c r="I72" s="64"/>
      <c r="J72" s="64"/>
      <c r="K72" s="16"/>
      <c r="L72" s="92"/>
      <c r="M72" s="64"/>
      <c r="N72" s="16"/>
      <c r="O72" s="92"/>
      <c r="P72" s="64"/>
      <c r="Q72" s="46"/>
      <c r="R72" s="46"/>
      <c r="S72" s="39"/>
      <c r="T72" s="16"/>
      <c r="U72" s="16"/>
      <c r="V72" s="16"/>
      <c r="W72" s="16"/>
      <c r="X72" s="16"/>
      <c r="Y72" s="19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43">
        <f>A56</f>
        <v>45966</v>
      </c>
      <c r="AQ72" s="10"/>
      <c r="AR72" s="11"/>
    </row>
    <row r="73" spans="1:46" s="2" customFormat="1" ht="17.25" customHeight="1" thickBot="1" x14ac:dyDescent="0.3">
      <c r="A73" s="56"/>
      <c r="B73" s="101" t="s">
        <v>102</v>
      </c>
      <c r="C73" s="102">
        <f>D74+E74+F74+G74+H74+I74+J74+M74+P74</f>
        <v>95945.147039999982</v>
      </c>
      <c r="D73" s="84"/>
      <c r="E73" s="85"/>
      <c r="F73" s="85"/>
      <c r="G73" s="85"/>
      <c r="H73" s="85"/>
      <c r="I73" s="85"/>
      <c r="J73" s="85"/>
      <c r="K73" s="28"/>
      <c r="L73" s="112"/>
      <c r="M73" s="85"/>
      <c r="N73" s="28"/>
      <c r="O73" s="112"/>
      <c r="P73" s="85"/>
      <c r="Q73" s="48"/>
      <c r="R73" s="48"/>
      <c r="S73" s="51"/>
      <c r="T73" s="28"/>
      <c r="U73" s="28"/>
      <c r="V73" s="28"/>
      <c r="W73" s="28"/>
      <c r="X73" s="28"/>
      <c r="Y73" s="36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42">
        <f>SUM($Q55:AN73)</f>
        <v>-407727.22000000003</v>
      </c>
      <c r="AQ73" s="10"/>
      <c r="AR73" s="11"/>
      <c r="AS73" s="2" t="s">
        <v>5</v>
      </c>
    </row>
    <row r="74" spans="1:46" s="2" customFormat="1" ht="17.25" customHeight="1" thickTop="1" thickBot="1" x14ac:dyDescent="0.3">
      <c r="A74" s="103"/>
      <c r="B74" s="104" t="s">
        <v>103</v>
      </c>
      <c r="C74" s="105">
        <f>AO74</f>
        <v>-311782.07296000002</v>
      </c>
      <c r="D74" s="116">
        <f t="shared" ref="D74:K74" si="8">SUM(D55:D73)</f>
        <v>400.9870399999952</v>
      </c>
      <c r="E74" s="107">
        <f t="shared" si="8"/>
        <v>-20651.02</v>
      </c>
      <c r="F74" s="107">
        <f t="shared" si="8"/>
        <v>22200</v>
      </c>
      <c r="G74" s="107">
        <f t="shared" si="8"/>
        <v>0</v>
      </c>
      <c r="H74" s="107">
        <f t="shared" si="8"/>
        <v>23889.899999999991</v>
      </c>
      <c r="I74" s="107">
        <f t="shared" si="8"/>
        <v>9677.7000000000007</v>
      </c>
      <c r="J74" s="107">
        <f t="shared" si="8"/>
        <v>0</v>
      </c>
      <c r="K74" s="108">
        <f t="shared" si="8"/>
        <v>6757</v>
      </c>
      <c r="L74" s="109">
        <f>M74/K74</f>
        <v>5.0393177445611954</v>
      </c>
      <c r="M74" s="107">
        <f>ROUND(SUM(M55:M73),2)</f>
        <v>34050.67</v>
      </c>
      <c r="N74" s="108">
        <f>SUM(N55:N73)</f>
        <v>7550</v>
      </c>
      <c r="O74" s="109">
        <f>P74/N74</f>
        <v>3.4936304635761588</v>
      </c>
      <c r="P74" s="107">
        <f>ROUND(SUM(P55:P73),2)</f>
        <v>26376.91</v>
      </c>
      <c r="Q74" s="110">
        <f t="shared" ref="Q74:AN74" si="9">SUM(Q55:Q73)</f>
        <v>-423778.33</v>
      </c>
      <c r="R74" s="107">
        <f t="shared" si="9"/>
        <v>37928.519999999997</v>
      </c>
      <c r="S74" s="107">
        <f t="shared" si="9"/>
        <v>0</v>
      </c>
      <c r="T74" s="107">
        <f t="shared" si="9"/>
        <v>-9644.07</v>
      </c>
      <c r="U74" s="107">
        <f t="shared" si="9"/>
        <v>0</v>
      </c>
      <c r="V74" s="107">
        <f t="shared" si="9"/>
        <v>-12233.34</v>
      </c>
      <c r="W74" s="107">
        <f t="shared" si="9"/>
        <v>0</v>
      </c>
      <c r="X74" s="107">
        <f t="shared" si="9"/>
        <v>0</v>
      </c>
      <c r="Y74" s="107">
        <f t="shared" si="9"/>
        <v>0</v>
      </c>
      <c r="Z74" s="107">
        <f t="shared" si="9"/>
        <v>0</v>
      </c>
      <c r="AA74" s="107">
        <f t="shared" si="9"/>
        <v>0</v>
      </c>
      <c r="AB74" s="107">
        <f t="shared" si="9"/>
        <v>0</v>
      </c>
      <c r="AC74" s="107">
        <f t="shared" si="9"/>
        <v>0</v>
      </c>
      <c r="AD74" s="107">
        <f t="shared" si="9"/>
        <v>0</v>
      </c>
      <c r="AE74" s="107">
        <f t="shared" si="9"/>
        <v>0</v>
      </c>
      <c r="AF74" s="107">
        <f t="shared" si="9"/>
        <v>0</v>
      </c>
      <c r="AG74" s="107">
        <f t="shared" si="9"/>
        <v>0</v>
      </c>
      <c r="AH74" s="107">
        <f t="shared" si="9"/>
        <v>0</v>
      </c>
      <c r="AI74" s="107">
        <f t="shared" si="9"/>
        <v>0</v>
      </c>
      <c r="AJ74" s="107">
        <f t="shared" si="9"/>
        <v>0</v>
      </c>
      <c r="AK74" s="107">
        <f t="shared" si="9"/>
        <v>0</v>
      </c>
      <c r="AL74" s="107">
        <f t="shared" si="9"/>
        <v>0</v>
      </c>
      <c r="AM74" s="107">
        <f t="shared" si="9"/>
        <v>0</v>
      </c>
      <c r="AN74" s="107">
        <f t="shared" si="9"/>
        <v>0</v>
      </c>
      <c r="AO74" s="111">
        <f>D74+E74+F74+G74+H74+I74+J74+M74+P74+SUM(Q74:AN74)</f>
        <v>-311782.07296000002</v>
      </c>
      <c r="AP74" s="4"/>
      <c r="AQ74" s="5"/>
      <c r="AR74" s="5"/>
      <c r="AS74" s="2" t="s">
        <v>6</v>
      </c>
    </row>
    <row r="75" spans="1:46" s="2" customFormat="1" ht="17.25" customHeight="1" thickTop="1" x14ac:dyDescent="0.25">
      <c r="A75" s="24">
        <f>A56+1</f>
        <v>45967</v>
      </c>
      <c r="B75" s="201" t="s">
        <v>64</v>
      </c>
      <c r="C75" s="203"/>
      <c r="D75" s="63">
        <v>9447.5499999999993</v>
      </c>
      <c r="E75" s="64"/>
      <c r="F75" s="74"/>
      <c r="G75" s="74"/>
      <c r="H75" s="64"/>
      <c r="I75" s="64">
        <f>-D75</f>
        <v>-9447.5499999999993</v>
      </c>
      <c r="J75" s="66"/>
      <c r="K75" s="18"/>
      <c r="L75" s="18"/>
      <c r="M75" s="66"/>
      <c r="N75" s="18"/>
      <c r="O75" s="18"/>
      <c r="P75" s="66"/>
      <c r="Q75" s="46"/>
      <c r="R75" s="46"/>
      <c r="S75" s="45"/>
      <c r="T75" s="18"/>
      <c r="U75" s="18"/>
      <c r="V75" s="18"/>
      <c r="W75" s="18"/>
      <c r="X75" s="18"/>
      <c r="Y75" s="14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7"/>
      <c r="AO75" s="31"/>
      <c r="AQ75" s="10"/>
      <c r="AR75" s="27"/>
    </row>
    <row r="76" spans="1:46" s="2" customFormat="1" ht="17.25" customHeight="1" x14ac:dyDescent="0.25">
      <c r="A76" s="24"/>
      <c r="B76" s="201" t="s">
        <v>96</v>
      </c>
      <c r="C76" s="202"/>
      <c r="D76" s="63"/>
      <c r="E76" s="64"/>
      <c r="F76" s="64"/>
      <c r="G76" s="64"/>
      <c r="H76" s="64"/>
      <c r="I76" s="64">
        <f>-I74-I75</f>
        <v>-230.15000000000146</v>
      </c>
      <c r="J76" s="64"/>
      <c r="K76" s="16"/>
      <c r="L76" s="16"/>
      <c r="M76" s="64"/>
      <c r="N76" s="16"/>
      <c r="O76" s="16"/>
      <c r="P76" s="64"/>
      <c r="Q76" s="46"/>
      <c r="R76" s="40"/>
      <c r="S76" s="39"/>
      <c r="T76" s="16"/>
      <c r="U76" s="16"/>
      <c r="V76" s="16"/>
      <c r="W76" s="16"/>
      <c r="X76" s="16"/>
      <c r="Y76" s="19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22"/>
      <c r="AQ76" s="10"/>
      <c r="AR76" s="11"/>
    </row>
    <row r="77" spans="1:46" s="2" customFormat="1" ht="17.25" customHeight="1" x14ac:dyDescent="0.25">
      <c r="A77" s="29"/>
      <c r="B77" s="201" t="s">
        <v>72</v>
      </c>
      <c r="C77" s="202"/>
      <c r="D77" s="63">
        <v>-9800</v>
      </c>
      <c r="E77" s="64"/>
      <c r="F77" s="64">
        <f>-D77</f>
        <v>9800</v>
      </c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47"/>
      <c r="R77" s="39"/>
      <c r="S77" s="39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22"/>
      <c r="AQ77" s="10" t="s">
        <v>4</v>
      </c>
      <c r="AR77" s="11" t="e">
        <v>#REF!</v>
      </c>
    </row>
    <row r="78" spans="1:46" s="2" customFormat="1" ht="17.25" customHeight="1" x14ac:dyDescent="0.25">
      <c r="A78" s="29"/>
      <c r="B78" s="201" t="s">
        <v>13</v>
      </c>
      <c r="C78" s="203"/>
      <c r="D78" s="63"/>
      <c r="E78" s="64">
        <f>-E74-18420.95</f>
        <v>2230.0699999999997</v>
      </c>
      <c r="F78" s="64"/>
      <c r="G78" s="64"/>
      <c r="H78" s="64">
        <f>-E78</f>
        <v>-2230.0699999999997</v>
      </c>
      <c r="I78" s="64"/>
      <c r="J78" s="64"/>
      <c r="K78" s="57"/>
      <c r="L78" s="88"/>
      <c r="M78" s="62"/>
      <c r="N78" s="57"/>
      <c r="O78" s="88"/>
      <c r="P78" s="62"/>
      <c r="Q78" s="47"/>
      <c r="R78" s="39"/>
      <c r="S78" s="39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22"/>
      <c r="AQ78" s="10" t="s">
        <v>4</v>
      </c>
      <c r="AR78" s="11" t="e">
        <v>#REF!</v>
      </c>
    </row>
    <row r="79" spans="1:46" s="2" customFormat="1" ht="17.25" customHeight="1" x14ac:dyDescent="0.25">
      <c r="A79" s="29"/>
      <c r="B79" s="201" t="s">
        <v>72</v>
      </c>
      <c r="C79" s="20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47"/>
      <c r="R79" s="39"/>
      <c r="S79" s="39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22"/>
      <c r="AQ79" s="10" t="s">
        <v>4</v>
      </c>
      <c r="AR79" s="11" t="e">
        <v>#REF!</v>
      </c>
    </row>
    <row r="80" spans="1:46" s="2" customFormat="1" ht="17.25" customHeight="1" x14ac:dyDescent="0.2">
      <c r="A80" s="23"/>
      <c r="B80" s="211" t="s">
        <v>294</v>
      </c>
      <c r="C80" s="206"/>
      <c r="D80" s="63"/>
      <c r="E80" s="66"/>
      <c r="F80" s="64">
        <v>-12233.34</v>
      </c>
      <c r="G80" s="74"/>
      <c r="H80" s="64"/>
      <c r="I80" s="64"/>
      <c r="J80" s="64"/>
      <c r="K80" s="16"/>
      <c r="L80" s="16"/>
      <c r="M80" s="64"/>
      <c r="N80" s="16"/>
      <c r="O80" s="16"/>
      <c r="P80" s="64"/>
      <c r="Q80" s="46"/>
      <c r="R80" s="39"/>
      <c r="S80" s="40"/>
      <c r="T80" s="16"/>
      <c r="U80" s="16"/>
      <c r="V80" s="16">
        <f>-F80</f>
        <v>12233.34</v>
      </c>
      <c r="W80" s="16"/>
      <c r="X80" s="16"/>
      <c r="Y80" s="19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35"/>
      <c r="AQ80" s="10"/>
      <c r="AR80" s="27"/>
    </row>
    <row r="81" spans="1:46" s="2" customFormat="1" ht="17.25" customHeight="1" thickBot="1" x14ac:dyDescent="0.25">
      <c r="A81" s="24"/>
      <c r="B81" s="216"/>
      <c r="C81" s="217"/>
      <c r="D81" s="83"/>
      <c r="E81" s="81"/>
      <c r="F81" s="81"/>
      <c r="G81" s="81"/>
      <c r="H81" s="81"/>
      <c r="I81" s="81"/>
      <c r="J81" s="81"/>
      <c r="K81" s="37"/>
      <c r="L81" s="93"/>
      <c r="M81" s="81"/>
      <c r="N81" s="37"/>
      <c r="O81" s="93"/>
      <c r="P81" s="81"/>
      <c r="Q81" s="40"/>
      <c r="R81" s="40"/>
      <c r="S81" s="39"/>
      <c r="T81" s="16"/>
      <c r="U81" s="16"/>
      <c r="V81" s="16"/>
      <c r="W81" s="16"/>
      <c r="X81" s="16"/>
      <c r="Y81" s="19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41"/>
      <c r="AQ81" s="10"/>
      <c r="AR81" s="11"/>
    </row>
    <row r="82" spans="1:46" s="4" customFormat="1" ht="17.25" customHeight="1" x14ac:dyDescent="0.25">
      <c r="A82" s="23"/>
      <c r="B82" s="210" t="s">
        <v>94</v>
      </c>
      <c r="C82" s="203"/>
      <c r="D82" s="66"/>
      <c r="E82" s="66"/>
      <c r="F82" s="117"/>
      <c r="G82" s="117"/>
      <c r="H82" s="66"/>
      <c r="I82" s="66"/>
      <c r="J82" s="66">
        <f>-M82</f>
        <v>8488.35</v>
      </c>
      <c r="K82" s="58">
        <v>-1451</v>
      </c>
      <c r="L82" s="89">
        <v>5.85</v>
      </c>
      <c r="M82" s="73">
        <f>K82*L82</f>
        <v>-8488.35</v>
      </c>
      <c r="N82" s="58"/>
      <c r="O82" s="89"/>
      <c r="P82" s="73"/>
      <c r="Q82" s="39"/>
      <c r="R82" s="39"/>
      <c r="S82" s="8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35"/>
      <c r="AP82" s="12" t="e">
        <f>#REF!</f>
        <v>#REF!</v>
      </c>
    </row>
    <row r="83" spans="1:46" s="4" customFormat="1" ht="17.25" customHeight="1" x14ac:dyDescent="0.25">
      <c r="A83" s="23"/>
      <c r="B83" s="201" t="s">
        <v>95</v>
      </c>
      <c r="C83" s="202"/>
      <c r="D83" s="64"/>
      <c r="E83" s="64"/>
      <c r="F83" s="117"/>
      <c r="G83" s="117"/>
      <c r="H83" s="64"/>
      <c r="I83" s="64"/>
      <c r="J83" s="64">
        <f>-P83</f>
        <v>10797.710000000001</v>
      </c>
      <c r="K83" s="57"/>
      <c r="L83" s="88"/>
      <c r="M83" s="62"/>
      <c r="N83" s="57">
        <v>-2849</v>
      </c>
      <c r="O83" s="88">
        <v>3.79</v>
      </c>
      <c r="P83" s="62">
        <f>N83*O83</f>
        <v>-10797.710000000001</v>
      </c>
      <c r="Q83" s="39"/>
      <c r="R83" s="39"/>
      <c r="S83" s="8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35"/>
      <c r="AP83" s="12" t="e">
        <f>#REF!</f>
        <v>#REF!</v>
      </c>
    </row>
    <row r="84" spans="1:46" s="4" customFormat="1" ht="17.25" customHeight="1" x14ac:dyDescent="0.25">
      <c r="A84" s="23"/>
      <c r="B84" s="201" t="s">
        <v>97</v>
      </c>
      <c r="C84" s="203"/>
      <c r="D84" s="64"/>
      <c r="E84" s="64"/>
      <c r="F84" s="64"/>
      <c r="G84" s="64"/>
      <c r="H84" s="64">
        <f>-J84-I84</f>
        <v>8360.9600000000009</v>
      </c>
      <c r="I84" s="64">
        <v>10925.1</v>
      </c>
      <c r="J84" s="64">
        <f>-SUM(J82:J83)</f>
        <v>-19286.060000000001</v>
      </c>
      <c r="K84" s="57"/>
      <c r="L84" s="88"/>
      <c r="M84" s="62"/>
      <c r="N84" s="57"/>
      <c r="O84" s="88"/>
      <c r="P84" s="62"/>
      <c r="Q84" s="39"/>
      <c r="R84" s="39"/>
      <c r="S84" s="39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22"/>
      <c r="AO84" s="43"/>
      <c r="AP84" s="12" t="e">
        <f>#REF!</f>
        <v>#REF!</v>
      </c>
      <c r="AT84" s="2"/>
    </row>
    <row r="85" spans="1:46" s="4" customFormat="1" ht="17.25" customHeight="1" x14ac:dyDescent="0.25">
      <c r="A85" s="23"/>
      <c r="B85" s="201" t="s">
        <v>93</v>
      </c>
      <c r="C85" s="202"/>
      <c r="D85" s="64"/>
      <c r="E85" s="64"/>
      <c r="F85" s="64"/>
      <c r="G85" s="64"/>
      <c r="H85" s="64"/>
      <c r="I85" s="64"/>
      <c r="J85" s="64"/>
      <c r="K85" s="57">
        <v>-17</v>
      </c>
      <c r="L85" s="88"/>
      <c r="M85" s="62">
        <f>(K88*((M74)/(K74))-M74-M82)</f>
        <v>1090.6315509841643</v>
      </c>
      <c r="N85" s="57">
        <v>-1</v>
      </c>
      <c r="O85" s="88"/>
      <c r="P85" s="62">
        <f>(N88*((P74)/(N74))-P74-P83)</f>
        <v>840.86317880794923</v>
      </c>
      <c r="Q85" s="39"/>
      <c r="R85" s="39"/>
      <c r="S85" s="39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22"/>
      <c r="AO85" s="43"/>
      <c r="AP85" s="12" t="e">
        <f>#REF!</f>
        <v>#REF!</v>
      </c>
      <c r="AT85" s="2"/>
    </row>
    <row r="86" spans="1:46" s="2" customFormat="1" ht="17.25" customHeight="1" x14ac:dyDescent="0.2">
      <c r="A86" s="24"/>
      <c r="B86" s="201"/>
      <c r="C86" s="202"/>
      <c r="D86" s="63"/>
      <c r="E86" s="64"/>
      <c r="F86" s="64"/>
      <c r="G86" s="64"/>
      <c r="H86" s="64"/>
      <c r="I86" s="64"/>
      <c r="J86" s="64"/>
      <c r="K86" s="16"/>
      <c r="L86" s="16"/>
      <c r="M86" s="64"/>
      <c r="N86" s="16"/>
      <c r="O86" s="16"/>
      <c r="P86" s="64"/>
      <c r="Q86" s="46"/>
      <c r="R86" s="46"/>
      <c r="S86" s="39"/>
      <c r="T86" s="16"/>
      <c r="U86" s="16"/>
      <c r="V86" s="16"/>
      <c r="W86" s="16"/>
      <c r="X86" s="16"/>
      <c r="Y86" s="19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43">
        <f>A75</f>
        <v>45967</v>
      </c>
      <c r="AQ86" s="10"/>
      <c r="AR86" s="11"/>
    </row>
    <row r="87" spans="1:46" s="2" customFormat="1" ht="17.25" customHeight="1" thickBot="1" x14ac:dyDescent="0.3">
      <c r="A87" s="56"/>
      <c r="B87" s="101" t="s">
        <v>102</v>
      </c>
      <c r="C87" s="102">
        <f>D88+E88+F88+G88+H88+I88+J88+M88+P88</f>
        <v>85413.147039999982</v>
      </c>
      <c r="D87" s="84"/>
      <c r="E87" s="85"/>
      <c r="F87" s="85"/>
      <c r="G87" s="85"/>
      <c r="H87" s="85"/>
      <c r="I87" s="85"/>
      <c r="J87" s="85"/>
      <c r="K87" s="28"/>
      <c r="L87" s="28"/>
      <c r="M87" s="85"/>
      <c r="N87" s="28"/>
      <c r="O87" s="28"/>
      <c r="P87" s="85"/>
      <c r="Q87" s="48"/>
      <c r="R87" s="48"/>
      <c r="S87" s="51"/>
      <c r="T87" s="28"/>
      <c r="U87" s="28"/>
      <c r="V87" s="28"/>
      <c r="W87" s="28"/>
      <c r="X87" s="28"/>
      <c r="Y87" s="36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42">
        <f>SUM($Q74:AN87)</f>
        <v>-395493.88</v>
      </c>
      <c r="AQ87" s="10"/>
      <c r="AR87" s="11"/>
      <c r="AS87" s="2" t="s">
        <v>5</v>
      </c>
    </row>
    <row r="88" spans="1:46" s="2" customFormat="1" ht="17.25" customHeight="1" thickTop="1" thickBot="1" x14ac:dyDescent="0.3">
      <c r="A88" s="103"/>
      <c r="B88" s="104" t="s">
        <v>103</v>
      </c>
      <c r="C88" s="105">
        <f>AO88</f>
        <v>-310080.73296000005</v>
      </c>
      <c r="D88" s="107">
        <f t="shared" ref="D88:K88" si="10">SUM(D74:D87)</f>
        <v>48.537039999993794</v>
      </c>
      <c r="E88" s="107">
        <f t="shared" si="10"/>
        <v>-18420.95</v>
      </c>
      <c r="F88" s="107">
        <f t="shared" si="10"/>
        <v>19766.66</v>
      </c>
      <c r="G88" s="107">
        <f t="shared" si="10"/>
        <v>0</v>
      </c>
      <c r="H88" s="107">
        <f t="shared" si="10"/>
        <v>30020.789999999994</v>
      </c>
      <c r="I88" s="107">
        <f t="shared" si="10"/>
        <v>10925.1</v>
      </c>
      <c r="J88" s="107">
        <f t="shared" si="10"/>
        <v>0</v>
      </c>
      <c r="K88" s="108">
        <f t="shared" si="10"/>
        <v>5289</v>
      </c>
      <c r="L88" s="109">
        <f>M88/K88</f>
        <v>5.039317451314048</v>
      </c>
      <c r="M88" s="107">
        <f>ROUND(SUM(M74:M87),2)</f>
        <v>26652.95</v>
      </c>
      <c r="N88" s="108">
        <f>SUM(N74:N87)</f>
        <v>4700</v>
      </c>
      <c r="O88" s="109">
        <f>P88/N88</f>
        <v>3.4936297872340427</v>
      </c>
      <c r="P88" s="107">
        <f>ROUND(SUM(P74:P87),2)</f>
        <v>16420.060000000001</v>
      </c>
      <c r="Q88" s="107">
        <f t="shared" ref="Q88:AN88" si="11">SUM(Q74:Q87)</f>
        <v>-423778.33</v>
      </c>
      <c r="R88" s="107">
        <f t="shared" si="11"/>
        <v>37928.519999999997</v>
      </c>
      <c r="S88" s="107">
        <f t="shared" si="11"/>
        <v>0</v>
      </c>
      <c r="T88" s="107">
        <f t="shared" si="11"/>
        <v>-9644.07</v>
      </c>
      <c r="U88" s="107">
        <f t="shared" si="11"/>
        <v>0</v>
      </c>
      <c r="V88" s="107">
        <f t="shared" si="11"/>
        <v>0</v>
      </c>
      <c r="W88" s="107">
        <f t="shared" si="11"/>
        <v>0</v>
      </c>
      <c r="X88" s="107">
        <f t="shared" si="11"/>
        <v>0</v>
      </c>
      <c r="Y88" s="107">
        <f t="shared" si="11"/>
        <v>0</v>
      </c>
      <c r="Z88" s="107">
        <f t="shared" si="11"/>
        <v>0</v>
      </c>
      <c r="AA88" s="107">
        <f t="shared" si="11"/>
        <v>0</v>
      </c>
      <c r="AB88" s="107">
        <f t="shared" si="11"/>
        <v>0</v>
      </c>
      <c r="AC88" s="107">
        <f t="shared" si="11"/>
        <v>0</v>
      </c>
      <c r="AD88" s="107">
        <f t="shared" si="11"/>
        <v>0</v>
      </c>
      <c r="AE88" s="107">
        <f t="shared" si="11"/>
        <v>0</v>
      </c>
      <c r="AF88" s="107">
        <f t="shared" si="11"/>
        <v>0</v>
      </c>
      <c r="AG88" s="107">
        <f t="shared" si="11"/>
        <v>0</v>
      </c>
      <c r="AH88" s="107">
        <f t="shared" si="11"/>
        <v>0</v>
      </c>
      <c r="AI88" s="107">
        <f t="shared" si="11"/>
        <v>0</v>
      </c>
      <c r="AJ88" s="107">
        <f t="shared" si="11"/>
        <v>0</v>
      </c>
      <c r="AK88" s="107">
        <f t="shared" si="11"/>
        <v>0</v>
      </c>
      <c r="AL88" s="107">
        <f t="shared" si="11"/>
        <v>0</v>
      </c>
      <c r="AM88" s="107">
        <f t="shared" si="11"/>
        <v>0</v>
      </c>
      <c r="AN88" s="107">
        <f t="shared" si="11"/>
        <v>0</v>
      </c>
      <c r="AO88" s="111">
        <f>D88+E88+F88+G88+H88+I88+J88+M88+P88+SUM(Q88:AN88)</f>
        <v>-310080.73296000005</v>
      </c>
      <c r="AP88" s="4"/>
      <c r="AQ88" s="5"/>
      <c r="AR88" s="5"/>
      <c r="AS88" s="2" t="s">
        <v>6</v>
      </c>
    </row>
    <row r="89" spans="1:46" s="2" customFormat="1" ht="17.25" customHeight="1" thickTop="1" x14ac:dyDescent="0.25">
      <c r="A89" s="23">
        <f>A75+1</f>
        <v>45968</v>
      </c>
      <c r="B89" s="201" t="s">
        <v>64</v>
      </c>
      <c r="C89" s="203"/>
      <c r="D89" s="63">
        <v>10682.22</v>
      </c>
      <c r="E89" s="64"/>
      <c r="F89" s="74"/>
      <c r="G89" s="74"/>
      <c r="H89" s="64"/>
      <c r="I89" s="64">
        <f>-D89</f>
        <v>-10682.22</v>
      </c>
      <c r="J89" s="66"/>
      <c r="K89" s="18"/>
      <c r="L89" s="18"/>
      <c r="M89" s="66"/>
      <c r="N89" s="18"/>
      <c r="O89" s="18"/>
      <c r="P89" s="66"/>
      <c r="Q89" s="46"/>
      <c r="R89" s="46"/>
      <c r="S89" s="45"/>
      <c r="T89" s="18"/>
      <c r="U89" s="18"/>
      <c r="V89" s="18"/>
      <c r="W89" s="18"/>
      <c r="X89" s="18"/>
      <c r="Y89" s="14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7"/>
      <c r="AO89" s="31"/>
      <c r="AQ89" s="10"/>
      <c r="AR89" s="27"/>
    </row>
    <row r="90" spans="1:46" s="2" customFormat="1" ht="17.25" customHeight="1" x14ac:dyDescent="0.25">
      <c r="A90" s="24"/>
      <c r="B90" s="201" t="s">
        <v>96</v>
      </c>
      <c r="C90" s="202"/>
      <c r="D90" s="63"/>
      <c r="E90" s="64"/>
      <c r="F90" s="64"/>
      <c r="G90" s="64"/>
      <c r="H90" s="64"/>
      <c r="I90" s="64">
        <f>-I88-I89</f>
        <v>-242.88000000000102</v>
      </c>
      <c r="J90" s="64"/>
      <c r="K90" s="16"/>
      <c r="L90" s="16"/>
      <c r="M90" s="64"/>
      <c r="N90" s="16"/>
      <c r="O90" s="16"/>
      <c r="P90" s="64"/>
      <c r="Q90" s="46"/>
      <c r="R90" s="40"/>
      <c r="S90" s="39"/>
      <c r="T90" s="16"/>
      <c r="U90" s="16"/>
      <c r="V90" s="16"/>
      <c r="W90" s="16"/>
      <c r="X90" s="16"/>
      <c r="Y90" s="19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22"/>
      <c r="AQ90" s="10"/>
      <c r="AR90" s="11"/>
    </row>
    <row r="91" spans="1:46" s="2" customFormat="1" ht="17.25" customHeight="1" x14ac:dyDescent="0.25">
      <c r="A91" s="29"/>
      <c r="B91" s="201" t="s">
        <v>72</v>
      </c>
      <c r="C91" s="202"/>
      <c r="D91" s="63">
        <v>-10700</v>
      </c>
      <c r="E91" s="64"/>
      <c r="F91" s="64">
        <f>-D91</f>
        <v>10700</v>
      </c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47"/>
      <c r="R91" s="39"/>
      <c r="S91" s="39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22"/>
      <c r="AQ91" s="10" t="s">
        <v>4</v>
      </c>
      <c r="AR91" s="11" t="e">
        <v>#REF!</v>
      </c>
    </row>
    <row r="92" spans="1:46" s="2" customFormat="1" ht="17.25" customHeight="1" x14ac:dyDescent="0.25">
      <c r="A92" s="29"/>
      <c r="B92" s="201" t="s">
        <v>72</v>
      </c>
      <c r="C92" s="202"/>
      <c r="D92" s="63">
        <v>25435</v>
      </c>
      <c r="E92" s="64"/>
      <c r="F92" s="64">
        <f>-D92</f>
        <v>-25435</v>
      </c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47"/>
      <c r="R92" s="39"/>
      <c r="S92" s="39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22"/>
      <c r="AQ92" s="10" t="s">
        <v>4</v>
      </c>
      <c r="AR92" s="11" t="e">
        <v>#REF!</v>
      </c>
    </row>
    <row r="93" spans="1:46" s="2" customFormat="1" ht="17.25" customHeight="1" x14ac:dyDescent="0.25">
      <c r="A93" s="29"/>
      <c r="B93" s="201" t="s">
        <v>72</v>
      </c>
      <c r="C93" s="202"/>
      <c r="D93" s="63">
        <v>5031.66</v>
      </c>
      <c r="E93" s="64"/>
      <c r="F93" s="64">
        <f>-D93</f>
        <v>-5031.66</v>
      </c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47"/>
      <c r="R93" s="39"/>
      <c r="S93" s="39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22"/>
      <c r="AQ93" s="10" t="s">
        <v>4</v>
      </c>
      <c r="AR93" s="11" t="e">
        <v>#REF!</v>
      </c>
    </row>
    <row r="94" spans="1:46" s="2" customFormat="1" ht="17.25" customHeight="1" x14ac:dyDescent="0.25">
      <c r="A94" s="29"/>
      <c r="B94" s="205" t="s">
        <v>295</v>
      </c>
      <c r="C94" s="250"/>
      <c r="D94" s="63">
        <v>6550</v>
      </c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47">
        <f>-D94</f>
        <v>-6550</v>
      </c>
      <c r="R94" s="39"/>
      <c r="S94" s="39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22"/>
      <c r="AQ94" s="10" t="s">
        <v>4</v>
      </c>
      <c r="AR94" s="11" t="e">
        <v>#REF!</v>
      </c>
    </row>
    <row r="95" spans="1:46" s="2" customFormat="1" ht="17.25" customHeight="1" x14ac:dyDescent="0.25">
      <c r="A95" s="29"/>
      <c r="B95" s="201" t="s">
        <v>269</v>
      </c>
      <c r="C95" s="202"/>
      <c r="D95" s="63">
        <v>-52.4</v>
      </c>
      <c r="E95" s="64"/>
      <c r="F95" s="64"/>
      <c r="G95" s="64"/>
      <c r="H95" s="64"/>
      <c r="I95" s="64"/>
      <c r="J95" s="64"/>
      <c r="K95" s="57"/>
      <c r="L95" s="88"/>
      <c r="M95" s="62"/>
      <c r="N95" s="57"/>
      <c r="O95" s="88"/>
      <c r="P95" s="62"/>
      <c r="Q95" s="47"/>
      <c r="R95" s="39"/>
      <c r="S95" s="39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22"/>
      <c r="AQ95" s="10" t="s">
        <v>4</v>
      </c>
      <c r="AR95" s="11" t="e">
        <v>#REF!</v>
      </c>
    </row>
    <row r="96" spans="1:46" s="2" customFormat="1" ht="17.25" customHeight="1" x14ac:dyDescent="0.25">
      <c r="A96" s="29"/>
      <c r="B96" s="201" t="s">
        <v>13</v>
      </c>
      <c r="C96" s="203"/>
      <c r="D96" s="63"/>
      <c r="E96" s="64">
        <f>-E88-10347.46+14000+5</f>
        <v>22078.49</v>
      </c>
      <c r="F96" s="64"/>
      <c r="G96" s="64"/>
      <c r="H96" s="64">
        <f>-E96</f>
        <v>-22078.49</v>
      </c>
      <c r="I96" s="64"/>
      <c r="J96" s="64"/>
      <c r="K96" s="57"/>
      <c r="L96" s="88"/>
      <c r="M96" s="62"/>
      <c r="N96" s="57"/>
      <c r="O96" s="88"/>
      <c r="P96" s="62"/>
      <c r="Q96" s="47"/>
      <c r="R96" s="39"/>
      <c r="S96" s="39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22"/>
      <c r="AQ96" s="10" t="s">
        <v>4</v>
      </c>
      <c r="AR96" s="11" t="e">
        <v>#REF!</v>
      </c>
    </row>
    <row r="97" spans="1:46" s="2" customFormat="1" ht="17.25" customHeight="1" x14ac:dyDescent="0.25">
      <c r="A97" s="29"/>
      <c r="B97" s="201" t="s">
        <v>266</v>
      </c>
      <c r="C97" s="202"/>
      <c r="D97" s="63">
        <v>14000</v>
      </c>
      <c r="E97" s="64">
        <v>-14000</v>
      </c>
      <c r="F97" s="64"/>
      <c r="G97" s="64"/>
      <c r="H97" s="64"/>
      <c r="I97" s="64"/>
      <c r="J97" s="64"/>
      <c r="K97" s="57"/>
      <c r="L97" s="88"/>
      <c r="M97" s="62"/>
      <c r="N97" s="57"/>
      <c r="O97" s="88"/>
      <c r="P97" s="62"/>
      <c r="Q97" s="47"/>
      <c r="R97" s="39"/>
      <c r="S97" s="39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22"/>
      <c r="AQ97" s="10" t="s">
        <v>4</v>
      </c>
      <c r="AR97" s="11" t="e">
        <v>#REF!</v>
      </c>
    </row>
    <row r="98" spans="1:46" s="2" customFormat="1" ht="17.25" customHeight="1" x14ac:dyDescent="0.25">
      <c r="A98" s="29"/>
      <c r="B98" s="201" t="s">
        <v>267</v>
      </c>
      <c r="C98" s="202"/>
      <c r="D98" s="63">
        <v>-112</v>
      </c>
      <c r="E98" s="64"/>
      <c r="F98" s="64"/>
      <c r="G98" s="64"/>
      <c r="H98" s="64"/>
      <c r="I98" s="64"/>
      <c r="J98" s="64"/>
      <c r="K98" s="57"/>
      <c r="L98" s="88"/>
      <c r="M98" s="62"/>
      <c r="N98" s="57"/>
      <c r="O98" s="88"/>
      <c r="P98" s="62"/>
      <c r="Q98" s="47"/>
      <c r="R98" s="39"/>
      <c r="S98" s="39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22"/>
      <c r="AQ98" s="10" t="s">
        <v>4</v>
      </c>
      <c r="AR98" s="11" t="e">
        <v>#REF!</v>
      </c>
    </row>
    <row r="99" spans="1:46" s="2" customFormat="1" ht="17.25" customHeight="1" x14ac:dyDescent="0.25">
      <c r="A99" s="29"/>
      <c r="B99" s="201" t="s">
        <v>266</v>
      </c>
      <c r="C99" s="202"/>
      <c r="D99" s="63">
        <v>5</v>
      </c>
      <c r="E99" s="64">
        <v>-5</v>
      </c>
      <c r="F99" s="64"/>
      <c r="G99" s="64"/>
      <c r="H99" s="64"/>
      <c r="I99" s="64"/>
      <c r="J99" s="64"/>
      <c r="K99" s="57"/>
      <c r="L99" s="88"/>
      <c r="M99" s="62"/>
      <c r="N99" s="57"/>
      <c r="O99" s="88"/>
      <c r="P99" s="62"/>
      <c r="Q99" s="47"/>
      <c r="R99" s="39"/>
      <c r="S99" s="39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22"/>
      <c r="AQ99" s="10" t="s">
        <v>4</v>
      </c>
      <c r="AR99" s="11" t="e">
        <v>#REF!</v>
      </c>
    </row>
    <row r="100" spans="1:46" s="2" customFormat="1" ht="17.25" customHeight="1" x14ac:dyDescent="0.25">
      <c r="A100" s="29"/>
      <c r="B100" s="201" t="s">
        <v>268</v>
      </c>
      <c r="C100" s="202"/>
      <c r="D100" s="63">
        <v>-0.99</v>
      </c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47"/>
      <c r="R100" s="39"/>
      <c r="S100" s="39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22"/>
      <c r="AQ100" s="10" t="s">
        <v>4</v>
      </c>
      <c r="AR100" s="11" t="e">
        <v>#REF!</v>
      </c>
    </row>
    <row r="101" spans="1:46" s="2" customFormat="1" ht="17.25" customHeight="1" x14ac:dyDescent="0.25">
      <c r="A101" s="24"/>
      <c r="B101" s="205" t="s">
        <v>247</v>
      </c>
      <c r="C101" s="206"/>
      <c r="D101" s="64">
        <f>-M101</f>
        <v>-50879</v>
      </c>
      <c r="E101" s="64"/>
      <c r="F101" s="64"/>
      <c r="G101" s="64"/>
      <c r="H101" s="64"/>
      <c r="I101" s="64"/>
      <c r="J101" s="64"/>
      <c r="K101" s="57">
        <v>10000</v>
      </c>
      <c r="L101" s="88">
        <v>5.0879000000000003</v>
      </c>
      <c r="M101" s="62">
        <f>K101*L101</f>
        <v>50879</v>
      </c>
      <c r="N101" s="57"/>
      <c r="O101" s="88"/>
      <c r="P101" s="62"/>
      <c r="Q101" s="39"/>
      <c r="R101" s="39"/>
      <c r="S101" s="39"/>
      <c r="T101" s="16"/>
      <c r="U101" s="16">
        <f>-P101</f>
        <v>0</v>
      </c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22"/>
      <c r="AQ101" s="10"/>
      <c r="AR101" s="11"/>
    </row>
    <row r="102" spans="1:46" s="2" customFormat="1" ht="17.25" customHeight="1" x14ac:dyDescent="0.25">
      <c r="A102" s="29"/>
      <c r="B102" s="201" t="s">
        <v>270</v>
      </c>
      <c r="C102" s="202"/>
      <c r="D102" s="63">
        <v>-4.9000000000000004</v>
      </c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47"/>
      <c r="R102" s="39"/>
      <c r="S102" s="39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22"/>
      <c r="AQ102" s="10" t="s">
        <v>4</v>
      </c>
      <c r="AR102" s="11" t="e">
        <v>#REF!</v>
      </c>
    </row>
    <row r="103" spans="1:46" s="2" customFormat="1" ht="17.25" customHeight="1" thickBot="1" x14ac:dyDescent="0.25">
      <c r="A103" s="24"/>
      <c r="B103" s="216"/>
      <c r="C103" s="217"/>
      <c r="D103" s="83"/>
      <c r="E103" s="81"/>
      <c r="F103" s="81"/>
      <c r="G103" s="81"/>
      <c r="H103" s="81"/>
      <c r="I103" s="81"/>
      <c r="J103" s="81"/>
      <c r="K103" s="37"/>
      <c r="L103" s="93"/>
      <c r="M103" s="81"/>
      <c r="N103" s="37"/>
      <c r="O103" s="93"/>
      <c r="P103" s="81"/>
      <c r="Q103" s="40"/>
      <c r="R103" s="40"/>
      <c r="S103" s="39"/>
      <c r="T103" s="16"/>
      <c r="U103" s="16"/>
      <c r="V103" s="16"/>
      <c r="W103" s="16"/>
      <c r="X103" s="16"/>
      <c r="Y103" s="19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41"/>
      <c r="AQ103" s="10"/>
      <c r="AR103" s="11"/>
    </row>
    <row r="104" spans="1:46" s="4" customFormat="1" ht="17.25" customHeight="1" x14ac:dyDescent="0.25">
      <c r="A104" s="23"/>
      <c r="B104" s="210" t="s">
        <v>94</v>
      </c>
      <c r="C104" s="203"/>
      <c r="D104" s="66"/>
      <c r="E104" s="66"/>
      <c r="F104" s="117"/>
      <c r="G104" s="117"/>
      <c r="H104" s="66"/>
      <c r="I104" s="66"/>
      <c r="J104" s="66">
        <f>-M104</f>
        <v>6791.8499999999995</v>
      </c>
      <c r="K104" s="58">
        <v>-1161</v>
      </c>
      <c r="L104" s="89">
        <v>5.85</v>
      </c>
      <c r="M104" s="73">
        <f>K104*L104</f>
        <v>-6791.8499999999995</v>
      </c>
      <c r="N104" s="58"/>
      <c r="O104" s="89"/>
      <c r="P104" s="73"/>
      <c r="Q104" s="39"/>
      <c r="R104" s="39"/>
      <c r="S104" s="8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35"/>
      <c r="AP104" s="12" t="e">
        <f>#REF!</f>
        <v>#REF!</v>
      </c>
    </row>
    <row r="105" spans="1:46" s="4" customFormat="1" ht="17.25" customHeight="1" x14ac:dyDescent="0.25">
      <c r="A105" s="23"/>
      <c r="B105" s="201" t="s">
        <v>95</v>
      </c>
      <c r="C105" s="202"/>
      <c r="D105" s="64"/>
      <c r="E105" s="64"/>
      <c r="F105" s="117"/>
      <c r="G105" s="117"/>
      <c r="H105" s="64"/>
      <c r="I105" s="64"/>
      <c r="J105" s="64">
        <f>-P105</f>
        <v>10983.42</v>
      </c>
      <c r="K105" s="57"/>
      <c r="L105" s="88"/>
      <c r="M105" s="62"/>
      <c r="N105" s="57">
        <v>-2898</v>
      </c>
      <c r="O105" s="88">
        <v>3.79</v>
      </c>
      <c r="P105" s="62">
        <f>N105*O105</f>
        <v>-10983.42</v>
      </c>
      <c r="Q105" s="39"/>
      <c r="R105" s="39"/>
      <c r="S105" s="8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35"/>
      <c r="AP105" s="12" t="e">
        <f>#REF!</f>
        <v>#REF!</v>
      </c>
    </row>
    <row r="106" spans="1:46" s="4" customFormat="1" ht="17.25" customHeight="1" x14ac:dyDescent="0.25">
      <c r="A106" s="23"/>
      <c r="B106" s="201" t="s">
        <v>97</v>
      </c>
      <c r="C106" s="203"/>
      <c r="D106" s="64"/>
      <c r="E106" s="64"/>
      <c r="F106" s="64"/>
      <c r="G106" s="64"/>
      <c r="H106" s="64">
        <f>-J106-I106</f>
        <v>5135.2200000000012</v>
      </c>
      <c r="I106" s="64">
        <v>12640.05</v>
      </c>
      <c r="J106" s="64">
        <f>-SUM(J104:J105)</f>
        <v>-17775.27</v>
      </c>
      <c r="K106" s="57"/>
      <c r="L106" s="88"/>
      <c r="M106" s="62"/>
      <c r="N106" s="57"/>
      <c r="O106" s="88"/>
      <c r="P106" s="62"/>
      <c r="Q106" s="39"/>
      <c r="R106" s="39"/>
      <c r="S106" s="39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22"/>
      <c r="AO106" s="43"/>
      <c r="AP106" s="12" t="e">
        <f>#REF!</f>
        <v>#REF!</v>
      </c>
      <c r="AT106" s="2"/>
    </row>
    <row r="107" spans="1:46" s="4" customFormat="1" ht="17.25" customHeight="1" x14ac:dyDescent="0.25">
      <c r="A107" s="23"/>
      <c r="B107" s="201" t="s">
        <v>93</v>
      </c>
      <c r="C107" s="202"/>
      <c r="D107" s="64"/>
      <c r="E107" s="64"/>
      <c r="F107" s="64"/>
      <c r="G107" s="64"/>
      <c r="H107" s="64"/>
      <c r="I107" s="64"/>
      <c r="J107" s="64"/>
      <c r="K107" s="57">
        <v>-14</v>
      </c>
      <c r="L107" s="88"/>
      <c r="M107" s="62">
        <f>(K110*((M88+M101)/(K88+K101))-M88-M104-M101)</f>
        <v>833.31502387337241</v>
      </c>
      <c r="N107" s="57">
        <v>69</v>
      </c>
      <c r="O107" s="88"/>
      <c r="P107" s="62">
        <f>(N110*((P88)/(N88))-P88-P105)</f>
        <v>1099.9413319148935</v>
      </c>
      <c r="Q107" s="39"/>
      <c r="R107" s="39"/>
      <c r="S107" s="39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22"/>
      <c r="AO107" s="43">
        <f>A85</f>
        <v>0</v>
      </c>
      <c r="AP107" s="12" t="e">
        <f>#REF!</f>
        <v>#REF!</v>
      </c>
      <c r="AT107" s="2"/>
    </row>
    <row r="108" spans="1:46" s="2" customFormat="1" ht="17.25" customHeight="1" x14ac:dyDescent="0.2">
      <c r="A108" s="24"/>
      <c r="B108" s="201"/>
      <c r="C108" s="204"/>
      <c r="D108" s="63"/>
      <c r="E108" s="64"/>
      <c r="F108" s="64"/>
      <c r="G108" s="64"/>
      <c r="H108" s="64"/>
      <c r="I108" s="64"/>
      <c r="J108" s="64"/>
      <c r="K108" s="16"/>
      <c r="L108" s="16"/>
      <c r="M108" s="64"/>
      <c r="N108" s="16"/>
      <c r="O108" s="16"/>
      <c r="P108" s="64"/>
      <c r="Q108" s="46"/>
      <c r="R108" s="46"/>
      <c r="S108" s="39"/>
      <c r="T108" s="16"/>
      <c r="U108" s="16"/>
      <c r="V108" s="16"/>
      <c r="W108" s="16"/>
      <c r="X108" s="16"/>
      <c r="Y108" s="19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43">
        <f>A89</f>
        <v>45968</v>
      </c>
      <c r="AQ108" s="10"/>
      <c r="AR108" s="11"/>
    </row>
    <row r="109" spans="1:46" s="2" customFormat="1" ht="17.25" customHeight="1" thickBot="1" x14ac:dyDescent="0.3">
      <c r="A109" s="56"/>
      <c r="B109" s="101" t="s">
        <v>102</v>
      </c>
      <c r="C109" s="102">
        <f>D110+E110+F110+G110+H110+I110+J110+M110+P110</f>
        <v>93483.237039999993</v>
      </c>
      <c r="D109" s="84"/>
      <c r="E109" s="85"/>
      <c r="F109" s="85"/>
      <c r="G109" s="85"/>
      <c r="H109" s="85"/>
      <c r="I109" s="85"/>
      <c r="J109" s="85"/>
      <c r="K109" s="28"/>
      <c r="L109" s="28"/>
      <c r="M109" s="85"/>
      <c r="N109" s="28"/>
      <c r="O109" s="28"/>
      <c r="P109" s="85"/>
      <c r="Q109" s="48"/>
      <c r="R109" s="48"/>
      <c r="S109" s="51"/>
      <c r="T109" s="28"/>
      <c r="U109" s="28"/>
      <c r="V109" s="28"/>
      <c r="W109" s="28"/>
      <c r="X109" s="28"/>
      <c r="Y109" s="36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42">
        <f>SUM($Q88:AN109)</f>
        <v>-402043.88</v>
      </c>
      <c r="AQ109" s="10"/>
      <c r="AR109" s="11"/>
      <c r="AS109" s="2" t="s">
        <v>5</v>
      </c>
    </row>
    <row r="110" spans="1:46" s="2" customFormat="1" ht="17.25" customHeight="1" thickTop="1" thickBot="1" x14ac:dyDescent="0.3">
      <c r="A110" s="103"/>
      <c r="B110" s="104" t="s">
        <v>103</v>
      </c>
      <c r="C110" s="105">
        <f>AO110</f>
        <v>-308560.64296000003</v>
      </c>
      <c r="D110" s="106">
        <f t="shared" ref="D110:K110" si="12">SUM(D88:D109)</f>
        <v>3.1270399999935758</v>
      </c>
      <c r="E110" s="107">
        <f t="shared" si="12"/>
        <v>-10347.459999999999</v>
      </c>
      <c r="F110" s="107">
        <f t="shared" si="12"/>
        <v>0</v>
      </c>
      <c r="G110" s="107">
        <f t="shared" si="12"/>
        <v>0</v>
      </c>
      <c r="H110" s="107">
        <f t="shared" si="12"/>
        <v>13077.519999999993</v>
      </c>
      <c r="I110" s="107">
        <f t="shared" si="12"/>
        <v>12640.05</v>
      </c>
      <c r="J110" s="107">
        <f t="shared" si="12"/>
        <v>0</v>
      </c>
      <c r="K110" s="108">
        <f t="shared" si="12"/>
        <v>14114</v>
      </c>
      <c r="L110" s="109">
        <f>M110/K110</f>
        <v>5.0710939492702281</v>
      </c>
      <c r="M110" s="107">
        <f>ROUND(SUM(M88:M109),2)</f>
        <v>71573.42</v>
      </c>
      <c r="N110" s="108">
        <f>SUM(N88:N109)</f>
        <v>1871</v>
      </c>
      <c r="O110" s="109">
        <f>P110/N110</f>
        <v>3.4936290753607695</v>
      </c>
      <c r="P110" s="107">
        <f>ROUND(SUM(P88:P109),2)</f>
        <v>6536.58</v>
      </c>
      <c r="Q110" s="110">
        <f t="shared" ref="Q110:AN110" si="13">SUM(Q88:Q109)</f>
        <v>-430328.33</v>
      </c>
      <c r="R110" s="107">
        <f t="shared" si="13"/>
        <v>37928.519999999997</v>
      </c>
      <c r="S110" s="107">
        <f t="shared" si="13"/>
        <v>0</v>
      </c>
      <c r="T110" s="107">
        <f t="shared" si="13"/>
        <v>-9644.07</v>
      </c>
      <c r="U110" s="107">
        <f t="shared" si="13"/>
        <v>0</v>
      </c>
      <c r="V110" s="107">
        <f t="shared" si="13"/>
        <v>0</v>
      </c>
      <c r="W110" s="107">
        <f t="shared" si="13"/>
        <v>0</v>
      </c>
      <c r="X110" s="107">
        <f t="shared" si="13"/>
        <v>0</v>
      </c>
      <c r="Y110" s="107">
        <f t="shared" si="13"/>
        <v>0</v>
      </c>
      <c r="Z110" s="107">
        <f t="shared" si="13"/>
        <v>0</v>
      </c>
      <c r="AA110" s="107">
        <f t="shared" si="13"/>
        <v>0</v>
      </c>
      <c r="AB110" s="107">
        <f t="shared" si="13"/>
        <v>0</v>
      </c>
      <c r="AC110" s="107">
        <f t="shared" si="13"/>
        <v>0</v>
      </c>
      <c r="AD110" s="107">
        <f t="shared" si="13"/>
        <v>0</v>
      </c>
      <c r="AE110" s="107">
        <f t="shared" si="13"/>
        <v>0</v>
      </c>
      <c r="AF110" s="107">
        <f t="shared" si="13"/>
        <v>0</v>
      </c>
      <c r="AG110" s="107">
        <f t="shared" si="13"/>
        <v>0</v>
      </c>
      <c r="AH110" s="107">
        <f t="shared" si="13"/>
        <v>0</v>
      </c>
      <c r="AI110" s="107">
        <f t="shared" si="13"/>
        <v>0</v>
      </c>
      <c r="AJ110" s="107">
        <f t="shared" si="13"/>
        <v>0</v>
      </c>
      <c r="AK110" s="107">
        <f t="shared" si="13"/>
        <v>0</v>
      </c>
      <c r="AL110" s="107">
        <f t="shared" si="13"/>
        <v>0</v>
      </c>
      <c r="AM110" s="107">
        <f t="shared" si="13"/>
        <v>0</v>
      </c>
      <c r="AN110" s="107">
        <f t="shared" si="13"/>
        <v>0</v>
      </c>
      <c r="AO110" s="111">
        <f>D110+E110+F110+G110+H110+I110+J110+M110+P110+SUM(Q110:AN110)</f>
        <v>-308560.64296000003</v>
      </c>
      <c r="AP110" s="4"/>
      <c r="AQ110" s="5"/>
      <c r="AR110" s="5"/>
      <c r="AS110" s="2" t="s">
        <v>6</v>
      </c>
    </row>
    <row r="111" spans="1:46" s="2" customFormat="1" ht="17.25" customHeight="1" thickTop="1" x14ac:dyDescent="0.25">
      <c r="A111" s="23">
        <f>A89+1</f>
        <v>45969</v>
      </c>
      <c r="B111" s="201" t="s">
        <v>64</v>
      </c>
      <c r="C111" s="203"/>
      <c r="D111" s="63">
        <v>12342.92</v>
      </c>
      <c r="E111" s="64"/>
      <c r="F111" s="74"/>
      <c r="G111" s="74"/>
      <c r="H111" s="64"/>
      <c r="I111" s="64">
        <f>-D111</f>
        <v>-12342.92</v>
      </c>
      <c r="J111" s="66"/>
      <c r="K111" s="18"/>
      <c r="L111" s="18"/>
      <c r="M111" s="66"/>
      <c r="N111" s="18"/>
      <c r="O111" s="18"/>
      <c r="P111" s="66"/>
      <c r="Q111" s="46"/>
      <c r="R111" s="46"/>
      <c r="S111" s="45"/>
      <c r="T111" s="18"/>
      <c r="U111" s="18"/>
      <c r="V111" s="18"/>
      <c r="W111" s="18"/>
      <c r="X111" s="18"/>
      <c r="Y111" s="14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7"/>
      <c r="AO111" s="31"/>
      <c r="AQ111" s="10"/>
      <c r="AR111" s="27"/>
    </row>
    <row r="112" spans="1:46" s="2" customFormat="1" ht="17.25" customHeight="1" x14ac:dyDescent="0.25">
      <c r="A112" s="24"/>
      <c r="B112" s="201" t="s">
        <v>96</v>
      </c>
      <c r="C112" s="202"/>
      <c r="D112" s="63"/>
      <c r="E112" s="64"/>
      <c r="F112" s="64"/>
      <c r="G112" s="64"/>
      <c r="H112" s="64"/>
      <c r="I112" s="64">
        <f>-I110-I111</f>
        <v>-297.1299999999992</v>
      </c>
      <c r="J112" s="64"/>
      <c r="K112" s="16"/>
      <c r="L112" s="16"/>
      <c r="M112" s="64"/>
      <c r="N112" s="16"/>
      <c r="O112" s="16"/>
      <c r="P112" s="64"/>
      <c r="Q112" s="46"/>
      <c r="R112" s="40"/>
      <c r="S112" s="39"/>
      <c r="T112" s="16"/>
      <c r="U112" s="16"/>
      <c r="V112" s="16"/>
      <c r="W112" s="16"/>
      <c r="X112" s="16"/>
      <c r="Y112" s="19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22"/>
      <c r="AQ112" s="10"/>
      <c r="AR112" s="11"/>
    </row>
    <row r="113" spans="1:46" s="2" customFormat="1" ht="17.25" customHeight="1" x14ac:dyDescent="0.25">
      <c r="A113" s="24"/>
      <c r="B113" s="205" t="s">
        <v>248</v>
      </c>
      <c r="C113" s="206"/>
      <c r="D113" s="64"/>
      <c r="E113" s="64"/>
      <c r="F113" s="64"/>
      <c r="G113" s="64"/>
      <c r="H113" s="64"/>
      <c r="I113" s="64"/>
      <c r="J113" s="64"/>
      <c r="K113" s="57"/>
      <c r="L113" s="88"/>
      <c r="M113" s="62"/>
      <c r="N113" s="57">
        <v>10000</v>
      </c>
      <c r="O113" s="88">
        <v>3.57</v>
      </c>
      <c r="P113" s="62">
        <f>N113*O113</f>
        <v>35700</v>
      </c>
      <c r="Q113" s="39"/>
      <c r="R113" s="39"/>
      <c r="S113" s="39"/>
      <c r="T113" s="16"/>
      <c r="U113" s="16">
        <f>-P113</f>
        <v>-35700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22"/>
      <c r="AQ113" s="10"/>
      <c r="AR113" s="11"/>
    </row>
    <row r="114" spans="1:46" s="2" customFormat="1" ht="17.25" customHeight="1" thickBot="1" x14ac:dyDescent="0.25">
      <c r="A114" s="24"/>
      <c r="B114" s="216"/>
      <c r="C114" s="217"/>
      <c r="D114" s="83"/>
      <c r="E114" s="81"/>
      <c r="F114" s="81"/>
      <c r="G114" s="81"/>
      <c r="H114" s="81"/>
      <c r="I114" s="81"/>
      <c r="J114" s="81"/>
      <c r="K114" s="37"/>
      <c r="L114" s="93"/>
      <c r="M114" s="81"/>
      <c r="N114" s="37"/>
      <c r="O114" s="93"/>
      <c r="P114" s="81"/>
      <c r="Q114" s="40"/>
      <c r="R114" s="40"/>
      <c r="S114" s="39"/>
      <c r="T114" s="16"/>
      <c r="U114" s="16"/>
      <c r="V114" s="16"/>
      <c r="W114" s="16"/>
      <c r="X114" s="16"/>
      <c r="Y114" s="19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41"/>
      <c r="AQ114" s="10"/>
      <c r="AR114" s="11"/>
    </row>
    <row r="115" spans="1:46" s="4" customFormat="1" ht="17.25" customHeight="1" x14ac:dyDescent="0.25">
      <c r="A115" s="23"/>
      <c r="B115" s="210" t="s">
        <v>94</v>
      </c>
      <c r="C115" s="203"/>
      <c r="D115" s="66"/>
      <c r="E115" s="66"/>
      <c r="F115" s="117"/>
      <c r="G115" s="117"/>
      <c r="H115" s="66"/>
      <c r="I115" s="66"/>
      <c r="J115" s="66">
        <f>-M115</f>
        <v>7324.2</v>
      </c>
      <c r="K115" s="58">
        <v>-1252</v>
      </c>
      <c r="L115" s="89">
        <v>5.85</v>
      </c>
      <c r="M115" s="73">
        <f>K115*L115</f>
        <v>-7324.2</v>
      </c>
      <c r="N115" s="58"/>
      <c r="O115" s="89"/>
      <c r="P115" s="73"/>
      <c r="Q115" s="39"/>
      <c r="R115" s="39"/>
      <c r="S115" s="8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35"/>
      <c r="AP115" s="12" t="e">
        <f>#REF!</f>
        <v>#REF!</v>
      </c>
    </row>
    <row r="116" spans="1:46" s="4" customFormat="1" ht="17.25" customHeight="1" x14ac:dyDescent="0.25">
      <c r="A116" s="23"/>
      <c r="B116" s="201" t="s">
        <v>95</v>
      </c>
      <c r="C116" s="202"/>
      <c r="D116" s="64"/>
      <c r="E116" s="64"/>
      <c r="F116" s="117"/>
      <c r="G116" s="117"/>
      <c r="H116" s="64"/>
      <c r="I116" s="64"/>
      <c r="J116" s="64">
        <f>-P116</f>
        <v>9236.23</v>
      </c>
      <c r="K116" s="57"/>
      <c r="L116" s="88"/>
      <c r="M116" s="62"/>
      <c r="N116" s="57">
        <v>-2437</v>
      </c>
      <c r="O116" s="88">
        <v>3.79</v>
      </c>
      <c r="P116" s="62">
        <f>N116*O116</f>
        <v>-9236.23</v>
      </c>
      <c r="Q116" s="39"/>
      <c r="R116" s="39"/>
      <c r="S116" s="8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35"/>
      <c r="AP116" s="12" t="e">
        <f>#REF!</f>
        <v>#REF!</v>
      </c>
    </row>
    <row r="117" spans="1:46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>
        <f>-J117-I117</f>
        <v>5920.99</v>
      </c>
      <c r="I117" s="64">
        <v>10639.44</v>
      </c>
      <c r="J117" s="64">
        <f>-SUM(J115:J116)</f>
        <v>-16560.43</v>
      </c>
      <c r="K117" s="57"/>
      <c r="L117" s="88"/>
      <c r="M117" s="62"/>
      <c r="N117" s="57"/>
      <c r="O117" s="88"/>
      <c r="P117" s="62"/>
      <c r="Q117" s="39"/>
      <c r="R117" s="39"/>
      <c r="S117" s="39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22"/>
      <c r="AO117" s="43"/>
      <c r="AP117" s="12" t="e">
        <f>#REF!</f>
        <v>#REF!</v>
      </c>
      <c r="AT117" s="2"/>
    </row>
    <row r="118" spans="1:46" s="4" customFormat="1" ht="17.25" customHeight="1" x14ac:dyDescent="0.25">
      <c r="A118" s="23"/>
      <c r="B118" s="201" t="s">
        <v>93</v>
      </c>
      <c r="C118" s="202"/>
      <c r="D118" s="64"/>
      <c r="E118" s="64"/>
      <c r="F118" s="64"/>
      <c r="G118" s="64"/>
      <c r="H118" s="64"/>
      <c r="I118" s="64"/>
      <c r="J118" s="64"/>
      <c r="K118" s="57">
        <v>-12</v>
      </c>
      <c r="L118" s="88"/>
      <c r="M118" s="62">
        <f>(K121*((M110)/(K110))-M110-M115)</f>
        <v>914.33724812243145</v>
      </c>
      <c r="N118" s="57">
        <v>-34</v>
      </c>
      <c r="O118" s="88"/>
      <c r="P118" s="62">
        <f>(N121*((P110+P113)/(N110+N113))-P110-P116-P113)</f>
        <v>444.50317159463884</v>
      </c>
      <c r="Q118" s="39"/>
      <c r="R118" s="39"/>
      <c r="S118" s="39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22"/>
      <c r="AO118" s="43">
        <f>A112</f>
        <v>0</v>
      </c>
      <c r="AP118" s="12" t="e">
        <f>#REF!</f>
        <v>#REF!</v>
      </c>
      <c r="AT118" s="2"/>
    </row>
    <row r="119" spans="1:46" s="2" customFormat="1" ht="17.25" customHeight="1" x14ac:dyDescent="0.2">
      <c r="A119" s="24"/>
      <c r="B119" s="201"/>
      <c r="C119" s="204"/>
      <c r="D119" s="63"/>
      <c r="E119" s="64"/>
      <c r="F119" s="64"/>
      <c r="G119" s="64"/>
      <c r="H119" s="64"/>
      <c r="I119" s="64"/>
      <c r="J119" s="64"/>
      <c r="K119" s="16"/>
      <c r="L119" s="16"/>
      <c r="M119" s="64"/>
      <c r="N119" s="16"/>
      <c r="O119" s="16"/>
      <c r="P119" s="64"/>
      <c r="Q119" s="46"/>
      <c r="R119" s="46"/>
      <c r="S119" s="39"/>
      <c r="T119" s="16"/>
      <c r="U119" s="16"/>
      <c r="V119" s="16"/>
      <c r="W119" s="16"/>
      <c r="X119" s="16"/>
      <c r="Y119" s="19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43">
        <f>A111</f>
        <v>45969</v>
      </c>
      <c r="AQ119" s="10"/>
      <c r="AR119" s="11"/>
    </row>
    <row r="120" spans="1:46" s="2" customFormat="1" ht="17.25" customHeight="1" thickBot="1" x14ac:dyDescent="0.3">
      <c r="A120" s="56"/>
      <c r="B120" s="101" t="s">
        <v>102</v>
      </c>
      <c r="C120" s="102">
        <f>D121+E121+F121+G121+H121+I121+J121+M121+P121</f>
        <v>130244.94704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48"/>
      <c r="R120" s="48"/>
      <c r="S120" s="51"/>
      <c r="T120" s="28"/>
      <c r="U120" s="28"/>
      <c r="V120" s="28"/>
      <c r="W120" s="28"/>
      <c r="X120" s="28"/>
      <c r="Y120" s="36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42">
        <f>SUM($Q110:AN120)</f>
        <v>-437743.88</v>
      </c>
      <c r="AQ120" s="10"/>
      <c r="AR120" s="11"/>
      <c r="AS120" s="2" t="s">
        <v>5</v>
      </c>
    </row>
    <row r="121" spans="1:46" s="2" customFormat="1" ht="17.25" customHeight="1" thickTop="1" thickBot="1" x14ac:dyDescent="0.3">
      <c r="A121" s="103"/>
      <c r="B121" s="104" t="s">
        <v>103</v>
      </c>
      <c r="C121" s="105">
        <f>AO121</f>
        <v>-307498.93296000001</v>
      </c>
      <c r="D121" s="106">
        <f t="shared" ref="D121:K121" si="14">SUM(D110:D120)</f>
        <v>12346.047039999994</v>
      </c>
      <c r="E121" s="107">
        <f t="shared" si="14"/>
        <v>-10347.459999999999</v>
      </c>
      <c r="F121" s="107">
        <f t="shared" si="14"/>
        <v>0</v>
      </c>
      <c r="G121" s="107">
        <f t="shared" si="14"/>
        <v>0</v>
      </c>
      <c r="H121" s="107">
        <f t="shared" si="14"/>
        <v>18998.509999999995</v>
      </c>
      <c r="I121" s="107">
        <f t="shared" si="14"/>
        <v>10639.44</v>
      </c>
      <c r="J121" s="107">
        <f t="shared" si="14"/>
        <v>0</v>
      </c>
      <c r="K121" s="108">
        <f t="shared" si="14"/>
        <v>12850</v>
      </c>
      <c r="L121" s="109">
        <f>M121/K121</f>
        <v>5.0710941634241244</v>
      </c>
      <c r="M121" s="107">
        <f>ROUND(SUM(M110:M120),2)</f>
        <v>65163.56</v>
      </c>
      <c r="N121" s="108">
        <f>SUM(N110:N120)</f>
        <v>9400</v>
      </c>
      <c r="O121" s="109">
        <f>P121/N121</f>
        <v>3.5579627659574466</v>
      </c>
      <c r="P121" s="107">
        <f>ROUND(SUM(P110:P120),2)</f>
        <v>33444.85</v>
      </c>
      <c r="Q121" s="110">
        <f t="shared" ref="Q121:AN121" si="15">SUM(Q110:Q120)</f>
        <v>-430328.33</v>
      </c>
      <c r="R121" s="107">
        <f t="shared" si="15"/>
        <v>37928.519999999997</v>
      </c>
      <c r="S121" s="107">
        <f t="shared" si="15"/>
        <v>0</v>
      </c>
      <c r="T121" s="107">
        <f t="shared" si="15"/>
        <v>-9644.07</v>
      </c>
      <c r="U121" s="107">
        <f t="shared" si="15"/>
        <v>-35700</v>
      </c>
      <c r="V121" s="107">
        <f t="shared" si="15"/>
        <v>0</v>
      </c>
      <c r="W121" s="107">
        <f t="shared" si="15"/>
        <v>0</v>
      </c>
      <c r="X121" s="107">
        <f t="shared" si="15"/>
        <v>0</v>
      </c>
      <c r="Y121" s="107">
        <f t="shared" si="15"/>
        <v>0</v>
      </c>
      <c r="Z121" s="107">
        <f t="shared" si="15"/>
        <v>0</v>
      </c>
      <c r="AA121" s="107">
        <f t="shared" si="15"/>
        <v>0</v>
      </c>
      <c r="AB121" s="107">
        <f t="shared" si="15"/>
        <v>0</v>
      </c>
      <c r="AC121" s="107">
        <f t="shared" si="15"/>
        <v>0</v>
      </c>
      <c r="AD121" s="107">
        <f t="shared" si="15"/>
        <v>0</v>
      </c>
      <c r="AE121" s="107">
        <f t="shared" si="15"/>
        <v>0</v>
      </c>
      <c r="AF121" s="107">
        <f t="shared" si="15"/>
        <v>0</v>
      </c>
      <c r="AG121" s="107">
        <f t="shared" si="15"/>
        <v>0</v>
      </c>
      <c r="AH121" s="107">
        <f t="shared" si="15"/>
        <v>0</v>
      </c>
      <c r="AI121" s="107">
        <f t="shared" si="15"/>
        <v>0</v>
      </c>
      <c r="AJ121" s="107">
        <f t="shared" si="15"/>
        <v>0</v>
      </c>
      <c r="AK121" s="107">
        <f t="shared" si="15"/>
        <v>0</v>
      </c>
      <c r="AL121" s="107">
        <f t="shared" si="15"/>
        <v>0</v>
      </c>
      <c r="AM121" s="107">
        <f t="shared" si="15"/>
        <v>0</v>
      </c>
      <c r="AN121" s="107">
        <f t="shared" si="15"/>
        <v>0</v>
      </c>
      <c r="AO121" s="111">
        <f>D121+E121+F121+G121+H121+I121+J121+M121+P121+SUM(Q121:AN121)</f>
        <v>-307498.93296000001</v>
      </c>
      <c r="AP121" s="4"/>
      <c r="AQ121" s="5"/>
      <c r="AR121" s="5"/>
      <c r="AS121" s="2" t="s">
        <v>6</v>
      </c>
    </row>
    <row r="122" spans="1:46" s="2" customFormat="1" ht="17.25" customHeight="1" thickTop="1" x14ac:dyDescent="0.25">
      <c r="A122" s="23">
        <f>A111+1</f>
        <v>45970</v>
      </c>
      <c r="B122" s="210" t="s">
        <v>64</v>
      </c>
      <c r="C122" s="203"/>
      <c r="D122" s="63">
        <v>10401.64</v>
      </c>
      <c r="E122" s="66"/>
      <c r="F122" s="66"/>
      <c r="G122" s="66"/>
      <c r="H122" s="66"/>
      <c r="I122" s="64">
        <f>-D122</f>
        <v>-10401.64</v>
      </c>
      <c r="J122" s="66"/>
      <c r="K122" s="18"/>
      <c r="L122" s="18"/>
      <c r="M122" s="66"/>
      <c r="N122" s="18"/>
      <c r="O122" s="18"/>
      <c r="P122" s="66"/>
      <c r="Q122" s="46"/>
      <c r="R122" s="46"/>
      <c r="S122" s="45"/>
      <c r="T122" s="18"/>
      <c r="U122" s="18"/>
      <c r="V122" s="18"/>
      <c r="W122" s="18"/>
      <c r="X122" s="18"/>
      <c r="Y122" s="14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7"/>
      <c r="AO122" s="31"/>
      <c r="AQ122" s="10"/>
      <c r="AR122" s="27"/>
    </row>
    <row r="123" spans="1:46" s="4" customFormat="1" ht="17.25" customHeight="1" x14ac:dyDescent="0.25">
      <c r="A123" s="23"/>
      <c r="B123" s="201" t="s">
        <v>96</v>
      </c>
      <c r="C123" s="202"/>
      <c r="D123" s="63"/>
      <c r="E123" s="64"/>
      <c r="F123" s="64"/>
      <c r="G123" s="64"/>
      <c r="H123" s="64"/>
      <c r="I123" s="64">
        <f>-I121-I122</f>
        <v>-237.80000000000109</v>
      </c>
      <c r="J123" s="64"/>
      <c r="K123" s="16"/>
      <c r="L123" s="92"/>
      <c r="M123" s="64"/>
      <c r="N123" s="16"/>
      <c r="O123" s="92"/>
      <c r="P123" s="64"/>
      <c r="Q123" s="40"/>
      <c r="R123" s="46"/>
      <c r="S123" s="39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22"/>
      <c r="AP123" s="30"/>
    </row>
    <row r="124" spans="1:46" s="2" customFormat="1" ht="17.25" customHeight="1" x14ac:dyDescent="0.25">
      <c r="A124" s="24"/>
      <c r="B124" s="201" t="s">
        <v>13</v>
      </c>
      <c r="C124" s="203"/>
      <c r="D124" s="63"/>
      <c r="E124" s="64"/>
      <c r="F124" s="74"/>
      <c r="G124" s="74"/>
      <c r="H124" s="64"/>
      <c r="I124" s="64"/>
      <c r="J124" s="64"/>
      <c r="K124" s="16"/>
      <c r="L124" s="16"/>
      <c r="M124" s="64"/>
      <c r="N124" s="16"/>
      <c r="O124" s="16"/>
      <c r="P124" s="64"/>
      <c r="Q124" s="46"/>
      <c r="R124" s="39"/>
      <c r="S124" s="40"/>
      <c r="T124" s="16"/>
      <c r="U124" s="16"/>
      <c r="V124" s="16"/>
      <c r="W124" s="16"/>
      <c r="X124" s="16"/>
      <c r="Y124" s="19"/>
      <c r="Z124" s="16"/>
      <c r="AA124" s="16"/>
      <c r="AB124" s="16"/>
      <c r="AC124" s="16"/>
      <c r="AD124" s="16"/>
      <c r="AE124" s="16"/>
      <c r="AF124" s="16"/>
      <c r="AG124" s="15"/>
      <c r="AH124" s="15"/>
      <c r="AI124" s="15"/>
      <c r="AJ124" s="15"/>
      <c r="AK124" s="15"/>
      <c r="AL124" s="15"/>
      <c r="AM124" s="15"/>
      <c r="AN124" s="16"/>
      <c r="AO124" s="22"/>
      <c r="AQ124" s="10"/>
      <c r="AR124" s="11"/>
    </row>
    <row r="125" spans="1:46" s="2" customFormat="1" ht="17.25" customHeight="1" x14ac:dyDescent="0.25">
      <c r="A125" s="29"/>
      <c r="B125" s="201" t="s">
        <v>72</v>
      </c>
      <c r="C125" s="202"/>
      <c r="D125" s="63">
        <v>-22700</v>
      </c>
      <c r="E125" s="64"/>
      <c r="F125" s="64">
        <f>-D125</f>
        <v>22700</v>
      </c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47"/>
      <c r="R125" s="39"/>
      <c r="S125" s="39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22"/>
      <c r="AQ125" s="10" t="s">
        <v>4</v>
      </c>
      <c r="AR125" s="11" t="e">
        <v>#REF!</v>
      </c>
    </row>
    <row r="126" spans="1:46" s="2" customFormat="1" ht="17.25" customHeight="1" thickBot="1" x14ac:dyDescent="0.25">
      <c r="A126" s="24"/>
      <c r="B126" s="216"/>
      <c r="C126" s="217"/>
      <c r="D126" s="83"/>
      <c r="E126" s="81"/>
      <c r="F126" s="81"/>
      <c r="G126" s="81"/>
      <c r="H126" s="81"/>
      <c r="I126" s="81"/>
      <c r="J126" s="81"/>
      <c r="K126" s="37"/>
      <c r="L126" s="93"/>
      <c r="M126" s="81"/>
      <c r="N126" s="37"/>
      <c r="O126" s="93"/>
      <c r="P126" s="81"/>
      <c r="Q126" s="40"/>
      <c r="R126" s="40"/>
      <c r="S126" s="39"/>
      <c r="T126" s="16"/>
      <c r="U126" s="16"/>
      <c r="V126" s="16"/>
      <c r="W126" s="16"/>
      <c r="X126" s="16"/>
      <c r="Y126" s="19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41"/>
      <c r="AQ126" s="10"/>
      <c r="AR126" s="11"/>
    </row>
    <row r="127" spans="1:46" s="4" customFormat="1" ht="17.25" customHeight="1" x14ac:dyDescent="0.25">
      <c r="A127" s="23"/>
      <c r="B127" s="210" t="s">
        <v>94</v>
      </c>
      <c r="C127" s="203"/>
      <c r="D127" s="66"/>
      <c r="E127" s="66"/>
      <c r="F127" s="117"/>
      <c r="G127" s="117"/>
      <c r="H127" s="66"/>
      <c r="I127" s="66"/>
      <c r="J127" s="66">
        <f>-M127</f>
        <v>5212.3499999999995</v>
      </c>
      <c r="K127" s="58">
        <v>-891</v>
      </c>
      <c r="L127" s="89">
        <v>5.85</v>
      </c>
      <c r="M127" s="73">
        <f>K127*L127</f>
        <v>-5212.3499999999995</v>
      </c>
      <c r="N127" s="58"/>
      <c r="O127" s="89"/>
      <c r="P127" s="73"/>
      <c r="Q127" s="39"/>
      <c r="R127" s="39"/>
      <c r="S127" s="8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35"/>
      <c r="AP127" s="12" t="e">
        <f>#REF!</f>
        <v>#REF!</v>
      </c>
    </row>
    <row r="128" spans="1:46" s="4" customFormat="1" ht="17.25" customHeight="1" x14ac:dyDescent="0.25">
      <c r="A128" s="23"/>
      <c r="B128" s="201" t="s">
        <v>95</v>
      </c>
      <c r="C128" s="202"/>
      <c r="D128" s="64"/>
      <c r="E128" s="64"/>
      <c r="F128" s="117"/>
      <c r="G128" s="117"/>
      <c r="H128" s="64"/>
      <c r="I128" s="64"/>
      <c r="J128" s="64">
        <f>-P128</f>
        <v>7159.31</v>
      </c>
      <c r="K128" s="57"/>
      <c r="L128" s="88"/>
      <c r="M128" s="62"/>
      <c r="N128" s="57">
        <v>-1889</v>
      </c>
      <c r="O128" s="88">
        <v>3.79</v>
      </c>
      <c r="P128" s="62">
        <f>N128*O128</f>
        <v>-7159.31</v>
      </c>
      <c r="Q128" s="39"/>
      <c r="R128" s="39"/>
      <c r="S128" s="8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35"/>
      <c r="AP128" s="12" t="e">
        <f>#REF!</f>
        <v>#REF!</v>
      </c>
    </row>
    <row r="129" spans="1:46" s="4" customFormat="1" ht="17.25" customHeight="1" x14ac:dyDescent="0.25">
      <c r="A129" s="23"/>
      <c r="B129" s="201" t="s">
        <v>97</v>
      </c>
      <c r="C129" s="203"/>
      <c r="D129" s="64"/>
      <c r="E129" s="64"/>
      <c r="F129" s="64"/>
      <c r="G129" s="64"/>
      <c r="H129" s="64">
        <f>-J129-I129</f>
        <v>3873.6499999999996</v>
      </c>
      <c r="I129" s="64">
        <v>8498.01</v>
      </c>
      <c r="J129" s="64">
        <f>-SUM(J127:J128)</f>
        <v>-12371.66</v>
      </c>
      <c r="K129" s="57"/>
      <c r="L129" s="88"/>
      <c r="M129" s="62"/>
      <c r="N129" s="57"/>
      <c r="O129" s="88"/>
      <c r="P129" s="62"/>
      <c r="Q129" s="39"/>
      <c r="R129" s="39"/>
      <c r="S129" s="39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22"/>
      <c r="AO129" s="35"/>
      <c r="AP129" s="12" t="e">
        <f>#REF!</f>
        <v>#REF!</v>
      </c>
      <c r="AT129" s="2"/>
    </row>
    <row r="130" spans="1:46" s="4" customFormat="1" ht="17.25" customHeight="1" x14ac:dyDescent="0.25">
      <c r="A130" s="23"/>
      <c r="B130" s="201" t="s">
        <v>93</v>
      </c>
      <c r="C130" s="202"/>
      <c r="D130" s="64"/>
      <c r="E130" s="64"/>
      <c r="F130" s="64"/>
      <c r="G130" s="64"/>
      <c r="H130" s="64"/>
      <c r="I130" s="64"/>
      <c r="J130" s="64"/>
      <c r="K130" s="57">
        <v>-70</v>
      </c>
      <c r="L130" s="88"/>
      <c r="M130" s="62">
        <f>(K133*((M121)/(K121)))-M121-M127</f>
        <v>339.02850894941457</v>
      </c>
      <c r="N130" s="57">
        <v>-103</v>
      </c>
      <c r="O130" s="88"/>
      <c r="P130" s="62">
        <f>(N133*O121)-P121-P128</f>
        <v>71.8481702127674</v>
      </c>
      <c r="Q130" s="39"/>
      <c r="R130" s="39"/>
      <c r="S130" s="39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22"/>
      <c r="AO130" s="43">
        <f>A115</f>
        <v>0</v>
      </c>
      <c r="AP130" s="12" t="e">
        <f>#REF!</f>
        <v>#REF!</v>
      </c>
      <c r="AT130" s="2"/>
    </row>
    <row r="131" spans="1:46" s="2" customFormat="1" ht="17.25" customHeight="1" x14ac:dyDescent="0.2">
      <c r="A131" s="24"/>
      <c r="B131" s="201"/>
      <c r="C131" s="204"/>
      <c r="D131" s="63"/>
      <c r="E131" s="64"/>
      <c r="F131" s="64"/>
      <c r="G131" s="64"/>
      <c r="H131" s="64"/>
      <c r="I131" s="64"/>
      <c r="J131" s="64"/>
      <c r="K131" s="16"/>
      <c r="L131" s="16"/>
      <c r="M131" s="64"/>
      <c r="N131" s="16"/>
      <c r="O131" s="16"/>
      <c r="P131" s="64"/>
      <c r="Q131" s="46"/>
      <c r="R131" s="46"/>
      <c r="S131" s="39"/>
      <c r="T131" s="16"/>
      <c r="U131" s="16"/>
      <c r="V131" s="16"/>
      <c r="W131" s="16"/>
      <c r="X131" s="16"/>
      <c r="Y131" s="19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43">
        <f>A122</f>
        <v>45970</v>
      </c>
      <c r="AQ131" s="10"/>
      <c r="AR131" s="11"/>
    </row>
    <row r="132" spans="1:46" s="2" customFormat="1" ht="17.25" customHeight="1" thickBot="1" x14ac:dyDescent="0.3">
      <c r="A132" s="56"/>
      <c r="B132" s="101" t="s">
        <v>102</v>
      </c>
      <c r="C132" s="102">
        <f>D133+E133+F133+G133+H133+I133+J133+M133+P133</f>
        <v>130418.02703999999</v>
      </c>
      <c r="D132" s="84"/>
      <c r="E132" s="85"/>
      <c r="F132" s="85"/>
      <c r="G132" s="85"/>
      <c r="H132" s="85"/>
      <c r="I132" s="85"/>
      <c r="J132" s="85"/>
      <c r="K132" s="28"/>
      <c r="L132" s="28"/>
      <c r="M132" s="85"/>
      <c r="N132" s="28"/>
      <c r="O132" s="28"/>
      <c r="P132" s="85"/>
      <c r="Q132" s="48"/>
      <c r="R132" s="48"/>
      <c r="S132" s="51"/>
      <c r="T132" s="28"/>
      <c r="U132" s="28"/>
      <c r="V132" s="28"/>
      <c r="W132" s="28"/>
      <c r="X132" s="28"/>
      <c r="Y132" s="36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42">
        <f>SUM($Q121:AN132)</f>
        <v>-437743.88</v>
      </c>
      <c r="AQ132" s="10"/>
      <c r="AR132" s="11"/>
      <c r="AS132" s="2" t="s">
        <v>5</v>
      </c>
    </row>
    <row r="133" spans="1:46" s="2" customFormat="1" ht="17.25" customHeight="1" thickTop="1" thickBot="1" x14ac:dyDescent="0.3">
      <c r="A133" s="103"/>
      <c r="B133" s="104" t="s">
        <v>103</v>
      </c>
      <c r="C133" s="105">
        <f>AO133</f>
        <v>-307325.85296000005</v>
      </c>
      <c r="D133" s="106">
        <f t="shared" ref="D133:K133" si="16">SUM(D121:D132)</f>
        <v>47.687039999993431</v>
      </c>
      <c r="E133" s="107">
        <f t="shared" si="16"/>
        <v>-10347.459999999999</v>
      </c>
      <c r="F133" s="107">
        <f t="shared" si="16"/>
        <v>22700</v>
      </c>
      <c r="G133" s="107">
        <f t="shared" si="16"/>
        <v>0</v>
      </c>
      <c r="H133" s="107">
        <f t="shared" si="16"/>
        <v>22872.159999999996</v>
      </c>
      <c r="I133" s="107">
        <f t="shared" si="16"/>
        <v>8498.01</v>
      </c>
      <c r="J133" s="107">
        <f t="shared" si="16"/>
        <v>0</v>
      </c>
      <c r="K133" s="108">
        <f t="shared" si="16"/>
        <v>11889</v>
      </c>
      <c r="L133" s="109">
        <f>M133/K133</f>
        <v>5.0710942888384221</v>
      </c>
      <c r="M133" s="107">
        <f>ROUND(SUM(M121:M132),2)</f>
        <v>60290.239999999998</v>
      </c>
      <c r="N133" s="108">
        <f>SUM(N121:N132)</f>
        <v>7408</v>
      </c>
      <c r="O133" s="109">
        <f>P133/N133</f>
        <v>3.5579630129589632</v>
      </c>
      <c r="P133" s="107">
        <f>ROUND(SUM(P121:P132),2)</f>
        <v>26357.39</v>
      </c>
      <c r="Q133" s="110">
        <f t="shared" ref="Q133:AN133" si="17">SUM(Q121:Q132)</f>
        <v>-430328.33</v>
      </c>
      <c r="R133" s="107">
        <f t="shared" si="17"/>
        <v>37928.519999999997</v>
      </c>
      <c r="S133" s="107">
        <f t="shared" si="17"/>
        <v>0</v>
      </c>
      <c r="T133" s="107">
        <f t="shared" si="17"/>
        <v>-9644.07</v>
      </c>
      <c r="U133" s="107">
        <f t="shared" si="17"/>
        <v>-35700</v>
      </c>
      <c r="V133" s="107">
        <f t="shared" si="17"/>
        <v>0</v>
      </c>
      <c r="W133" s="107">
        <f t="shared" si="17"/>
        <v>0</v>
      </c>
      <c r="X133" s="107">
        <f t="shared" si="17"/>
        <v>0</v>
      </c>
      <c r="Y133" s="107">
        <f t="shared" si="17"/>
        <v>0</v>
      </c>
      <c r="Z133" s="107">
        <f t="shared" si="17"/>
        <v>0</v>
      </c>
      <c r="AA133" s="107">
        <f t="shared" si="17"/>
        <v>0</v>
      </c>
      <c r="AB133" s="107">
        <f t="shared" si="17"/>
        <v>0</v>
      </c>
      <c r="AC133" s="107">
        <f t="shared" si="17"/>
        <v>0</v>
      </c>
      <c r="AD133" s="107">
        <f t="shared" si="17"/>
        <v>0</v>
      </c>
      <c r="AE133" s="107">
        <f t="shared" si="17"/>
        <v>0</v>
      </c>
      <c r="AF133" s="107">
        <f t="shared" si="17"/>
        <v>0</v>
      </c>
      <c r="AG133" s="107">
        <f t="shared" si="17"/>
        <v>0</v>
      </c>
      <c r="AH133" s="107">
        <f t="shared" si="17"/>
        <v>0</v>
      </c>
      <c r="AI133" s="107">
        <f t="shared" si="17"/>
        <v>0</v>
      </c>
      <c r="AJ133" s="107">
        <f t="shared" si="17"/>
        <v>0</v>
      </c>
      <c r="AK133" s="107">
        <f t="shared" si="17"/>
        <v>0</v>
      </c>
      <c r="AL133" s="107">
        <f t="shared" si="17"/>
        <v>0</v>
      </c>
      <c r="AM133" s="107">
        <f t="shared" si="17"/>
        <v>0</v>
      </c>
      <c r="AN133" s="107">
        <f t="shared" si="17"/>
        <v>0</v>
      </c>
      <c r="AO133" s="111">
        <f>D133+E133+F133+G133+H133+I133+J133+M133+P133+SUM(Q133:AN133)</f>
        <v>-307325.85296000005</v>
      </c>
      <c r="AP133" s="4"/>
      <c r="AQ133" s="5"/>
      <c r="AR133" s="5"/>
      <c r="AS133" s="2" t="s">
        <v>6</v>
      </c>
    </row>
    <row r="134" spans="1:46" s="2" customFormat="1" ht="17.25" customHeight="1" thickTop="1" x14ac:dyDescent="0.25">
      <c r="A134" s="23">
        <f>A122+1</f>
        <v>45971</v>
      </c>
      <c r="B134" s="210" t="s">
        <v>64</v>
      </c>
      <c r="C134" s="203"/>
      <c r="D134" s="63">
        <v>8301.23</v>
      </c>
      <c r="E134" s="66"/>
      <c r="F134" s="66"/>
      <c r="G134" s="66"/>
      <c r="H134" s="66"/>
      <c r="I134" s="64">
        <f>-D134</f>
        <v>-8301.23</v>
      </c>
      <c r="J134" s="66"/>
      <c r="K134" s="18"/>
      <c r="L134" s="18"/>
      <c r="M134" s="66"/>
      <c r="N134" s="18"/>
      <c r="O134" s="18"/>
      <c r="P134" s="66"/>
      <c r="Q134" s="46"/>
      <c r="R134" s="46"/>
      <c r="S134" s="45"/>
      <c r="T134" s="18"/>
      <c r="U134" s="18"/>
      <c r="V134" s="18"/>
      <c r="W134" s="18"/>
      <c r="X134" s="18"/>
      <c r="Y134" s="14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31"/>
      <c r="AQ134" s="10"/>
      <c r="AR134" s="27"/>
    </row>
    <row r="135" spans="1:46" s="4" customFormat="1" ht="17.25" customHeight="1" x14ac:dyDescent="0.25">
      <c r="A135" s="23"/>
      <c r="B135" s="201" t="s">
        <v>96</v>
      </c>
      <c r="C135" s="202"/>
      <c r="D135" s="63"/>
      <c r="E135" s="64"/>
      <c r="F135" s="64"/>
      <c r="G135" s="64"/>
      <c r="H135" s="64"/>
      <c r="I135" s="64">
        <f>-I133-I134</f>
        <v>-196.78000000000065</v>
      </c>
      <c r="J135" s="64"/>
      <c r="K135" s="16"/>
      <c r="L135" s="92"/>
      <c r="M135" s="64"/>
      <c r="N135" s="16"/>
      <c r="O135" s="92"/>
      <c r="P135" s="64"/>
      <c r="Q135" s="40"/>
      <c r="R135" s="46"/>
      <c r="S135" s="39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22"/>
      <c r="AP135" s="30"/>
    </row>
    <row r="136" spans="1:46" s="2" customFormat="1" ht="17.25" customHeight="1" x14ac:dyDescent="0.25">
      <c r="A136" s="24"/>
      <c r="B136" s="201" t="s">
        <v>13</v>
      </c>
      <c r="C136" s="203"/>
      <c r="D136" s="63"/>
      <c r="E136" s="64">
        <f>-E133+1806.42+188.82+110.28+110+654.5+168.3+6550+5000+547.61-21022.83</f>
        <v>4460.5599999999977</v>
      </c>
      <c r="F136" s="74"/>
      <c r="G136" s="74"/>
      <c r="H136" s="64">
        <f>-E136</f>
        <v>-4460.5599999999977</v>
      </c>
      <c r="I136" s="64"/>
      <c r="J136" s="64"/>
      <c r="K136" s="16"/>
      <c r="L136" s="16"/>
      <c r="M136" s="64"/>
      <c r="N136" s="16"/>
      <c r="O136" s="16"/>
      <c r="P136" s="64"/>
      <c r="Q136" s="46"/>
      <c r="R136" s="39"/>
      <c r="S136" s="40"/>
      <c r="T136" s="16"/>
      <c r="U136" s="16"/>
      <c r="V136" s="16"/>
      <c r="W136" s="16"/>
      <c r="X136" s="16"/>
      <c r="Y136" s="19"/>
      <c r="Z136" s="16"/>
      <c r="AA136" s="16"/>
      <c r="AB136" s="16"/>
      <c r="AC136" s="16"/>
      <c r="AD136" s="16"/>
      <c r="AE136" s="16"/>
      <c r="AF136" s="16"/>
      <c r="AG136" s="15"/>
      <c r="AH136" s="15"/>
      <c r="AI136" s="15"/>
      <c r="AJ136" s="15"/>
      <c r="AK136" s="15"/>
      <c r="AL136" s="15"/>
      <c r="AM136" s="15"/>
      <c r="AN136" s="16"/>
      <c r="AO136" s="22"/>
      <c r="AQ136" s="10"/>
      <c r="AR136" s="11"/>
    </row>
    <row r="137" spans="1:46" s="2" customFormat="1" ht="17.25" customHeight="1" x14ac:dyDescent="0.25">
      <c r="A137" s="24"/>
      <c r="B137" s="201" t="s">
        <v>254</v>
      </c>
      <c r="C137" s="202"/>
      <c r="D137" s="63"/>
      <c r="E137" s="64">
        <v>-547.61</v>
      </c>
      <c r="F137" s="64"/>
      <c r="G137" s="64"/>
      <c r="H137" s="64"/>
      <c r="I137" s="117"/>
      <c r="J137" s="64"/>
      <c r="K137" s="16"/>
      <c r="L137" s="16"/>
      <c r="M137" s="64"/>
      <c r="N137" s="16"/>
      <c r="O137" s="16"/>
      <c r="P137" s="64"/>
      <c r="Q137" s="40"/>
      <c r="R137" s="40"/>
      <c r="S137" s="39"/>
      <c r="T137" s="16"/>
      <c r="U137" s="16"/>
      <c r="V137" s="16"/>
      <c r="W137" s="16"/>
      <c r="X137" s="16"/>
      <c r="Y137" s="19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41"/>
      <c r="AQ137" s="10"/>
      <c r="AR137" s="11"/>
    </row>
    <row r="138" spans="1:46" s="2" customFormat="1" ht="17.25" customHeight="1" x14ac:dyDescent="0.25">
      <c r="A138" s="24"/>
      <c r="B138" s="201" t="s">
        <v>272</v>
      </c>
      <c r="C138" s="202"/>
      <c r="D138" s="63"/>
      <c r="E138" s="64">
        <v>-654.5</v>
      </c>
      <c r="F138" s="64"/>
      <c r="G138" s="64"/>
      <c r="H138" s="64"/>
      <c r="I138" s="117"/>
      <c r="J138" s="64"/>
      <c r="K138" s="16"/>
      <c r="L138" s="16"/>
      <c r="M138" s="64"/>
      <c r="N138" s="16"/>
      <c r="O138" s="16"/>
      <c r="P138" s="64"/>
      <c r="Q138" s="40"/>
      <c r="R138" s="40"/>
      <c r="S138" s="39"/>
      <c r="T138" s="16"/>
      <c r="U138" s="16"/>
      <c r="V138" s="16"/>
      <c r="W138" s="16"/>
      <c r="X138" s="16"/>
      <c r="Y138" s="19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41"/>
      <c r="AQ138" s="10"/>
      <c r="AR138" s="11"/>
    </row>
    <row r="139" spans="1:46" s="2" customFormat="1" ht="17.25" customHeight="1" x14ac:dyDescent="0.25">
      <c r="A139" s="24"/>
      <c r="B139" s="201" t="s">
        <v>255</v>
      </c>
      <c r="C139" s="202"/>
      <c r="D139" s="63"/>
      <c r="E139" s="64">
        <v>-168.3</v>
      </c>
      <c r="F139" s="64"/>
      <c r="G139" s="64"/>
      <c r="H139" s="64"/>
      <c r="I139" s="117"/>
      <c r="J139" s="64"/>
      <c r="K139" s="16"/>
      <c r="L139" s="16"/>
      <c r="M139" s="64"/>
      <c r="N139" s="16"/>
      <c r="O139" s="16"/>
      <c r="P139" s="64"/>
      <c r="Q139" s="40"/>
      <c r="R139" s="40"/>
      <c r="S139" s="39"/>
      <c r="T139" s="16"/>
      <c r="U139" s="16"/>
      <c r="V139" s="16"/>
      <c r="W139" s="16"/>
      <c r="X139" s="16"/>
      <c r="Y139" s="19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41"/>
      <c r="AQ139" s="10"/>
      <c r="AR139" s="11"/>
    </row>
    <row r="140" spans="1:46" s="2" customFormat="1" ht="17.25" customHeight="1" x14ac:dyDescent="0.25">
      <c r="A140" s="29"/>
      <c r="B140" s="205" t="s">
        <v>263</v>
      </c>
      <c r="C140" s="250"/>
      <c r="D140" s="63"/>
      <c r="E140" s="64">
        <v>-6550</v>
      </c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47">
        <f>-E140</f>
        <v>6550</v>
      </c>
      <c r="R140" s="39"/>
      <c r="S140" s="39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22"/>
      <c r="AQ140" s="10" t="s">
        <v>4</v>
      </c>
      <c r="AR140" s="11" t="e">
        <v>#REF!</v>
      </c>
    </row>
    <row r="141" spans="1:46" s="2" customFormat="1" ht="17.25" customHeight="1" x14ac:dyDescent="0.25">
      <c r="A141" s="24"/>
      <c r="B141" s="201" t="s">
        <v>257</v>
      </c>
      <c r="C141" s="202"/>
      <c r="D141" s="63"/>
      <c r="E141" s="64">
        <v>-1806.42</v>
      </c>
      <c r="F141" s="64"/>
      <c r="G141" s="64"/>
      <c r="H141" s="64"/>
      <c r="I141" s="117"/>
      <c r="J141" s="64"/>
      <c r="K141" s="16"/>
      <c r="L141" s="16"/>
      <c r="M141" s="64"/>
      <c r="N141" s="16"/>
      <c r="O141" s="16"/>
      <c r="P141" s="64"/>
      <c r="Q141" s="40"/>
      <c r="R141" s="40"/>
      <c r="S141" s="39"/>
      <c r="T141" s="16"/>
      <c r="U141" s="16"/>
      <c r="V141" s="16"/>
      <c r="W141" s="16"/>
      <c r="X141" s="16"/>
      <c r="Y141" s="19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41"/>
      <c r="AQ141" s="10"/>
      <c r="AR141" s="11"/>
    </row>
    <row r="142" spans="1:46" s="2" customFormat="1" ht="17.25" customHeight="1" x14ac:dyDescent="0.25">
      <c r="A142" s="24"/>
      <c r="B142" s="201" t="s">
        <v>258</v>
      </c>
      <c r="C142" s="202"/>
      <c r="D142" s="63"/>
      <c r="E142" s="64">
        <v>-188.82</v>
      </c>
      <c r="F142" s="64"/>
      <c r="G142" s="64"/>
      <c r="H142" s="64"/>
      <c r="I142" s="117"/>
      <c r="J142" s="64"/>
      <c r="K142" s="16"/>
      <c r="L142" s="16"/>
      <c r="M142" s="64"/>
      <c r="N142" s="16"/>
      <c r="O142" s="16"/>
      <c r="P142" s="64"/>
      <c r="Q142" s="40"/>
      <c r="R142" s="40"/>
      <c r="S142" s="39"/>
      <c r="T142" s="16"/>
      <c r="U142" s="16"/>
      <c r="V142" s="16"/>
      <c r="W142" s="16"/>
      <c r="X142" s="16"/>
      <c r="Y142" s="19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41"/>
      <c r="AQ142" s="10"/>
      <c r="AR142" s="11"/>
    </row>
    <row r="143" spans="1:46" s="2" customFormat="1" ht="17.25" customHeight="1" x14ac:dyDescent="0.25">
      <c r="A143" s="24"/>
      <c r="B143" s="201" t="s">
        <v>259</v>
      </c>
      <c r="C143" s="202"/>
      <c r="D143" s="63"/>
      <c r="E143" s="64">
        <v>-110.28</v>
      </c>
      <c r="F143" s="64"/>
      <c r="G143" s="64"/>
      <c r="H143" s="64"/>
      <c r="I143" s="117"/>
      <c r="J143" s="64"/>
      <c r="K143" s="16"/>
      <c r="L143" s="16"/>
      <c r="M143" s="64"/>
      <c r="N143" s="16"/>
      <c r="O143" s="16"/>
      <c r="P143" s="64"/>
      <c r="Q143" s="40"/>
      <c r="R143" s="40"/>
      <c r="S143" s="39"/>
      <c r="T143" s="16"/>
      <c r="U143" s="16"/>
      <c r="V143" s="16"/>
      <c r="W143" s="16"/>
      <c r="X143" s="16"/>
      <c r="Y143" s="19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41"/>
      <c r="AQ143" s="10"/>
      <c r="AR143" s="11"/>
    </row>
    <row r="144" spans="1:46" s="2" customFormat="1" ht="17.25" customHeight="1" x14ac:dyDescent="0.25">
      <c r="A144" s="29"/>
      <c r="B144" s="201" t="s">
        <v>256</v>
      </c>
      <c r="C144" s="202"/>
      <c r="D144" s="63"/>
      <c r="E144" s="64">
        <v>-110</v>
      </c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47"/>
      <c r="R144" s="39"/>
      <c r="S144" s="39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22"/>
      <c r="AQ144" s="10" t="s">
        <v>4</v>
      </c>
      <c r="AR144" s="11" t="e">
        <v>#REF!</v>
      </c>
    </row>
    <row r="145" spans="1:46" s="2" customFormat="1" ht="17.25" customHeight="1" x14ac:dyDescent="0.25">
      <c r="A145" s="29"/>
      <c r="B145" s="201" t="s">
        <v>274</v>
      </c>
      <c r="C145" s="202"/>
      <c r="D145" s="63">
        <f>-E145</f>
        <v>5000</v>
      </c>
      <c r="E145" s="64">
        <v>-5000</v>
      </c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47"/>
      <c r="R145" s="39"/>
      <c r="S145" s="39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22"/>
      <c r="AQ145" s="10" t="s">
        <v>4</v>
      </c>
      <c r="AR145" s="11" t="e">
        <v>#REF!</v>
      </c>
    </row>
    <row r="146" spans="1:46" s="2" customFormat="1" ht="17.25" customHeight="1" x14ac:dyDescent="0.25">
      <c r="A146" s="29"/>
      <c r="B146" s="201" t="s">
        <v>275</v>
      </c>
      <c r="C146" s="202"/>
      <c r="D146" s="63">
        <v>-40</v>
      </c>
      <c r="E146" s="64"/>
      <c r="F146" s="64"/>
      <c r="G146" s="64"/>
      <c r="H146" s="64"/>
      <c r="I146" s="64"/>
      <c r="J146" s="64"/>
      <c r="K146" s="57"/>
      <c r="L146" s="88"/>
      <c r="M146" s="62"/>
      <c r="N146" s="57"/>
      <c r="O146" s="88"/>
      <c r="P146" s="62"/>
      <c r="Q146" s="47"/>
      <c r="R146" s="39"/>
      <c r="S146" s="39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22"/>
      <c r="AQ146" s="10" t="s">
        <v>4</v>
      </c>
      <c r="AR146" s="11" t="e">
        <v>#REF!</v>
      </c>
    </row>
    <row r="147" spans="1:46" s="2" customFormat="1" ht="17.25" customHeight="1" x14ac:dyDescent="0.25">
      <c r="A147" s="29"/>
      <c r="B147" s="201" t="s">
        <v>72</v>
      </c>
      <c r="C147" s="202"/>
      <c r="D147" s="63">
        <v>-8300</v>
      </c>
      <c r="E147" s="64"/>
      <c r="F147" s="64">
        <f>-D147</f>
        <v>8300</v>
      </c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47"/>
      <c r="R147" s="39"/>
      <c r="S147" s="39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22"/>
      <c r="AQ147" s="10" t="s">
        <v>4</v>
      </c>
      <c r="AR147" s="11" t="e">
        <v>#REF!</v>
      </c>
    </row>
    <row r="148" spans="1:46" s="2" customFormat="1" ht="17.25" customHeight="1" x14ac:dyDescent="0.25">
      <c r="A148" s="29"/>
      <c r="B148" s="201" t="s">
        <v>72</v>
      </c>
      <c r="C148" s="202"/>
      <c r="D148" s="63">
        <v>31000</v>
      </c>
      <c r="E148" s="64"/>
      <c r="F148" s="64">
        <f>-D148</f>
        <v>-31000</v>
      </c>
      <c r="G148" s="64"/>
      <c r="H148" s="64"/>
      <c r="I148" s="64"/>
      <c r="J148" s="64"/>
      <c r="K148" s="57"/>
      <c r="L148" s="88"/>
      <c r="M148" s="62"/>
      <c r="N148" s="57"/>
      <c r="O148" s="88"/>
      <c r="P148" s="62"/>
      <c r="Q148" s="47"/>
      <c r="R148" s="39"/>
      <c r="S148" s="39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22"/>
      <c r="AQ148" s="10" t="s">
        <v>4</v>
      </c>
      <c r="AR148" s="11" t="e">
        <v>#REF!</v>
      </c>
    </row>
    <row r="149" spans="1:46" s="2" customFormat="1" ht="17.25" customHeight="1" x14ac:dyDescent="0.25">
      <c r="A149" s="24"/>
      <c r="B149" s="205" t="s">
        <v>273</v>
      </c>
      <c r="C149" s="206"/>
      <c r="D149" s="64">
        <v>-35700</v>
      </c>
      <c r="E149" s="64"/>
      <c r="F149" s="64"/>
      <c r="G149" s="64"/>
      <c r="H149" s="64"/>
      <c r="I149" s="64"/>
      <c r="J149" s="64"/>
      <c r="K149" s="57"/>
      <c r="L149" s="88"/>
      <c r="M149" s="62"/>
      <c r="N149" s="57"/>
      <c r="O149" s="88"/>
      <c r="P149" s="62"/>
      <c r="Q149" s="39"/>
      <c r="R149" s="39"/>
      <c r="S149" s="39"/>
      <c r="T149" s="16"/>
      <c r="U149" s="16">
        <f>-D149</f>
        <v>35700</v>
      </c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22"/>
      <c r="AQ149" s="10"/>
      <c r="AR149" s="11"/>
    </row>
    <row r="150" spans="1:46" s="2" customFormat="1" ht="17.25" customHeight="1" x14ac:dyDescent="0.2">
      <c r="A150" s="24"/>
      <c r="B150" s="201" t="s">
        <v>205</v>
      </c>
      <c r="C150" s="204"/>
      <c r="D150" s="63"/>
      <c r="E150" s="64"/>
      <c r="F150" s="64"/>
      <c r="G150" s="64"/>
      <c r="H150" s="63">
        <v>-600</v>
      </c>
      <c r="I150" s="64"/>
      <c r="J150" s="64"/>
      <c r="K150" s="16"/>
      <c r="L150" s="16"/>
      <c r="M150" s="64"/>
      <c r="N150" s="16"/>
      <c r="O150" s="16"/>
      <c r="P150" s="64"/>
      <c r="Q150" s="40"/>
      <c r="R150" s="40"/>
      <c r="S150" s="39"/>
      <c r="T150" s="16"/>
      <c r="U150" s="16"/>
      <c r="V150" s="16"/>
      <c r="W150" s="16"/>
      <c r="X150" s="16"/>
      <c r="Y150" s="19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41"/>
      <c r="AQ150" s="10"/>
      <c r="AR150" s="11"/>
    </row>
    <row r="151" spans="1:46" s="2" customFormat="1" ht="17.25" customHeight="1" thickBot="1" x14ac:dyDescent="0.25">
      <c r="A151" s="24"/>
      <c r="B151" s="216"/>
      <c r="C151" s="217"/>
      <c r="D151" s="83"/>
      <c r="E151" s="81"/>
      <c r="F151" s="81"/>
      <c r="G151" s="81"/>
      <c r="H151" s="81"/>
      <c r="I151" s="81"/>
      <c r="J151" s="81"/>
      <c r="K151" s="37"/>
      <c r="L151" s="93"/>
      <c r="M151" s="81"/>
      <c r="N151" s="37"/>
      <c r="O151" s="93"/>
      <c r="P151" s="81"/>
      <c r="Q151" s="40"/>
      <c r="R151" s="40"/>
      <c r="S151" s="39"/>
      <c r="T151" s="16"/>
      <c r="U151" s="16"/>
      <c r="V151" s="16"/>
      <c r="W151" s="16"/>
      <c r="X151" s="16"/>
      <c r="Y151" s="19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41"/>
      <c r="AQ151" s="10"/>
      <c r="AR151" s="11"/>
    </row>
    <row r="152" spans="1:46" s="4" customFormat="1" ht="17.25" customHeight="1" x14ac:dyDescent="0.25">
      <c r="A152" s="23"/>
      <c r="B152" s="210" t="s">
        <v>94</v>
      </c>
      <c r="C152" s="203"/>
      <c r="D152" s="66"/>
      <c r="E152" s="66"/>
      <c r="F152" s="117"/>
      <c r="G152" s="117"/>
      <c r="H152" s="66"/>
      <c r="I152" s="66"/>
      <c r="J152" s="66">
        <f>-M152</f>
        <v>9646.65</v>
      </c>
      <c r="K152" s="58">
        <v>-1649</v>
      </c>
      <c r="L152" s="89">
        <v>5.85</v>
      </c>
      <c r="M152" s="73">
        <f>K152*L152</f>
        <v>-9646.65</v>
      </c>
      <c r="N152" s="58"/>
      <c r="O152" s="89"/>
      <c r="P152" s="73"/>
      <c r="Q152" s="39"/>
      <c r="R152" s="39"/>
      <c r="S152" s="8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35"/>
      <c r="AP152" s="12" t="e">
        <f>#REF!</f>
        <v>#REF!</v>
      </c>
    </row>
    <row r="153" spans="1:46" s="4" customFormat="1" ht="17.25" customHeight="1" x14ac:dyDescent="0.25">
      <c r="A153" s="23"/>
      <c r="B153" s="201" t="s">
        <v>95</v>
      </c>
      <c r="C153" s="202"/>
      <c r="D153" s="64"/>
      <c r="E153" s="64"/>
      <c r="F153" s="117"/>
      <c r="G153" s="117"/>
      <c r="H153" s="64"/>
      <c r="I153" s="64"/>
      <c r="J153" s="64">
        <f>-P153</f>
        <v>9607.65</v>
      </c>
      <c r="K153" s="57"/>
      <c r="L153" s="88"/>
      <c r="M153" s="62"/>
      <c r="N153" s="57">
        <v>-2535</v>
      </c>
      <c r="O153" s="88">
        <v>3.79</v>
      </c>
      <c r="P153" s="62">
        <f>N153*O153</f>
        <v>-9607.65</v>
      </c>
      <c r="Q153" s="39"/>
      <c r="R153" s="39"/>
      <c r="S153" s="8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35"/>
      <c r="AP153" s="12" t="e">
        <f>#REF!</f>
        <v>#REF!</v>
      </c>
    </row>
    <row r="154" spans="1:46" s="4" customFormat="1" ht="17.25" customHeight="1" x14ac:dyDescent="0.25">
      <c r="A154" s="23"/>
      <c r="B154" s="201" t="s">
        <v>97</v>
      </c>
      <c r="C154" s="203"/>
      <c r="D154" s="64"/>
      <c r="E154" s="64"/>
      <c r="F154" s="64"/>
      <c r="G154" s="64"/>
      <c r="H154" s="64">
        <f>-J154-I154</f>
        <v>6302.8799999999992</v>
      </c>
      <c r="I154" s="64">
        <v>12951.42</v>
      </c>
      <c r="J154" s="64">
        <f>-SUM(J152:J153)</f>
        <v>-19254.3</v>
      </c>
      <c r="K154" s="57"/>
      <c r="L154" s="88"/>
      <c r="M154" s="62"/>
      <c r="N154" s="57"/>
      <c r="O154" s="88"/>
      <c r="P154" s="62"/>
      <c r="Q154" s="39"/>
      <c r="R154" s="39"/>
      <c r="S154" s="39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22"/>
      <c r="AO154" s="43">
        <f>A118</f>
        <v>0</v>
      </c>
      <c r="AP154" s="12" t="e">
        <f>#REF!</f>
        <v>#REF!</v>
      </c>
      <c r="AT154" s="2"/>
    </row>
    <row r="155" spans="1:46" s="4" customFormat="1" ht="17.25" customHeight="1" x14ac:dyDescent="0.25">
      <c r="A155" s="23"/>
      <c r="B155" s="201" t="s">
        <v>93</v>
      </c>
      <c r="C155" s="202"/>
      <c r="D155" s="64"/>
      <c r="E155" s="64"/>
      <c r="F155" s="64"/>
      <c r="G155" s="64"/>
      <c r="H155" s="64"/>
      <c r="I155" s="64"/>
      <c r="J155" s="64"/>
      <c r="K155" s="57">
        <v>-120</v>
      </c>
      <c r="L155" s="88"/>
      <c r="M155" s="62">
        <f>(K158*L133)-M133-M152</f>
        <v>675.88420304483407</v>
      </c>
      <c r="N155" s="57">
        <v>-32</v>
      </c>
      <c r="O155" s="88"/>
      <c r="P155" s="62">
        <f>(N158*O133)-P133-P153</f>
        <v>474.35894573434234</v>
      </c>
      <c r="Q155" s="39"/>
      <c r="R155" s="39"/>
      <c r="S155" s="39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22"/>
      <c r="AO155" s="43">
        <f>A127</f>
        <v>0</v>
      </c>
      <c r="AP155" s="12" t="e">
        <f>#REF!</f>
        <v>#REF!</v>
      </c>
      <c r="AT155" s="2"/>
    </row>
    <row r="156" spans="1:46" s="2" customFormat="1" ht="17.25" customHeight="1" x14ac:dyDescent="0.2">
      <c r="A156" s="24"/>
      <c r="B156" s="201"/>
      <c r="C156" s="204"/>
      <c r="D156" s="63"/>
      <c r="E156" s="64"/>
      <c r="F156" s="64"/>
      <c r="G156" s="64"/>
      <c r="H156" s="64"/>
      <c r="I156" s="64"/>
      <c r="J156" s="64"/>
      <c r="K156" s="16"/>
      <c r="L156" s="16"/>
      <c r="M156" s="64"/>
      <c r="N156" s="16"/>
      <c r="O156" s="16"/>
      <c r="P156" s="64"/>
      <c r="Q156" s="46"/>
      <c r="R156" s="46"/>
      <c r="S156" s="39"/>
      <c r="T156" s="16"/>
      <c r="U156" s="16"/>
      <c r="V156" s="16"/>
      <c r="W156" s="16"/>
      <c r="X156" s="16"/>
      <c r="Y156" s="19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43">
        <f>A134</f>
        <v>45971</v>
      </c>
      <c r="AQ156" s="10"/>
      <c r="AR156" s="11"/>
    </row>
    <row r="157" spans="1:46" s="2" customFormat="1" ht="17.25" customHeight="1" thickBot="1" x14ac:dyDescent="0.3">
      <c r="A157" s="56"/>
      <c r="B157" s="101" t="s">
        <v>102</v>
      </c>
      <c r="C157" s="102">
        <f>D158+E158+F158+G158+H158+I158+J158+M158+P158</f>
        <v>84895.557039999985</v>
      </c>
      <c r="D157" s="84"/>
      <c r="E157" s="85"/>
      <c r="F157" s="85"/>
      <c r="G157" s="85"/>
      <c r="H157" s="85"/>
      <c r="I157" s="85"/>
      <c r="J157" s="85"/>
      <c r="K157" s="28"/>
      <c r="L157" s="28"/>
      <c r="M157" s="85"/>
      <c r="N157" s="28"/>
      <c r="O157" s="28"/>
      <c r="P157" s="85"/>
      <c r="Q157" s="48"/>
      <c r="R157" s="48"/>
      <c r="S157" s="51"/>
      <c r="T157" s="28"/>
      <c r="U157" s="28"/>
      <c r="V157" s="28"/>
      <c r="W157" s="28"/>
      <c r="X157" s="28"/>
      <c r="Y157" s="36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42">
        <f>SUM($Q133:AN157)</f>
        <v>-395493.88</v>
      </c>
      <c r="AQ157" s="10"/>
      <c r="AR157" s="11"/>
      <c r="AS157" s="2" t="s">
        <v>5</v>
      </c>
    </row>
    <row r="158" spans="1:46" s="2" customFormat="1" ht="17.25" customHeight="1" thickTop="1" thickBot="1" x14ac:dyDescent="0.3">
      <c r="A158" s="103"/>
      <c r="B158" s="104" t="s">
        <v>103</v>
      </c>
      <c r="C158" s="105">
        <f>AO158</f>
        <v>-310598.32296000002</v>
      </c>
      <c r="D158" s="106">
        <f t="shared" ref="D158:K158" si="18">SUM(D133:D157)</f>
        <v>308.91703999999299</v>
      </c>
      <c r="E158" s="107">
        <f t="shared" si="18"/>
        <v>-21022.83</v>
      </c>
      <c r="F158" s="107">
        <f t="shared" si="18"/>
        <v>0</v>
      </c>
      <c r="G158" s="107">
        <f t="shared" si="18"/>
        <v>0</v>
      </c>
      <c r="H158" s="107">
        <f t="shared" si="18"/>
        <v>24114.479999999996</v>
      </c>
      <c r="I158" s="107">
        <f t="shared" si="18"/>
        <v>12951.42</v>
      </c>
      <c r="J158" s="107">
        <f t="shared" si="18"/>
        <v>0</v>
      </c>
      <c r="K158" s="108">
        <f t="shared" si="18"/>
        <v>10120</v>
      </c>
      <c r="L158" s="109">
        <f>M158/K158</f>
        <v>5.0710938735177864</v>
      </c>
      <c r="M158" s="107">
        <f>ROUND(SUM(M133:M157),2)</f>
        <v>51319.47</v>
      </c>
      <c r="N158" s="108">
        <f>SUM(N133:N157)</f>
        <v>4841</v>
      </c>
      <c r="O158" s="109">
        <f>P158/N158</f>
        <v>3.5579632307374505</v>
      </c>
      <c r="P158" s="107">
        <f>ROUND(SUM(P133:P157),2)</f>
        <v>17224.099999999999</v>
      </c>
      <c r="Q158" s="110">
        <f t="shared" ref="Q158:AN158" si="19">SUM(Q133:Q157)</f>
        <v>-423778.33</v>
      </c>
      <c r="R158" s="107">
        <f t="shared" si="19"/>
        <v>37928.519999999997</v>
      </c>
      <c r="S158" s="107">
        <f t="shared" si="19"/>
        <v>0</v>
      </c>
      <c r="T158" s="107">
        <f t="shared" si="19"/>
        <v>-9644.07</v>
      </c>
      <c r="U158" s="107">
        <f t="shared" si="19"/>
        <v>0</v>
      </c>
      <c r="V158" s="107">
        <f t="shared" si="19"/>
        <v>0</v>
      </c>
      <c r="W158" s="107">
        <f t="shared" si="19"/>
        <v>0</v>
      </c>
      <c r="X158" s="107">
        <f t="shared" si="19"/>
        <v>0</v>
      </c>
      <c r="Y158" s="107">
        <f t="shared" si="19"/>
        <v>0</v>
      </c>
      <c r="Z158" s="107">
        <f t="shared" si="19"/>
        <v>0</v>
      </c>
      <c r="AA158" s="107">
        <f t="shared" si="19"/>
        <v>0</v>
      </c>
      <c r="AB158" s="107">
        <f t="shared" si="19"/>
        <v>0</v>
      </c>
      <c r="AC158" s="107">
        <f t="shared" si="19"/>
        <v>0</v>
      </c>
      <c r="AD158" s="107">
        <f t="shared" si="19"/>
        <v>0</v>
      </c>
      <c r="AE158" s="107">
        <f t="shared" si="19"/>
        <v>0</v>
      </c>
      <c r="AF158" s="107">
        <f t="shared" si="19"/>
        <v>0</v>
      </c>
      <c r="AG158" s="107">
        <f t="shared" si="19"/>
        <v>0</v>
      </c>
      <c r="AH158" s="107">
        <f t="shared" si="19"/>
        <v>0</v>
      </c>
      <c r="AI158" s="107">
        <f t="shared" si="19"/>
        <v>0</v>
      </c>
      <c r="AJ158" s="107">
        <f t="shared" si="19"/>
        <v>0</v>
      </c>
      <c r="AK158" s="107">
        <f t="shared" si="19"/>
        <v>0</v>
      </c>
      <c r="AL158" s="107">
        <f t="shared" si="19"/>
        <v>0</v>
      </c>
      <c r="AM158" s="107">
        <f t="shared" si="19"/>
        <v>0</v>
      </c>
      <c r="AN158" s="107">
        <f t="shared" si="19"/>
        <v>0</v>
      </c>
      <c r="AO158" s="111">
        <f>D158+E158+F158+G158+H158+I158+J158+M158+P158+SUM(Q158:AN158)</f>
        <v>-310598.32296000002</v>
      </c>
      <c r="AP158" s="4"/>
      <c r="AQ158" s="5"/>
      <c r="AR158" s="5"/>
      <c r="AS158" s="2" t="s">
        <v>6</v>
      </c>
    </row>
    <row r="159" spans="1:46" s="2" customFormat="1" ht="17.25" customHeight="1" thickTop="1" x14ac:dyDescent="0.25">
      <c r="A159" s="29">
        <f>A134+1</f>
        <v>45972</v>
      </c>
      <c r="B159" s="210" t="s">
        <v>64</v>
      </c>
      <c r="C159" s="203"/>
      <c r="D159" s="63">
        <v>12644.88</v>
      </c>
      <c r="E159" s="66"/>
      <c r="F159" s="66"/>
      <c r="G159" s="66"/>
      <c r="H159" s="66"/>
      <c r="I159" s="64">
        <f>-D159</f>
        <v>-12644.88</v>
      </c>
      <c r="J159" s="66"/>
      <c r="K159" s="18"/>
      <c r="L159" s="18"/>
      <c r="M159" s="66"/>
      <c r="N159" s="18"/>
      <c r="O159" s="18"/>
      <c r="P159" s="66"/>
      <c r="Q159" s="46"/>
      <c r="R159" s="46"/>
      <c r="S159" s="45"/>
      <c r="T159" s="18"/>
      <c r="U159" s="18"/>
      <c r="V159" s="18"/>
      <c r="W159" s="18"/>
      <c r="X159" s="18"/>
      <c r="Y159" s="14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31"/>
      <c r="AQ159" s="10"/>
      <c r="AR159" s="27"/>
    </row>
    <row r="160" spans="1:46" s="4" customFormat="1" ht="17.25" customHeight="1" x14ac:dyDescent="0.25">
      <c r="A160" s="29"/>
      <c r="B160" s="201" t="s">
        <v>96</v>
      </c>
      <c r="C160" s="202"/>
      <c r="D160" s="63"/>
      <c r="E160" s="64"/>
      <c r="F160" s="64"/>
      <c r="G160" s="64"/>
      <c r="H160" s="64"/>
      <c r="I160" s="64">
        <f>-I158-I159</f>
        <v>-306.54000000000087</v>
      </c>
      <c r="J160" s="64"/>
      <c r="K160" s="16"/>
      <c r="L160" s="92"/>
      <c r="M160" s="64"/>
      <c r="N160" s="16"/>
      <c r="O160" s="92"/>
      <c r="P160" s="64"/>
      <c r="Q160" s="40"/>
      <c r="R160" s="46"/>
      <c r="S160" s="39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22"/>
      <c r="AP160" s="30"/>
    </row>
    <row r="161" spans="1:46" s="2" customFormat="1" ht="17.25" customHeight="1" x14ac:dyDescent="0.25">
      <c r="A161" s="24"/>
      <c r="B161" s="201" t="s">
        <v>13</v>
      </c>
      <c r="C161" s="203"/>
      <c r="D161" s="63"/>
      <c r="E161" s="64">
        <f>-E158-18465.83</f>
        <v>2557</v>
      </c>
      <c r="F161" s="74"/>
      <c r="G161" s="74"/>
      <c r="H161" s="64">
        <f>-E161</f>
        <v>-2557</v>
      </c>
      <c r="I161" s="64"/>
      <c r="J161" s="64"/>
      <c r="K161" s="16"/>
      <c r="L161" s="16"/>
      <c r="M161" s="64"/>
      <c r="N161" s="16"/>
      <c r="O161" s="16"/>
      <c r="P161" s="64"/>
      <c r="Q161" s="46"/>
      <c r="R161" s="39"/>
      <c r="S161" s="40"/>
      <c r="T161" s="16"/>
      <c r="U161" s="16"/>
      <c r="V161" s="16"/>
      <c r="W161" s="16"/>
      <c r="X161" s="16"/>
      <c r="Y161" s="19"/>
      <c r="Z161" s="16"/>
      <c r="AA161" s="16"/>
      <c r="AB161" s="16"/>
      <c r="AC161" s="16"/>
      <c r="AD161" s="16"/>
      <c r="AE161" s="16"/>
      <c r="AF161" s="16"/>
      <c r="AG161" s="15"/>
      <c r="AH161" s="15"/>
      <c r="AI161" s="15"/>
      <c r="AJ161" s="15"/>
      <c r="AK161" s="15"/>
      <c r="AL161" s="15"/>
      <c r="AM161" s="15"/>
      <c r="AN161" s="16"/>
      <c r="AO161" s="22"/>
      <c r="AQ161" s="10"/>
      <c r="AR161" s="11"/>
    </row>
    <row r="162" spans="1:46" s="2" customFormat="1" ht="17.25" customHeight="1" x14ac:dyDescent="0.25">
      <c r="A162" s="29"/>
      <c r="B162" s="205" t="s">
        <v>296</v>
      </c>
      <c r="C162" s="250"/>
      <c r="D162" s="63">
        <v>-12900</v>
      </c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47">
        <f>-D162</f>
        <v>12900</v>
      </c>
      <c r="R162" s="39"/>
      <c r="S162" s="39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22"/>
      <c r="AQ162" s="10" t="s">
        <v>4</v>
      </c>
      <c r="AR162" s="11" t="e">
        <v>#REF!</v>
      </c>
    </row>
    <row r="163" spans="1:46" s="2" customFormat="1" ht="17.25" customHeight="1" x14ac:dyDescent="0.25">
      <c r="A163" s="29"/>
      <c r="B163" s="201" t="s">
        <v>276</v>
      </c>
      <c r="C163" s="202"/>
      <c r="D163" s="63">
        <v>-4.9000000000000004</v>
      </c>
      <c r="E163" s="64"/>
      <c r="F163" s="64"/>
      <c r="G163" s="64"/>
      <c r="H163" s="64"/>
      <c r="I163" s="64"/>
      <c r="J163" s="64"/>
      <c r="K163" s="57"/>
      <c r="L163" s="88"/>
      <c r="M163" s="62"/>
      <c r="N163" s="57"/>
      <c r="O163" s="88"/>
      <c r="P163" s="62"/>
      <c r="Q163" s="47"/>
      <c r="R163" s="39"/>
      <c r="S163" s="39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22"/>
      <c r="AQ163" s="10" t="s">
        <v>4</v>
      </c>
      <c r="AR163" s="11" t="e">
        <v>#REF!</v>
      </c>
    </row>
    <row r="164" spans="1:46" s="2" customFormat="1" ht="17.25" customHeight="1" thickBot="1" x14ac:dyDescent="0.25">
      <c r="A164" s="24"/>
      <c r="B164" s="216"/>
      <c r="C164" s="242"/>
      <c r="D164" s="83"/>
      <c r="E164" s="81"/>
      <c r="F164" s="81"/>
      <c r="G164" s="81"/>
      <c r="H164" s="81"/>
      <c r="I164" s="81"/>
      <c r="J164" s="81"/>
      <c r="K164" s="37"/>
      <c r="L164" s="93"/>
      <c r="M164" s="81"/>
      <c r="N164" s="37"/>
      <c r="O164" s="93"/>
      <c r="P164" s="81"/>
      <c r="Q164" s="40"/>
      <c r="R164" s="40"/>
      <c r="S164" s="39"/>
      <c r="T164" s="16"/>
      <c r="U164" s="16"/>
      <c r="V164" s="16"/>
      <c r="W164" s="16"/>
      <c r="X164" s="16"/>
      <c r="Y164" s="19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41"/>
      <c r="AQ164" s="10"/>
      <c r="AR164" s="11"/>
    </row>
    <row r="165" spans="1:46" s="4" customFormat="1" ht="17.25" customHeight="1" x14ac:dyDescent="0.25">
      <c r="A165" s="23"/>
      <c r="B165" s="248" t="s">
        <v>94</v>
      </c>
      <c r="C165" s="249"/>
      <c r="D165" s="66"/>
      <c r="E165" s="66"/>
      <c r="F165" s="117"/>
      <c r="G165" s="117"/>
      <c r="H165" s="66"/>
      <c r="I165" s="66"/>
      <c r="J165" s="66">
        <f>-M165</f>
        <v>7610.8499999999995</v>
      </c>
      <c r="K165" s="58">
        <v>-1301</v>
      </c>
      <c r="L165" s="89">
        <v>5.85</v>
      </c>
      <c r="M165" s="73">
        <f>K165*L165</f>
        <v>-7610.8499999999995</v>
      </c>
      <c r="N165" s="58"/>
      <c r="O165" s="89"/>
      <c r="P165" s="73"/>
      <c r="Q165" s="39"/>
      <c r="R165" s="39"/>
      <c r="S165" s="8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35"/>
      <c r="AP165" s="12" t="e">
        <f>#REF!</f>
        <v>#REF!</v>
      </c>
    </row>
    <row r="166" spans="1:46" s="4" customFormat="1" ht="17.25" customHeight="1" x14ac:dyDescent="0.25">
      <c r="A166" s="23"/>
      <c r="B166" s="201" t="s">
        <v>95</v>
      </c>
      <c r="C166" s="202"/>
      <c r="D166" s="64"/>
      <c r="E166" s="64"/>
      <c r="F166" s="117"/>
      <c r="G166" s="117"/>
      <c r="H166" s="64"/>
      <c r="I166" s="64"/>
      <c r="J166" s="64">
        <f>-P166</f>
        <v>8898.92</v>
      </c>
      <c r="K166" s="57"/>
      <c r="L166" s="88"/>
      <c r="M166" s="62"/>
      <c r="N166" s="57">
        <v>-2348</v>
      </c>
      <c r="O166" s="88">
        <v>3.79</v>
      </c>
      <c r="P166" s="62">
        <f>N166*O166</f>
        <v>-8898.92</v>
      </c>
      <c r="Q166" s="39"/>
      <c r="R166" s="39"/>
      <c r="S166" s="8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35"/>
      <c r="AP166" s="12" t="e">
        <f>#REF!</f>
        <v>#REF!</v>
      </c>
    </row>
    <row r="167" spans="1:46" s="4" customFormat="1" ht="17.25" customHeight="1" x14ac:dyDescent="0.25">
      <c r="A167" s="23"/>
      <c r="B167" s="201" t="s">
        <v>97</v>
      </c>
      <c r="C167" s="202"/>
      <c r="D167" s="64"/>
      <c r="E167" s="64"/>
      <c r="F167" s="64"/>
      <c r="G167" s="64"/>
      <c r="H167" s="64">
        <f>-J167-I167</f>
        <v>6116.91</v>
      </c>
      <c r="I167" s="64">
        <v>10392.86</v>
      </c>
      <c r="J167" s="64">
        <f>-SUM(J165:J166)</f>
        <v>-16509.77</v>
      </c>
      <c r="K167" s="57"/>
      <c r="L167" s="88"/>
      <c r="M167" s="62"/>
      <c r="N167" s="57"/>
      <c r="O167" s="88"/>
      <c r="P167" s="62"/>
      <c r="Q167" s="39"/>
      <c r="R167" s="39"/>
      <c r="S167" s="39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22"/>
      <c r="AO167" s="43">
        <f>A130</f>
        <v>0</v>
      </c>
      <c r="AP167" s="12" t="e">
        <f>#REF!</f>
        <v>#REF!</v>
      </c>
      <c r="AT167" s="2"/>
    </row>
    <row r="168" spans="1:46" s="4" customFormat="1" ht="17.25" customHeight="1" x14ac:dyDescent="0.25">
      <c r="A168" s="23"/>
      <c r="B168" s="201" t="s">
        <v>93</v>
      </c>
      <c r="C168" s="202"/>
      <c r="D168" s="64"/>
      <c r="E168" s="64"/>
      <c r="F168" s="64"/>
      <c r="G168" s="64"/>
      <c r="H168" s="64"/>
      <c r="I168" s="64"/>
      <c r="J168" s="64"/>
      <c r="K168" s="57">
        <v>122</v>
      </c>
      <c r="L168" s="88"/>
      <c r="M168" s="62">
        <f>(K171*L158)-M158-M165</f>
        <v>1632.0303231225271</v>
      </c>
      <c r="N168" s="57">
        <v>98</v>
      </c>
      <c r="O168" s="88"/>
      <c r="P168" s="62">
        <f>(N171*O158)-P158-P166</f>
        <v>893.50273084073524</v>
      </c>
      <c r="Q168" s="39"/>
      <c r="R168" s="39"/>
      <c r="S168" s="39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22"/>
      <c r="AO168" s="43">
        <f>A152</f>
        <v>0</v>
      </c>
      <c r="AP168" s="12" t="e">
        <f>#REF!</f>
        <v>#REF!</v>
      </c>
      <c r="AT168" s="2"/>
    </row>
    <row r="169" spans="1:46" s="2" customFormat="1" ht="17.25" customHeight="1" x14ac:dyDescent="0.2">
      <c r="A169" s="24"/>
      <c r="B169" s="201" t="s">
        <v>110</v>
      </c>
      <c r="C169" s="204"/>
      <c r="D169" s="63"/>
      <c r="E169" s="64"/>
      <c r="F169" s="64"/>
      <c r="G169" s="64"/>
      <c r="H169" s="64"/>
      <c r="I169" s="64"/>
      <c r="J169" s="64"/>
      <c r="K169" s="16"/>
      <c r="L169" s="16"/>
      <c r="M169" s="64"/>
      <c r="N169" s="16"/>
      <c r="O169" s="16"/>
      <c r="P169" s="64"/>
      <c r="Q169" s="46"/>
      <c r="R169" s="46">
        <f>-I169</f>
        <v>0</v>
      </c>
      <c r="S169" s="39"/>
      <c r="T169" s="16"/>
      <c r="U169" s="16"/>
      <c r="V169" s="16"/>
      <c r="W169" s="16"/>
      <c r="X169" s="16"/>
      <c r="Y169" s="19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43">
        <f>A159</f>
        <v>45972</v>
      </c>
      <c r="AQ169" s="10"/>
      <c r="AR169" s="11"/>
    </row>
    <row r="170" spans="1:46" s="2" customFormat="1" ht="17.25" customHeight="1" thickBot="1" x14ac:dyDescent="0.3">
      <c r="A170" s="56"/>
      <c r="B170" s="101" t="s">
        <v>102</v>
      </c>
      <c r="C170" s="102">
        <f>D171+E171+F171+G171+H171+I171+J171+M171+P171</f>
        <v>74209.647039999982</v>
      </c>
      <c r="D170" s="84"/>
      <c r="E170" s="85"/>
      <c r="F170" s="85"/>
      <c r="G170" s="85"/>
      <c r="H170" s="85"/>
      <c r="I170" s="85"/>
      <c r="J170" s="85"/>
      <c r="K170" s="28"/>
      <c r="L170" s="28"/>
      <c r="M170" s="85"/>
      <c r="N170" s="28"/>
      <c r="O170" s="28"/>
      <c r="P170" s="85"/>
      <c r="Q170" s="48"/>
      <c r="R170" s="48"/>
      <c r="S170" s="51"/>
      <c r="T170" s="28"/>
      <c r="U170" s="28"/>
      <c r="V170" s="28"/>
      <c r="W170" s="28"/>
      <c r="X170" s="28"/>
      <c r="Y170" s="36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42">
        <f>SUM($Q158:AN170)</f>
        <v>-382593.88</v>
      </c>
      <c r="AQ170" s="10"/>
      <c r="AR170" s="11"/>
      <c r="AS170" s="2" t="s">
        <v>5</v>
      </c>
    </row>
    <row r="171" spans="1:46" s="2" customFormat="1" ht="17.25" customHeight="1" thickTop="1" thickBot="1" x14ac:dyDescent="0.3">
      <c r="A171" s="103"/>
      <c r="B171" s="104" t="s">
        <v>103</v>
      </c>
      <c r="C171" s="105">
        <f>AO171</f>
        <v>-308384.23296000005</v>
      </c>
      <c r="D171" s="106">
        <f t="shared" ref="D171:K171" si="20">SUM(D158:D170)</f>
        <v>48.897039999992195</v>
      </c>
      <c r="E171" s="107">
        <f t="shared" si="20"/>
        <v>-18465.830000000002</v>
      </c>
      <c r="F171" s="107">
        <f t="shared" si="20"/>
        <v>0</v>
      </c>
      <c r="G171" s="107">
        <f t="shared" si="20"/>
        <v>0</v>
      </c>
      <c r="H171" s="107">
        <f t="shared" si="20"/>
        <v>27674.389999999996</v>
      </c>
      <c r="I171" s="107">
        <f t="shared" si="20"/>
        <v>10392.86</v>
      </c>
      <c r="J171" s="107">
        <f t="shared" si="20"/>
        <v>0</v>
      </c>
      <c r="K171" s="108">
        <f t="shared" si="20"/>
        <v>8941</v>
      </c>
      <c r="L171" s="109">
        <f>M171/K171</f>
        <v>5.0710938373783696</v>
      </c>
      <c r="M171" s="107">
        <f>ROUND(SUM(M158:M170),2)</f>
        <v>45340.65</v>
      </c>
      <c r="N171" s="108">
        <f>SUM(N158:N170)</f>
        <v>2591</v>
      </c>
      <c r="O171" s="109">
        <f>P171/N171</f>
        <v>3.5579621767657277</v>
      </c>
      <c r="P171" s="107">
        <f>ROUND(SUM(P158:P170),2)</f>
        <v>9218.68</v>
      </c>
      <c r="Q171" s="110">
        <f t="shared" ref="Q171:AN171" si="21">SUM(Q158:Q170)</f>
        <v>-410878.33</v>
      </c>
      <c r="R171" s="107">
        <f t="shared" si="21"/>
        <v>37928.519999999997</v>
      </c>
      <c r="S171" s="107">
        <f t="shared" si="21"/>
        <v>0</v>
      </c>
      <c r="T171" s="107">
        <f t="shared" si="21"/>
        <v>-9644.07</v>
      </c>
      <c r="U171" s="107">
        <f t="shared" si="21"/>
        <v>0</v>
      </c>
      <c r="V171" s="107">
        <f t="shared" si="21"/>
        <v>0</v>
      </c>
      <c r="W171" s="107">
        <f t="shared" si="21"/>
        <v>0</v>
      </c>
      <c r="X171" s="107">
        <f t="shared" si="21"/>
        <v>0</v>
      </c>
      <c r="Y171" s="107">
        <f t="shared" si="21"/>
        <v>0</v>
      </c>
      <c r="Z171" s="107">
        <f t="shared" si="21"/>
        <v>0</v>
      </c>
      <c r="AA171" s="107">
        <f t="shared" si="21"/>
        <v>0</v>
      </c>
      <c r="AB171" s="107">
        <f t="shared" si="21"/>
        <v>0</v>
      </c>
      <c r="AC171" s="107">
        <f t="shared" si="21"/>
        <v>0</v>
      </c>
      <c r="AD171" s="107">
        <f t="shared" si="21"/>
        <v>0</v>
      </c>
      <c r="AE171" s="107">
        <f t="shared" si="21"/>
        <v>0</v>
      </c>
      <c r="AF171" s="107">
        <f t="shared" si="21"/>
        <v>0</v>
      </c>
      <c r="AG171" s="107">
        <f t="shared" si="21"/>
        <v>0</v>
      </c>
      <c r="AH171" s="107">
        <f t="shared" si="21"/>
        <v>0</v>
      </c>
      <c r="AI171" s="107">
        <f t="shared" si="21"/>
        <v>0</v>
      </c>
      <c r="AJ171" s="107">
        <f t="shared" si="21"/>
        <v>0</v>
      </c>
      <c r="AK171" s="107">
        <f t="shared" si="21"/>
        <v>0</v>
      </c>
      <c r="AL171" s="107">
        <f t="shared" si="21"/>
        <v>0</v>
      </c>
      <c r="AM171" s="107">
        <f t="shared" si="21"/>
        <v>0</v>
      </c>
      <c r="AN171" s="107">
        <f t="shared" si="21"/>
        <v>0</v>
      </c>
      <c r="AO171" s="111">
        <f>D171+E171+F171+G171+H171+I171+J171+M171+P171+SUM(Q171:AN171)</f>
        <v>-308384.23296000005</v>
      </c>
      <c r="AP171" s="4"/>
      <c r="AQ171" s="5"/>
      <c r="AR171" s="5"/>
      <c r="AS171" s="2" t="s">
        <v>6</v>
      </c>
    </row>
    <row r="172" spans="1:46" s="2" customFormat="1" ht="17.25" customHeight="1" thickTop="1" x14ac:dyDescent="0.25">
      <c r="A172" s="23">
        <f>A159+1</f>
        <v>45973</v>
      </c>
      <c r="B172" s="210" t="s">
        <v>64</v>
      </c>
      <c r="C172" s="203"/>
      <c r="D172" s="63">
        <v>10158.56</v>
      </c>
      <c r="E172" s="66"/>
      <c r="F172" s="66"/>
      <c r="G172" s="66"/>
      <c r="H172" s="66"/>
      <c r="I172" s="64">
        <f>-D172</f>
        <v>-10158.56</v>
      </c>
      <c r="J172" s="66"/>
      <c r="K172" s="18"/>
      <c r="L172" s="18"/>
      <c r="M172" s="66"/>
      <c r="N172" s="18"/>
      <c r="O172" s="18"/>
      <c r="P172" s="66"/>
      <c r="Q172" s="46"/>
      <c r="R172" s="46"/>
      <c r="S172" s="45"/>
      <c r="T172" s="18"/>
      <c r="U172" s="18"/>
      <c r="V172" s="18"/>
      <c r="W172" s="18"/>
      <c r="X172" s="18"/>
      <c r="Y172" s="14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31"/>
      <c r="AQ172" s="10"/>
      <c r="AR172" s="27"/>
    </row>
    <row r="173" spans="1:46" s="4" customFormat="1" ht="17.25" customHeight="1" x14ac:dyDescent="0.25">
      <c r="A173" s="23"/>
      <c r="B173" s="201" t="s">
        <v>96</v>
      </c>
      <c r="C173" s="202"/>
      <c r="D173" s="63"/>
      <c r="E173" s="64"/>
      <c r="F173" s="64"/>
      <c r="G173" s="64"/>
      <c r="H173" s="64"/>
      <c r="I173" s="64">
        <f>-I171-I172</f>
        <v>-234.30000000000109</v>
      </c>
      <c r="J173" s="64"/>
      <c r="K173" s="16"/>
      <c r="L173" s="92"/>
      <c r="M173" s="64"/>
      <c r="N173" s="16"/>
      <c r="O173" s="92"/>
      <c r="P173" s="64"/>
      <c r="Q173" s="40"/>
      <c r="R173" s="46"/>
      <c r="S173" s="39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22"/>
      <c r="AP173" s="30"/>
    </row>
    <row r="174" spans="1:46" s="2" customFormat="1" ht="17.25" customHeight="1" x14ac:dyDescent="0.25">
      <c r="A174" s="24"/>
      <c r="B174" s="201" t="s">
        <v>13</v>
      </c>
      <c r="C174" s="203"/>
      <c r="D174" s="63"/>
      <c r="E174" s="64">
        <f>-E171-14072.25</f>
        <v>4393.5800000000017</v>
      </c>
      <c r="F174" s="74"/>
      <c r="G174" s="74"/>
      <c r="H174" s="64">
        <f>-E174</f>
        <v>-4393.5800000000017</v>
      </c>
      <c r="I174" s="64"/>
      <c r="J174" s="64"/>
      <c r="K174" s="16"/>
      <c r="L174" s="16"/>
      <c r="M174" s="64"/>
      <c r="N174" s="16"/>
      <c r="O174" s="16"/>
      <c r="P174" s="64"/>
      <c r="Q174" s="46"/>
      <c r="R174" s="39"/>
      <c r="S174" s="40"/>
      <c r="T174" s="16"/>
      <c r="U174" s="16"/>
      <c r="V174" s="16"/>
      <c r="W174" s="16"/>
      <c r="X174" s="16"/>
      <c r="Y174" s="19"/>
      <c r="Z174" s="16"/>
      <c r="AA174" s="16"/>
      <c r="AB174" s="16"/>
      <c r="AC174" s="16"/>
      <c r="AD174" s="16"/>
      <c r="AE174" s="16"/>
      <c r="AF174" s="16"/>
      <c r="AG174" s="15"/>
      <c r="AH174" s="15"/>
      <c r="AI174" s="15"/>
      <c r="AJ174" s="15"/>
      <c r="AK174" s="15"/>
      <c r="AL174" s="15"/>
      <c r="AM174" s="15"/>
      <c r="AN174" s="16"/>
      <c r="AO174" s="22"/>
      <c r="AQ174" s="10"/>
      <c r="AR174" s="11"/>
    </row>
    <row r="175" spans="1:46" s="2" customFormat="1" ht="17.25" customHeight="1" x14ac:dyDescent="0.25">
      <c r="A175" s="24"/>
      <c r="B175" s="205" t="s">
        <v>344</v>
      </c>
      <c r="C175" s="206"/>
      <c r="D175" s="64"/>
      <c r="E175" s="64"/>
      <c r="F175" s="64"/>
      <c r="G175" s="64"/>
      <c r="H175" s="64"/>
      <c r="I175" s="64"/>
      <c r="J175" s="64"/>
      <c r="K175" s="57"/>
      <c r="L175" s="88"/>
      <c r="M175" s="62"/>
      <c r="N175" s="57">
        <v>15000</v>
      </c>
      <c r="O175" s="88">
        <v>3.56</v>
      </c>
      <c r="P175" s="62">
        <f>N175*O175</f>
        <v>53400</v>
      </c>
      <c r="Q175" s="39">
        <f>-P175</f>
        <v>-53400</v>
      </c>
      <c r="R175" s="39"/>
      <c r="S175" s="39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22"/>
      <c r="AQ175" s="10"/>
      <c r="AR175" s="11"/>
    </row>
    <row r="176" spans="1:46" s="2" customFormat="1" ht="17.25" customHeight="1" x14ac:dyDescent="0.25">
      <c r="A176" s="29"/>
      <c r="B176" s="201" t="s">
        <v>72</v>
      </c>
      <c r="C176" s="202"/>
      <c r="D176" s="63">
        <v>-10200</v>
      </c>
      <c r="E176" s="64"/>
      <c r="F176" s="64">
        <f>-D176</f>
        <v>10200</v>
      </c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47"/>
      <c r="R176" s="39"/>
      <c r="S176" s="39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22"/>
      <c r="AQ176" s="10" t="s">
        <v>4</v>
      </c>
      <c r="AR176" s="11" t="e">
        <v>#REF!</v>
      </c>
    </row>
    <row r="177" spans="1:46" s="2" customFormat="1" ht="17.25" customHeight="1" x14ac:dyDescent="0.25">
      <c r="A177" s="29"/>
      <c r="B177" s="201" t="s">
        <v>277</v>
      </c>
      <c r="C177" s="202"/>
      <c r="D177" s="63">
        <v>70</v>
      </c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47"/>
      <c r="R177" s="39"/>
      <c r="S177" s="39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22"/>
      <c r="AQ177" s="10" t="s">
        <v>4</v>
      </c>
      <c r="AR177" s="11" t="e">
        <v>#REF!</v>
      </c>
    </row>
    <row r="178" spans="1:46" s="2" customFormat="1" ht="17.25" customHeight="1" thickBot="1" x14ac:dyDescent="0.25">
      <c r="A178" s="24"/>
      <c r="B178" s="216"/>
      <c r="C178" s="217"/>
      <c r="D178" s="83"/>
      <c r="E178" s="81"/>
      <c r="F178" s="81"/>
      <c r="G178" s="81"/>
      <c r="H178" s="81"/>
      <c r="I178" s="81"/>
      <c r="J178" s="81"/>
      <c r="K178" s="37"/>
      <c r="L178" s="93"/>
      <c r="M178" s="81"/>
      <c r="N178" s="37"/>
      <c r="O178" s="93"/>
      <c r="P178" s="81"/>
      <c r="Q178" s="40"/>
      <c r="R178" s="40"/>
      <c r="S178" s="39"/>
      <c r="T178" s="16"/>
      <c r="U178" s="16"/>
      <c r="V178" s="16"/>
      <c r="W178" s="16"/>
      <c r="X178" s="16"/>
      <c r="Y178" s="19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41"/>
      <c r="AQ178" s="10"/>
      <c r="AR178" s="11"/>
    </row>
    <row r="179" spans="1:46" s="4" customFormat="1" ht="17.25" customHeight="1" x14ac:dyDescent="0.25">
      <c r="A179" s="23"/>
      <c r="B179" s="210" t="s">
        <v>94</v>
      </c>
      <c r="C179" s="203"/>
      <c r="D179" s="66"/>
      <c r="E179" s="66"/>
      <c r="F179" s="117"/>
      <c r="G179" s="117"/>
      <c r="H179" s="66"/>
      <c r="I179" s="66"/>
      <c r="J179" s="66">
        <f>-M179</f>
        <v>7025.8499999999995</v>
      </c>
      <c r="K179" s="58">
        <v>-1201</v>
      </c>
      <c r="L179" s="89">
        <v>5.85</v>
      </c>
      <c r="M179" s="73">
        <f>K179*L179</f>
        <v>-7025.8499999999995</v>
      </c>
      <c r="N179" s="58"/>
      <c r="O179" s="89"/>
      <c r="P179" s="73"/>
      <c r="Q179" s="39"/>
      <c r="R179" s="39"/>
      <c r="S179" s="8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35"/>
      <c r="AP179" s="12" t="e">
        <f>#REF!</f>
        <v>#REF!</v>
      </c>
    </row>
    <row r="180" spans="1:46" s="4" customFormat="1" ht="17.25" customHeight="1" x14ac:dyDescent="0.25">
      <c r="A180" s="23"/>
      <c r="B180" s="201" t="s">
        <v>95</v>
      </c>
      <c r="C180" s="202"/>
      <c r="D180" s="64"/>
      <c r="E180" s="64"/>
      <c r="F180" s="117"/>
      <c r="G180" s="117"/>
      <c r="H180" s="64"/>
      <c r="I180" s="64"/>
      <c r="J180" s="64">
        <f>-P180</f>
        <v>9501.5300000000007</v>
      </c>
      <c r="K180" s="57"/>
      <c r="L180" s="88"/>
      <c r="M180" s="62"/>
      <c r="N180" s="57">
        <v>-2507</v>
      </c>
      <c r="O180" s="88">
        <v>3.79</v>
      </c>
      <c r="P180" s="62">
        <f>N180*O180</f>
        <v>-9501.5300000000007</v>
      </c>
      <c r="Q180" s="39"/>
      <c r="R180" s="39"/>
      <c r="S180" s="8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35"/>
      <c r="AP180" s="12" t="e">
        <f>#REF!</f>
        <v>#REF!</v>
      </c>
    </row>
    <row r="181" spans="1:46" s="4" customFormat="1" ht="17.25" customHeight="1" x14ac:dyDescent="0.25">
      <c r="A181" s="23"/>
      <c r="B181" s="201" t="s">
        <v>97</v>
      </c>
      <c r="C181" s="203"/>
      <c r="D181" s="64"/>
      <c r="E181" s="64"/>
      <c r="F181" s="64"/>
      <c r="G181" s="64"/>
      <c r="H181" s="64">
        <f>-J181-I181</f>
        <v>5985.5600000000013</v>
      </c>
      <c r="I181" s="64">
        <v>10541.82</v>
      </c>
      <c r="J181" s="64">
        <f>-SUM(J179:J180)</f>
        <v>-16527.38</v>
      </c>
      <c r="K181" s="57"/>
      <c r="L181" s="88"/>
      <c r="M181" s="62"/>
      <c r="N181" s="57"/>
      <c r="O181" s="88"/>
      <c r="P181" s="62"/>
      <c r="Q181" s="39"/>
      <c r="R181" s="39"/>
      <c r="S181" s="39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22"/>
      <c r="AO181" s="43">
        <f>A155</f>
        <v>0</v>
      </c>
      <c r="AP181" s="12" t="e">
        <f>#REF!</f>
        <v>#REF!</v>
      </c>
      <c r="AT181" s="2"/>
    </row>
    <row r="182" spans="1:46" s="4" customFormat="1" ht="17.25" customHeight="1" x14ac:dyDescent="0.25">
      <c r="A182" s="23"/>
      <c r="B182" s="201" t="s">
        <v>93</v>
      </c>
      <c r="C182" s="202"/>
      <c r="D182" s="64"/>
      <c r="E182" s="64"/>
      <c r="F182" s="64"/>
      <c r="G182" s="64"/>
      <c r="H182" s="64"/>
      <c r="I182" s="64"/>
      <c r="J182" s="64"/>
      <c r="K182" s="57">
        <v>-86</v>
      </c>
      <c r="L182" s="88"/>
      <c r="M182" s="62">
        <f>(K185*((M171)/(K171))-M171-M179)</f>
        <v>499.3522312940413</v>
      </c>
      <c r="N182" s="57">
        <v>-120</v>
      </c>
      <c r="O182" s="88"/>
      <c r="P182" s="62">
        <f>(N185*((P171+P175)/(N171+N175))-P171-P180-P175)</f>
        <v>150.19850321186823</v>
      </c>
      <c r="Q182" s="39"/>
      <c r="R182" s="39"/>
      <c r="S182" s="39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22"/>
      <c r="AO182" s="43">
        <f>A165</f>
        <v>0</v>
      </c>
      <c r="AP182" s="12" t="e">
        <f>#REF!</f>
        <v>#REF!</v>
      </c>
      <c r="AT182" s="2"/>
    </row>
    <row r="183" spans="1:46" s="2" customFormat="1" ht="17.25" customHeight="1" x14ac:dyDescent="0.2">
      <c r="A183" s="24"/>
      <c r="B183" s="201"/>
      <c r="C183" s="204"/>
      <c r="D183" s="63"/>
      <c r="E183" s="64"/>
      <c r="F183" s="64"/>
      <c r="G183" s="64"/>
      <c r="H183" s="64"/>
      <c r="I183" s="64"/>
      <c r="J183" s="64"/>
      <c r="K183" s="16"/>
      <c r="L183" s="16"/>
      <c r="M183" s="64"/>
      <c r="N183" s="16"/>
      <c r="O183" s="16"/>
      <c r="P183" s="64"/>
      <c r="Q183" s="46"/>
      <c r="R183" s="46"/>
      <c r="S183" s="39"/>
      <c r="T183" s="16"/>
      <c r="U183" s="16"/>
      <c r="V183" s="16"/>
      <c r="W183" s="16"/>
      <c r="X183" s="16"/>
      <c r="Y183" s="19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43">
        <f>A172</f>
        <v>45973</v>
      </c>
      <c r="AQ183" s="10"/>
      <c r="AR183" s="11"/>
    </row>
    <row r="184" spans="1:46" s="2" customFormat="1" ht="17.25" customHeight="1" thickBot="1" x14ac:dyDescent="0.3">
      <c r="A184" s="56"/>
      <c r="B184" s="101" t="s">
        <v>102</v>
      </c>
      <c r="C184" s="102">
        <f>D185+E185+F185+G185+H185+I185+J185+M185+P185</f>
        <v>128094.89703999998</v>
      </c>
      <c r="D184" s="84"/>
      <c r="E184" s="85"/>
      <c r="F184" s="85"/>
      <c r="G184" s="85"/>
      <c r="H184" s="85"/>
      <c r="I184" s="85"/>
      <c r="J184" s="85"/>
      <c r="K184" s="28"/>
      <c r="L184" s="28"/>
      <c r="M184" s="85"/>
      <c r="N184" s="28"/>
      <c r="O184" s="28"/>
      <c r="P184" s="85"/>
      <c r="Q184" s="48"/>
      <c r="R184" s="48"/>
      <c r="S184" s="51"/>
      <c r="T184" s="28"/>
      <c r="U184" s="28"/>
      <c r="V184" s="28"/>
      <c r="W184" s="28"/>
      <c r="X184" s="28"/>
      <c r="Y184" s="36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42">
        <f>SUM($Q171:AN184)</f>
        <v>-435993.88</v>
      </c>
      <c r="AQ184" s="10"/>
      <c r="AR184" s="11"/>
      <c r="AS184" s="2" t="s">
        <v>5</v>
      </c>
    </row>
    <row r="185" spans="1:46" s="2" customFormat="1" ht="17.25" customHeight="1" thickTop="1" thickBot="1" x14ac:dyDescent="0.3">
      <c r="A185" s="103"/>
      <c r="B185" s="104" t="s">
        <v>103</v>
      </c>
      <c r="C185" s="105">
        <f>AO185</f>
        <v>-307898.98296000005</v>
      </c>
      <c r="D185" s="106">
        <f t="shared" ref="D185:K185" si="22">SUM(D171:D184)</f>
        <v>77.457039999992048</v>
      </c>
      <c r="E185" s="107">
        <f t="shared" si="22"/>
        <v>-14072.25</v>
      </c>
      <c r="F185" s="107">
        <f t="shared" si="22"/>
        <v>10200</v>
      </c>
      <c r="G185" s="107">
        <f t="shared" si="22"/>
        <v>0</v>
      </c>
      <c r="H185" s="107">
        <f t="shared" si="22"/>
        <v>29266.369999999995</v>
      </c>
      <c r="I185" s="107">
        <f t="shared" si="22"/>
        <v>10541.82</v>
      </c>
      <c r="J185" s="107">
        <f t="shared" si="22"/>
        <v>0</v>
      </c>
      <c r="K185" s="108">
        <f t="shared" si="22"/>
        <v>7654</v>
      </c>
      <c r="L185" s="109">
        <f>M185/K185</f>
        <v>5.0710935458583748</v>
      </c>
      <c r="M185" s="107">
        <f>ROUND(SUM(M171:M184),2)</f>
        <v>38814.15</v>
      </c>
      <c r="N185" s="108">
        <f>SUM(N171:N184)</f>
        <v>14964</v>
      </c>
      <c r="O185" s="109">
        <f>P185/N185</f>
        <v>3.5596999465383585</v>
      </c>
      <c r="P185" s="107">
        <f>ROUND(SUM(P171:P184),2)</f>
        <v>53267.35</v>
      </c>
      <c r="Q185" s="110">
        <f t="shared" ref="Q185:AN185" si="23">SUM(Q171:Q184)</f>
        <v>-464278.33</v>
      </c>
      <c r="R185" s="107">
        <f t="shared" si="23"/>
        <v>37928.519999999997</v>
      </c>
      <c r="S185" s="107">
        <f t="shared" si="23"/>
        <v>0</v>
      </c>
      <c r="T185" s="107">
        <f t="shared" si="23"/>
        <v>-9644.07</v>
      </c>
      <c r="U185" s="107">
        <f t="shared" si="23"/>
        <v>0</v>
      </c>
      <c r="V185" s="107">
        <f t="shared" si="23"/>
        <v>0</v>
      </c>
      <c r="W185" s="107">
        <f t="shared" si="23"/>
        <v>0</v>
      </c>
      <c r="X185" s="107">
        <f t="shared" si="23"/>
        <v>0</v>
      </c>
      <c r="Y185" s="107">
        <f t="shared" si="23"/>
        <v>0</v>
      </c>
      <c r="Z185" s="107">
        <f t="shared" si="23"/>
        <v>0</v>
      </c>
      <c r="AA185" s="107">
        <f t="shared" si="23"/>
        <v>0</v>
      </c>
      <c r="AB185" s="107">
        <f t="shared" si="23"/>
        <v>0</v>
      </c>
      <c r="AC185" s="107">
        <f t="shared" si="23"/>
        <v>0</v>
      </c>
      <c r="AD185" s="107">
        <f t="shared" si="23"/>
        <v>0</v>
      </c>
      <c r="AE185" s="107">
        <f t="shared" si="23"/>
        <v>0</v>
      </c>
      <c r="AF185" s="107">
        <f t="shared" si="23"/>
        <v>0</v>
      </c>
      <c r="AG185" s="107">
        <f t="shared" si="23"/>
        <v>0</v>
      </c>
      <c r="AH185" s="107">
        <f t="shared" si="23"/>
        <v>0</v>
      </c>
      <c r="AI185" s="107">
        <f t="shared" si="23"/>
        <v>0</v>
      </c>
      <c r="AJ185" s="107">
        <f t="shared" si="23"/>
        <v>0</v>
      </c>
      <c r="AK185" s="107">
        <f t="shared" si="23"/>
        <v>0</v>
      </c>
      <c r="AL185" s="107">
        <f t="shared" si="23"/>
        <v>0</v>
      </c>
      <c r="AM185" s="107">
        <f t="shared" si="23"/>
        <v>0</v>
      </c>
      <c r="AN185" s="107">
        <f t="shared" si="23"/>
        <v>0</v>
      </c>
      <c r="AO185" s="111">
        <f>D185+E185+F185+G185+H185+I185+J185+M185+P185+SUM(Q185:AN185)</f>
        <v>-307898.98296000005</v>
      </c>
      <c r="AP185" s="4"/>
      <c r="AQ185" s="5"/>
      <c r="AR185" s="5"/>
      <c r="AS185" s="2" t="s">
        <v>6</v>
      </c>
    </row>
    <row r="186" spans="1:46" s="2" customFormat="1" ht="17.25" customHeight="1" thickTop="1" x14ac:dyDescent="0.25">
      <c r="A186" s="23">
        <f>A172+1</f>
        <v>45974</v>
      </c>
      <c r="B186" s="210" t="s">
        <v>64</v>
      </c>
      <c r="C186" s="203"/>
      <c r="D186" s="63">
        <v>10270.65</v>
      </c>
      <c r="E186" s="66"/>
      <c r="F186" s="66"/>
      <c r="G186" s="66"/>
      <c r="H186" s="66"/>
      <c r="I186" s="64">
        <f>-D186</f>
        <v>-10270.65</v>
      </c>
      <c r="J186" s="66"/>
      <c r="K186" s="18"/>
      <c r="L186" s="18"/>
      <c r="M186" s="66"/>
      <c r="N186" s="18"/>
      <c r="O186" s="18"/>
      <c r="P186" s="66"/>
      <c r="Q186" s="46"/>
      <c r="R186" s="46"/>
      <c r="S186" s="45"/>
      <c r="T186" s="18"/>
      <c r="U186" s="18"/>
      <c r="V186" s="18"/>
      <c r="W186" s="18"/>
      <c r="X186" s="18"/>
      <c r="Y186" s="14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31"/>
      <c r="AQ186" s="10"/>
      <c r="AR186" s="27"/>
    </row>
    <row r="187" spans="1:46" s="4" customFormat="1" ht="17.25" customHeight="1" x14ac:dyDescent="0.25">
      <c r="A187" s="23"/>
      <c r="B187" s="201" t="s">
        <v>96</v>
      </c>
      <c r="C187" s="202"/>
      <c r="D187" s="63"/>
      <c r="E187" s="64"/>
      <c r="F187" s="64"/>
      <c r="G187" s="64"/>
      <c r="H187" s="64"/>
      <c r="I187" s="64">
        <f>-I185-I186</f>
        <v>-271.17000000000007</v>
      </c>
      <c r="J187" s="64"/>
      <c r="K187" s="16"/>
      <c r="L187" s="92"/>
      <c r="M187" s="64"/>
      <c r="N187" s="16"/>
      <c r="O187" s="92"/>
      <c r="P187" s="64"/>
      <c r="Q187" s="40"/>
      <c r="R187" s="46"/>
      <c r="S187" s="39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22"/>
      <c r="AP187" s="30"/>
    </row>
    <row r="188" spans="1:46" s="4" customFormat="1" ht="17.25" customHeight="1" x14ac:dyDescent="0.25">
      <c r="A188" s="23"/>
      <c r="B188" s="201" t="s">
        <v>13</v>
      </c>
      <c r="C188" s="203"/>
      <c r="D188" s="63"/>
      <c r="E188" s="64">
        <f>-E185-13238.19</f>
        <v>834.05999999999949</v>
      </c>
      <c r="F188" s="64"/>
      <c r="G188" s="64"/>
      <c r="H188" s="64">
        <f>-E188</f>
        <v>-834.05999999999949</v>
      </c>
      <c r="I188" s="66"/>
      <c r="J188" s="64"/>
      <c r="K188" s="16"/>
      <c r="L188" s="92"/>
      <c r="M188" s="64"/>
      <c r="N188" s="16"/>
      <c r="O188" s="92"/>
      <c r="P188" s="64"/>
      <c r="Q188" s="40"/>
      <c r="R188" s="46">
        <f>-D188</f>
        <v>0</v>
      </c>
      <c r="S188" s="39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22"/>
      <c r="AP188" s="30"/>
    </row>
    <row r="189" spans="1:46" s="2" customFormat="1" ht="17.25" customHeight="1" x14ac:dyDescent="0.25">
      <c r="A189" s="29"/>
      <c r="B189" s="201" t="s">
        <v>72</v>
      </c>
      <c r="C189" s="202"/>
      <c r="D189" s="63">
        <v>-10300</v>
      </c>
      <c r="E189" s="64"/>
      <c r="F189" s="64">
        <f>-D189</f>
        <v>10300</v>
      </c>
      <c r="G189" s="64"/>
      <c r="H189" s="64"/>
      <c r="I189" s="64"/>
      <c r="J189" s="64"/>
      <c r="K189" s="57"/>
      <c r="L189" s="88"/>
      <c r="M189" s="62"/>
      <c r="N189" s="57"/>
      <c r="O189" s="88"/>
      <c r="P189" s="62"/>
      <c r="Q189" s="47"/>
      <c r="R189" s="39"/>
      <c r="S189" s="39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22"/>
      <c r="AQ189" s="10" t="s">
        <v>4</v>
      </c>
      <c r="AR189" s="11" t="e">
        <v>#REF!</v>
      </c>
    </row>
    <row r="190" spans="1:46" s="2" customFormat="1" ht="17.25" customHeight="1" x14ac:dyDescent="0.25">
      <c r="A190" s="24"/>
      <c r="B190" s="201" t="s">
        <v>14</v>
      </c>
      <c r="C190" s="203"/>
      <c r="D190" s="63"/>
      <c r="E190" s="64"/>
      <c r="F190" s="64"/>
      <c r="G190" s="64"/>
      <c r="H190" s="64"/>
      <c r="I190" s="64"/>
      <c r="J190" s="64"/>
      <c r="K190" s="16"/>
      <c r="L190" s="92"/>
      <c r="M190" s="64"/>
      <c r="N190" s="16"/>
      <c r="O190" s="92"/>
      <c r="P190" s="64"/>
      <c r="Q190" s="40"/>
      <c r="R190" s="40"/>
      <c r="S190" s="39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22"/>
      <c r="AQ190" s="10"/>
      <c r="AR190" s="11"/>
    </row>
    <row r="191" spans="1:46" s="2" customFormat="1" ht="17.25" customHeight="1" x14ac:dyDescent="0.2">
      <c r="A191" s="23"/>
      <c r="B191" s="201" t="s">
        <v>196</v>
      </c>
      <c r="C191" s="203"/>
      <c r="D191" s="63"/>
      <c r="E191" s="64"/>
      <c r="F191" s="74"/>
      <c r="G191" s="74"/>
      <c r="H191" s="64"/>
      <c r="I191" s="64"/>
      <c r="J191" s="64"/>
      <c r="K191" s="16"/>
      <c r="L191" s="16"/>
      <c r="M191" s="64"/>
      <c r="N191" s="16"/>
      <c r="O191" s="16"/>
      <c r="P191" s="64"/>
      <c r="Q191" s="46"/>
      <c r="R191" s="39"/>
      <c r="S191" s="40"/>
      <c r="T191" s="16"/>
      <c r="U191" s="16"/>
      <c r="V191" s="16"/>
      <c r="W191" s="16"/>
      <c r="X191" s="16"/>
      <c r="Y191" s="19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35"/>
      <c r="AQ191" s="10"/>
      <c r="AR191" s="27"/>
    </row>
    <row r="192" spans="1:46" s="2" customFormat="1" ht="17.25" customHeight="1" x14ac:dyDescent="0.25">
      <c r="A192" s="29"/>
      <c r="B192" s="201" t="s">
        <v>72</v>
      </c>
      <c r="C192" s="202"/>
      <c r="D192" s="63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47"/>
      <c r="R192" s="39"/>
      <c r="S192" s="39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22"/>
      <c r="AQ192" s="10" t="s">
        <v>4</v>
      </c>
      <c r="AR192" s="11" t="e">
        <v>#REF!</v>
      </c>
    </row>
    <row r="193" spans="1:46" s="2" customFormat="1" ht="17.25" customHeight="1" thickBot="1" x14ac:dyDescent="0.25">
      <c r="A193" s="24"/>
      <c r="B193" s="216"/>
      <c r="C193" s="242"/>
      <c r="D193" s="83"/>
      <c r="E193" s="81"/>
      <c r="F193" s="81"/>
      <c r="G193" s="81"/>
      <c r="H193" s="81"/>
      <c r="I193" s="81"/>
      <c r="J193" s="81"/>
      <c r="K193" s="37"/>
      <c r="L193" s="93"/>
      <c r="M193" s="81"/>
      <c r="N193" s="37"/>
      <c r="O193" s="93"/>
      <c r="P193" s="81"/>
      <c r="Q193" s="40"/>
      <c r="R193" s="40"/>
      <c r="S193" s="39"/>
      <c r="T193" s="16"/>
      <c r="U193" s="16"/>
      <c r="V193" s="16"/>
      <c r="W193" s="16"/>
      <c r="X193" s="16"/>
      <c r="Y193" s="19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41"/>
      <c r="AQ193" s="10"/>
      <c r="AR193" s="11"/>
    </row>
    <row r="194" spans="1:46" s="4" customFormat="1" ht="17.25" customHeight="1" x14ac:dyDescent="0.25">
      <c r="A194" s="23"/>
      <c r="B194" s="210" t="s">
        <v>94</v>
      </c>
      <c r="C194" s="203"/>
      <c r="D194" s="66"/>
      <c r="E194" s="66"/>
      <c r="F194" s="135"/>
      <c r="G194" s="135"/>
      <c r="H194" s="66"/>
      <c r="I194" s="66"/>
      <c r="J194" s="66">
        <f>-M194</f>
        <v>6879.5999999999995</v>
      </c>
      <c r="K194" s="58">
        <v>-1176</v>
      </c>
      <c r="L194" s="89">
        <v>5.85</v>
      </c>
      <c r="M194" s="73">
        <f>K194*L194</f>
        <v>-6879.5999999999995</v>
      </c>
      <c r="N194" s="58"/>
      <c r="O194" s="89"/>
      <c r="P194" s="73"/>
      <c r="Q194" s="39"/>
      <c r="R194" s="39"/>
      <c r="S194" s="8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35"/>
      <c r="AP194" s="12" t="e">
        <f>#REF!</f>
        <v>#REF!</v>
      </c>
    </row>
    <row r="195" spans="1:46" s="4" customFormat="1" ht="17.25" customHeight="1" x14ac:dyDescent="0.25">
      <c r="A195" s="23"/>
      <c r="B195" s="201" t="s">
        <v>95</v>
      </c>
      <c r="C195" s="202"/>
      <c r="D195" s="64"/>
      <c r="E195" s="64"/>
      <c r="F195" s="117"/>
      <c r="G195" s="117"/>
      <c r="H195" s="64"/>
      <c r="I195" s="64"/>
      <c r="J195" s="64">
        <f>-P195</f>
        <v>8080.28</v>
      </c>
      <c r="K195" s="57"/>
      <c r="L195" s="88"/>
      <c r="M195" s="62"/>
      <c r="N195" s="57">
        <v>-2132</v>
      </c>
      <c r="O195" s="88">
        <v>3.79</v>
      </c>
      <c r="P195" s="62">
        <f>N195*O195</f>
        <v>-8080.28</v>
      </c>
      <c r="Q195" s="39"/>
      <c r="R195" s="39"/>
      <c r="S195" s="8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35"/>
      <c r="AP195" s="12" t="e">
        <f>#REF!</f>
        <v>#REF!</v>
      </c>
    </row>
    <row r="196" spans="1:46" s="4" customFormat="1" ht="17.25" customHeight="1" x14ac:dyDescent="0.25">
      <c r="A196" s="23"/>
      <c r="B196" s="201" t="s">
        <v>97</v>
      </c>
      <c r="C196" s="203"/>
      <c r="D196" s="64"/>
      <c r="E196" s="64"/>
      <c r="F196" s="64"/>
      <c r="G196" s="64"/>
      <c r="H196" s="64">
        <f>-J196-I196</f>
        <v>5276.0499999999993</v>
      </c>
      <c r="I196" s="64">
        <v>9683.83</v>
      </c>
      <c r="J196" s="64">
        <f>-SUM(J194:J195)</f>
        <v>-14959.88</v>
      </c>
      <c r="K196" s="57"/>
      <c r="L196" s="88"/>
      <c r="M196" s="62"/>
      <c r="N196" s="57"/>
      <c r="O196" s="88"/>
      <c r="P196" s="62"/>
      <c r="Q196" s="39"/>
      <c r="R196" s="39"/>
      <c r="S196" s="39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22"/>
      <c r="AO196" s="43">
        <f>A168</f>
        <v>0</v>
      </c>
      <c r="AP196" s="12" t="e">
        <f>#REF!</f>
        <v>#REF!</v>
      </c>
      <c r="AT196" s="2"/>
    </row>
    <row r="197" spans="1:46" s="4" customFormat="1" ht="17.25" customHeight="1" x14ac:dyDescent="0.25">
      <c r="A197" s="23"/>
      <c r="B197" s="201" t="s">
        <v>93</v>
      </c>
      <c r="C197" s="202"/>
      <c r="D197" s="64"/>
      <c r="E197" s="64"/>
      <c r="F197" s="64"/>
      <c r="G197" s="64"/>
      <c r="H197" s="64"/>
      <c r="I197" s="64"/>
      <c r="J197" s="64"/>
      <c r="K197" s="57">
        <v>76</v>
      </c>
      <c r="L197" s="88"/>
      <c r="M197" s="62">
        <f>(K200*((M185)/(K185))-M185-M194)</f>
        <v>1301.3970995557838</v>
      </c>
      <c r="N197" s="57">
        <v>-52</v>
      </c>
      <c r="O197" s="88"/>
      <c r="P197" s="62">
        <f>(N200*((P185)/(N185))-P185-P195)</f>
        <v>305.89531676022398</v>
      </c>
      <c r="Q197" s="39"/>
      <c r="R197" s="39"/>
      <c r="S197" s="39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22"/>
      <c r="AO197" s="43">
        <f>A179</f>
        <v>0</v>
      </c>
      <c r="AP197" s="12" t="e">
        <f>#REF!</f>
        <v>#REF!</v>
      </c>
      <c r="AT197" s="2"/>
    </row>
    <row r="198" spans="1:46" s="2" customFormat="1" ht="17.25" customHeight="1" x14ac:dyDescent="0.2">
      <c r="A198" s="24"/>
      <c r="B198" s="201"/>
      <c r="C198" s="204"/>
      <c r="D198" s="63"/>
      <c r="E198" s="64"/>
      <c r="F198" s="64"/>
      <c r="G198" s="64"/>
      <c r="H198" s="64"/>
      <c r="I198" s="64"/>
      <c r="J198" s="64"/>
      <c r="K198" s="16"/>
      <c r="L198" s="16"/>
      <c r="M198" s="64"/>
      <c r="N198" s="16"/>
      <c r="O198" s="16"/>
      <c r="P198" s="64"/>
      <c r="Q198" s="46"/>
      <c r="R198" s="46"/>
      <c r="S198" s="39"/>
      <c r="T198" s="16"/>
      <c r="U198" s="16"/>
      <c r="V198" s="16"/>
      <c r="W198" s="16"/>
      <c r="X198" s="16"/>
      <c r="Y198" s="19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43">
        <f>A186</f>
        <v>45974</v>
      </c>
      <c r="AQ198" s="10"/>
      <c r="AR198" s="11"/>
    </row>
    <row r="199" spans="1:46" s="2" customFormat="1" ht="17.25" customHeight="1" thickBot="1" x14ac:dyDescent="0.3">
      <c r="A199" s="56"/>
      <c r="B199" s="101" t="s">
        <v>102</v>
      </c>
      <c r="C199" s="102">
        <f>D200+E200+F200+G200+H200+I200+J200+M200+P200</f>
        <v>129431.02703999999</v>
      </c>
      <c r="D199" s="84"/>
      <c r="E199" s="85"/>
      <c r="F199" s="85"/>
      <c r="G199" s="85"/>
      <c r="H199" s="85"/>
      <c r="I199" s="85"/>
      <c r="J199" s="85"/>
      <c r="K199" s="28"/>
      <c r="L199" s="28"/>
      <c r="M199" s="85"/>
      <c r="N199" s="28"/>
      <c r="O199" s="28"/>
      <c r="P199" s="85"/>
      <c r="Q199" s="48"/>
      <c r="R199" s="48"/>
      <c r="S199" s="51"/>
      <c r="T199" s="28"/>
      <c r="U199" s="28"/>
      <c r="V199" s="28"/>
      <c r="W199" s="28"/>
      <c r="X199" s="28"/>
      <c r="Y199" s="36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42">
        <f>SUM($Q185:AN199)</f>
        <v>-435993.88</v>
      </c>
      <c r="AQ199" s="10"/>
      <c r="AR199" s="11"/>
      <c r="AS199" s="2" t="s">
        <v>5</v>
      </c>
    </row>
    <row r="200" spans="1:46" s="2" customFormat="1" ht="17.25" customHeight="1" thickTop="1" thickBot="1" x14ac:dyDescent="0.3">
      <c r="A200" s="103"/>
      <c r="B200" s="104" t="s">
        <v>103</v>
      </c>
      <c r="C200" s="105">
        <f>AO200</f>
        <v>-306562.85296000005</v>
      </c>
      <c r="D200" s="106">
        <f t="shared" ref="D200:K200" si="24">SUM(D185:D199)</f>
        <v>48.107039999991684</v>
      </c>
      <c r="E200" s="107">
        <f t="shared" si="24"/>
        <v>-13238.19</v>
      </c>
      <c r="F200" s="107">
        <f t="shared" si="24"/>
        <v>20500</v>
      </c>
      <c r="G200" s="107">
        <f t="shared" si="24"/>
        <v>0</v>
      </c>
      <c r="H200" s="107">
        <f t="shared" si="24"/>
        <v>33708.36</v>
      </c>
      <c r="I200" s="107">
        <f t="shared" si="24"/>
        <v>9683.83</v>
      </c>
      <c r="J200" s="107">
        <f t="shared" si="24"/>
        <v>0</v>
      </c>
      <c r="K200" s="108">
        <f t="shared" si="24"/>
        <v>6554</v>
      </c>
      <c r="L200" s="109">
        <f>M200/K200</f>
        <v>5.0710939884040274</v>
      </c>
      <c r="M200" s="107">
        <f>ROUND(SUM(M185:M199),2)</f>
        <v>33235.949999999997</v>
      </c>
      <c r="N200" s="108">
        <f>SUM(N185:N199)</f>
        <v>12780</v>
      </c>
      <c r="O200" s="109">
        <f>P200/N200</f>
        <v>3.5597003129890457</v>
      </c>
      <c r="P200" s="107">
        <f>ROUND(SUM(P185:P199),2)</f>
        <v>45492.97</v>
      </c>
      <c r="Q200" s="110">
        <f t="shared" ref="Q200:AN200" si="25">SUM(Q185:Q199)</f>
        <v>-464278.33</v>
      </c>
      <c r="R200" s="107">
        <f t="shared" si="25"/>
        <v>37928.519999999997</v>
      </c>
      <c r="S200" s="107">
        <f t="shared" si="25"/>
        <v>0</v>
      </c>
      <c r="T200" s="107">
        <f t="shared" si="25"/>
        <v>-9644.07</v>
      </c>
      <c r="U200" s="107">
        <f t="shared" si="25"/>
        <v>0</v>
      </c>
      <c r="V200" s="107">
        <f t="shared" si="25"/>
        <v>0</v>
      </c>
      <c r="W200" s="107">
        <f t="shared" si="25"/>
        <v>0</v>
      </c>
      <c r="X200" s="107">
        <f t="shared" si="25"/>
        <v>0</v>
      </c>
      <c r="Y200" s="107">
        <f t="shared" si="25"/>
        <v>0</v>
      </c>
      <c r="Z200" s="107">
        <f t="shared" si="25"/>
        <v>0</v>
      </c>
      <c r="AA200" s="107">
        <f t="shared" si="25"/>
        <v>0</v>
      </c>
      <c r="AB200" s="107">
        <f t="shared" si="25"/>
        <v>0</v>
      </c>
      <c r="AC200" s="107">
        <f t="shared" si="25"/>
        <v>0</v>
      </c>
      <c r="AD200" s="107">
        <f t="shared" si="25"/>
        <v>0</v>
      </c>
      <c r="AE200" s="107">
        <f t="shared" si="25"/>
        <v>0</v>
      </c>
      <c r="AF200" s="107">
        <f t="shared" si="25"/>
        <v>0</v>
      </c>
      <c r="AG200" s="107">
        <f t="shared" si="25"/>
        <v>0</v>
      </c>
      <c r="AH200" s="107">
        <f t="shared" si="25"/>
        <v>0</v>
      </c>
      <c r="AI200" s="107">
        <f t="shared" si="25"/>
        <v>0</v>
      </c>
      <c r="AJ200" s="107">
        <f t="shared" si="25"/>
        <v>0</v>
      </c>
      <c r="AK200" s="107">
        <f t="shared" si="25"/>
        <v>0</v>
      </c>
      <c r="AL200" s="107">
        <f t="shared" si="25"/>
        <v>0</v>
      </c>
      <c r="AM200" s="107">
        <f t="shared" si="25"/>
        <v>0</v>
      </c>
      <c r="AN200" s="107">
        <f t="shared" si="25"/>
        <v>0</v>
      </c>
      <c r="AO200" s="111">
        <f>D200+E200+F200+G200+H200+I200+J200+M200+P200+SUM(Q200:AN200)</f>
        <v>-306562.85296000005</v>
      </c>
      <c r="AP200" s="4"/>
      <c r="AQ200" s="5"/>
      <c r="AR200" s="5"/>
      <c r="AS200" s="2" t="s">
        <v>6</v>
      </c>
    </row>
    <row r="201" spans="1:46" s="2" customFormat="1" ht="17.25" customHeight="1" thickTop="1" x14ac:dyDescent="0.25">
      <c r="A201" s="23">
        <f>A186+1</f>
        <v>45975</v>
      </c>
      <c r="B201" s="210" t="s">
        <v>64</v>
      </c>
      <c r="C201" s="203"/>
      <c r="D201" s="63">
        <v>9444.56</v>
      </c>
      <c r="E201" s="66"/>
      <c r="F201" s="66"/>
      <c r="G201" s="66"/>
      <c r="H201" s="66"/>
      <c r="I201" s="64">
        <f>-D201</f>
        <v>-9444.56</v>
      </c>
      <c r="J201" s="66"/>
      <c r="K201" s="18"/>
      <c r="L201" s="18"/>
      <c r="M201" s="66"/>
      <c r="N201" s="18"/>
      <c r="O201" s="18"/>
      <c r="P201" s="66"/>
      <c r="Q201" s="46"/>
      <c r="R201" s="46"/>
      <c r="S201" s="45"/>
      <c r="T201" s="18"/>
      <c r="U201" s="18"/>
      <c r="V201" s="18"/>
      <c r="W201" s="18"/>
      <c r="X201" s="18"/>
      <c r="Y201" s="14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31"/>
      <c r="AQ201" s="10"/>
      <c r="AR201" s="27"/>
    </row>
    <row r="202" spans="1:46" s="4" customFormat="1" ht="17.25" customHeight="1" x14ac:dyDescent="0.25">
      <c r="A202" s="23"/>
      <c r="B202" s="201" t="s">
        <v>96</v>
      </c>
      <c r="C202" s="202"/>
      <c r="D202" s="63"/>
      <c r="E202" s="64"/>
      <c r="F202" s="64"/>
      <c r="G202" s="64"/>
      <c r="H202" s="64"/>
      <c r="I202" s="64">
        <f>-I200-I201</f>
        <v>-239.27000000000044</v>
      </c>
      <c r="J202" s="64"/>
      <c r="K202" s="16"/>
      <c r="L202" s="92"/>
      <c r="M202" s="64"/>
      <c r="N202" s="16"/>
      <c r="O202" s="92"/>
      <c r="P202" s="64"/>
      <c r="Q202" s="40"/>
      <c r="R202" s="46"/>
      <c r="S202" s="39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22"/>
      <c r="AP202" s="30"/>
    </row>
    <row r="203" spans="1:46" s="4" customFormat="1" ht="17.25" customHeight="1" x14ac:dyDescent="0.25">
      <c r="A203" s="23"/>
      <c r="B203" s="201" t="s">
        <v>13</v>
      </c>
      <c r="C203" s="203"/>
      <c r="D203" s="63"/>
      <c r="E203" s="64">
        <f>-E200-5317.94+765.85+300</f>
        <v>8986.1</v>
      </c>
      <c r="F203" s="64"/>
      <c r="G203" s="64"/>
      <c r="H203" s="64">
        <f>-E203</f>
        <v>-8986.1</v>
      </c>
      <c r="I203" s="66"/>
      <c r="J203" s="64"/>
      <c r="K203" s="16"/>
      <c r="L203" s="92"/>
      <c r="M203" s="64"/>
      <c r="N203" s="16"/>
      <c r="O203" s="92"/>
      <c r="P203" s="64"/>
      <c r="Q203" s="40"/>
      <c r="R203" s="46">
        <f>-D203</f>
        <v>0</v>
      </c>
      <c r="S203" s="39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22"/>
      <c r="AP203" s="30"/>
    </row>
    <row r="204" spans="1:46" s="2" customFormat="1" ht="17.25" customHeight="1" x14ac:dyDescent="0.25">
      <c r="A204" s="24"/>
      <c r="B204" s="201" t="s">
        <v>260</v>
      </c>
      <c r="C204" s="203"/>
      <c r="D204" s="63"/>
      <c r="E204" s="64">
        <v>-765.85</v>
      </c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46"/>
      <c r="R204" s="40"/>
      <c r="S204" s="39"/>
      <c r="T204" s="16"/>
      <c r="U204" s="16"/>
      <c r="V204" s="16"/>
      <c r="W204" s="16"/>
      <c r="X204" s="16"/>
      <c r="Y204" s="19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22"/>
      <c r="AQ204" s="10"/>
      <c r="AR204" s="11"/>
    </row>
    <row r="205" spans="1:46" s="2" customFormat="1" ht="17.25" customHeight="1" x14ac:dyDescent="0.25">
      <c r="A205" s="29"/>
      <c r="B205" s="201" t="s">
        <v>72</v>
      </c>
      <c r="C205" s="202"/>
      <c r="D205" s="63">
        <v>20500</v>
      </c>
      <c r="E205" s="64"/>
      <c r="F205" s="64">
        <f>-D205</f>
        <v>-20500</v>
      </c>
      <c r="G205" s="64"/>
      <c r="H205" s="64"/>
      <c r="I205" s="64"/>
      <c r="J205" s="64"/>
      <c r="K205" s="57"/>
      <c r="L205" s="88"/>
      <c r="M205" s="62"/>
      <c r="N205" s="57"/>
      <c r="O205" s="88"/>
      <c r="P205" s="62"/>
      <c r="Q205" s="47"/>
      <c r="R205" s="39"/>
      <c r="S205" s="39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22"/>
      <c r="AQ205" s="10" t="s">
        <v>4</v>
      </c>
      <c r="AR205" s="11" t="e">
        <v>#REF!</v>
      </c>
    </row>
    <row r="206" spans="1:46" s="2" customFormat="1" ht="17.25" customHeight="1" x14ac:dyDescent="0.25">
      <c r="A206" s="29"/>
      <c r="B206" s="201" t="s">
        <v>278</v>
      </c>
      <c r="C206" s="202"/>
      <c r="D206" s="63">
        <v>300</v>
      </c>
      <c r="E206" s="64">
        <f>-D206</f>
        <v>-300</v>
      </c>
      <c r="F206" s="64"/>
      <c r="G206" s="64"/>
      <c r="H206" s="64"/>
      <c r="I206" s="64"/>
      <c r="J206" s="64"/>
      <c r="K206" s="57"/>
      <c r="L206" s="88"/>
      <c r="M206" s="62"/>
      <c r="N206" s="57"/>
      <c r="O206" s="88"/>
      <c r="P206" s="62"/>
      <c r="Q206" s="47"/>
      <c r="R206" s="39"/>
      <c r="S206" s="39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22"/>
      <c r="AQ206" s="10" t="s">
        <v>4</v>
      </c>
      <c r="AR206" s="11" t="e">
        <v>#REF!</v>
      </c>
    </row>
    <row r="207" spans="1:46" s="2" customFormat="1" ht="17.25" customHeight="1" x14ac:dyDescent="0.2">
      <c r="A207" s="23"/>
      <c r="B207" s="201" t="s">
        <v>279</v>
      </c>
      <c r="C207" s="203"/>
      <c r="D207" s="64">
        <v>-2.4</v>
      </c>
      <c r="E207" s="64"/>
      <c r="F207" s="74"/>
      <c r="G207" s="74"/>
      <c r="H207" s="64"/>
      <c r="I207" s="64"/>
      <c r="J207" s="64"/>
      <c r="K207" s="16"/>
      <c r="L207" s="16"/>
      <c r="M207" s="64"/>
      <c r="N207" s="16"/>
      <c r="O207" s="16"/>
      <c r="P207" s="64"/>
      <c r="Q207" s="46"/>
      <c r="R207" s="39"/>
      <c r="S207" s="40"/>
      <c r="T207" s="16"/>
      <c r="U207" s="16"/>
      <c r="V207" s="16"/>
      <c r="W207" s="16"/>
      <c r="X207" s="16"/>
      <c r="Y207" s="19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35"/>
      <c r="AQ207" s="10"/>
      <c r="AR207" s="27"/>
    </row>
    <row r="208" spans="1:46" s="2" customFormat="1" ht="17.25" customHeight="1" x14ac:dyDescent="0.25">
      <c r="A208" s="29"/>
      <c r="B208" s="205" t="s">
        <v>296</v>
      </c>
      <c r="C208" s="250"/>
      <c r="D208" s="63">
        <v>-30200</v>
      </c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47">
        <f>-D208</f>
        <v>30200</v>
      </c>
      <c r="R208" s="39"/>
      <c r="S208" s="39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22"/>
      <c r="AQ208" s="10" t="s">
        <v>4</v>
      </c>
      <c r="AR208" s="11" t="e">
        <v>#REF!</v>
      </c>
    </row>
    <row r="209" spans="1:46" s="2" customFormat="1" ht="17.25" customHeight="1" x14ac:dyDescent="0.2">
      <c r="A209" s="23"/>
      <c r="B209" s="201" t="s">
        <v>280</v>
      </c>
      <c r="C209" s="203"/>
      <c r="D209" s="64">
        <v>-4.9000000000000004</v>
      </c>
      <c r="E209" s="64"/>
      <c r="F209" s="74"/>
      <c r="G209" s="74"/>
      <c r="H209" s="64"/>
      <c r="I209" s="64"/>
      <c r="J209" s="64"/>
      <c r="K209" s="16"/>
      <c r="L209" s="16"/>
      <c r="M209" s="64"/>
      <c r="N209" s="16"/>
      <c r="O209" s="16"/>
      <c r="P209" s="64"/>
      <c r="Q209" s="46"/>
      <c r="R209" s="39"/>
      <c r="S209" s="40"/>
      <c r="T209" s="16"/>
      <c r="U209" s="16"/>
      <c r="V209" s="16"/>
      <c r="W209" s="16"/>
      <c r="X209" s="16"/>
      <c r="Y209" s="19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35"/>
      <c r="AQ209" s="10"/>
      <c r="AR209" s="27"/>
    </row>
    <row r="210" spans="1:46" s="2" customFormat="1" ht="17.25" customHeight="1" thickBot="1" x14ac:dyDescent="0.25">
      <c r="A210" s="24"/>
      <c r="B210" s="216"/>
      <c r="C210" s="217"/>
      <c r="D210" s="83"/>
      <c r="E210" s="81"/>
      <c r="F210" s="81"/>
      <c r="G210" s="81"/>
      <c r="H210" s="81"/>
      <c r="I210" s="81"/>
      <c r="J210" s="81"/>
      <c r="K210" s="37"/>
      <c r="L210" s="93"/>
      <c r="M210" s="81"/>
      <c r="N210" s="37"/>
      <c r="O210" s="93"/>
      <c r="P210" s="81"/>
      <c r="Q210" s="40"/>
      <c r="R210" s="40"/>
      <c r="S210" s="39"/>
      <c r="T210" s="16"/>
      <c r="U210" s="16"/>
      <c r="V210" s="16"/>
      <c r="W210" s="16"/>
      <c r="X210" s="16"/>
      <c r="Y210" s="19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41"/>
      <c r="AQ210" s="10"/>
      <c r="AR210" s="11"/>
    </row>
    <row r="211" spans="1:46" s="4" customFormat="1" ht="17.25" customHeight="1" x14ac:dyDescent="0.25">
      <c r="A211" s="23"/>
      <c r="B211" s="210" t="s">
        <v>94</v>
      </c>
      <c r="C211" s="203"/>
      <c r="D211" s="66"/>
      <c r="E211" s="66"/>
      <c r="F211" s="117"/>
      <c r="G211" s="117"/>
      <c r="H211" s="66"/>
      <c r="I211" s="66"/>
      <c r="J211" s="66">
        <f>-M211</f>
        <v>10898.55</v>
      </c>
      <c r="K211" s="58">
        <v>-1863</v>
      </c>
      <c r="L211" s="89">
        <v>5.85</v>
      </c>
      <c r="M211" s="73">
        <f>K211*L211</f>
        <v>-10898.55</v>
      </c>
      <c r="N211" s="58"/>
      <c r="O211" s="89"/>
      <c r="P211" s="73"/>
      <c r="Q211" s="39"/>
      <c r="R211" s="39"/>
      <c r="S211" s="8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35"/>
      <c r="AP211" s="12" t="e">
        <f>#REF!</f>
        <v>#REF!</v>
      </c>
    </row>
    <row r="212" spans="1:46" s="4" customFormat="1" ht="17.25" customHeight="1" x14ac:dyDescent="0.25">
      <c r="A212" s="23"/>
      <c r="B212" s="201" t="s">
        <v>95</v>
      </c>
      <c r="C212" s="202"/>
      <c r="D212" s="64"/>
      <c r="E212" s="64"/>
      <c r="F212" s="117"/>
      <c r="G212" s="117"/>
      <c r="H212" s="64"/>
      <c r="I212" s="64"/>
      <c r="J212" s="64">
        <f>-P212</f>
        <v>9668.2900000000009</v>
      </c>
      <c r="K212" s="57"/>
      <c r="L212" s="88"/>
      <c r="M212" s="62"/>
      <c r="N212" s="57">
        <v>-2551</v>
      </c>
      <c r="O212" s="88">
        <v>3.79</v>
      </c>
      <c r="P212" s="62">
        <f>N212*O212</f>
        <v>-9668.2900000000009</v>
      </c>
      <c r="Q212" s="39"/>
      <c r="R212" s="39"/>
      <c r="S212" s="8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35"/>
      <c r="AP212" s="12" t="e">
        <f>#REF!</f>
        <v>#REF!</v>
      </c>
    </row>
    <row r="213" spans="1:46" s="4" customFormat="1" ht="17.25" customHeight="1" x14ac:dyDescent="0.25">
      <c r="A213" s="23"/>
      <c r="B213" s="201" t="s">
        <v>97</v>
      </c>
      <c r="C213" s="203"/>
      <c r="D213" s="64"/>
      <c r="E213" s="64"/>
      <c r="F213" s="64"/>
      <c r="G213" s="64"/>
      <c r="H213" s="64">
        <f>-J213-I213</f>
        <v>6612.02</v>
      </c>
      <c r="I213" s="64">
        <v>13954.82</v>
      </c>
      <c r="J213" s="64">
        <f>-SUM(J211:J212)</f>
        <v>-20566.84</v>
      </c>
      <c r="K213" s="57"/>
      <c r="L213" s="88"/>
      <c r="M213" s="62"/>
      <c r="N213" s="57"/>
      <c r="O213" s="88"/>
      <c r="P213" s="62"/>
      <c r="Q213" s="39"/>
      <c r="R213" s="39"/>
      <c r="S213" s="39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22"/>
      <c r="AO213" s="43">
        <f>A182</f>
        <v>0</v>
      </c>
      <c r="AP213" s="12" t="e">
        <f>#REF!</f>
        <v>#REF!</v>
      </c>
      <c r="AT213" s="2"/>
    </row>
    <row r="214" spans="1:46" s="4" customFormat="1" ht="17.25" customHeight="1" x14ac:dyDescent="0.25">
      <c r="A214" s="23"/>
      <c r="B214" s="201" t="s">
        <v>93</v>
      </c>
      <c r="C214" s="202"/>
      <c r="D214" s="64"/>
      <c r="E214" s="64"/>
      <c r="F214" s="64"/>
      <c r="G214" s="64"/>
      <c r="H214" s="64"/>
      <c r="I214" s="64"/>
      <c r="J214" s="64"/>
      <c r="K214" s="57">
        <v>-49</v>
      </c>
      <c r="L214" s="88"/>
      <c r="M214" s="62">
        <f>(K217*((M200)/(K200))-M200-M211)</f>
        <v>1202.6182941714978</v>
      </c>
      <c r="N214" s="57">
        <v>-43</v>
      </c>
      <c r="O214" s="88"/>
      <c r="P214" s="62">
        <f>(N217*((P200)/(N200))-P200-P212)</f>
        <v>434.42738810642186</v>
      </c>
      <c r="Q214" s="39"/>
      <c r="R214" s="39"/>
      <c r="S214" s="39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22"/>
      <c r="AO214" s="43">
        <f>A194</f>
        <v>0</v>
      </c>
      <c r="AP214" s="12" t="e">
        <f>#REF!</f>
        <v>#REF!</v>
      </c>
      <c r="AT214" s="2"/>
    </row>
    <row r="215" spans="1:46" s="2" customFormat="1" ht="17.25" customHeight="1" x14ac:dyDescent="0.2">
      <c r="A215" s="24"/>
      <c r="B215" s="201"/>
      <c r="C215" s="204"/>
      <c r="D215" s="63"/>
      <c r="E215" s="64"/>
      <c r="F215" s="64"/>
      <c r="G215" s="64"/>
      <c r="H215" s="64"/>
      <c r="I215" s="64"/>
      <c r="J215" s="64"/>
      <c r="K215" s="16"/>
      <c r="L215" s="16"/>
      <c r="M215" s="64"/>
      <c r="N215" s="16"/>
      <c r="O215" s="16"/>
      <c r="P215" s="64"/>
      <c r="Q215" s="46"/>
      <c r="R215" s="46"/>
      <c r="S215" s="39"/>
      <c r="T215" s="16"/>
      <c r="U215" s="16"/>
      <c r="V215" s="16"/>
      <c r="W215" s="16"/>
      <c r="X215" s="16"/>
      <c r="Y215" s="19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43">
        <f>A201</f>
        <v>45975</v>
      </c>
      <c r="AQ215" s="10"/>
      <c r="AR215" s="11"/>
    </row>
    <row r="216" spans="1:46" s="2" customFormat="1" ht="17.25" customHeight="1" thickBot="1" x14ac:dyDescent="0.3">
      <c r="A216" s="56"/>
      <c r="B216" s="101" t="s">
        <v>102</v>
      </c>
      <c r="C216" s="102">
        <f>D217+E217+F217+G217+H217+I217+J217+M217+P217</f>
        <v>99855.657039999991</v>
      </c>
      <c r="D216" s="84"/>
      <c r="E216" s="85"/>
      <c r="F216" s="85"/>
      <c r="G216" s="85"/>
      <c r="H216" s="85"/>
      <c r="I216" s="85"/>
      <c r="J216" s="85"/>
      <c r="K216" s="28"/>
      <c r="L216" s="28"/>
      <c r="M216" s="85"/>
      <c r="N216" s="28"/>
      <c r="O216" s="28"/>
      <c r="P216" s="85"/>
      <c r="Q216" s="48"/>
      <c r="R216" s="48"/>
      <c r="S216" s="51"/>
      <c r="T216" s="28"/>
      <c r="U216" s="28"/>
      <c r="V216" s="28"/>
      <c r="W216" s="28"/>
      <c r="X216" s="28"/>
      <c r="Y216" s="36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42">
        <f>SUM($Q200:AN216)</f>
        <v>-405793.88</v>
      </c>
      <c r="AQ216" s="10"/>
      <c r="AR216" s="11"/>
      <c r="AS216" s="2" t="s">
        <v>5</v>
      </c>
    </row>
    <row r="217" spans="1:46" s="2" customFormat="1" ht="17.25" customHeight="1" thickTop="1" thickBot="1" x14ac:dyDescent="0.3">
      <c r="A217" s="103"/>
      <c r="B217" s="104" t="s">
        <v>103</v>
      </c>
      <c r="C217" s="105">
        <f>AO217</f>
        <v>-305938.22296000004</v>
      </c>
      <c r="D217" s="106">
        <f t="shared" ref="D217:K217" si="26">SUM(D200:D216)</f>
        <v>85.367039999991533</v>
      </c>
      <c r="E217" s="107">
        <f t="shared" si="26"/>
        <v>-5317.9400000000005</v>
      </c>
      <c r="F217" s="107">
        <f t="shared" si="26"/>
        <v>0</v>
      </c>
      <c r="G217" s="107">
        <f t="shared" si="26"/>
        <v>0</v>
      </c>
      <c r="H217" s="107">
        <f t="shared" si="26"/>
        <v>31334.280000000002</v>
      </c>
      <c r="I217" s="107">
        <f t="shared" si="26"/>
        <v>13954.82</v>
      </c>
      <c r="J217" s="107">
        <f t="shared" si="26"/>
        <v>0</v>
      </c>
      <c r="K217" s="108">
        <f t="shared" si="26"/>
        <v>4642</v>
      </c>
      <c r="L217" s="109">
        <f>M217/K217</f>
        <v>5.0710943558810859</v>
      </c>
      <c r="M217" s="107">
        <f>ROUND(SUM(M200:M216),2)</f>
        <v>23540.02</v>
      </c>
      <c r="N217" s="108">
        <f>SUM(N200:N216)</f>
        <v>10186</v>
      </c>
      <c r="O217" s="109">
        <f>P217/N217</f>
        <v>3.5597005694089927</v>
      </c>
      <c r="P217" s="107">
        <f>ROUND(SUM(P200:P216),2)</f>
        <v>36259.11</v>
      </c>
      <c r="Q217" s="110">
        <f t="shared" ref="Q217:AN217" si="27">SUM(Q200:Q216)</f>
        <v>-434078.33</v>
      </c>
      <c r="R217" s="107">
        <f t="shared" si="27"/>
        <v>37928.519999999997</v>
      </c>
      <c r="S217" s="107">
        <f t="shared" si="27"/>
        <v>0</v>
      </c>
      <c r="T217" s="107">
        <f t="shared" si="27"/>
        <v>-9644.07</v>
      </c>
      <c r="U217" s="107">
        <f t="shared" si="27"/>
        <v>0</v>
      </c>
      <c r="V217" s="107">
        <f t="shared" si="27"/>
        <v>0</v>
      </c>
      <c r="W217" s="107">
        <f t="shared" si="27"/>
        <v>0</v>
      </c>
      <c r="X217" s="107">
        <f t="shared" si="27"/>
        <v>0</v>
      </c>
      <c r="Y217" s="107">
        <f t="shared" si="27"/>
        <v>0</v>
      </c>
      <c r="Z217" s="107">
        <f t="shared" si="27"/>
        <v>0</v>
      </c>
      <c r="AA217" s="107">
        <f t="shared" si="27"/>
        <v>0</v>
      </c>
      <c r="AB217" s="107">
        <f t="shared" si="27"/>
        <v>0</v>
      </c>
      <c r="AC217" s="107">
        <f t="shared" si="27"/>
        <v>0</v>
      </c>
      <c r="AD217" s="107">
        <f t="shared" si="27"/>
        <v>0</v>
      </c>
      <c r="AE217" s="107">
        <f t="shared" si="27"/>
        <v>0</v>
      </c>
      <c r="AF217" s="107">
        <f t="shared" si="27"/>
        <v>0</v>
      </c>
      <c r="AG217" s="107">
        <f t="shared" si="27"/>
        <v>0</v>
      </c>
      <c r="AH217" s="107">
        <f t="shared" si="27"/>
        <v>0</v>
      </c>
      <c r="AI217" s="107">
        <f t="shared" si="27"/>
        <v>0</v>
      </c>
      <c r="AJ217" s="107">
        <f t="shared" si="27"/>
        <v>0</v>
      </c>
      <c r="AK217" s="107">
        <f t="shared" si="27"/>
        <v>0</v>
      </c>
      <c r="AL217" s="107">
        <f t="shared" si="27"/>
        <v>0</v>
      </c>
      <c r="AM217" s="107">
        <f t="shared" si="27"/>
        <v>0</v>
      </c>
      <c r="AN217" s="107">
        <f t="shared" si="27"/>
        <v>0</v>
      </c>
      <c r="AO217" s="111">
        <f>D217+E217+F217+G217+H217+I217+J217+M217+P217+SUM(Q217:AN217)</f>
        <v>-305938.22296000004</v>
      </c>
      <c r="AP217" s="4"/>
      <c r="AQ217" s="5"/>
      <c r="AR217" s="5"/>
      <c r="AS217" s="2" t="s">
        <v>6</v>
      </c>
    </row>
    <row r="218" spans="1:46" s="2" customFormat="1" ht="17.25" customHeight="1" thickTop="1" x14ac:dyDescent="0.25">
      <c r="A218" s="23">
        <f>A201+1</f>
        <v>45976</v>
      </c>
      <c r="B218" s="210" t="s">
        <v>64</v>
      </c>
      <c r="C218" s="203"/>
      <c r="D218" s="63">
        <v>13610.97</v>
      </c>
      <c r="E218" s="66"/>
      <c r="F218" s="66"/>
      <c r="G218" s="66"/>
      <c r="H218" s="66"/>
      <c r="I218" s="66">
        <f>-D218</f>
        <v>-13610.97</v>
      </c>
      <c r="J218" s="66"/>
      <c r="K218" s="18"/>
      <c r="L218" s="18"/>
      <c r="M218" s="66"/>
      <c r="N218" s="18"/>
      <c r="O218" s="18"/>
      <c r="P218" s="66"/>
      <c r="Q218" s="46"/>
      <c r="R218" s="46"/>
      <c r="S218" s="45"/>
      <c r="T218" s="18"/>
      <c r="U218" s="18"/>
      <c r="V218" s="18"/>
      <c r="W218" s="18"/>
      <c r="X218" s="18"/>
      <c r="Y218" s="14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31"/>
      <c r="AQ218" s="10"/>
      <c r="AR218" s="27"/>
    </row>
    <row r="219" spans="1:46" s="4" customFormat="1" ht="17.25" customHeight="1" x14ac:dyDescent="0.25">
      <c r="A219" s="23"/>
      <c r="B219" s="201" t="s">
        <v>96</v>
      </c>
      <c r="C219" s="202"/>
      <c r="D219" s="63"/>
      <c r="E219" s="64"/>
      <c r="F219" s="64"/>
      <c r="G219" s="64"/>
      <c r="H219" s="64"/>
      <c r="I219" s="64">
        <f>-I217-I218</f>
        <v>-343.85000000000036</v>
      </c>
      <c r="J219" s="64"/>
      <c r="K219" s="16"/>
      <c r="L219" s="92"/>
      <c r="M219" s="64"/>
      <c r="N219" s="16"/>
      <c r="O219" s="92"/>
      <c r="P219" s="64"/>
      <c r="Q219" s="40"/>
      <c r="R219" s="46"/>
      <c r="S219" s="39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22"/>
      <c r="AP219" s="30"/>
    </row>
    <row r="220" spans="1:46" s="4" customFormat="1" ht="17.25" customHeight="1" x14ac:dyDescent="0.25">
      <c r="A220" s="23"/>
      <c r="B220" s="201" t="s">
        <v>13</v>
      </c>
      <c r="C220" s="203"/>
      <c r="D220" s="63"/>
      <c r="E220" s="64"/>
      <c r="F220" s="64"/>
      <c r="G220" s="64"/>
      <c r="H220" s="64"/>
      <c r="I220" s="66"/>
      <c r="J220" s="64"/>
      <c r="K220" s="16"/>
      <c r="L220" s="92"/>
      <c r="M220" s="64"/>
      <c r="N220" s="16"/>
      <c r="O220" s="92"/>
      <c r="P220" s="64"/>
      <c r="Q220" s="40"/>
      <c r="R220" s="46">
        <f>-D220</f>
        <v>0</v>
      </c>
      <c r="S220" s="39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22"/>
      <c r="AP220" s="30"/>
    </row>
    <row r="221" spans="1:46" s="2" customFormat="1" ht="17.25" customHeight="1" thickBot="1" x14ac:dyDescent="0.25">
      <c r="A221" s="24"/>
      <c r="B221" s="216"/>
      <c r="C221" s="217"/>
      <c r="D221" s="83"/>
      <c r="E221" s="81"/>
      <c r="F221" s="81"/>
      <c r="G221" s="81"/>
      <c r="H221" s="81"/>
      <c r="I221" s="81"/>
      <c r="J221" s="81"/>
      <c r="K221" s="37"/>
      <c r="L221" s="93"/>
      <c r="M221" s="81"/>
      <c r="N221" s="37"/>
      <c r="O221" s="93"/>
      <c r="P221" s="81"/>
      <c r="Q221" s="40"/>
      <c r="R221" s="40"/>
      <c r="S221" s="39"/>
      <c r="T221" s="16"/>
      <c r="U221" s="16"/>
      <c r="V221" s="16"/>
      <c r="W221" s="16"/>
      <c r="X221" s="16"/>
      <c r="Y221" s="19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41"/>
      <c r="AQ221" s="10"/>
      <c r="AR221" s="11"/>
    </row>
    <row r="222" spans="1:46" s="4" customFormat="1" ht="17.25" customHeight="1" x14ac:dyDescent="0.25">
      <c r="A222" s="23"/>
      <c r="B222" s="210" t="s">
        <v>94</v>
      </c>
      <c r="C222" s="203"/>
      <c r="D222" s="66"/>
      <c r="E222" s="66"/>
      <c r="F222" s="117"/>
      <c r="G222" s="117"/>
      <c r="H222" s="66"/>
      <c r="I222" s="66"/>
      <c r="J222" s="66">
        <f>-M222</f>
        <v>7569.9</v>
      </c>
      <c r="K222" s="58">
        <v>-1294</v>
      </c>
      <c r="L222" s="89">
        <v>5.85</v>
      </c>
      <c r="M222" s="73">
        <f>K222*L222</f>
        <v>-7569.9</v>
      </c>
      <c r="N222" s="58"/>
      <c r="O222" s="89"/>
      <c r="P222" s="73"/>
      <c r="Q222" s="39"/>
      <c r="R222" s="39"/>
      <c r="S222" s="8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35"/>
      <c r="AP222" s="12" t="e">
        <f>#REF!</f>
        <v>#REF!</v>
      </c>
    </row>
    <row r="223" spans="1:46" s="4" customFormat="1" ht="17.25" customHeight="1" x14ac:dyDescent="0.25">
      <c r="A223" s="23"/>
      <c r="B223" s="201" t="s">
        <v>95</v>
      </c>
      <c r="C223" s="202"/>
      <c r="D223" s="64"/>
      <c r="E223" s="64"/>
      <c r="F223" s="117"/>
      <c r="G223" s="117"/>
      <c r="H223" s="64"/>
      <c r="I223" s="64"/>
      <c r="J223" s="64">
        <f>-P223</f>
        <v>11434.43</v>
      </c>
      <c r="K223" s="57"/>
      <c r="L223" s="88"/>
      <c r="M223" s="62"/>
      <c r="N223" s="57">
        <v>-3017</v>
      </c>
      <c r="O223" s="88">
        <v>3.79</v>
      </c>
      <c r="P223" s="62">
        <f>N223*O223</f>
        <v>-11434.43</v>
      </c>
      <c r="Q223" s="39"/>
      <c r="R223" s="39"/>
      <c r="S223" s="8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35"/>
      <c r="AP223" s="12" t="e">
        <f>#REF!</f>
        <v>#REF!</v>
      </c>
    </row>
    <row r="224" spans="1:46" s="4" customFormat="1" ht="17.25" customHeight="1" x14ac:dyDescent="0.25">
      <c r="A224" s="23"/>
      <c r="B224" s="201" t="s">
        <v>97</v>
      </c>
      <c r="C224" s="203"/>
      <c r="D224" s="64"/>
      <c r="E224" s="64"/>
      <c r="F224" s="64"/>
      <c r="G224" s="64"/>
      <c r="H224" s="64">
        <f>-J224-I224</f>
        <v>5917.5500000000011</v>
      </c>
      <c r="I224" s="64">
        <v>13086.78</v>
      </c>
      <c r="J224" s="64">
        <f>-SUM(J222:J223)</f>
        <v>-19004.330000000002</v>
      </c>
      <c r="K224" s="57"/>
      <c r="L224" s="88"/>
      <c r="M224" s="62"/>
      <c r="N224" s="57"/>
      <c r="O224" s="88"/>
      <c r="P224" s="62"/>
      <c r="Q224" s="39"/>
      <c r="R224" s="39"/>
      <c r="S224" s="39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22"/>
      <c r="AO224" s="43">
        <f>A197</f>
        <v>0</v>
      </c>
      <c r="AP224" s="12" t="e">
        <f>#REF!</f>
        <v>#REF!</v>
      </c>
      <c r="AT224" s="2"/>
    </row>
    <row r="225" spans="1:46" s="4" customFormat="1" ht="17.25" customHeight="1" x14ac:dyDescent="0.25">
      <c r="A225" s="23"/>
      <c r="B225" s="201" t="s">
        <v>93</v>
      </c>
      <c r="C225" s="202"/>
      <c r="D225" s="64"/>
      <c r="E225" s="64"/>
      <c r="F225" s="64"/>
      <c r="G225" s="64"/>
      <c r="H225" s="64"/>
      <c r="I225" s="64"/>
      <c r="J225" s="64"/>
      <c r="K225" s="57">
        <v>128</v>
      </c>
      <c r="L225" s="88"/>
      <c r="M225" s="62">
        <f>(K228*L217)-M217-M222</f>
        <v>1657.0039810426551</v>
      </c>
      <c r="N225" s="57">
        <v>-42</v>
      </c>
      <c r="O225" s="88"/>
      <c r="P225" s="62">
        <f>(N228*(P217)/(N217))-P217-P223</f>
        <v>545.30595817789072</v>
      </c>
      <c r="Q225" s="39"/>
      <c r="R225" s="39"/>
      <c r="S225" s="39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22"/>
      <c r="AO225" s="43">
        <f>A211</f>
        <v>0</v>
      </c>
      <c r="AP225" s="12" t="e">
        <f>#REF!</f>
        <v>#REF!</v>
      </c>
      <c r="AT225" s="2"/>
    </row>
    <row r="226" spans="1:46" s="2" customFormat="1" ht="17.25" customHeight="1" x14ac:dyDescent="0.2">
      <c r="A226" s="24"/>
      <c r="B226" s="201"/>
      <c r="C226" s="204"/>
      <c r="D226" s="63"/>
      <c r="E226" s="64"/>
      <c r="F226" s="64"/>
      <c r="G226" s="64"/>
      <c r="H226" s="64"/>
      <c r="I226" s="64"/>
      <c r="J226" s="64"/>
      <c r="K226" s="16"/>
      <c r="L226" s="16"/>
      <c r="M226" s="64"/>
      <c r="N226" s="16"/>
      <c r="O226" s="16"/>
      <c r="P226" s="64"/>
      <c r="Q226" s="46"/>
      <c r="R226" s="46"/>
      <c r="S226" s="39"/>
      <c r="T226" s="16"/>
      <c r="U226" s="16"/>
      <c r="V226" s="16"/>
      <c r="W226" s="16"/>
      <c r="X226" s="16"/>
      <c r="Y226" s="19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43">
        <f>A218</f>
        <v>45976</v>
      </c>
      <c r="AQ226" s="10"/>
      <c r="AR226" s="11"/>
    </row>
    <row r="227" spans="1:46" s="2" customFormat="1" ht="17.25" customHeight="1" thickBot="1" x14ac:dyDescent="0.3">
      <c r="A227" s="56"/>
      <c r="B227" s="101" t="s">
        <v>102</v>
      </c>
      <c r="C227" s="102">
        <f>D228+E228+F228+G228+H228+I228+J228+M228+P228</f>
        <v>101714.11704</v>
      </c>
      <c r="D227" s="84"/>
      <c r="E227" s="85"/>
      <c r="F227" s="85"/>
      <c r="G227" s="85"/>
      <c r="H227" s="85"/>
      <c r="I227" s="85"/>
      <c r="J227" s="85"/>
      <c r="K227" s="28"/>
      <c r="L227" s="28"/>
      <c r="M227" s="85"/>
      <c r="N227" s="28"/>
      <c r="O227" s="28"/>
      <c r="P227" s="85"/>
      <c r="Q227" s="48"/>
      <c r="R227" s="48"/>
      <c r="S227" s="51"/>
      <c r="T227" s="28"/>
      <c r="U227" s="28"/>
      <c r="V227" s="28"/>
      <c r="W227" s="28"/>
      <c r="X227" s="28"/>
      <c r="Y227" s="36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42">
        <f>SUM($Q217:AN227)</f>
        <v>-405793.88</v>
      </c>
      <c r="AQ227" s="10"/>
      <c r="AR227" s="11"/>
      <c r="AS227" s="2" t="s">
        <v>5</v>
      </c>
    </row>
    <row r="228" spans="1:46" s="2" customFormat="1" ht="17.25" customHeight="1" thickTop="1" thickBot="1" x14ac:dyDescent="0.3">
      <c r="A228" s="103"/>
      <c r="B228" s="104" t="s">
        <v>103</v>
      </c>
      <c r="C228" s="105">
        <f>AO228</f>
        <v>-304079.76296000002</v>
      </c>
      <c r="D228" s="106">
        <f t="shared" ref="D228:K228" si="28">SUM(D217:D227)</f>
        <v>13696.337039999991</v>
      </c>
      <c r="E228" s="107">
        <f t="shared" si="28"/>
        <v>-5317.9400000000005</v>
      </c>
      <c r="F228" s="107">
        <f t="shared" si="28"/>
        <v>0</v>
      </c>
      <c r="G228" s="107">
        <f t="shared" si="28"/>
        <v>0</v>
      </c>
      <c r="H228" s="107">
        <f t="shared" si="28"/>
        <v>37251.83</v>
      </c>
      <c r="I228" s="107">
        <f t="shared" si="28"/>
        <v>13086.78</v>
      </c>
      <c r="J228" s="107">
        <f t="shared" si="28"/>
        <v>0</v>
      </c>
      <c r="K228" s="108">
        <f t="shared" si="28"/>
        <v>3476</v>
      </c>
      <c r="L228" s="109">
        <f>M228/K228</f>
        <v>5.0710932105868816</v>
      </c>
      <c r="M228" s="107">
        <f>ROUND(SUM(M217:M227),2)</f>
        <v>17627.12</v>
      </c>
      <c r="N228" s="108">
        <f>SUM(N217:N227)</f>
        <v>7127</v>
      </c>
      <c r="O228" s="109">
        <f>P228/N228</f>
        <v>3.5597011365230813</v>
      </c>
      <c r="P228" s="107">
        <f>ROUND(SUM(P217:P227),2)</f>
        <v>25369.99</v>
      </c>
      <c r="Q228" s="110">
        <f t="shared" ref="Q228:AN228" si="29">SUM(Q217:Q227)</f>
        <v>-434078.33</v>
      </c>
      <c r="R228" s="107">
        <f t="shared" si="29"/>
        <v>37928.519999999997</v>
      </c>
      <c r="S228" s="107">
        <f t="shared" si="29"/>
        <v>0</v>
      </c>
      <c r="T228" s="107">
        <f t="shared" si="29"/>
        <v>-9644.07</v>
      </c>
      <c r="U228" s="107">
        <f t="shared" si="29"/>
        <v>0</v>
      </c>
      <c r="V228" s="107">
        <f t="shared" si="29"/>
        <v>0</v>
      </c>
      <c r="W228" s="107">
        <f t="shared" si="29"/>
        <v>0</v>
      </c>
      <c r="X228" s="107">
        <f t="shared" si="29"/>
        <v>0</v>
      </c>
      <c r="Y228" s="107">
        <f t="shared" si="29"/>
        <v>0</v>
      </c>
      <c r="Z228" s="107">
        <f t="shared" si="29"/>
        <v>0</v>
      </c>
      <c r="AA228" s="107">
        <f t="shared" si="29"/>
        <v>0</v>
      </c>
      <c r="AB228" s="107">
        <f t="shared" si="29"/>
        <v>0</v>
      </c>
      <c r="AC228" s="107">
        <f t="shared" si="29"/>
        <v>0</v>
      </c>
      <c r="AD228" s="107">
        <f t="shared" si="29"/>
        <v>0</v>
      </c>
      <c r="AE228" s="107">
        <f t="shared" si="29"/>
        <v>0</v>
      </c>
      <c r="AF228" s="107">
        <f t="shared" si="29"/>
        <v>0</v>
      </c>
      <c r="AG228" s="107">
        <f t="shared" si="29"/>
        <v>0</v>
      </c>
      <c r="AH228" s="107">
        <f t="shared" si="29"/>
        <v>0</v>
      </c>
      <c r="AI228" s="107">
        <f t="shared" si="29"/>
        <v>0</v>
      </c>
      <c r="AJ228" s="107">
        <f t="shared" si="29"/>
        <v>0</v>
      </c>
      <c r="AK228" s="107">
        <f t="shared" si="29"/>
        <v>0</v>
      </c>
      <c r="AL228" s="107">
        <f t="shared" si="29"/>
        <v>0</v>
      </c>
      <c r="AM228" s="107">
        <f t="shared" si="29"/>
        <v>0</v>
      </c>
      <c r="AN228" s="107">
        <f t="shared" si="29"/>
        <v>0</v>
      </c>
      <c r="AO228" s="111">
        <f>D228+E228+F228+G228+H228+I228+J228+M228+P228+SUM(Q228:AN228)</f>
        <v>-304079.76296000002</v>
      </c>
      <c r="AP228" s="4"/>
      <c r="AQ228" s="5"/>
      <c r="AR228" s="5"/>
      <c r="AS228" s="2" t="s">
        <v>6</v>
      </c>
    </row>
    <row r="229" spans="1:46" s="2" customFormat="1" ht="17.25" customHeight="1" thickTop="1" x14ac:dyDescent="0.25">
      <c r="A229" s="23">
        <f>A218+1</f>
        <v>45977</v>
      </c>
      <c r="B229" s="210" t="s">
        <v>64</v>
      </c>
      <c r="C229" s="203"/>
      <c r="D229" s="63">
        <v>12769.19</v>
      </c>
      <c r="E229" s="66"/>
      <c r="F229" s="66"/>
      <c r="G229" s="66"/>
      <c r="H229" s="66"/>
      <c r="I229" s="66">
        <f>-D229</f>
        <v>-12769.19</v>
      </c>
      <c r="J229" s="66"/>
      <c r="K229" s="18"/>
      <c r="L229" s="18"/>
      <c r="M229" s="66"/>
      <c r="N229" s="18"/>
      <c r="O229" s="18"/>
      <c r="P229" s="66"/>
      <c r="Q229" s="46"/>
      <c r="R229" s="46"/>
      <c r="S229" s="45"/>
      <c r="T229" s="18"/>
      <c r="U229" s="18"/>
      <c r="V229" s="18"/>
      <c r="W229" s="18"/>
      <c r="X229" s="18"/>
      <c r="Y229" s="14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31"/>
      <c r="AQ229" s="10"/>
      <c r="AR229" s="27"/>
    </row>
    <row r="230" spans="1:46" s="4" customFormat="1" ht="17.25" customHeight="1" x14ac:dyDescent="0.25">
      <c r="A230" s="23"/>
      <c r="B230" s="201" t="s">
        <v>96</v>
      </c>
      <c r="C230" s="202"/>
      <c r="D230" s="63"/>
      <c r="E230" s="64"/>
      <c r="F230" s="64"/>
      <c r="G230" s="64"/>
      <c r="H230" s="64"/>
      <c r="I230" s="64">
        <f>-I228-I229</f>
        <v>-317.59000000000015</v>
      </c>
      <c r="J230" s="64"/>
      <c r="K230" s="16"/>
      <c r="L230" s="92"/>
      <c r="M230" s="64"/>
      <c r="N230" s="16"/>
      <c r="O230" s="92"/>
      <c r="P230" s="64"/>
      <c r="Q230" s="40"/>
      <c r="R230" s="46"/>
      <c r="S230" s="39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22"/>
      <c r="AP230" s="30"/>
    </row>
    <row r="231" spans="1:46" s="2" customFormat="1" ht="17.25" customHeight="1" thickBot="1" x14ac:dyDescent="0.25">
      <c r="A231" s="24"/>
      <c r="B231" s="216"/>
      <c r="C231" s="217"/>
      <c r="D231" s="83"/>
      <c r="E231" s="81"/>
      <c r="F231" s="81"/>
      <c r="G231" s="81"/>
      <c r="H231" s="81"/>
      <c r="I231" s="81"/>
      <c r="J231" s="81"/>
      <c r="K231" s="37"/>
      <c r="L231" s="93"/>
      <c r="M231" s="81"/>
      <c r="N231" s="37"/>
      <c r="O231" s="93"/>
      <c r="P231" s="81"/>
      <c r="Q231" s="40"/>
      <c r="R231" s="40"/>
      <c r="S231" s="39"/>
      <c r="T231" s="16"/>
      <c r="U231" s="16"/>
      <c r="V231" s="16"/>
      <c r="W231" s="16"/>
      <c r="X231" s="16"/>
      <c r="Y231" s="19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41"/>
      <c r="AQ231" s="10"/>
      <c r="AR231" s="11"/>
    </row>
    <row r="232" spans="1:46" s="4" customFormat="1" ht="17.25" customHeight="1" x14ac:dyDescent="0.25">
      <c r="A232" s="23"/>
      <c r="B232" s="210" t="s">
        <v>94</v>
      </c>
      <c r="C232" s="203"/>
      <c r="D232" s="66"/>
      <c r="E232" s="66"/>
      <c r="F232" s="117"/>
      <c r="G232" s="117"/>
      <c r="H232" s="66"/>
      <c r="I232" s="66"/>
      <c r="J232" s="66">
        <f>-M232</f>
        <v>5820.75</v>
      </c>
      <c r="K232" s="58">
        <v>-995</v>
      </c>
      <c r="L232" s="89">
        <v>5.85</v>
      </c>
      <c r="M232" s="73">
        <f>K232*L232</f>
        <v>-5820.75</v>
      </c>
      <c r="N232" s="58"/>
      <c r="O232" s="89"/>
      <c r="P232" s="73"/>
      <c r="Q232" s="39"/>
      <c r="R232" s="39"/>
      <c r="S232" s="8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35"/>
      <c r="AP232" s="12" t="e">
        <f>#REF!</f>
        <v>#REF!</v>
      </c>
    </row>
    <row r="233" spans="1:46" s="4" customFormat="1" ht="17.25" customHeight="1" x14ac:dyDescent="0.25">
      <c r="A233" s="23"/>
      <c r="B233" s="201" t="s">
        <v>95</v>
      </c>
      <c r="C233" s="202"/>
      <c r="D233" s="64"/>
      <c r="E233" s="64"/>
      <c r="F233" s="117"/>
      <c r="G233" s="117"/>
      <c r="H233" s="64"/>
      <c r="I233" s="64"/>
      <c r="J233" s="64">
        <f>-P233</f>
        <v>5658.47</v>
      </c>
      <c r="K233" s="57"/>
      <c r="L233" s="88"/>
      <c r="M233" s="62"/>
      <c r="N233" s="57">
        <v>-1493</v>
      </c>
      <c r="O233" s="88">
        <v>3.79</v>
      </c>
      <c r="P233" s="62">
        <f>N233*O233</f>
        <v>-5658.47</v>
      </c>
      <c r="Q233" s="39"/>
      <c r="R233" s="39"/>
      <c r="S233" s="8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35"/>
      <c r="AP233" s="12" t="e">
        <f>#REF!</f>
        <v>#REF!</v>
      </c>
    </row>
    <row r="234" spans="1:46" s="4" customFormat="1" ht="17.25" customHeight="1" x14ac:dyDescent="0.25">
      <c r="A234" s="23"/>
      <c r="B234" s="201" t="s">
        <v>97</v>
      </c>
      <c r="C234" s="203"/>
      <c r="D234" s="64"/>
      <c r="E234" s="64"/>
      <c r="F234" s="64"/>
      <c r="G234" s="64"/>
      <c r="H234" s="64">
        <f>-J234-I234</f>
        <v>3564.380000000001</v>
      </c>
      <c r="I234" s="64">
        <v>7914.84</v>
      </c>
      <c r="J234" s="64">
        <f>-SUM(J232:J233)</f>
        <v>-11479.220000000001</v>
      </c>
      <c r="K234" s="57"/>
      <c r="L234" s="88"/>
      <c r="M234" s="62"/>
      <c r="N234" s="57"/>
      <c r="O234" s="88"/>
      <c r="P234" s="62"/>
      <c r="Q234" s="39"/>
      <c r="R234" s="39"/>
      <c r="S234" s="39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22"/>
      <c r="AO234" s="43">
        <f>A214</f>
        <v>0</v>
      </c>
      <c r="AP234" s="12" t="e">
        <f>#REF!</f>
        <v>#REF!</v>
      </c>
      <c r="AT234" s="2"/>
    </row>
    <row r="235" spans="1:46" s="4" customFormat="1" ht="17.25" customHeight="1" x14ac:dyDescent="0.25">
      <c r="A235" s="23"/>
      <c r="B235" s="201" t="s">
        <v>93</v>
      </c>
      <c r="C235" s="202"/>
      <c r="D235" s="64"/>
      <c r="E235" s="64"/>
      <c r="F235" s="64"/>
      <c r="G235" s="64"/>
      <c r="H235" s="64"/>
      <c r="I235" s="64"/>
      <c r="J235" s="64"/>
      <c r="K235" s="57">
        <v>-80</v>
      </c>
      <c r="L235" s="88"/>
      <c r="M235" s="62">
        <f>(K238*L228)-M228-M232</f>
        <v>369.3247986191036</v>
      </c>
      <c r="N235" s="57">
        <v>123</v>
      </c>
      <c r="O235" s="88"/>
      <c r="P235" s="62">
        <f>(N238*O228)-P228-P233</f>
        <v>781.67944296337646</v>
      </c>
      <c r="Q235" s="39"/>
      <c r="R235" s="39"/>
      <c r="S235" s="39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22"/>
      <c r="AO235" s="43">
        <f>A222</f>
        <v>0</v>
      </c>
      <c r="AP235" s="12" t="e">
        <f>#REF!</f>
        <v>#REF!</v>
      </c>
      <c r="AT235" s="2"/>
    </row>
    <row r="236" spans="1:46" s="2" customFormat="1" ht="17.25" customHeight="1" x14ac:dyDescent="0.2">
      <c r="A236" s="24"/>
      <c r="B236" s="201"/>
      <c r="C236" s="204"/>
      <c r="D236" s="63"/>
      <c r="E236" s="64"/>
      <c r="F236" s="64"/>
      <c r="G236" s="64"/>
      <c r="H236" s="64"/>
      <c r="I236" s="64"/>
      <c r="J236" s="64"/>
      <c r="K236" s="16"/>
      <c r="L236" s="16"/>
      <c r="M236" s="64"/>
      <c r="N236" s="16"/>
      <c r="O236" s="16"/>
      <c r="P236" s="64"/>
      <c r="Q236" s="46"/>
      <c r="R236" s="46"/>
      <c r="S236" s="39"/>
      <c r="T236" s="16"/>
      <c r="U236" s="16"/>
      <c r="V236" s="16"/>
      <c r="W236" s="16"/>
      <c r="X236" s="16"/>
      <c r="Y236" s="19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43">
        <f>A229</f>
        <v>45977</v>
      </c>
      <c r="AQ236" s="10"/>
      <c r="AR236" s="11"/>
    </row>
    <row r="237" spans="1:46" s="2" customFormat="1" ht="17.25" customHeight="1" thickBot="1" x14ac:dyDescent="0.3">
      <c r="A237" s="56"/>
      <c r="B237" s="101" t="s">
        <v>102</v>
      </c>
      <c r="C237" s="102">
        <f>D238+E238+F238+G238+H238+I238+J238+M238+P238</f>
        <v>102547.52704</v>
      </c>
      <c r="D237" s="84"/>
      <c r="E237" s="85"/>
      <c r="F237" s="85"/>
      <c r="G237" s="85"/>
      <c r="H237" s="85"/>
      <c r="I237" s="85"/>
      <c r="J237" s="85"/>
      <c r="K237" s="28"/>
      <c r="L237" s="28"/>
      <c r="M237" s="85"/>
      <c r="N237" s="28"/>
      <c r="O237" s="28"/>
      <c r="P237" s="85"/>
      <c r="Q237" s="48"/>
      <c r="R237" s="48"/>
      <c r="S237" s="51"/>
      <c r="T237" s="28"/>
      <c r="U237" s="28"/>
      <c r="V237" s="28"/>
      <c r="W237" s="28"/>
      <c r="X237" s="28"/>
      <c r="Y237" s="36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42">
        <f>SUM($Q228:AN237)</f>
        <v>-405793.88</v>
      </c>
      <c r="AQ237" s="10"/>
      <c r="AR237" s="11"/>
      <c r="AS237" s="2" t="s">
        <v>5</v>
      </c>
    </row>
    <row r="238" spans="1:46" s="2" customFormat="1" ht="17.25" customHeight="1" thickTop="1" thickBot="1" x14ac:dyDescent="0.3">
      <c r="A238" s="103"/>
      <c r="B238" s="104" t="s">
        <v>103</v>
      </c>
      <c r="C238" s="105">
        <f>AO238</f>
        <v>-303246.35295999999</v>
      </c>
      <c r="D238" s="106">
        <f t="shared" ref="D238:K238" si="30">SUM(D228:D237)</f>
        <v>26465.527039999994</v>
      </c>
      <c r="E238" s="107">
        <f t="shared" si="30"/>
        <v>-5317.9400000000005</v>
      </c>
      <c r="F238" s="107">
        <f t="shared" si="30"/>
        <v>0</v>
      </c>
      <c r="G238" s="107">
        <f t="shared" si="30"/>
        <v>0</v>
      </c>
      <c r="H238" s="107">
        <f t="shared" si="30"/>
        <v>40816.210000000006</v>
      </c>
      <c r="I238" s="107">
        <f t="shared" si="30"/>
        <v>7914.84</v>
      </c>
      <c r="J238" s="107">
        <f t="shared" si="30"/>
        <v>0</v>
      </c>
      <c r="K238" s="108">
        <f t="shared" si="30"/>
        <v>2401</v>
      </c>
      <c r="L238" s="109">
        <f>M238/K238</f>
        <v>5.071091211995002</v>
      </c>
      <c r="M238" s="107">
        <f>ROUND(SUM(M228:M237),2)</f>
        <v>12175.69</v>
      </c>
      <c r="N238" s="108">
        <f>SUM(N228:N237)</f>
        <v>5757</v>
      </c>
      <c r="O238" s="109">
        <f>P238/N238</f>
        <v>3.5597012332812228</v>
      </c>
      <c r="P238" s="107">
        <f>ROUND(SUM(P228:P237),2)</f>
        <v>20493.2</v>
      </c>
      <c r="Q238" s="110">
        <f t="shared" ref="Q238:AN238" si="31">SUM(Q228:Q237)</f>
        <v>-434078.33</v>
      </c>
      <c r="R238" s="107">
        <f t="shared" si="31"/>
        <v>37928.519999999997</v>
      </c>
      <c r="S238" s="107">
        <f t="shared" si="31"/>
        <v>0</v>
      </c>
      <c r="T238" s="107">
        <f t="shared" si="31"/>
        <v>-9644.07</v>
      </c>
      <c r="U238" s="107">
        <f t="shared" si="31"/>
        <v>0</v>
      </c>
      <c r="V238" s="107">
        <f t="shared" si="31"/>
        <v>0</v>
      </c>
      <c r="W238" s="107">
        <f t="shared" si="31"/>
        <v>0</v>
      </c>
      <c r="X238" s="107">
        <f t="shared" si="31"/>
        <v>0</v>
      </c>
      <c r="Y238" s="107">
        <f t="shared" si="31"/>
        <v>0</v>
      </c>
      <c r="Z238" s="107">
        <f t="shared" si="31"/>
        <v>0</v>
      </c>
      <c r="AA238" s="107">
        <f t="shared" si="31"/>
        <v>0</v>
      </c>
      <c r="AB238" s="107">
        <f t="shared" si="31"/>
        <v>0</v>
      </c>
      <c r="AC238" s="107">
        <f t="shared" si="31"/>
        <v>0</v>
      </c>
      <c r="AD238" s="107">
        <f t="shared" si="31"/>
        <v>0</v>
      </c>
      <c r="AE238" s="107">
        <f t="shared" si="31"/>
        <v>0</v>
      </c>
      <c r="AF238" s="107">
        <f t="shared" si="31"/>
        <v>0</v>
      </c>
      <c r="AG238" s="107">
        <f t="shared" si="31"/>
        <v>0</v>
      </c>
      <c r="AH238" s="107">
        <f t="shared" si="31"/>
        <v>0</v>
      </c>
      <c r="AI238" s="107">
        <f t="shared" si="31"/>
        <v>0</v>
      </c>
      <c r="AJ238" s="107">
        <f t="shared" si="31"/>
        <v>0</v>
      </c>
      <c r="AK238" s="107">
        <f t="shared" si="31"/>
        <v>0</v>
      </c>
      <c r="AL238" s="107">
        <f t="shared" si="31"/>
        <v>0</v>
      </c>
      <c r="AM238" s="107">
        <f t="shared" si="31"/>
        <v>0</v>
      </c>
      <c r="AN238" s="107">
        <f t="shared" si="31"/>
        <v>0</v>
      </c>
      <c r="AO238" s="111">
        <f>D238+E238+F238+G238+H238+I238+J238+M238+P238+SUM(Q238:AN238)</f>
        <v>-303246.35295999999</v>
      </c>
      <c r="AP238" s="4"/>
      <c r="AQ238" s="5"/>
      <c r="AR238" s="5"/>
      <c r="AS238" s="2" t="s">
        <v>6</v>
      </c>
    </row>
    <row r="239" spans="1:46" s="2" customFormat="1" ht="17.25" customHeight="1" thickTop="1" x14ac:dyDescent="0.25">
      <c r="A239" s="23">
        <f>A229+1</f>
        <v>45978</v>
      </c>
      <c r="B239" s="210" t="s">
        <v>64</v>
      </c>
      <c r="C239" s="203"/>
      <c r="D239" s="63">
        <v>7713.4</v>
      </c>
      <c r="E239" s="66"/>
      <c r="F239" s="66"/>
      <c r="G239" s="66"/>
      <c r="H239" s="66"/>
      <c r="I239" s="66">
        <f>-D239</f>
        <v>-7713.4</v>
      </c>
      <c r="J239" s="66"/>
      <c r="K239" s="18"/>
      <c r="L239" s="18"/>
      <c r="M239" s="66"/>
      <c r="N239" s="18"/>
      <c r="O239" s="18"/>
      <c r="P239" s="66"/>
      <c r="Q239" s="46"/>
      <c r="R239" s="46"/>
      <c r="S239" s="45"/>
      <c r="T239" s="18"/>
      <c r="U239" s="18"/>
      <c r="V239" s="18"/>
      <c r="W239" s="18"/>
      <c r="X239" s="18"/>
      <c r="Y239" s="14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31"/>
      <c r="AQ239" s="10"/>
      <c r="AR239" s="27"/>
    </row>
    <row r="240" spans="1:46" s="4" customFormat="1" ht="17.25" customHeight="1" x14ac:dyDescent="0.25">
      <c r="A240" s="23"/>
      <c r="B240" s="201" t="s">
        <v>96</v>
      </c>
      <c r="C240" s="202"/>
      <c r="D240" s="63"/>
      <c r="E240" s="64"/>
      <c r="F240" s="64"/>
      <c r="G240" s="64"/>
      <c r="H240" s="64"/>
      <c r="I240" s="64">
        <f>-I238-I239</f>
        <v>-201.44000000000051</v>
      </c>
      <c r="J240" s="64"/>
      <c r="K240" s="16"/>
      <c r="L240" s="92"/>
      <c r="M240" s="64"/>
      <c r="N240" s="16"/>
      <c r="O240" s="92"/>
      <c r="P240" s="64"/>
      <c r="Q240" s="40"/>
      <c r="R240" s="46"/>
      <c r="S240" s="39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22"/>
      <c r="AP240" s="30"/>
    </row>
    <row r="241" spans="1:46" s="4" customFormat="1" ht="17.25" customHeight="1" x14ac:dyDescent="0.25">
      <c r="A241" s="23"/>
      <c r="B241" s="201" t="s">
        <v>13</v>
      </c>
      <c r="C241" s="203"/>
      <c r="D241" s="63"/>
      <c r="E241" s="64">
        <f>-E238-22601.15+12300.78+76.17+15000</f>
        <v>10093.740000000002</v>
      </c>
      <c r="F241" s="64"/>
      <c r="G241" s="64"/>
      <c r="H241" s="64">
        <f>-E241</f>
        <v>-10093.740000000002</v>
      </c>
      <c r="I241" s="66"/>
      <c r="J241" s="64"/>
      <c r="K241" s="16"/>
      <c r="L241" s="92"/>
      <c r="M241" s="64"/>
      <c r="N241" s="16"/>
      <c r="O241" s="92"/>
      <c r="P241" s="64"/>
      <c r="Q241" s="40"/>
      <c r="R241" s="46">
        <f>-D241</f>
        <v>0</v>
      </c>
      <c r="S241" s="39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22"/>
      <c r="AP241" s="30"/>
    </row>
    <row r="242" spans="1:46" s="2" customFormat="1" ht="17.25" customHeight="1" x14ac:dyDescent="0.25">
      <c r="A242" s="24"/>
      <c r="B242" s="205" t="s">
        <v>261</v>
      </c>
      <c r="C242" s="206"/>
      <c r="D242" s="63"/>
      <c r="E242" s="64">
        <v>-12300.78</v>
      </c>
      <c r="F242" s="64"/>
      <c r="G242" s="64"/>
      <c r="H242" s="64"/>
      <c r="I242" s="64"/>
      <c r="J242" s="64"/>
      <c r="K242" s="16"/>
      <c r="L242" s="16"/>
      <c r="M242" s="64"/>
      <c r="N242" s="16"/>
      <c r="O242" s="16"/>
      <c r="P242" s="64"/>
      <c r="Q242" s="46"/>
      <c r="R242" s="40">
        <f>-E242</f>
        <v>12300.78</v>
      </c>
      <c r="S242" s="39"/>
      <c r="T242" s="16"/>
      <c r="U242" s="16"/>
      <c r="V242" s="16"/>
      <c r="W242" s="16"/>
      <c r="X242" s="16"/>
      <c r="Y242" s="19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22"/>
      <c r="AQ242" s="10"/>
      <c r="AR242" s="11"/>
    </row>
    <row r="243" spans="1:46" s="2" customFormat="1" ht="17.25" customHeight="1" x14ac:dyDescent="0.25">
      <c r="A243" s="24"/>
      <c r="B243" s="201" t="s">
        <v>33</v>
      </c>
      <c r="C243" s="203"/>
      <c r="D243" s="63"/>
      <c r="E243" s="64">
        <v>-76.17</v>
      </c>
      <c r="F243" s="64"/>
      <c r="G243" s="64"/>
      <c r="H243" s="64"/>
      <c r="I243" s="64"/>
      <c r="J243" s="64"/>
      <c r="K243" s="16"/>
      <c r="L243" s="16"/>
      <c r="M243" s="64"/>
      <c r="N243" s="16"/>
      <c r="O243" s="16"/>
      <c r="P243" s="64"/>
      <c r="Q243" s="46"/>
      <c r="R243" s="40"/>
      <c r="S243" s="39"/>
      <c r="T243" s="16"/>
      <c r="U243" s="16"/>
      <c r="V243" s="16"/>
      <c r="W243" s="16"/>
      <c r="X243" s="16"/>
      <c r="Y243" s="19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22"/>
      <c r="AQ243" s="10"/>
      <c r="AR243" s="11"/>
    </row>
    <row r="244" spans="1:46" s="2" customFormat="1" ht="17.25" customHeight="1" x14ac:dyDescent="0.25">
      <c r="A244" s="24"/>
      <c r="B244" s="201" t="s">
        <v>274</v>
      </c>
      <c r="C244" s="203"/>
      <c r="D244" s="63">
        <f>-E244</f>
        <v>15000</v>
      </c>
      <c r="E244" s="64">
        <v>-15000</v>
      </c>
      <c r="F244" s="64"/>
      <c r="G244" s="64"/>
      <c r="H244" s="64"/>
      <c r="I244" s="64"/>
      <c r="J244" s="64"/>
      <c r="K244" s="16"/>
      <c r="L244" s="16"/>
      <c r="M244" s="64"/>
      <c r="N244" s="16"/>
      <c r="O244" s="16"/>
      <c r="P244" s="64"/>
      <c r="Q244" s="46"/>
      <c r="R244" s="40"/>
      <c r="S244" s="39"/>
      <c r="T244" s="16"/>
      <c r="U244" s="16"/>
      <c r="V244" s="16"/>
      <c r="W244" s="16"/>
      <c r="X244" s="16"/>
      <c r="Y244" s="19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22"/>
      <c r="AQ244" s="10"/>
      <c r="AR244" s="11"/>
    </row>
    <row r="245" spans="1:46" s="2" customFormat="1" ht="17.25" customHeight="1" x14ac:dyDescent="0.25">
      <c r="A245" s="24"/>
      <c r="B245" s="205" t="s">
        <v>299</v>
      </c>
      <c r="C245" s="206"/>
      <c r="D245" s="63">
        <v>11700</v>
      </c>
      <c r="E245" s="64"/>
      <c r="F245" s="64"/>
      <c r="G245" s="64"/>
      <c r="H245" s="64"/>
      <c r="I245" s="64"/>
      <c r="J245" s="64"/>
      <c r="K245" s="16"/>
      <c r="L245" s="16"/>
      <c r="M245" s="64"/>
      <c r="N245" s="16"/>
      <c r="O245" s="16"/>
      <c r="P245" s="64"/>
      <c r="Q245" s="46">
        <f>-D245</f>
        <v>-11700</v>
      </c>
      <c r="R245" s="40"/>
      <c r="S245" s="39"/>
      <c r="T245" s="16"/>
      <c r="U245" s="16"/>
      <c r="V245" s="16"/>
      <c r="W245" s="16"/>
      <c r="X245" s="16"/>
      <c r="Y245" s="19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22"/>
      <c r="AQ245" s="10"/>
      <c r="AR245" s="11"/>
    </row>
    <row r="246" spans="1:46" s="2" customFormat="1" ht="17.25" customHeight="1" x14ac:dyDescent="0.25">
      <c r="A246" s="24"/>
      <c r="B246" s="201" t="s">
        <v>281</v>
      </c>
      <c r="C246" s="203"/>
      <c r="D246" s="63">
        <v>-93.6</v>
      </c>
      <c r="E246" s="64"/>
      <c r="F246" s="64"/>
      <c r="G246" s="64"/>
      <c r="H246" s="64"/>
      <c r="I246" s="64"/>
      <c r="J246" s="64"/>
      <c r="K246" s="16"/>
      <c r="L246" s="16"/>
      <c r="M246" s="64"/>
      <c r="N246" s="16"/>
      <c r="O246" s="16"/>
      <c r="P246" s="64"/>
      <c r="Q246" s="46"/>
      <c r="R246" s="40"/>
      <c r="S246" s="39"/>
      <c r="T246" s="16"/>
      <c r="U246" s="16"/>
      <c r="V246" s="16"/>
      <c r="W246" s="16"/>
      <c r="X246" s="16"/>
      <c r="Y246" s="19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22"/>
      <c r="AQ246" s="10"/>
      <c r="AR246" s="11"/>
    </row>
    <row r="247" spans="1:46" s="2" customFormat="1" ht="17.25" customHeight="1" x14ac:dyDescent="0.25">
      <c r="A247" s="29"/>
      <c r="B247" s="201" t="s">
        <v>75</v>
      </c>
      <c r="C247" s="202"/>
      <c r="D247" s="63">
        <v>-120</v>
      </c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47"/>
      <c r="R247" s="39"/>
      <c r="S247" s="39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22"/>
      <c r="AQ247" s="10" t="s">
        <v>4</v>
      </c>
      <c r="AR247" s="11" t="e">
        <v>#REF!</v>
      </c>
    </row>
    <row r="248" spans="1:46" s="2" customFormat="1" ht="17.25" customHeight="1" x14ac:dyDescent="0.25">
      <c r="A248" s="29"/>
      <c r="B248" s="201" t="s">
        <v>282</v>
      </c>
      <c r="C248" s="202"/>
      <c r="D248" s="63">
        <f>-4.9-4.9</f>
        <v>-9.8000000000000007</v>
      </c>
      <c r="E248" s="64"/>
      <c r="F248" s="64"/>
      <c r="G248" s="64"/>
      <c r="H248" s="64"/>
      <c r="I248" s="64"/>
      <c r="J248" s="64"/>
      <c r="K248" s="57"/>
      <c r="L248" s="88"/>
      <c r="M248" s="62"/>
      <c r="N248" s="57"/>
      <c r="O248" s="88"/>
      <c r="P248" s="62"/>
      <c r="Q248" s="47"/>
      <c r="R248" s="39"/>
      <c r="S248" s="39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22"/>
      <c r="AQ248" s="10" t="s">
        <v>4</v>
      </c>
      <c r="AR248" s="11" t="e">
        <v>#REF!</v>
      </c>
    </row>
    <row r="249" spans="1:46" s="2" customFormat="1" ht="17.25" customHeight="1" x14ac:dyDescent="0.25">
      <c r="A249" s="24"/>
      <c r="B249" s="205" t="s">
        <v>249</v>
      </c>
      <c r="C249" s="206"/>
      <c r="D249" s="64">
        <f>-M249</f>
        <v>-25299.999999999996</v>
      </c>
      <c r="E249" s="64"/>
      <c r="F249" s="64"/>
      <c r="G249" s="64"/>
      <c r="H249" s="64"/>
      <c r="I249" s="64"/>
      <c r="J249" s="64"/>
      <c r="K249" s="57">
        <v>5000</v>
      </c>
      <c r="L249" s="88">
        <v>5.0599999999999996</v>
      </c>
      <c r="M249" s="62">
        <f>K249*L249</f>
        <v>25299.999999999996</v>
      </c>
      <c r="N249" s="57"/>
      <c r="O249" s="88"/>
      <c r="P249" s="62"/>
      <c r="Q249" s="39"/>
      <c r="R249" s="39"/>
      <c r="S249" s="39"/>
      <c r="T249" s="16"/>
      <c r="U249" s="16">
        <f>-P249</f>
        <v>0</v>
      </c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22"/>
      <c r="AQ249" s="10"/>
      <c r="AR249" s="11"/>
    </row>
    <row r="250" spans="1:46" s="2" customFormat="1" ht="17.25" customHeight="1" x14ac:dyDescent="0.25">
      <c r="A250" s="24"/>
      <c r="B250" s="205" t="s">
        <v>250</v>
      </c>
      <c r="C250" s="206"/>
      <c r="D250" s="64">
        <f>-P250</f>
        <v>-35250</v>
      </c>
      <c r="E250" s="64"/>
      <c r="F250" s="64"/>
      <c r="G250" s="64"/>
      <c r="H250" s="64"/>
      <c r="I250" s="64"/>
      <c r="J250" s="64"/>
      <c r="K250" s="57"/>
      <c r="L250" s="88"/>
      <c r="M250" s="62"/>
      <c r="N250" s="57">
        <v>10000</v>
      </c>
      <c r="O250" s="88">
        <v>3.5249999999999999</v>
      </c>
      <c r="P250" s="62">
        <f>N250*O250</f>
        <v>35250</v>
      </c>
      <c r="Q250" s="39"/>
      <c r="R250" s="39"/>
      <c r="S250" s="39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22"/>
      <c r="AQ250" s="10"/>
      <c r="AR250" s="11"/>
    </row>
    <row r="251" spans="1:46" s="2" customFormat="1" ht="17.25" customHeight="1" thickBot="1" x14ac:dyDescent="0.25">
      <c r="A251" s="24"/>
      <c r="B251" s="216"/>
      <c r="C251" s="217"/>
      <c r="D251" s="83"/>
      <c r="E251" s="81"/>
      <c r="F251" s="81"/>
      <c r="G251" s="81"/>
      <c r="H251" s="81"/>
      <c r="I251" s="81"/>
      <c r="J251" s="81"/>
      <c r="K251" s="37"/>
      <c r="L251" s="93"/>
      <c r="M251" s="81"/>
      <c r="N251" s="37"/>
      <c r="O251" s="93"/>
      <c r="P251" s="81"/>
      <c r="Q251" s="40"/>
      <c r="R251" s="40"/>
      <c r="S251" s="39"/>
      <c r="T251" s="16"/>
      <c r="U251" s="16"/>
      <c r="V251" s="16"/>
      <c r="W251" s="16"/>
      <c r="X251" s="16"/>
      <c r="Y251" s="19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41"/>
      <c r="AQ251" s="10"/>
      <c r="AR251" s="11"/>
    </row>
    <row r="252" spans="1:46" s="4" customFormat="1" ht="17.25" customHeight="1" x14ac:dyDescent="0.25">
      <c r="A252" s="23"/>
      <c r="B252" s="210" t="s">
        <v>94</v>
      </c>
      <c r="C252" s="203"/>
      <c r="D252" s="66"/>
      <c r="E252" s="66"/>
      <c r="F252" s="117"/>
      <c r="G252" s="117"/>
      <c r="H252" s="66"/>
      <c r="I252" s="66"/>
      <c r="J252" s="66">
        <f>-M252</f>
        <v>7458.75</v>
      </c>
      <c r="K252" s="58">
        <v>-1275</v>
      </c>
      <c r="L252" s="89">
        <v>5.85</v>
      </c>
      <c r="M252" s="73">
        <f>K252*L252</f>
        <v>-7458.75</v>
      </c>
      <c r="N252" s="58"/>
      <c r="O252" s="89"/>
      <c r="P252" s="73"/>
      <c r="Q252" s="39"/>
      <c r="R252" s="39"/>
      <c r="S252" s="8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35"/>
      <c r="AP252" s="12" t="e">
        <f>#REF!</f>
        <v>#REF!</v>
      </c>
    </row>
    <row r="253" spans="1:46" s="4" customFormat="1" ht="17.25" customHeight="1" x14ac:dyDescent="0.25">
      <c r="A253" s="23"/>
      <c r="B253" s="201" t="s">
        <v>95</v>
      </c>
      <c r="C253" s="202"/>
      <c r="D253" s="64"/>
      <c r="E253" s="64"/>
      <c r="F253" s="117"/>
      <c r="G253" s="117"/>
      <c r="H253" s="64"/>
      <c r="I253" s="64"/>
      <c r="J253" s="64">
        <f>-P253</f>
        <v>8175.03</v>
      </c>
      <c r="K253" s="57"/>
      <c r="L253" s="88"/>
      <c r="M253" s="62"/>
      <c r="N253" s="57">
        <v>-2157</v>
      </c>
      <c r="O253" s="88">
        <v>3.79</v>
      </c>
      <c r="P253" s="62">
        <f>N253*O253</f>
        <v>-8175.03</v>
      </c>
      <c r="Q253" s="39"/>
      <c r="R253" s="39"/>
      <c r="S253" s="8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35"/>
      <c r="AP253" s="12" t="e">
        <f>#REF!</f>
        <v>#REF!</v>
      </c>
    </row>
    <row r="254" spans="1:46" s="4" customFormat="1" ht="17.25" customHeight="1" x14ac:dyDescent="0.25">
      <c r="A254" s="23"/>
      <c r="B254" s="201" t="s">
        <v>97</v>
      </c>
      <c r="C254" s="203"/>
      <c r="D254" s="64"/>
      <c r="E254" s="64"/>
      <c r="F254" s="64"/>
      <c r="G254" s="64"/>
      <c r="H254" s="64">
        <f>-J254-I254</f>
        <v>5177.2999999999993</v>
      </c>
      <c r="I254" s="64">
        <v>10456.48</v>
      </c>
      <c r="J254" s="64">
        <f>-SUM(J252:J253)</f>
        <v>-15633.779999999999</v>
      </c>
      <c r="K254" s="57"/>
      <c r="L254" s="88"/>
      <c r="M254" s="62"/>
      <c r="N254" s="57"/>
      <c r="O254" s="88"/>
      <c r="P254" s="62"/>
      <c r="Q254" s="39"/>
      <c r="R254" s="39"/>
      <c r="S254" s="39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22"/>
      <c r="AO254" s="43">
        <f>A225</f>
        <v>0</v>
      </c>
      <c r="AP254" s="12" t="e">
        <f>#REF!</f>
        <v>#REF!</v>
      </c>
      <c r="AT254" s="2"/>
    </row>
    <row r="255" spans="1:46" s="4" customFormat="1" ht="17.25" customHeight="1" x14ac:dyDescent="0.25">
      <c r="A255" s="23"/>
      <c r="B255" s="201" t="s">
        <v>93</v>
      </c>
      <c r="C255" s="202"/>
      <c r="D255" s="64"/>
      <c r="E255" s="64"/>
      <c r="F255" s="64"/>
      <c r="G255" s="64"/>
      <c r="H255" s="64"/>
      <c r="I255" s="64"/>
      <c r="J255" s="64"/>
      <c r="K255" s="57">
        <v>26</v>
      </c>
      <c r="L255" s="88"/>
      <c r="M255" s="62">
        <f>(K258*(M238+M249)/(K238+K249))-M238-M252-M249</f>
        <v>1134.315895149306</v>
      </c>
      <c r="N255" s="57">
        <f>9960-10000</f>
        <v>-40</v>
      </c>
      <c r="O255" s="88"/>
      <c r="P255" s="121">
        <f>(N258*(P238+P250)/(N238+N250))-P238-P253-P250</f>
        <v>402.75035285904596</v>
      </c>
      <c r="Q255" s="39"/>
      <c r="R255" s="39"/>
      <c r="S255" s="39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22"/>
      <c r="AO255" s="43">
        <f>A232</f>
        <v>0</v>
      </c>
      <c r="AP255" s="12" t="e">
        <f>#REF!</f>
        <v>#REF!</v>
      </c>
      <c r="AT255" s="2"/>
    </row>
    <row r="256" spans="1:46" s="2" customFormat="1" ht="17.25" customHeight="1" x14ac:dyDescent="0.2">
      <c r="A256" s="24"/>
      <c r="B256" s="201"/>
      <c r="C256" s="204"/>
      <c r="D256" s="63"/>
      <c r="E256" s="64"/>
      <c r="F256" s="64"/>
      <c r="G256" s="64"/>
      <c r="H256" s="64"/>
      <c r="I256" s="64"/>
      <c r="J256" s="64"/>
      <c r="K256" s="16"/>
      <c r="L256" s="16"/>
      <c r="M256" s="64"/>
      <c r="N256" s="16"/>
      <c r="O256" s="16"/>
      <c r="P256" s="64"/>
      <c r="Q256" s="46"/>
      <c r="R256" s="46"/>
      <c r="S256" s="39"/>
      <c r="T256" s="16"/>
      <c r="U256" s="16"/>
      <c r="V256" s="16"/>
      <c r="W256" s="16"/>
      <c r="X256" s="16"/>
      <c r="Y256" s="19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43">
        <f>A239</f>
        <v>45978</v>
      </c>
      <c r="AQ256" s="10"/>
      <c r="AR256" s="11"/>
    </row>
    <row r="257" spans="1:46" s="2" customFormat="1" ht="17.25" customHeight="1" thickBot="1" x14ac:dyDescent="0.3">
      <c r="A257" s="56"/>
      <c r="B257" s="101" t="s">
        <v>102</v>
      </c>
      <c r="C257" s="102">
        <f>D258+E258+F258+G258+H258+I258+J258+M258+P258</f>
        <v>102982.80704</v>
      </c>
      <c r="D257" s="84"/>
      <c r="E257" s="85"/>
      <c r="F257" s="85"/>
      <c r="G257" s="85"/>
      <c r="H257" s="85"/>
      <c r="I257" s="85"/>
      <c r="J257" s="85"/>
      <c r="K257" s="28"/>
      <c r="L257" s="28"/>
      <c r="M257" s="85"/>
      <c r="N257" s="28"/>
      <c r="O257" s="28"/>
      <c r="P257" s="85"/>
      <c r="Q257" s="48"/>
      <c r="R257" s="48"/>
      <c r="S257" s="51"/>
      <c r="T257" s="28"/>
      <c r="U257" s="28"/>
      <c r="V257" s="28"/>
      <c r="W257" s="28"/>
      <c r="X257" s="28"/>
      <c r="Y257" s="36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42">
        <f>SUM($Q238:AN257)</f>
        <v>-405193.1</v>
      </c>
      <c r="AQ257" s="10"/>
      <c r="AR257" s="11"/>
      <c r="AS257" s="2" t="s">
        <v>5</v>
      </c>
    </row>
    <row r="258" spans="1:46" s="2" customFormat="1" ht="17.25" customHeight="1" thickTop="1" thickBot="1" x14ac:dyDescent="0.3">
      <c r="A258" s="103"/>
      <c r="B258" s="104" t="s">
        <v>103</v>
      </c>
      <c r="C258" s="105">
        <f>AO258</f>
        <v>-302210.29296000005</v>
      </c>
      <c r="D258" s="106">
        <f t="shared" ref="D258:K258" si="32">SUM(D238:D257)</f>
        <v>105.52704000000085</v>
      </c>
      <c r="E258" s="107">
        <f t="shared" si="32"/>
        <v>-22601.15</v>
      </c>
      <c r="F258" s="107">
        <f t="shared" si="32"/>
        <v>0</v>
      </c>
      <c r="G258" s="107">
        <f t="shared" si="32"/>
        <v>0</v>
      </c>
      <c r="H258" s="107">
        <f t="shared" si="32"/>
        <v>35899.770000000004</v>
      </c>
      <c r="I258" s="107">
        <f t="shared" si="32"/>
        <v>10456.48</v>
      </c>
      <c r="J258" s="107">
        <f t="shared" si="32"/>
        <v>0</v>
      </c>
      <c r="K258" s="108">
        <f t="shared" si="32"/>
        <v>6152</v>
      </c>
      <c r="L258" s="109">
        <f>M258/K258</f>
        <v>5.0635988296488943</v>
      </c>
      <c r="M258" s="107">
        <f>ROUND(SUM(M238:M257),2)</f>
        <v>31151.26</v>
      </c>
      <c r="N258" s="108">
        <f>SUM(N238:N257)</f>
        <v>13560</v>
      </c>
      <c r="O258" s="109">
        <f>P258/N258</f>
        <v>3.537678466076696</v>
      </c>
      <c r="P258" s="107">
        <f>ROUND(SUM(P238:P257),2)</f>
        <v>47970.92</v>
      </c>
      <c r="Q258" s="110">
        <f t="shared" ref="Q258:AN258" si="33">SUM(Q238:Q257)</f>
        <v>-445778.33</v>
      </c>
      <c r="R258" s="107">
        <f t="shared" si="33"/>
        <v>50229.299999999996</v>
      </c>
      <c r="S258" s="107">
        <f t="shared" si="33"/>
        <v>0</v>
      </c>
      <c r="T258" s="107">
        <f t="shared" si="33"/>
        <v>-9644.07</v>
      </c>
      <c r="U258" s="107">
        <f t="shared" si="33"/>
        <v>0</v>
      </c>
      <c r="V258" s="107">
        <f t="shared" si="33"/>
        <v>0</v>
      </c>
      <c r="W258" s="107">
        <f t="shared" si="33"/>
        <v>0</v>
      </c>
      <c r="X258" s="107">
        <f t="shared" si="33"/>
        <v>0</v>
      </c>
      <c r="Y258" s="107">
        <f t="shared" si="33"/>
        <v>0</v>
      </c>
      <c r="Z258" s="107">
        <f t="shared" si="33"/>
        <v>0</v>
      </c>
      <c r="AA258" s="107">
        <f t="shared" si="33"/>
        <v>0</v>
      </c>
      <c r="AB258" s="107">
        <f t="shared" si="33"/>
        <v>0</v>
      </c>
      <c r="AC258" s="107">
        <f t="shared" si="33"/>
        <v>0</v>
      </c>
      <c r="AD258" s="107">
        <f t="shared" si="33"/>
        <v>0</v>
      </c>
      <c r="AE258" s="107">
        <f t="shared" si="33"/>
        <v>0</v>
      </c>
      <c r="AF258" s="107">
        <f t="shared" si="33"/>
        <v>0</v>
      </c>
      <c r="AG258" s="107">
        <f t="shared" si="33"/>
        <v>0</v>
      </c>
      <c r="AH258" s="107">
        <f t="shared" si="33"/>
        <v>0</v>
      </c>
      <c r="AI258" s="107">
        <f t="shared" si="33"/>
        <v>0</v>
      </c>
      <c r="AJ258" s="107">
        <f t="shared" si="33"/>
        <v>0</v>
      </c>
      <c r="AK258" s="107">
        <f t="shared" si="33"/>
        <v>0</v>
      </c>
      <c r="AL258" s="107">
        <f t="shared" si="33"/>
        <v>0</v>
      </c>
      <c r="AM258" s="107">
        <f t="shared" si="33"/>
        <v>0</v>
      </c>
      <c r="AN258" s="107">
        <f t="shared" si="33"/>
        <v>0</v>
      </c>
      <c r="AO258" s="111">
        <f>D258+E258+F258+G258+H258+I258+J258+M258+P258+SUM(Q258:AN258)</f>
        <v>-302210.29296000005</v>
      </c>
      <c r="AP258" s="4"/>
      <c r="AQ258" s="5"/>
      <c r="AR258" s="5"/>
      <c r="AS258" s="2" t="s">
        <v>6</v>
      </c>
    </row>
    <row r="259" spans="1:46" s="2" customFormat="1" ht="17.25" customHeight="1" thickTop="1" x14ac:dyDescent="0.25">
      <c r="A259" s="23">
        <f>A239+1</f>
        <v>45979</v>
      </c>
      <c r="B259" s="210" t="s">
        <v>64</v>
      </c>
      <c r="C259" s="203"/>
      <c r="D259" s="63">
        <v>10220.709999999999</v>
      </c>
      <c r="E259" s="66"/>
      <c r="F259" s="66"/>
      <c r="G259" s="66"/>
      <c r="H259" s="66"/>
      <c r="I259" s="66">
        <f>-D259</f>
        <v>-10220.709999999999</v>
      </c>
      <c r="J259" s="66"/>
      <c r="K259" s="18"/>
      <c r="L259" s="18"/>
      <c r="M259" s="66"/>
      <c r="N259" s="18"/>
      <c r="O259" s="18"/>
      <c r="P259" s="66"/>
      <c r="Q259" s="46"/>
      <c r="R259" s="46"/>
      <c r="S259" s="45"/>
      <c r="T259" s="18"/>
      <c r="U259" s="18"/>
      <c r="V259" s="18"/>
      <c r="W259" s="18"/>
      <c r="X259" s="18"/>
      <c r="Y259" s="14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31"/>
      <c r="AQ259" s="10"/>
      <c r="AR259" s="27"/>
    </row>
    <row r="260" spans="1:46" s="4" customFormat="1" ht="17.25" customHeight="1" x14ac:dyDescent="0.25">
      <c r="A260" s="23"/>
      <c r="B260" s="201" t="s">
        <v>96</v>
      </c>
      <c r="C260" s="202"/>
      <c r="D260" s="63"/>
      <c r="E260" s="64"/>
      <c r="F260" s="64"/>
      <c r="G260" s="64"/>
      <c r="H260" s="64"/>
      <c r="I260" s="64">
        <f>-I258-I259</f>
        <v>-235.77000000000044</v>
      </c>
      <c r="J260" s="64"/>
      <c r="K260" s="16"/>
      <c r="L260" s="92"/>
      <c r="M260" s="64"/>
      <c r="N260" s="16"/>
      <c r="O260" s="92"/>
      <c r="P260" s="64"/>
      <c r="Q260" s="40"/>
      <c r="R260" s="46"/>
      <c r="S260" s="39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22"/>
      <c r="AP260" s="30"/>
    </row>
    <row r="261" spans="1:46" s="2" customFormat="1" ht="17.25" customHeight="1" x14ac:dyDescent="0.25">
      <c r="A261" s="24"/>
      <c r="B261" s="205" t="s">
        <v>297</v>
      </c>
      <c r="C261" s="206"/>
      <c r="D261" s="63">
        <v>-10000</v>
      </c>
      <c r="E261" s="64"/>
      <c r="F261" s="64"/>
      <c r="G261" s="64"/>
      <c r="H261" s="64"/>
      <c r="I261" s="64"/>
      <c r="J261" s="64"/>
      <c r="K261" s="16"/>
      <c r="L261" s="16"/>
      <c r="M261" s="64"/>
      <c r="N261" s="16"/>
      <c r="O261" s="16"/>
      <c r="P261" s="64"/>
      <c r="Q261" s="46">
        <f>-D261</f>
        <v>10000</v>
      </c>
      <c r="R261" s="40"/>
      <c r="S261" s="39"/>
      <c r="T261" s="16"/>
      <c r="U261" s="16"/>
      <c r="V261" s="16"/>
      <c r="W261" s="16"/>
      <c r="X261" s="16"/>
      <c r="Y261" s="19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22"/>
      <c r="AQ261" s="10"/>
      <c r="AR261" s="11"/>
    </row>
    <row r="262" spans="1:46" s="2" customFormat="1" ht="17.25" customHeight="1" x14ac:dyDescent="0.25">
      <c r="A262" s="29"/>
      <c r="B262" s="201" t="s">
        <v>284</v>
      </c>
      <c r="C262" s="202"/>
      <c r="D262" s="63">
        <f>-4.9</f>
        <v>-4.9000000000000004</v>
      </c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47"/>
      <c r="R262" s="39"/>
      <c r="S262" s="39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22"/>
      <c r="AQ262" s="10" t="s">
        <v>4</v>
      </c>
      <c r="AR262" s="11" t="e">
        <v>#REF!</v>
      </c>
    </row>
    <row r="263" spans="1:46" s="4" customFormat="1" ht="17.25" customHeight="1" x14ac:dyDescent="0.25">
      <c r="A263" s="23"/>
      <c r="B263" s="201" t="s">
        <v>13</v>
      </c>
      <c r="C263" s="203"/>
      <c r="D263" s="63"/>
      <c r="E263" s="64">
        <f>-E258-22382.76+1700</f>
        <v>1918.3900000000031</v>
      </c>
      <c r="F263" s="64"/>
      <c r="G263" s="64"/>
      <c r="H263" s="64">
        <f>-E263</f>
        <v>-1918.3900000000031</v>
      </c>
      <c r="I263" s="66"/>
      <c r="J263" s="64"/>
      <c r="K263" s="16"/>
      <c r="L263" s="92"/>
      <c r="M263" s="64"/>
      <c r="N263" s="16"/>
      <c r="O263" s="92"/>
      <c r="P263" s="64"/>
      <c r="Q263" s="40"/>
      <c r="R263" s="46">
        <f>-D263</f>
        <v>0</v>
      </c>
      <c r="S263" s="39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22"/>
      <c r="AP263" s="30"/>
    </row>
    <row r="264" spans="1:46" s="2" customFormat="1" ht="17.25" customHeight="1" x14ac:dyDescent="0.25">
      <c r="A264" s="24"/>
      <c r="B264" s="205" t="s">
        <v>297</v>
      </c>
      <c r="C264" s="206"/>
      <c r="D264" s="63"/>
      <c r="E264" s="64">
        <v>-1700</v>
      </c>
      <c r="F264" s="64"/>
      <c r="G264" s="64"/>
      <c r="H264" s="64"/>
      <c r="I264" s="64"/>
      <c r="J264" s="64"/>
      <c r="K264" s="16"/>
      <c r="L264" s="16"/>
      <c r="M264" s="64"/>
      <c r="N264" s="16"/>
      <c r="O264" s="16"/>
      <c r="P264" s="64"/>
      <c r="Q264" s="46">
        <f>-E264</f>
        <v>1700</v>
      </c>
      <c r="R264" s="40"/>
      <c r="S264" s="39"/>
      <c r="T264" s="16"/>
      <c r="U264" s="16"/>
      <c r="V264" s="16"/>
      <c r="W264" s="16"/>
      <c r="X264" s="16"/>
      <c r="Y264" s="19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22"/>
      <c r="AQ264" s="10"/>
      <c r="AR264" s="11"/>
    </row>
    <row r="265" spans="1:46" s="2" customFormat="1" ht="17.25" customHeight="1" thickBot="1" x14ac:dyDescent="0.25">
      <c r="A265" s="24"/>
      <c r="B265" s="216"/>
      <c r="C265" s="217"/>
      <c r="D265" s="83"/>
      <c r="E265" s="81"/>
      <c r="F265" s="81"/>
      <c r="G265" s="81"/>
      <c r="H265" s="81"/>
      <c r="I265" s="81"/>
      <c r="J265" s="81"/>
      <c r="K265" s="37"/>
      <c r="L265" s="93"/>
      <c r="M265" s="81"/>
      <c r="N265" s="37"/>
      <c r="O265" s="93"/>
      <c r="P265" s="81"/>
      <c r="Q265" s="40"/>
      <c r="R265" s="40"/>
      <c r="S265" s="39"/>
      <c r="T265" s="16"/>
      <c r="U265" s="16"/>
      <c r="V265" s="16"/>
      <c r="W265" s="16"/>
      <c r="X265" s="16"/>
      <c r="Y265" s="19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41"/>
      <c r="AQ265" s="10"/>
      <c r="AR265" s="11"/>
    </row>
    <row r="266" spans="1:46" s="4" customFormat="1" ht="17.25" customHeight="1" x14ac:dyDescent="0.25">
      <c r="A266" s="23"/>
      <c r="B266" s="210" t="s">
        <v>94</v>
      </c>
      <c r="C266" s="203"/>
      <c r="D266" s="66"/>
      <c r="E266" s="66"/>
      <c r="F266" s="117"/>
      <c r="G266" s="117"/>
      <c r="H266" s="66"/>
      <c r="I266" s="66"/>
      <c r="J266" s="66">
        <f>-M266</f>
        <v>6967.3499999999995</v>
      </c>
      <c r="K266" s="58">
        <v>-1191</v>
      </c>
      <c r="L266" s="89">
        <v>5.85</v>
      </c>
      <c r="M266" s="73">
        <f>K266*L266</f>
        <v>-6967.3499999999995</v>
      </c>
      <c r="N266" s="58"/>
      <c r="O266" s="89"/>
      <c r="P266" s="73"/>
      <c r="Q266" s="39"/>
      <c r="R266" s="39"/>
      <c r="S266" s="8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35"/>
      <c r="AP266" s="12" t="e">
        <f>#REF!</f>
        <v>#REF!</v>
      </c>
    </row>
    <row r="267" spans="1:46" s="4" customFormat="1" ht="17.25" customHeight="1" x14ac:dyDescent="0.25">
      <c r="A267" s="23"/>
      <c r="B267" s="201" t="s">
        <v>95</v>
      </c>
      <c r="C267" s="202"/>
      <c r="D267" s="64"/>
      <c r="E267" s="64"/>
      <c r="F267" s="117"/>
      <c r="G267" s="117"/>
      <c r="H267" s="64"/>
      <c r="I267" s="64"/>
      <c r="J267" s="64">
        <f>-P267</f>
        <v>10259.530000000001</v>
      </c>
      <c r="K267" s="57"/>
      <c r="L267" s="88"/>
      <c r="M267" s="62"/>
      <c r="N267" s="57">
        <v>-2707</v>
      </c>
      <c r="O267" s="88">
        <v>3.79</v>
      </c>
      <c r="P267" s="62">
        <f>N267*O267</f>
        <v>-10259.530000000001</v>
      </c>
      <c r="Q267" s="39"/>
      <c r="R267" s="39"/>
      <c r="S267" s="8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35"/>
      <c r="AP267" s="12" t="e">
        <f>#REF!</f>
        <v>#REF!</v>
      </c>
    </row>
    <row r="268" spans="1:46" s="4" customFormat="1" ht="17.25" customHeight="1" x14ac:dyDescent="0.25">
      <c r="A268" s="23"/>
      <c r="B268" s="201" t="s">
        <v>97</v>
      </c>
      <c r="C268" s="203"/>
      <c r="D268" s="64"/>
      <c r="E268" s="64"/>
      <c r="F268" s="64"/>
      <c r="G268" s="64"/>
      <c r="H268" s="64">
        <f>-J268-I268</f>
        <v>6278.9000000000015</v>
      </c>
      <c r="I268" s="64">
        <v>10947.98</v>
      </c>
      <c r="J268" s="64">
        <f>-SUM(J266:J267)</f>
        <v>-17226.88</v>
      </c>
      <c r="K268" s="57"/>
      <c r="L268" s="88"/>
      <c r="M268" s="62"/>
      <c r="N268" s="57"/>
      <c r="O268" s="88"/>
      <c r="P268" s="62"/>
      <c r="Q268" s="39"/>
      <c r="R268" s="39"/>
      <c r="S268" s="39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22"/>
      <c r="AO268" s="43">
        <f>A235</f>
        <v>0</v>
      </c>
      <c r="AP268" s="12" t="e">
        <f>#REF!</f>
        <v>#REF!</v>
      </c>
      <c r="AT268" s="2"/>
    </row>
    <row r="269" spans="1:46" s="4" customFormat="1" ht="17.25" customHeight="1" x14ac:dyDescent="0.25">
      <c r="A269" s="23"/>
      <c r="B269" s="201" t="s">
        <v>93</v>
      </c>
      <c r="C269" s="202"/>
      <c r="D269" s="64"/>
      <c r="E269" s="64"/>
      <c r="F269" s="64"/>
      <c r="G269" s="64"/>
      <c r="H269" s="64"/>
      <c r="I269" s="64"/>
      <c r="J269" s="64"/>
      <c r="K269" s="57">
        <v>39</v>
      </c>
      <c r="L269" s="88"/>
      <c r="M269" s="62">
        <f>(K272*(M258)/(K258))-M258-M266</f>
        <v>1134.0841482444748</v>
      </c>
      <c r="N269" s="57">
        <v>-63</v>
      </c>
      <c r="O269" s="88"/>
      <c r="P269" s="62">
        <f>(N272*(P258)/(N258))-P258-P267</f>
        <v>460.1606489675487</v>
      </c>
      <c r="Q269" s="39"/>
      <c r="R269" s="39"/>
      <c r="S269" s="39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22"/>
      <c r="AO269" s="43">
        <f>A252</f>
        <v>0</v>
      </c>
      <c r="AP269" s="12" t="e">
        <f>#REF!</f>
        <v>#REF!</v>
      </c>
      <c r="AT269" s="2"/>
    </row>
    <row r="270" spans="1:46" s="2" customFormat="1" ht="17.25" customHeight="1" x14ac:dyDescent="0.2">
      <c r="A270" s="24"/>
      <c r="B270" s="201"/>
      <c r="C270" s="204"/>
      <c r="D270" s="63"/>
      <c r="E270" s="64"/>
      <c r="F270" s="64"/>
      <c r="G270" s="64"/>
      <c r="H270" s="64"/>
      <c r="I270" s="64"/>
      <c r="J270" s="64"/>
      <c r="K270" s="16"/>
      <c r="L270" s="16"/>
      <c r="M270" s="64"/>
      <c r="N270" s="16"/>
      <c r="O270" s="16"/>
      <c r="P270" s="64"/>
      <c r="Q270" s="46"/>
      <c r="R270" s="46"/>
      <c r="S270" s="39"/>
      <c r="T270" s="16"/>
      <c r="U270" s="16"/>
      <c r="V270" s="16"/>
      <c r="W270" s="16"/>
      <c r="X270" s="16"/>
      <c r="Y270" s="19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43">
        <f>A259</f>
        <v>45979</v>
      </c>
      <c r="AQ270" s="10"/>
      <c r="AR270" s="11"/>
    </row>
    <row r="271" spans="1:46" s="2" customFormat="1" ht="17.25" customHeight="1" thickBot="1" x14ac:dyDescent="0.3">
      <c r="A271" s="56"/>
      <c r="B271" s="101" t="s">
        <v>102</v>
      </c>
      <c r="C271" s="102">
        <f>D272+E272+F272+G272+H272+I272+J272+M272+P272</f>
        <v>92636.377040000007</v>
      </c>
      <c r="D271" s="84"/>
      <c r="E271" s="85"/>
      <c r="F271" s="85"/>
      <c r="G271" s="85"/>
      <c r="H271" s="85"/>
      <c r="I271" s="85"/>
      <c r="J271" s="85"/>
      <c r="K271" s="28"/>
      <c r="L271" s="28"/>
      <c r="M271" s="85"/>
      <c r="N271" s="28"/>
      <c r="O271" s="28"/>
      <c r="P271" s="85"/>
      <c r="Q271" s="48"/>
      <c r="R271" s="48"/>
      <c r="S271" s="51"/>
      <c r="T271" s="28"/>
      <c r="U271" s="28"/>
      <c r="V271" s="28"/>
      <c r="W271" s="28"/>
      <c r="X271" s="28"/>
      <c r="Y271" s="36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42">
        <f>SUM($Q258:AN271)</f>
        <v>-393493.10000000003</v>
      </c>
      <c r="AQ271" s="10"/>
      <c r="AR271" s="11"/>
      <c r="AS271" s="2" t="s">
        <v>5</v>
      </c>
    </row>
    <row r="272" spans="1:46" s="2" customFormat="1" ht="17.25" customHeight="1" thickTop="1" thickBot="1" x14ac:dyDescent="0.3">
      <c r="A272" s="103"/>
      <c r="B272" s="104" t="s">
        <v>103</v>
      </c>
      <c r="C272" s="105">
        <f>AO272</f>
        <v>-300856.72296000004</v>
      </c>
      <c r="D272" s="106">
        <f t="shared" ref="D272:K272" si="34">SUM(D258:D271)</f>
        <v>321.33704</v>
      </c>
      <c r="E272" s="107">
        <f t="shared" si="34"/>
        <v>-22382.76</v>
      </c>
      <c r="F272" s="107">
        <f t="shared" si="34"/>
        <v>0</v>
      </c>
      <c r="G272" s="107">
        <f t="shared" si="34"/>
        <v>0</v>
      </c>
      <c r="H272" s="107">
        <f t="shared" si="34"/>
        <v>40260.280000000006</v>
      </c>
      <c r="I272" s="107">
        <f t="shared" si="34"/>
        <v>10947.98</v>
      </c>
      <c r="J272" s="107">
        <f t="shared" si="34"/>
        <v>0</v>
      </c>
      <c r="K272" s="108">
        <f t="shared" si="34"/>
        <v>5000</v>
      </c>
      <c r="L272" s="109">
        <f>M272/K272</f>
        <v>5.0635980000000007</v>
      </c>
      <c r="M272" s="107">
        <f>ROUND(SUM(M258:M271),2)</f>
        <v>25317.99</v>
      </c>
      <c r="N272" s="108">
        <f>SUM(N258:N271)</f>
        <v>10790</v>
      </c>
      <c r="O272" s="109">
        <f>P272/N272</f>
        <v>3.5376784059314184</v>
      </c>
      <c r="P272" s="107">
        <f>ROUND(SUM(P258:P271),2)</f>
        <v>38171.550000000003</v>
      </c>
      <c r="Q272" s="110">
        <f t="shared" ref="Q272:AN272" si="35">SUM(Q258:Q271)</f>
        <v>-434078.33</v>
      </c>
      <c r="R272" s="107">
        <f t="shared" si="35"/>
        <v>50229.299999999996</v>
      </c>
      <c r="S272" s="107">
        <f t="shared" si="35"/>
        <v>0</v>
      </c>
      <c r="T272" s="107">
        <f t="shared" si="35"/>
        <v>-9644.07</v>
      </c>
      <c r="U272" s="107">
        <f t="shared" si="35"/>
        <v>0</v>
      </c>
      <c r="V272" s="107">
        <f t="shared" si="35"/>
        <v>0</v>
      </c>
      <c r="W272" s="107">
        <f t="shared" si="35"/>
        <v>0</v>
      </c>
      <c r="X272" s="107">
        <f t="shared" si="35"/>
        <v>0</v>
      </c>
      <c r="Y272" s="107">
        <f t="shared" si="35"/>
        <v>0</v>
      </c>
      <c r="Z272" s="107">
        <f t="shared" si="35"/>
        <v>0</v>
      </c>
      <c r="AA272" s="107">
        <f t="shared" si="35"/>
        <v>0</v>
      </c>
      <c r="AB272" s="107">
        <f t="shared" si="35"/>
        <v>0</v>
      </c>
      <c r="AC272" s="107">
        <f t="shared" si="35"/>
        <v>0</v>
      </c>
      <c r="AD272" s="107">
        <f t="shared" si="35"/>
        <v>0</v>
      </c>
      <c r="AE272" s="107">
        <f t="shared" si="35"/>
        <v>0</v>
      </c>
      <c r="AF272" s="107">
        <f t="shared" si="35"/>
        <v>0</v>
      </c>
      <c r="AG272" s="107">
        <f t="shared" si="35"/>
        <v>0</v>
      </c>
      <c r="AH272" s="107">
        <f t="shared" si="35"/>
        <v>0</v>
      </c>
      <c r="AI272" s="107">
        <f t="shared" si="35"/>
        <v>0</v>
      </c>
      <c r="AJ272" s="107">
        <f t="shared" si="35"/>
        <v>0</v>
      </c>
      <c r="AK272" s="107">
        <f t="shared" si="35"/>
        <v>0</v>
      </c>
      <c r="AL272" s="107">
        <f t="shared" si="35"/>
        <v>0</v>
      </c>
      <c r="AM272" s="107">
        <f t="shared" si="35"/>
        <v>0</v>
      </c>
      <c r="AN272" s="107">
        <f t="shared" si="35"/>
        <v>0</v>
      </c>
      <c r="AO272" s="111">
        <f>D272+E272+F272+G272+H272+I272+J272+M272+P272+SUM(Q272:AN272)</f>
        <v>-300856.72296000004</v>
      </c>
      <c r="AP272" s="4"/>
      <c r="AQ272" s="5"/>
      <c r="AR272" s="5"/>
      <c r="AS272" s="2" t="s">
        <v>6</v>
      </c>
    </row>
    <row r="273" spans="1:46" s="2" customFormat="1" ht="17.25" customHeight="1" thickTop="1" x14ac:dyDescent="0.25">
      <c r="A273" s="23">
        <f>A259+1</f>
        <v>45980</v>
      </c>
      <c r="B273" s="210" t="s">
        <v>64</v>
      </c>
      <c r="C273" s="203"/>
      <c r="D273" s="63">
        <v>10682.19</v>
      </c>
      <c r="E273" s="66"/>
      <c r="F273" s="66"/>
      <c r="G273" s="66"/>
      <c r="H273" s="66"/>
      <c r="I273" s="66">
        <f>-D273</f>
        <v>-10682.19</v>
      </c>
      <c r="J273" s="66"/>
      <c r="K273" s="18"/>
      <c r="L273" s="18"/>
      <c r="M273" s="66"/>
      <c r="N273" s="18"/>
      <c r="O273" s="18"/>
      <c r="P273" s="66"/>
      <c r="Q273" s="46"/>
      <c r="R273" s="46"/>
      <c r="S273" s="45"/>
      <c r="T273" s="18"/>
      <c r="U273" s="18"/>
      <c r="V273" s="18"/>
      <c r="W273" s="18"/>
      <c r="X273" s="18"/>
      <c r="Y273" s="14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31"/>
      <c r="AQ273" s="10"/>
      <c r="AR273" s="27"/>
    </row>
    <row r="274" spans="1:46" s="4" customFormat="1" ht="17.25" customHeight="1" x14ac:dyDescent="0.25">
      <c r="A274" s="23"/>
      <c r="B274" s="201" t="s">
        <v>96</v>
      </c>
      <c r="C274" s="202"/>
      <c r="D274" s="63"/>
      <c r="E274" s="64"/>
      <c r="F274" s="64"/>
      <c r="G274" s="64"/>
      <c r="H274" s="64"/>
      <c r="I274" s="64">
        <f>-I272-I273</f>
        <v>-265.78999999999905</v>
      </c>
      <c r="J274" s="64"/>
      <c r="K274" s="16"/>
      <c r="L274" s="92"/>
      <c r="M274" s="64"/>
      <c r="N274" s="16"/>
      <c r="O274" s="92"/>
      <c r="P274" s="64"/>
      <c r="Q274" s="40"/>
      <c r="R274" s="46"/>
      <c r="S274" s="39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22"/>
      <c r="AP274" s="30"/>
    </row>
    <row r="275" spans="1:46" s="4" customFormat="1" ht="17.25" customHeight="1" x14ac:dyDescent="0.25">
      <c r="A275" s="23"/>
      <c r="B275" s="201" t="s">
        <v>13</v>
      </c>
      <c r="C275" s="203"/>
      <c r="D275" s="63"/>
      <c r="E275" s="64">
        <f>-E272-18429.35</f>
        <v>3953.41</v>
      </c>
      <c r="F275" s="64"/>
      <c r="G275" s="64"/>
      <c r="H275" s="64">
        <f>-E275</f>
        <v>-3953.41</v>
      </c>
      <c r="I275" s="66"/>
      <c r="J275" s="64"/>
      <c r="K275" s="16"/>
      <c r="L275" s="92"/>
      <c r="M275" s="64"/>
      <c r="N275" s="16"/>
      <c r="O275" s="92"/>
      <c r="P275" s="64"/>
      <c r="Q275" s="40"/>
      <c r="R275" s="46">
        <f>-D275</f>
        <v>0</v>
      </c>
      <c r="S275" s="39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22"/>
      <c r="AP275" s="30"/>
    </row>
    <row r="276" spans="1:46" s="2" customFormat="1" ht="17.25" customHeight="1" x14ac:dyDescent="0.25">
      <c r="A276" s="29"/>
      <c r="B276" s="205" t="s">
        <v>297</v>
      </c>
      <c r="C276" s="206"/>
      <c r="D276" s="63">
        <v>14450</v>
      </c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47">
        <f>-D276</f>
        <v>-14450</v>
      </c>
      <c r="R276" s="39"/>
      <c r="S276" s="39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22"/>
      <c r="AQ276" s="10" t="s">
        <v>4</v>
      </c>
      <c r="AR276" s="11" t="e">
        <v>#REF!</v>
      </c>
    </row>
    <row r="277" spans="1:46" s="2" customFormat="1" ht="17.25" customHeight="1" x14ac:dyDescent="0.25">
      <c r="A277" s="29"/>
      <c r="B277" s="201" t="s">
        <v>281</v>
      </c>
      <c r="C277" s="202"/>
      <c r="D277" s="63">
        <v>-115.6</v>
      </c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47"/>
      <c r="R277" s="39"/>
      <c r="S277" s="39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22"/>
      <c r="AQ277" s="10" t="s">
        <v>4</v>
      </c>
      <c r="AR277" s="11" t="e">
        <v>#REF!</v>
      </c>
    </row>
    <row r="278" spans="1:46" s="2" customFormat="1" ht="17.25" customHeight="1" x14ac:dyDescent="0.25">
      <c r="A278" s="24"/>
      <c r="B278" s="205" t="s">
        <v>283</v>
      </c>
      <c r="C278" s="206"/>
      <c r="D278" s="64">
        <v>-25300</v>
      </c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39"/>
      <c r="R278" s="39"/>
      <c r="S278" s="39"/>
      <c r="T278" s="16"/>
      <c r="U278" s="16">
        <f>-D278</f>
        <v>25300</v>
      </c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22"/>
      <c r="AQ278" s="10"/>
      <c r="AR278" s="11"/>
    </row>
    <row r="279" spans="1:46" s="2" customFormat="1" ht="17.25" customHeight="1" x14ac:dyDescent="0.25">
      <c r="A279" s="29"/>
      <c r="B279" s="201" t="s">
        <v>284</v>
      </c>
      <c r="C279" s="202"/>
      <c r="D279" s="63">
        <f>-4.9</f>
        <v>-4.9000000000000004</v>
      </c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47"/>
      <c r="R279" s="39"/>
      <c r="S279" s="39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22"/>
      <c r="AQ279" s="10" t="s">
        <v>4</v>
      </c>
      <c r="AR279" s="11" t="e">
        <v>#REF!</v>
      </c>
    </row>
    <row r="280" spans="1:46" s="2" customFormat="1" ht="17.25" customHeight="1" thickBot="1" x14ac:dyDescent="0.25">
      <c r="A280" s="24"/>
      <c r="B280" s="216"/>
      <c r="C280" s="217"/>
      <c r="D280" s="83"/>
      <c r="E280" s="81"/>
      <c r="F280" s="81"/>
      <c r="G280" s="81"/>
      <c r="H280" s="81"/>
      <c r="I280" s="81"/>
      <c r="J280" s="81"/>
      <c r="K280" s="37"/>
      <c r="L280" s="93"/>
      <c r="M280" s="81"/>
      <c r="N280" s="37"/>
      <c r="O280" s="93"/>
      <c r="P280" s="81"/>
      <c r="Q280" s="40"/>
      <c r="R280" s="40"/>
      <c r="S280" s="39"/>
      <c r="T280" s="16"/>
      <c r="U280" s="16"/>
      <c r="V280" s="16"/>
      <c r="W280" s="16"/>
      <c r="X280" s="16"/>
      <c r="Y280" s="19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41"/>
      <c r="AQ280" s="10"/>
      <c r="AR280" s="11"/>
    </row>
    <row r="281" spans="1:46" s="4" customFormat="1" ht="17.25" customHeight="1" x14ac:dyDescent="0.25">
      <c r="A281" s="23"/>
      <c r="B281" s="210" t="s">
        <v>94</v>
      </c>
      <c r="C281" s="203"/>
      <c r="D281" s="66"/>
      <c r="E281" s="66"/>
      <c r="F281" s="117"/>
      <c r="G281" s="117"/>
      <c r="H281" s="66"/>
      <c r="I281" s="66"/>
      <c r="J281" s="66">
        <f>-M281</f>
        <v>7400.25</v>
      </c>
      <c r="K281" s="58">
        <v>-1265</v>
      </c>
      <c r="L281" s="89">
        <v>5.85</v>
      </c>
      <c r="M281" s="73">
        <f>K281*L281</f>
        <v>-7400.25</v>
      </c>
      <c r="N281" s="58"/>
      <c r="O281" s="89"/>
      <c r="P281" s="73"/>
      <c r="Q281" s="39"/>
      <c r="R281" s="39"/>
      <c r="S281" s="8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35"/>
      <c r="AP281" s="12" t="e">
        <f>#REF!</f>
        <v>#REF!</v>
      </c>
    </row>
    <row r="282" spans="1:46" s="4" customFormat="1" ht="17.25" customHeight="1" x14ac:dyDescent="0.25">
      <c r="A282" s="23"/>
      <c r="B282" s="201" t="s">
        <v>95</v>
      </c>
      <c r="C282" s="202"/>
      <c r="D282" s="64"/>
      <c r="E282" s="64"/>
      <c r="F282" s="117"/>
      <c r="G282" s="117"/>
      <c r="H282" s="64"/>
      <c r="I282" s="64"/>
      <c r="J282" s="64">
        <f>-P282</f>
        <v>10386.2325</v>
      </c>
      <c r="K282" s="57"/>
      <c r="L282" s="88"/>
      <c r="M282" s="62"/>
      <c r="N282" s="57">
        <v>-2715</v>
      </c>
      <c r="O282" s="88">
        <v>3.8254999999999999</v>
      </c>
      <c r="P282" s="62">
        <f>N282*O282</f>
        <v>-10386.2325</v>
      </c>
      <c r="Q282" s="39"/>
      <c r="R282" s="39"/>
      <c r="S282" s="8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35"/>
      <c r="AP282" s="12" t="e">
        <f>#REF!</f>
        <v>#REF!</v>
      </c>
    </row>
    <row r="283" spans="1:46" s="4" customFormat="1" ht="17.25" customHeight="1" x14ac:dyDescent="0.25">
      <c r="A283" s="23"/>
      <c r="B283" s="201" t="s">
        <v>97</v>
      </c>
      <c r="C283" s="203"/>
      <c r="D283" s="64"/>
      <c r="E283" s="64"/>
      <c r="F283" s="64"/>
      <c r="G283" s="64"/>
      <c r="H283" s="64">
        <f>-J283-I283</f>
        <v>5974.3824999999979</v>
      </c>
      <c r="I283" s="64">
        <v>11812.1</v>
      </c>
      <c r="J283" s="64">
        <f>-SUM(J281:J282)</f>
        <v>-17786.482499999998</v>
      </c>
      <c r="K283" s="57"/>
      <c r="L283" s="88"/>
      <c r="M283" s="62"/>
      <c r="N283" s="57"/>
      <c r="O283" s="88"/>
      <c r="P283" s="62"/>
      <c r="Q283" s="39"/>
      <c r="R283" s="39"/>
      <c r="S283" s="39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22"/>
      <c r="AO283" s="43">
        <f>A255</f>
        <v>0</v>
      </c>
      <c r="AP283" s="12" t="e">
        <f>#REF!</f>
        <v>#REF!</v>
      </c>
      <c r="AT283" s="2"/>
    </row>
    <row r="284" spans="1:46" s="4" customFormat="1" ht="17.25" customHeight="1" x14ac:dyDescent="0.25">
      <c r="A284" s="23"/>
      <c r="B284" s="201" t="s">
        <v>93</v>
      </c>
      <c r="C284" s="202"/>
      <c r="D284" s="64"/>
      <c r="E284" s="64"/>
      <c r="F284" s="64"/>
      <c r="G284" s="64"/>
      <c r="H284" s="64"/>
      <c r="I284" s="64"/>
      <c r="J284" s="64"/>
      <c r="K284" s="57">
        <v>-15</v>
      </c>
      <c r="L284" s="88"/>
      <c r="M284" s="62">
        <f>(K287*(M272)/(K272))-M272-M281</f>
        <v>918.84456000000137</v>
      </c>
      <c r="N284" s="57">
        <v>-96</v>
      </c>
      <c r="O284" s="88"/>
      <c r="P284" s="62">
        <f>(N287*(P272)/(N272))-P272-P282</f>
        <v>441.81850092678542</v>
      </c>
      <c r="Q284" s="39"/>
      <c r="R284" s="39"/>
      <c r="S284" s="39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22"/>
      <c r="AO284" s="43">
        <f>A266</f>
        <v>0</v>
      </c>
      <c r="AP284" s="12" t="e">
        <f>#REF!</f>
        <v>#REF!</v>
      </c>
      <c r="AT284" s="2"/>
    </row>
    <row r="285" spans="1:46" s="2" customFormat="1" ht="17.25" customHeight="1" x14ac:dyDescent="0.2">
      <c r="A285" s="24"/>
      <c r="B285" s="201"/>
      <c r="C285" s="204"/>
      <c r="D285" s="63"/>
      <c r="E285" s="64"/>
      <c r="F285" s="64"/>
      <c r="G285" s="64"/>
      <c r="H285" s="64"/>
      <c r="I285" s="64"/>
      <c r="J285" s="64"/>
      <c r="K285" s="16"/>
      <c r="L285" s="16"/>
      <c r="M285" s="64"/>
      <c r="N285" s="16"/>
      <c r="O285" s="16"/>
      <c r="P285" s="64"/>
      <c r="Q285" s="46"/>
      <c r="R285" s="46"/>
      <c r="S285" s="39"/>
      <c r="T285" s="16"/>
      <c r="U285" s="16"/>
      <c r="V285" s="16"/>
      <c r="W285" s="16"/>
      <c r="X285" s="16"/>
      <c r="Y285" s="19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43">
        <f>A273</f>
        <v>45980</v>
      </c>
      <c r="AQ285" s="10"/>
      <c r="AR285" s="11"/>
    </row>
    <row r="286" spans="1:46" s="2" customFormat="1" ht="17.25" customHeight="1" thickBot="1" x14ac:dyDescent="0.3">
      <c r="A286" s="56"/>
      <c r="B286" s="101" t="s">
        <v>102</v>
      </c>
      <c r="C286" s="102">
        <f>D287+E287+F287+G287+H287+I287+J287+M287+P287</f>
        <v>82760.749540000019</v>
      </c>
      <c r="D286" s="84"/>
      <c r="E286" s="85"/>
      <c r="F286" s="85"/>
      <c r="G286" s="85"/>
      <c r="H286" s="85"/>
      <c r="I286" s="85"/>
      <c r="J286" s="85"/>
      <c r="K286" s="28"/>
      <c r="L286" s="28"/>
      <c r="M286" s="85"/>
      <c r="N286" s="28"/>
      <c r="O286" s="28"/>
      <c r="P286" s="85"/>
      <c r="Q286" s="48"/>
      <c r="R286" s="48"/>
      <c r="S286" s="51"/>
      <c r="T286" s="28"/>
      <c r="U286" s="28"/>
      <c r="V286" s="28"/>
      <c r="W286" s="28"/>
      <c r="X286" s="28"/>
      <c r="Y286" s="36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42">
        <f>SUM($Q272:AN286)</f>
        <v>-382643.10000000003</v>
      </c>
      <c r="AQ286" s="10"/>
      <c r="AR286" s="11"/>
      <c r="AS286" s="2" t="s">
        <v>5</v>
      </c>
    </row>
    <row r="287" spans="1:46" s="2" customFormat="1" ht="17.25" customHeight="1" thickTop="1" thickBot="1" x14ac:dyDescent="0.3">
      <c r="A287" s="103"/>
      <c r="B287" s="104" t="s">
        <v>103</v>
      </c>
      <c r="C287" s="105">
        <f>AO287</f>
        <v>-299882.35045999999</v>
      </c>
      <c r="D287" s="106">
        <f t="shared" ref="D287:K287" si="36">SUM(D272:D286)</f>
        <v>33.027040000002309</v>
      </c>
      <c r="E287" s="107">
        <f t="shared" si="36"/>
        <v>-18429.349999999999</v>
      </c>
      <c r="F287" s="107">
        <f t="shared" si="36"/>
        <v>0</v>
      </c>
      <c r="G287" s="107">
        <f t="shared" si="36"/>
        <v>0</v>
      </c>
      <c r="H287" s="107">
        <f t="shared" si="36"/>
        <v>42281.25250000001</v>
      </c>
      <c r="I287" s="107">
        <f t="shared" si="36"/>
        <v>11812.1</v>
      </c>
      <c r="J287" s="107">
        <f t="shared" si="36"/>
        <v>0</v>
      </c>
      <c r="K287" s="108">
        <f t="shared" si="36"/>
        <v>3720</v>
      </c>
      <c r="L287" s="109">
        <f>M287/K287</f>
        <v>5.0635967741935488</v>
      </c>
      <c r="M287" s="107">
        <f>ROUND(SUM(M272:M286),2)</f>
        <v>18836.580000000002</v>
      </c>
      <c r="N287" s="108">
        <f>SUM(N272:N286)</f>
        <v>7979</v>
      </c>
      <c r="O287" s="109">
        <f>P287/N287</f>
        <v>3.5376789071312196</v>
      </c>
      <c r="P287" s="107">
        <f>ROUND(SUM(P272:P286),2)</f>
        <v>28227.14</v>
      </c>
      <c r="Q287" s="110">
        <f t="shared" ref="Q287:AN287" si="37">SUM(Q272:Q286)</f>
        <v>-448528.33</v>
      </c>
      <c r="R287" s="107">
        <f t="shared" si="37"/>
        <v>50229.299999999996</v>
      </c>
      <c r="S287" s="107">
        <f t="shared" si="37"/>
        <v>0</v>
      </c>
      <c r="T287" s="107">
        <f t="shared" si="37"/>
        <v>-9644.07</v>
      </c>
      <c r="U287" s="107">
        <f t="shared" si="37"/>
        <v>25300</v>
      </c>
      <c r="V287" s="107">
        <f t="shared" si="37"/>
        <v>0</v>
      </c>
      <c r="W287" s="107">
        <f t="shared" si="37"/>
        <v>0</v>
      </c>
      <c r="X287" s="107">
        <f t="shared" si="37"/>
        <v>0</v>
      </c>
      <c r="Y287" s="107">
        <f t="shared" si="37"/>
        <v>0</v>
      </c>
      <c r="Z287" s="107">
        <f t="shared" si="37"/>
        <v>0</v>
      </c>
      <c r="AA287" s="107">
        <f t="shared" si="37"/>
        <v>0</v>
      </c>
      <c r="AB287" s="107">
        <f t="shared" si="37"/>
        <v>0</v>
      </c>
      <c r="AC287" s="107">
        <f t="shared" si="37"/>
        <v>0</v>
      </c>
      <c r="AD287" s="107">
        <f t="shared" si="37"/>
        <v>0</v>
      </c>
      <c r="AE287" s="107">
        <f t="shared" si="37"/>
        <v>0</v>
      </c>
      <c r="AF287" s="107">
        <f t="shared" si="37"/>
        <v>0</v>
      </c>
      <c r="AG287" s="107">
        <f t="shared" si="37"/>
        <v>0</v>
      </c>
      <c r="AH287" s="107">
        <f t="shared" si="37"/>
        <v>0</v>
      </c>
      <c r="AI287" s="107">
        <f t="shared" si="37"/>
        <v>0</v>
      </c>
      <c r="AJ287" s="107">
        <f t="shared" si="37"/>
        <v>0</v>
      </c>
      <c r="AK287" s="107">
        <f t="shared" si="37"/>
        <v>0</v>
      </c>
      <c r="AL287" s="107">
        <f t="shared" si="37"/>
        <v>0</v>
      </c>
      <c r="AM287" s="107">
        <f t="shared" si="37"/>
        <v>0</v>
      </c>
      <c r="AN287" s="107">
        <f t="shared" si="37"/>
        <v>0</v>
      </c>
      <c r="AO287" s="111">
        <f>D287+E287+F287+G287+H287+I287+J287+M287+P287+SUM(Q287:AN287)</f>
        <v>-299882.35045999999</v>
      </c>
      <c r="AP287" s="4"/>
      <c r="AQ287" s="5"/>
      <c r="AR287" s="5"/>
      <c r="AS287" s="2" t="s">
        <v>6</v>
      </c>
    </row>
    <row r="288" spans="1:46" s="2" customFormat="1" ht="17.25" customHeight="1" thickTop="1" x14ac:dyDescent="0.25">
      <c r="A288" s="23">
        <f>A273+1</f>
        <v>45981</v>
      </c>
      <c r="B288" s="210" t="s">
        <v>64</v>
      </c>
      <c r="C288" s="203"/>
      <c r="D288" s="63">
        <v>11555.12</v>
      </c>
      <c r="E288" s="66"/>
      <c r="F288" s="66"/>
      <c r="G288" s="66"/>
      <c r="H288" s="66"/>
      <c r="I288" s="66">
        <f>-D288</f>
        <v>-11555.12</v>
      </c>
      <c r="J288" s="66"/>
      <c r="K288" s="18"/>
      <c r="L288" s="18"/>
      <c r="M288" s="66"/>
      <c r="N288" s="18"/>
      <c r="O288" s="18"/>
      <c r="P288" s="66"/>
      <c r="Q288" s="46"/>
      <c r="R288" s="46"/>
      <c r="S288" s="45"/>
      <c r="T288" s="18"/>
      <c r="U288" s="18"/>
      <c r="V288" s="18"/>
      <c r="W288" s="18"/>
      <c r="X288" s="18"/>
      <c r="Y288" s="14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31"/>
      <c r="AQ288" s="10"/>
      <c r="AR288" s="27"/>
    </row>
    <row r="289" spans="1:46" s="4" customFormat="1" ht="17.25" customHeight="1" x14ac:dyDescent="0.25">
      <c r="A289" s="23"/>
      <c r="B289" s="201" t="s">
        <v>96</v>
      </c>
      <c r="C289" s="202"/>
      <c r="D289" s="63"/>
      <c r="E289" s="64"/>
      <c r="F289" s="64"/>
      <c r="G289" s="64"/>
      <c r="H289" s="64"/>
      <c r="I289" s="64">
        <f>-I287-I288</f>
        <v>-256.97999999999956</v>
      </c>
      <c r="J289" s="64"/>
      <c r="K289" s="16"/>
      <c r="L289" s="92"/>
      <c r="M289" s="64"/>
      <c r="N289" s="16"/>
      <c r="O289" s="92"/>
      <c r="P289" s="64"/>
      <c r="Q289" s="40"/>
      <c r="R289" s="46"/>
      <c r="S289" s="39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22"/>
      <c r="AP289" s="30"/>
    </row>
    <row r="290" spans="1:46" s="4" customFormat="1" ht="17.25" customHeight="1" x14ac:dyDescent="0.25">
      <c r="A290" s="23"/>
      <c r="B290" s="201" t="s">
        <v>13</v>
      </c>
      <c r="C290" s="203"/>
      <c r="D290" s="63"/>
      <c r="E290" s="64"/>
      <c r="F290" s="64"/>
      <c r="G290" s="64"/>
      <c r="H290" s="64"/>
      <c r="I290" s="66"/>
      <c r="J290" s="64"/>
      <c r="K290" s="16"/>
      <c r="L290" s="92"/>
      <c r="M290" s="64"/>
      <c r="N290" s="16"/>
      <c r="O290" s="92"/>
      <c r="P290" s="64"/>
      <c r="Q290" s="40"/>
      <c r="R290" s="46">
        <f>-D290</f>
        <v>0</v>
      </c>
      <c r="S290" s="39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22"/>
      <c r="AP290" s="30"/>
    </row>
    <row r="291" spans="1:46" s="2" customFormat="1" ht="17.25" customHeight="1" x14ac:dyDescent="0.25">
      <c r="A291" s="29"/>
      <c r="B291" s="201" t="s">
        <v>72</v>
      </c>
      <c r="C291" s="202"/>
      <c r="D291" s="63">
        <v>-11500</v>
      </c>
      <c r="E291" s="64"/>
      <c r="F291" s="64">
        <f>-D291</f>
        <v>11500</v>
      </c>
      <c r="G291" s="64"/>
      <c r="H291" s="64"/>
      <c r="I291" s="64"/>
      <c r="J291" s="64"/>
      <c r="K291" s="57"/>
      <c r="L291" s="88"/>
      <c r="M291" s="62"/>
      <c r="N291" s="57"/>
      <c r="O291" s="88"/>
      <c r="P291" s="62"/>
      <c r="Q291" s="47"/>
      <c r="R291" s="39"/>
      <c r="S291" s="39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22"/>
      <c r="AQ291" s="10" t="s">
        <v>4</v>
      </c>
      <c r="AR291" s="11" t="e">
        <v>#REF!</v>
      </c>
    </row>
    <row r="292" spans="1:46" s="2" customFormat="1" ht="17.25" customHeight="1" thickBot="1" x14ac:dyDescent="0.25">
      <c r="A292" s="24"/>
      <c r="B292" s="216"/>
      <c r="C292" s="217"/>
      <c r="D292" s="83"/>
      <c r="E292" s="81"/>
      <c r="F292" s="81"/>
      <c r="G292" s="81"/>
      <c r="H292" s="81"/>
      <c r="I292" s="81"/>
      <c r="J292" s="81"/>
      <c r="K292" s="37"/>
      <c r="L292" s="93"/>
      <c r="M292" s="81"/>
      <c r="N292" s="37"/>
      <c r="O292" s="93"/>
      <c r="P292" s="81"/>
      <c r="Q292" s="40"/>
      <c r="R292" s="40"/>
      <c r="S292" s="39"/>
      <c r="T292" s="16"/>
      <c r="U292" s="16"/>
      <c r="V292" s="16"/>
      <c r="W292" s="16"/>
      <c r="X292" s="16"/>
      <c r="Y292" s="19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41"/>
      <c r="AQ292" s="10"/>
      <c r="AR292" s="11"/>
    </row>
    <row r="293" spans="1:46" s="4" customFormat="1" ht="17.25" customHeight="1" x14ac:dyDescent="0.25">
      <c r="A293" s="23"/>
      <c r="B293" s="210" t="s">
        <v>94</v>
      </c>
      <c r="C293" s="203"/>
      <c r="D293" s="66"/>
      <c r="E293" s="66"/>
      <c r="F293" s="117"/>
      <c r="G293" s="117"/>
      <c r="H293" s="66"/>
      <c r="I293" s="66"/>
      <c r="J293" s="66">
        <f>-M293</f>
        <v>8154.9</v>
      </c>
      <c r="K293" s="58">
        <v>-1394</v>
      </c>
      <c r="L293" s="89">
        <v>5.85</v>
      </c>
      <c r="M293" s="73">
        <f>K293*L293</f>
        <v>-8154.9</v>
      </c>
      <c r="N293" s="58"/>
      <c r="O293" s="89"/>
      <c r="P293" s="73"/>
      <c r="Q293" s="39"/>
      <c r="R293" s="39"/>
      <c r="S293" s="8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35"/>
      <c r="AP293" s="12" t="e">
        <f>#REF!</f>
        <v>#REF!</v>
      </c>
    </row>
    <row r="294" spans="1:46" s="4" customFormat="1" ht="17.25" customHeight="1" x14ac:dyDescent="0.25">
      <c r="A294" s="23"/>
      <c r="B294" s="201" t="s">
        <v>95</v>
      </c>
      <c r="C294" s="202"/>
      <c r="D294" s="64"/>
      <c r="E294" s="64"/>
      <c r="F294" s="117"/>
      <c r="G294" s="117"/>
      <c r="H294" s="64"/>
      <c r="I294" s="64"/>
      <c r="J294" s="64">
        <f>-P294</f>
        <v>8212.0500000000011</v>
      </c>
      <c r="K294" s="57"/>
      <c r="L294" s="88"/>
      <c r="M294" s="62"/>
      <c r="N294" s="57">
        <v>-2133</v>
      </c>
      <c r="O294" s="88">
        <v>3.85</v>
      </c>
      <c r="P294" s="62">
        <f>N294*O294</f>
        <v>-8212.0500000000011</v>
      </c>
      <c r="Q294" s="39"/>
      <c r="R294" s="39"/>
      <c r="S294" s="8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35"/>
      <c r="AP294" s="12" t="e">
        <f>#REF!</f>
        <v>#REF!</v>
      </c>
    </row>
    <row r="295" spans="1:46" s="4" customFormat="1" ht="17.25" customHeight="1" x14ac:dyDescent="0.25">
      <c r="A295" s="23"/>
      <c r="B295" s="201" t="s">
        <v>97</v>
      </c>
      <c r="C295" s="203"/>
      <c r="D295" s="64"/>
      <c r="E295" s="64"/>
      <c r="F295" s="64"/>
      <c r="G295" s="64"/>
      <c r="H295" s="64">
        <f>-J295-I295</f>
        <v>4972.5200000000004</v>
      </c>
      <c r="I295" s="64">
        <v>11394.43</v>
      </c>
      <c r="J295" s="64">
        <f>-SUM(J293:J294)</f>
        <v>-16366.95</v>
      </c>
      <c r="K295" s="57"/>
      <c r="L295" s="88"/>
      <c r="M295" s="62"/>
      <c r="N295" s="57"/>
      <c r="O295" s="88"/>
      <c r="P295" s="62"/>
      <c r="Q295" s="39"/>
      <c r="R295" s="39"/>
      <c r="S295" s="39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22"/>
      <c r="AO295" s="43">
        <f>A269</f>
        <v>0</v>
      </c>
      <c r="AP295" s="12" t="e">
        <f>#REF!</f>
        <v>#REF!</v>
      </c>
      <c r="AT295" s="2"/>
    </row>
    <row r="296" spans="1:46" s="4" customFormat="1" ht="17.25" customHeight="1" x14ac:dyDescent="0.25">
      <c r="A296" s="23"/>
      <c r="B296" s="201" t="s">
        <v>93</v>
      </c>
      <c r="C296" s="202"/>
      <c r="D296" s="64"/>
      <c r="E296" s="64"/>
      <c r="F296" s="64"/>
      <c r="G296" s="64"/>
      <c r="H296" s="64"/>
      <c r="I296" s="64"/>
      <c r="J296" s="64"/>
      <c r="K296" s="57">
        <v>35</v>
      </c>
      <c r="L296" s="88"/>
      <c r="M296" s="62">
        <f>(K299*L287)-M287-M293</f>
        <v>1273.4719838709661</v>
      </c>
      <c r="N296" s="57">
        <v>44</v>
      </c>
      <c r="O296" s="88"/>
      <c r="P296" s="62">
        <f>(N299*(P287)/(N287))-P287-P294</f>
        <v>821.83876300288284</v>
      </c>
      <c r="Q296" s="39"/>
      <c r="R296" s="39"/>
      <c r="S296" s="39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22"/>
      <c r="AO296" s="43">
        <f>A281</f>
        <v>0</v>
      </c>
      <c r="AP296" s="12" t="e">
        <f>#REF!</f>
        <v>#REF!</v>
      </c>
      <c r="AT296" s="2"/>
    </row>
    <row r="297" spans="1:46" s="2" customFormat="1" ht="17.25" customHeight="1" x14ac:dyDescent="0.2">
      <c r="A297" s="24"/>
      <c r="B297" s="201"/>
      <c r="C297" s="204"/>
      <c r="D297" s="63"/>
      <c r="E297" s="64"/>
      <c r="F297" s="64"/>
      <c r="G297" s="64"/>
      <c r="H297" s="64"/>
      <c r="I297" s="64"/>
      <c r="J297" s="64"/>
      <c r="K297" s="16"/>
      <c r="L297" s="16"/>
      <c r="M297" s="64"/>
      <c r="N297" s="16"/>
      <c r="O297" s="16"/>
      <c r="P297" s="64"/>
      <c r="Q297" s="46"/>
      <c r="R297" s="46"/>
      <c r="S297" s="39"/>
      <c r="T297" s="16"/>
      <c r="U297" s="16"/>
      <c r="V297" s="16"/>
      <c r="W297" s="16"/>
      <c r="X297" s="16"/>
      <c r="Y297" s="19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43">
        <f>A288</f>
        <v>45981</v>
      </c>
      <c r="AQ297" s="10"/>
      <c r="AR297" s="11"/>
    </row>
    <row r="298" spans="1:46" s="2" customFormat="1" ht="17.25" customHeight="1" thickBot="1" x14ac:dyDescent="0.3">
      <c r="A298" s="56"/>
      <c r="B298" s="101" t="s">
        <v>102</v>
      </c>
      <c r="C298" s="102">
        <f>D299+E299+F299+G299+H299+I299+J299+M299+P299</f>
        <v>84599.079540000006</v>
      </c>
      <c r="D298" s="84"/>
      <c r="E298" s="85"/>
      <c r="F298" s="85"/>
      <c r="G298" s="85"/>
      <c r="H298" s="85"/>
      <c r="I298" s="85"/>
      <c r="J298" s="85"/>
      <c r="K298" s="28"/>
      <c r="L298" s="28"/>
      <c r="M298" s="85"/>
      <c r="N298" s="28"/>
      <c r="O298" s="28"/>
      <c r="P298" s="85"/>
      <c r="Q298" s="48"/>
      <c r="R298" s="48"/>
      <c r="S298" s="51"/>
      <c r="T298" s="28"/>
      <c r="U298" s="28"/>
      <c r="V298" s="28"/>
      <c r="W298" s="28"/>
      <c r="X298" s="28"/>
      <c r="Y298" s="36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42">
        <f>SUM($Q287:AN298)</f>
        <v>-382643.10000000003</v>
      </c>
      <c r="AQ298" s="10"/>
      <c r="AR298" s="11"/>
      <c r="AS298" s="2" t="s">
        <v>5</v>
      </c>
    </row>
    <row r="299" spans="1:46" s="2" customFormat="1" ht="17.25" customHeight="1" thickTop="1" thickBot="1" x14ac:dyDescent="0.3">
      <c r="A299" s="103"/>
      <c r="B299" s="104" t="s">
        <v>103</v>
      </c>
      <c r="C299" s="105">
        <f>AO299</f>
        <v>-298044.02046000003</v>
      </c>
      <c r="D299" s="106">
        <f t="shared" ref="D299:K299" si="38">SUM(D287:D298)</f>
        <v>88.147040000003472</v>
      </c>
      <c r="E299" s="107">
        <f t="shared" si="38"/>
        <v>-18429.349999999999</v>
      </c>
      <c r="F299" s="107">
        <f t="shared" si="38"/>
        <v>11500</v>
      </c>
      <c r="G299" s="107">
        <f t="shared" si="38"/>
        <v>0</v>
      </c>
      <c r="H299" s="107">
        <f t="shared" si="38"/>
        <v>47253.772500000006</v>
      </c>
      <c r="I299" s="107">
        <f t="shared" si="38"/>
        <v>11394.43</v>
      </c>
      <c r="J299" s="107">
        <f t="shared" si="38"/>
        <v>0</v>
      </c>
      <c r="K299" s="108">
        <f t="shared" si="38"/>
        <v>2361</v>
      </c>
      <c r="L299" s="109">
        <f>M299/K299</f>
        <v>5.0635959339263019</v>
      </c>
      <c r="M299" s="107">
        <f>ROUND(SUM(M287:M298),2)</f>
        <v>11955.15</v>
      </c>
      <c r="N299" s="108">
        <f>SUM(N287:N298)</f>
        <v>5890</v>
      </c>
      <c r="O299" s="109">
        <f>P299/N299</f>
        <v>3.5376791171477082</v>
      </c>
      <c r="P299" s="107">
        <f>ROUND(SUM(P287:P298),2)</f>
        <v>20836.93</v>
      </c>
      <c r="Q299" s="110">
        <f t="shared" ref="Q299:AN299" si="39">SUM(Q287:Q298)</f>
        <v>-448528.33</v>
      </c>
      <c r="R299" s="107">
        <f t="shared" si="39"/>
        <v>50229.299999999996</v>
      </c>
      <c r="S299" s="107">
        <f t="shared" si="39"/>
        <v>0</v>
      </c>
      <c r="T299" s="107">
        <f t="shared" si="39"/>
        <v>-9644.07</v>
      </c>
      <c r="U299" s="107">
        <f t="shared" si="39"/>
        <v>25300</v>
      </c>
      <c r="V299" s="107">
        <f t="shared" si="39"/>
        <v>0</v>
      </c>
      <c r="W299" s="107">
        <f t="shared" si="39"/>
        <v>0</v>
      </c>
      <c r="X299" s="107">
        <f t="shared" si="39"/>
        <v>0</v>
      </c>
      <c r="Y299" s="107">
        <f t="shared" si="39"/>
        <v>0</v>
      </c>
      <c r="Z299" s="107">
        <f t="shared" si="39"/>
        <v>0</v>
      </c>
      <c r="AA299" s="107">
        <f t="shared" si="39"/>
        <v>0</v>
      </c>
      <c r="AB299" s="107">
        <f t="shared" si="39"/>
        <v>0</v>
      </c>
      <c r="AC299" s="107">
        <f t="shared" si="39"/>
        <v>0</v>
      </c>
      <c r="AD299" s="107">
        <f t="shared" si="39"/>
        <v>0</v>
      </c>
      <c r="AE299" s="107">
        <f t="shared" si="39"/>
        <v>0</v>
      </c>
      <c r="AF299" s="107">
        <f t="shared" si="39"/>
        <v>0</v>
      </c>
      <c r="AG299" s="107">
        <f t="shared" si="39"/>
        <v>0</v>
      </c>
      <c r="AH299" s="107">
        <f t="shared" si="39"/>
        <v>0</v>
      </c>
      <c r="AI299" s="107">
        <f t="shared" si="39"/>
        <v>0</v>
      </c>
      <c r="AJ299" s="107">
        <f t="shared" si="39"/>
        <v>0</v>
      </c>
      <c r="AK299" s="107">
        <f t="shared" si="39"/>
        <v>0</v>
      </c>
      <c r="AL299" s="107">
        <f t="shared" si="39"/>
        <v>0</v>
      </c>
      <c r="AM299" s="107">
        <f t="shared" si="39"/>
        <v>0</v>
      </c>
      <c r="AN299" s="107">
        <f t="shared" si="39"/>
        <v>0</v>
      </c>
      <c r="AO299" s="111">
        <f>D299+E299+F299+G299+H299+I299+J299+M299+P299+SUM(Q299:AN299)</f>
        <v>-298044.02046000003</v>
      </c>
      <c r="AP299" s="4"/>
      <c r="AQ299" s="5"/>
      <c r="AR299" s="5"/>
      <c r="AS299" s="2" t="s">
        <v>6</v>
      </c>
    </row>
    <row r="300" spans="1:46" s="2" customFormat="1" ht="17.25" customHeight="1" thickTop="1" x14ac:dyDescent="0.25">
      <c r="A300" s="23">
        <f>A288+1</f>
        <v>45982</v>
      </c>
      <c r="B300" s="210" t="s">
        <v>64</v>
      </c>
      <c r="C300" s="203"/>
      <c r="D300" s="63">
        <v>11140.56</v>
      </c>
      <c r="E300" s="66"/>
      <c r="F300" s="66"/>
      <c r="G300" s="66"/>
      <c r="H300" s="66"/>
      <c r="I300" s="66">
        <f>-D300</f>
        <v>-11140.56</v>
      </c>
      <c r="J300" s="66"/>
      <c r="K300" s="18"/>
      <c r="L300" s="18"/>
      <c r="M300" s="66"/>
      <c r="N300" s="18"/>
      <c r="O300" s="18"/>
      <c r="P300" s="66"/>
      <c r="Q300" s="46"/>
      <c r="R300" s="46"/>
      <c r="S300" s="45"/>
      <c r="T300" s="18"/>
      <c r="U300" s="18"/>
      <c r="V300" s="18"/>
      <c r="W300" s="18"/>
      <c r="X300" s="18"/>
      <c r="Y300" s="14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31"/>
      <c r="AQ300" s="10"/>
      <c r="AR300" s="27"/>
    </row>
    <row r="301" spans="1:46" s="4" customFormat="1" ht="17.25" customHeight="1" x14ac:dyDescent="0.25">
      <c r="A301" s="23"/>
      <c r="B301" s="201" t="s">
        <v>96</v>
      </c>
      <c r="C301" s="202"/>
      <c r="D301" s="63"/>
      <c r="E301" s="64"/>
      <c r="F301" s="64"/>
      <c r="G301" s="64"/>
      <c r="H301" s="64"/>
      <c r="I301" s="64">
        <f>-I299-I300</f>
        <v>-253.8700000000008</v>
      </c>
      <c r="J301" s="64"/>
      <c r="K301" s="16"/>
      <c r="L301" s="92"/>
      <c r="M301" s="64"/>
      <c r="N301" s="16"/>
      <c r="O301" s="92"/>
      <c r="P301" s="64"/>
      <c r="Q301" s="40"/>
      <c r="R301" s="46"/>
      <c r="S301" s="39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22"/>
      <c r="AP301" s="30"/>
    </row>
    <row r="302" spans="1:46" s="4" customFormat="1" ht="17.25" customHeight="1" x14ac:dyDescent="0.25">
      <c r="A302" s="23"/>
      <c r="B302" s="201" t="s">
        <v>13</v>
      </c>
      <c r="C302" s="203"/>
      <c r="D302" s="63"/>
      <c r="E302" s="64">
        <f>-E299-8130.52+236.75</f>
        <v>10535.579999999998</v>
      </c>
      <c r="F302" s="64"/>
      <c r="G302" s="64"/>
      <c r="H302" s="64">
        <f>-E302</f>
        <v>-10535.579999999998</v>
      </c>
      <c r="I302" s="66"/>
      <c r="J302" s="64"/>
      <c r="K302" s="16"/>
      <c r="L302" s="92"/>
      <c r="M302" s="64"/>
      <c r="N302" s="16"/>
      <c r="O302" s="92"/>
      <c r="P302" s="64"/>
      <c r="Q302" s="40"/>
      <c r="R302" s="46">
        <f>-D302</f>
        <v>0</v>
      </c>
      <c r="S302" s="39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22"/>
      <c r="AP302" s="30"/>
    </row>
    <row r="303" spans="1:46" s="2" customFormat="1" ht="17.25" customHeight="1" x14ac:dyDescent="0.25">
      <c r="A303" s="24"/>
      <c r="B303" s="201" t="s">
        <v>262</v>
      </c>
      <c r="C303" s="203"/>
      <c r="D303" s="63"/>
      <c r="E303" s="64">
        <v>-236.75</v>
      </c>
      <c r="F303" s="64"/>
      <c r="G303" s="64"/>
      <c r="H303" s="64"/>
      <c r="I303" s="64"/>
      <c r="J303" s="64"/>
      <c r="K303" s="16"/>
      <c r="L303" s="92"/>
      <c r="M303" s="64"/>
      <c r="N303" s="16"/>
      <c r="O303" s="92"/>
      <c r="P303" s="64"/>
      <c r="Q303" s="40"/>
      <c r="R303" s="40"/>
      <c r="S303" s="39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22"/>
      <c r="AQ303" s="10"/>
      <c r="AR303" s="11"/>
    </row>
    <row r="304" spans="1:46" s="2" customFormat="1" ht="17.25" customHeight="1" x14ac:dyDescent="0.25">
      <c r="A304" s="29"/>
      <c r="B304" s="201" t="s">
        <v>72</v>
      </c>
      <c r="C304" s="202"/>
      <c r="D304" s="63">
        <v>-11200</v>
      </c>
      <c r="E304" s="64"/>
      <c r="F304" s="64">
        <f>-D304</f>
        <v>11200</v>
      </c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47"/>
      <c r="R304" s="39"/>
      <c r="S304" s="39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22"/>
      <c r="AQ304" s="10" t="s">
        <v>4</v>
      </c>
      <c r="AR304" s="11" t="e">
        <v>#REF!</v>
      </c>
    </row>
    <row r="305" spans="1:46" s="2" customFormat="1" ht="17.25" customHeight="1" x14ac:dyDescent="0.25">
      <c r="A305" s="29"/>
      <c r="B305" s="201" t="s">
        <v>72</v>
      </c>
      <c r="C305" s="202"/>
      <c r="D305" s="63">
        <v>22700</v>
      </c>
      <c r="E305" s="64"/>
      <c r="F305" s="64">
        <f>-D305</f>
        <v>-22700</v>
      </c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47"/>
      <c r="R305" s="39"/>
      <c r="S305" s="39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22"/>
      <c r="AQ305" s="10" t="s">
        <v>4</v>
      </c>
      <c r="AR305" s="11" t="e">
        <v>#REF!</v>
      </c>
    </row>
    <row r="306" spans="1:46" s="2" customFormat="1" ht="17.25" customHeight="1" x14ac:dyDescent="0.25">
      <c r="A306" s="29"/>
      <c r="B306" s="201" t="s">
        <v>282</v>
      </c>
      <c r="C306" s="202"/>
      <c r="D306" s="63">
        <f>-4.9-4.9</f>
        <v>-9.8000000000000007</v>
      </c>
      <c r="E306" s="64"/>
      <c r="F306" s="64"/>
      <c r="G306" s="64"/>
      <c r="H306" s="64"/>
      <c r="I306" s="64"/>
      <c r="J306" s="64"/>
      <c r="K306" s="57"/>
      <c r="L306" s="88"/>
      <c r="M306" s="62"/>
      <c r="N306" s="57"/>
      <c r="O306" s="88"/>
      <c r="P306" s="62"/>
      <c r="Q306" s="47"/>
      <c r="R306" s="39"/>
      <c r="S306" s="39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22"/>
      <c r="AQ306" s="10" t="s">
        <v>4</v>
      </c>
      <c r="AR306" s="11" t="e">
        <v>#REF!</v>
      </c>
    </row>
    <row r="307" spans="1:46" s="2" customFormat="1" ht="17.25" customHeight="1" x14ac:dyDescent="0.25">
      <c r="A307" s="24"/>
      <c r="B307" s="205" t="s">
        <v>285</v>
      </c>
      <c r="C307" s="206"/>
      <c r="D307" s="64"/>
      <c r="E307" s="64"/>
      <c r="F307" s="64"/>
      <c r="G307" s="64"/>
      <c r="H307" s="64"/>
      <c r="I307" s="64"/>
      <c r="J307" s="64"/>
      <c r="K307" s="57">
        <v>5000</v>
      </c>
      <c r="L307" s="88">
        <v>5.0599999999999996</v>
      </c>
      <c r="M307" s="62">
        <f>K307*L307</f>
        <v>25299.999999999996</v>
      </c>
      <c r="N307" s="57"/>
      <c r="O307" s="88"/>
      <c r="P307" s="62"/>
      <c r="Q307" s="39"/>
      <c r="R307" s="39"/>
      <c r="S307" s="39"/>
      <c r="T307" s="16"/>
      <c r="U307" s="16">
        <f>-M307</f>
        <v>-25299.999999999996</v>
      </c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22"/>
      <c r="AQ307" s="10"/>
      <c r="AR307" s="11"/>
    </row>
    <row r="308" spans="1:46" s="2" customFormat="1" ht="17.25" customHeight="1" x14ac:dyDescent="0.2">
      <c r="A308" s="23"/>
      <c r="B308" s="205" t="s">
        <v>251</v>
      </c>
      <c r="C308" s="206"/>
      <c r="D308" s="64">
        <f>-P308</f>
        <v>-17700</v>
      </c>
      <c r="E308" s="64"/>
      <c r="F308" s="64"/>
      <c r="G308" s="64"/>
      <c r="H308" s="64"/>
      <c r="I308" s="64"/>
      <c r="J308" s="64"/>
      <c r="K308" s="57"/>
      <c r="L308" s="88"/>
      <c r="M308" s="62"/>
      <c r="N308" s="57">
        <v>5000</v>
      </c>
      <c r="O308" s="88">
        <v>3.54</v>
      </c>
      <c r="P308" s="62">
        <f>N308*O308</f>
        <v>17700</v>
      </c>
      <c r="Q308" s="39"/>
      <c r="R308" s="39"/>
      <c r="S308" s="39"/>
      <c r="T308" s="16"/>
      <c r="U308" s="16"/>
      <c r="V308" s="16"/>
      <c r="W308" s="16"/>
      <c r="X308" s="16"/>
      <c r="Y308" s="19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35"/>
      <c r="AQ308" s="10"/>
      <c r="AR308" s="27"/>
    </row>
    <row r="309" spans="1:46" s="2" customFormat="1" ht="17.25" customHeight="1" thickBot="1" x14ac:dyDescent="0.25">
      <c r="A309" s="24"/>
      <c r="B309" s="216"/>
      <c r="C309" s="217"/>
      <c r="D309" s="83"/>
      <c r="E309" s="81"/>
      <c r="F309" s="81"/>
      <c r="G309" s="81"/>
      <c r="H309" s="81"/>
      <c r="I309" s="81"/>
      <c r="J309" s="81"/>
      <c r="K309" s="37"/>
      <c r="L309" s="93"/>
      <c r="M309" s="81"/>
      <c r="N309" s="37"/>
      <c r="O309" s="93"/>
      <c r="P309" s="81"/>
      <c r="Q309" s="40"/>
      <c r="R309" s="40"/>
      <c r="S309" s="39"/>
      <c r="T309" s="16"/>
      <c r="U309" s="16"/>
      <c r="V309" s="16"/>
      <c r="W309" s="16"/>
      <c r="X309" s="16"/>
      <c r="Y309" s="19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41"/>
      <c r="AQ309" s="10"/>
      <c r="AR309" s="11"/>
    </row>
    <row r="310" spans="1:46" s="4" customFormat="1" ht="17.25" customHeight="1" x14ac:dyDescent="0.25">
      <c r="A310" s="23"/>
      <c r="B310" s="210" t="s">
        <v>94</v>
      </c>
      <c r="C310" s="203"/>
      <c r="D310" s="66"/>
      <c r="E310" s="66"/>
      <c r="F310" s="117"/>
      <c r="G310" s="117"/>
      <c r="H310" s="66"/>
      <c r="I310" s="66"/>
      <c r="J310" s="66">
        <f>-M310</f>
        <v>7441.2</v>
      </c>
      <c r="K310" s="58">
        <v>-1272</v>
      </c>
      <c r="L310" s="89">
        <v>5.85</v>
      </c>
      <c r="M310" s="73">
        <f>K310*L310</f>
        <v>-7441.2</v>
      </c>
      <c r="N310" s="58"/>
      <c r="O310" s="89"/>
      <c r="P310" s="73"/>
      <c r="Q310" s="39"/>
      <c r="R310" s="39"/>
      <c r="S310" s="8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35"/>
      <c r="AP310" s="12" t="e">
        <f>#REF!</f>
        <v>#REF!</v>
      </c>
    </row>
    <row r="311" spans="1:46" s="4" customFormat="1" ht="17.25" customHeight="1" x14ac:dyDescent="0.25">
      <c r="A311" s="23"/>
      <c r="B311" s="201" t="s">
        <v>95</v>
      </c>
      <c r="C311" s="202"/>
      <c r="D311" s="64"/>
      <c r="E311" s="64"/>
      <c r="F311" s="117"/>
      <c r="G311" s="117"/>
      <c r="H311" s="64"/>
      <c r="I311" s="64"/>
      <c r="J311" s="64">
        <f>-P311</f>
        <v>8708.7000000000007</v>
      </c>
      <c r="K311" s="57"/>
      <c r="L311" s="88"/>
      <c r="M311" s="62"/>
      <c r="N311" s="57">
        <v>-2262</v>
      </c>
      <c r="O311" s="88">
        <v>3.85</v>
      </c>
      <c r="P311" s="62">
        <f>N311*O311</f>
        <v>-8708.7000000000007</v>
      </c>
      <c r="Q311" s="39"/>
      <c r="R311" s="39"/>
      <c r="S311" s="8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35"/>
      <c r="AP311" s="12" t="e">
        <f>#REF!</f>
        <v>#REF!</v>
      </c>
    </row>
    <row r="312" spans="1:46" s="4" customFormat="1" ht="17.25" customHeight="1" x14ac:dyDescent="0.25">
      <c r="A312" s="23"/>
      <c r="B312" s="201" t="s">
        <v>97</v>
      </c>
      <c r="C312" s="203"/>
      <c r="D312" s="64"/>
      <c r="E312" s="64"/>
      <c r="F312" s="64"/>
      <c r="G312" s="64"/>
      <c r="H312" s="64">
        <f>-J312-I312</f>
        <v>5343.4000000000015</v>
      </c>
      <c r="I312" s="64">
        <v>10806.5</v>
      </c>
      <c r="J312" s="64">
        <f>-SUM(J310:J311)</f>
        <v>-16149.900000000001</v>
      </c>
      <c r="K312" s="57"/>
      <c r="L312" s="88"/>
      <c r="M312" s="62"/>
      <c r="N312" s="57"/>
      <c r="O312" s="88"/>
      <c r="P312" s="62"/>
      <c r="Q312" s="39"/>
      <c r="R312" s="39"/>
      <c r="S312" s="39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22"/>
      <c r="AO312" s="43">
        <f>A284</f>
        <v>0</v>
      </c>
      <c r="AP312" s="12" t="e">
        <f>#REF!</f>
        <v>#REF!</v>
      </c>
      <c r="AT312" s="2"/>
    </row>
    <row r="313" spans="1:46" s="4" customFormat="1" ht="17.25" customHeight="1" x14ac:dyDescent="0.25">
      <c r="A313" s="23"/>
      <c r="B313" s="201" t="s">
        <v>93</v>
      </c>
      <c r="C313" s="202"/>
      <c r="D313" s="64"/>
      <c r="E313" s="64"/>
      <c r="F313" s="64"/>
      <c r="G313" s="64"/>
      <c r="H313" s="64"/>
      <c r="I313" s="64"/>
      <c r="J313" s="64"/>
      <c r="K313" s="57">
        <v>-112</v>
      </c>
      <c r="L313" s="88"/>
      <c r="M313" s="62">
        <f>(K316*(M299+M307)/(K299+K307))-M299-M310-M307</f>
        <v>436.56372775437922</v>
      </c>
      <c r="N313" s="57">
        <v>75</v>
      </c>
      <c r="O313" s="88"/>
      <c r="P313" s="62">
        <f>(N316*(P299+P308)/(N299+N308))-P299-P311-P308</f>
        <v>969.46529752066272</v>
      </c>
      <c r="Q313" s="39"/>
      <c r="R313" s="39"/>
      <c r="S313" s="39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22"/>
      <c r="AO313" s="43">
        <f>A293</f>
        <v>0</v>
      </c>
      <c r="AP313" s="12" t="e">
        <f>#REF!</f>
        <v>#REF!</v>
      </c>
      <c r="AT313" s="2"/>
    </row>
    <row r="314" spans="1:46" s="2" customFormat="1" ht="17.25" customHeight="1" x14ac:dyDescent="0.2">
      <c r="A314" s="24"/>
      <c r="B314" s="201"/>
      <c r="C314" s="204"/>
      <c r="D314" s="63"/>
      <c r="E314" s="64"/>
      <c r="F314" s="64"/>
      <c r="G314" s="64"/>
      <c r="H314" s="64"/>
      <c r="I314" s="64"/>
      <c r="J314" s="64"/>
      <c r="K314" s="16"/>
      <c r="L314" s="16"/>
      <c r="M314" s="64"/>
      <c r="N314" s="16"/>
      <c r="O314" s="16"/>
      <c r="P314" s="64"/>
      <c r="Q314" s="46"/>
      <c r="R314" s="46"/>
      <c r="S314" s="39"/>
      <c r="T314" s="16"/>
      <c r="U314" s="16"/>
      <c r="V314" s="16"/>
      <c r="W314" s="16"/>
      <c r="X314" s="16"/>
      <c r="Y314" s="19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43"/>
      <c r="AQ314" s="10"/>
      <c r="AR314" s="11"/>
    </row>
    <row r="315" spans="1:46" s="2" customFormat="1" ht="17.25" customHeight="1" thickBot="1" x14ac:dyDescent="0.3">
      <c r="A315" s="56"/>
      <c r="B315" s="101" t="s">
        <v>102</v>
      </c>
      <c r="C315" s="102">
        <f>D316+E316+F316+G316+H316+I316+J316+M316+P316</f>
        <v>110804.68954000001</v>
      </c>
      <c r="D315" s="84"/>
      <c r="E315" s="85"/>
      <c r="F315" s="85"/>
      <c r="G315" s="85"/>
      <c r="H315" s="85"/>
      <c r="I315" s="85"/>
      <c r="J315" s="85"/>
      <c r="K315" s="28"/>
      <c r="L315" s="28"/>
      <c r="M315" s="85"/>
      <c r="N315" s="28"/>
      <c r="O315" s="28"/>
      <c r="P315" s="85"/>
      <c r="Q315" s="48"/>
      <c r="R315" s="48"/>
      <c r="S315" s="51"/>
      <c r="T315" s="28"/>
      <c r="U315" s="28"/>
      <c r="V315" s="28"/>
      <c r="W315" s="28"/>
      <c r="X315" s="28"/>
      <c r="Y315" s="36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42">
        <f>SUM($Q299:AN315)</f>
        <v>-407943.10000000003</v>
      </c>
      <c r="AQ315" s="10"/>
      <c r="AR315" s="11"/>
      <c r="AS315" s="2" t="s">
        <v>5</v>
      </c>
    </row>
    <row r="316" spans="1:46" s="2" customFormat="1" ht="17.25" customHeight="1" thickTop="1" thickBot="1" x14ac:dyDescent="0.3">
      <c r="A316" s="103"/>
      <c r="B316" s="104" t="s">
        <v>103</v>
      </c>
      <c r="C316" s="105">
        <f>AO316</f>
        <v>-297138.41046000004</v>
      </c>
      <c r="D316" s="106">
        <f t="shared" ref="D316:K316" si="40">SUM(D299:D315)</f>
        <v>5018.9070400000019</v>
      </c>
      <c r="E316" s="107">
        <f t="shared" si="40"/>
        <v>-8130.52</v>
      </c>
      <c r="F316" s="107">
        <f t="shared" si="40"/>
        <v>0</v>
      </c>
      <c r="G316" s="107">
        <f t="shared" si="40"/>
        <v>0</v>
      </c>
      <c r="H316" s="107">
        <f t="shared" si="40"/>
        <v>42061.592500000006</v>
      </c>
      <c r="I316" s="107">
        <f t="shared" si="40"/>
        <v>10806.5</v>
      </c>
      <c r="J316" s="107">
        <f t="shared" si="40"/>
        <v>0</v>
      </c>
      <c r="K316" s="108">
        <f t="shared" si="40"/>
        <v>5977</v>
      </c>
      <c r="L316" s="109">
        <f>M316/K316</f>
        <v>5.0611527522168309</v>
      </c>
      <c r="M316" s="107">
        <f>ROUND(SUM(M299:M315),2)</f>
        <v>30250.51</v>
      </c>
      <c r="N316" s="108">
        <f>SUM(N299:N315)</f>
        <v>8703</v>
      </c>
      <c r="O316" s="109">
        <f>P316/N316</f>
        <v>3.5387452602550846</v>
      </c>
      <c r="P316" s="107">
        <f>ROUND(SUM(P299:P315),2)</f>
        <v>30797.7</v>
      </c>
      <c r="Q316" s="110">
        <f t="shared" ref="Q316:AN316" si="41">SUM(Q299:Q315)</f>
        <v>-448528.33</v>
      </c>
      <c r="R316" s="107">
        <f t="shared" si="41"/>
        <v>50229.299999999996</v>
      </c>
      <c r="S316" s="107">
        <f t="shared" si="41"/>
        <v>0</v>
      </c>
      <c r="T316" s="107">
        <f t="shared" si="41"/>
        <v>-9644.07</v>
      </c>
      <c r="U316" s="107">
        <f t="shared" si="41"/>
        <v>0</v>
      </c>
      <c r="V316" s="107">
        <f t="shared" si="41"/>
        <v>0</v>
      </c>
      <c r="W316" s="107">
        <f t="shared" si="41"/>
        <v>0</v>
      </c>
      <c r="X316" s="107">
        <f t="shared" si="41"/>
        <v>0</v>
      </c>
      <c r="Y316" s="107">
        <f t="shared" si="41"/>
        <v>0</v>
      </c>
      <c r="Z316" s="107">
        <f t="shared" si="41"/>
        <v>0</v>
      </c>
      <c r="AA316" s="107">
        <f t="shared" si="41"/>
        <v>0</v>
      </c>
      <c r="AB316" s="107">
        <f t="shared" si="41"/>
        <v>0</v>
      </c>
      <c r="AC316" s="107">
        <f t="shared" si="41"/>
        <v>0</v>
      </c>
      <c r="AD316" s="107">
        <f t="shared" si="41"/>
        <v>0</v>
      </c>
      <c r="AE316" s="107">
        <f t="shared" si="41"/>
        <v>0</v>
      </c>
      <c r="AF316" s="107">
        <f t="shared" si="41"/>
        <v>0</v>
      </c>
      <c r="AG316" s="107">
        <f t="shared" si="41"/>
        <v>0</v>
      </c>
      <c r="AH316" s="107">
        <f t="shared" si="41"/>
        <v>0</v>
      </c>
      <c r="AI316" s="107">
        <f t="shared" si="41"/>
        <v>0</v>
      </c>
      <c r="AJ316" s="107">
        <f t="shared" si="41"/>
        <v>0</v>
      </c>
      <c r="AK316" s="107">
        <f t="shared" si="41"/>
        <v>0</v>
      </c>
      <c r="AL316" s="107">
        <f t="shared" si="41"/>
        <v>0</v>
      </c>
      <c r="AM316" s="107">
        <f t="shared" si="41"/>
        <v>0</v>
      </c>
      <c r="AN316" s="107">
        <f t="shared" si="41"/>
        <v>0</v>
      </c>
      <c r="AO316" s="111">
        <f>D316+E316+F316+G316+H316+I316+J316+M316+P316+SUM(Q316:AN316)</f>
        <v>-297138.41046000004</v>
      </c>
      <c r="AP316" s="4"/>
      <c r="AQ316" s="5"/>
      <c r="AR316" s="5"/>
      <c r="AS316" s="2" t="s">
        <v>6</v>
      </c>
    </row>
    <row r="317" spans="1:46" s="2" customFormat="1" ht="17.25" customHeight="1" thickTop="1" x14ac:dyDescent="0.25">
      <c r="A317" s="23">
        <f>A300+1</f>
        <v>45983</v>
      </c>
      <c r="B317" s="210" t="s">
        <v>64</v>
      </c>
      <c r="C317" s="203"/>
      <c r="D317" s="63">
        <v>10536.94</v>
      </c>
      <c r="E317" s="66"/>
      <c r="F317" s="66"/>
      <c r="G317" s="66"/>
      <c r="H317" s="66"/>
      <c r="I317" s="66">
        <f>-D317</f>
        <v>-10536.94</v>
      </c>
      <c r="J317" s="66"/>
      <c r="K317" s="18"/>
      <c r="L317" s="18"/>
      <c r="M317" s="66"/>
      <c r="N317" s="18"/>
      <c r="O317" s="18"/>
      <c r="P317" s="66"/>
      <c r="Q317" s="46"/>
      <c r="R317" s="46"/>
      <c r="S317" s="45"/>
      <c r="T317" s="18"/>
      <c r="U317" s="18"/>
      <c r="V317" s="18"/>
      <c r="W317" s="18"/>
      <c r="X317" s="18"/>
      <c r="Y317" s="14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31"/>
      <c r="AQ317" s="10"/>
      <c r="AR317" s="27"/>
    </row>
    <row r="318" spans="1:46" s="4" customFormat="1" ht="17.25" customHeight="1" x14ac:dyDescent="0.25">
      <c r="A318" s="23"/>
      <c r="B318" s="201" t="s">
        <v>96</v>
      </c>
      <c r="C318" s="202"/>
      <c r="D318" s="63"/>
      <c r="E318" s="64"/>
      <c r="F318" s="64"/>
      <c r="G318" s="64"/>
      <c r="H318" s="64"/>
      <c r="I318" s="64">
        <f>-I316-I317</f>
        <v>-269.55999999999949</v>
      </c>
      <c r="J318" s="64"/>
      <c r="K318" s="16"/>
      <c r="L318" s="92"/>
      <c r="M318" s="64"/>
      <c r="N318" s="16"/>
      <c r="O318" s="92"/>
      <c r="P318" s="64"/>
      <c r="Q318" s="40"/>
      <c r="R318" s="46"/>
      <c r="S318" s="39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22"/>
      <c r="AP318" s="30"/>
    </row>
    <row r="319" spans="1:46" s="2" customFormat="1" ht="17.25" customHeight="1" thickBot="1" x14ac:dyDescent="0.25">
      <c r="A319" s="24"/>
      <c r="B319" s="216"/>
      <c r="C319" s="217"/>
      <c r="D319" s="83"/>
      <c r="E319" s="81"/>
      <c r="F319" s="81"/>
      <c r="G319" s="81"/>
      <c r="H319" s="81"/>
      <c r="I319" s="81"/>
      <c r="J319" s="81"/>
      <c r="K319" s="37"/>
      <c r="L319" s="93"/>
      <c r="M319" s="81"/>
      <c r="N319" s="37"/>
      <c r="O319" s="93"/>
      <c r="P319" s="81"/>
      <c r="Q319" s="40"/>
      <c r="R319" s="40"/>
      <c r="S319" s="39"/>
      <c r="T319" s="16"/>
      <c r="U319" s="16"/>
      <c r="V319" s="16"/>
      <c r="W319" s="16"/>
      <c r="X319" s="16"/>
      <c r="Y319" s="19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41"/>
      <c r="AQ319" s="10"/>
      <c r="AR319" s="11"/>
    </row>
    <row r="320" spans="1:46" s="4" customFormat="1" ht="17.25" customHeight="1" x14ac:dyDescent="0.25">
      <c r="A320" s="23"/>
      <c r="B320" s="210" t="s">
        <v>94</v>
      </c>
      <c r="C320" s="203"/>
      <c r="D320" s="66"/>
      <c r="E320" s="66"/>
      <c r="F320" s="117"/>
      <c r="G320" s="117"/>
      <c r="H320" s="66"/>
      <c r="I320" s="66"/>
      <c r="J320" s="66">
        <f>-M320</f>
        <v>7207.2</v>
      </c>
      <c r="K320" s="58">
        <v>-1232</v>
      </c>
      <c r="L320" s="89">
        <v>5.85</v>
      </c>
      <c r="M320" s="73">
        <f>K320*L320</f>
        <v>-7207.2</v>
      </c>
      <c r="N320" s="58"/>
      <c r="O320" s="89"/>
      <c r="P320" s="73"/>
      <c r="Q320" s="39"/>
      <c r="R320" s="39"/>
      <c r="S320" s="8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35"/>
      <c r="AP320" s="12" t="e">
        <f>#REF!</f>
        <v>#REF!</v>
      </c>
    </row>
    <row r="321" spans="1:46" s="4" customFormat="1" ht="17.25" customHeight="1" x14ac:dyDescent="0.25">
      <c r="A321" s="23"/>
      <c r="B321" s="201" t="s">
        <v>95</v>
      </c>
      <c r="C321" s="202"/>
      <c r="D321" s="64"/>
      <c r="E321" s="64"/>
      <c r="F321" s="117"/>
      <c r="G321" s="117"/>
      <c r="H321" s="64"/>
      <c r="I321" s="64"/>
      <c r="J321" s="64">
        <f>-P321</f>
        <v>7630.7</v>
      </c>
      <c r="K321" s="57"/>
      <c r="L321" s="88"/>
      <c r="M321" s="62"/>
      <c r="N321" s="57">
        <v>-1982</v>
      </c>
      <c r="O321" s="88">
        <v>3.85</v>
      </c>
      <c r="P321" s="62">
        <f>N321*O321</f>
        <v>-7630.7</v>
      </c>
      <c r="Q321" s="39"/>
      <c r="R321" s="39"/>
      <c r="S321" s="8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35"/>
      <c r="AP321" s="12" t="e">
        <f>#REF!</f>
        <v>#REF!</v>
      </c>
    </row>
    <row r="322" spans="1:46" s="4" customFormat="1" ht="17.25" customHeight="1" x14ac:dyDescent="0.25">
      <c r="A322" s="23"/>
      <c r="B322" s="201" t="s">
        <v>97</v>
      </c>
      <c r="C322" s="203"/>
      <c r="D322" s="64"/>
      <c r="E322" s="64"/>
      <c r="F322" s="64"/>
      <c r="G322" s="64"/>
      <c r="H322" s="64">
        <f>-J322-I322</f>
        <v>5098.49</v>
      </c>
      <c r="I322" s="64">
        <v>9739.41</v>
      </c>
      <c r="J322" s="64">
        <f>-SUM(J320:J321)</f>
        <v>-14837.9</v>
      </c>
      <c r="K322" s="57"/>
      <c r="L322" s="88"/>
      <c r="M322" s="62"/>
      <c r="N322" s="57"/>
      <c r="O322" s="88"/>
      <c r="P322" s="62"/>
      <c r="Q322" s="39"/>
      <c r="R322" s="39"/>
      <c r="S322" s="39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22"/>
      <c r="AO322" s="43">
        <f>A296</f>
        <v>0</v>
      </c>
      <c r="AP322" s="12" t="e">
        <f>#REF!</f>
        <v>#REF!</v>
      </c>
      <c r="AT322" s="2"/>
    </row>
    <row r="323" spans="1:46" s="4" customFormat="1" ht="17.25" customHeight="1" x14ac:dyDescent="0.25">
      <c r="A323" s="23"/>
      <c r="B323" s="201" t="s">
        <v>93</v>
      </c>
      <c r="C323" s="202"/>
      <c r="D323" s="64"/>
      <c r="E323" s="64"/>
      <c r="F323" s="64"/>
      <c r="G323" s="64"/>
      <c r="H323" s="64"/>
      <c r="I323" s="64"/>
      <c r="J323" s="64"/>
      <c r="K323" s="57">
        <v>-8</v>
      </c>
      <c r="L323" s="88"/>
      <c r="M323" s="62">
        <f>(K326*L316)-M316-M320</f>
        <v>931.37058725113002</v>
      </c>
      <c r="N323" s="57">
        <v>-12</v>
      </c>
      <c r="O323" s="88"/>
      <c r="P323" s="62">
        <f>(N326*O316)-P316-P321</f>
        <v>574.44195105136077</v>
      </c>
      <c r="Q323" s="39"/>
      <c r="R323" s="39"/>
      <c r="S323" s="39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22"/>
      <c r="AO323" s="43">
        <f>A310</f>
        <v>0</v>
      </c>
      <c r="AP323" s="12" t="e">
        <f>#REF!</f>
        <v>#REF!</v>
      </c>
      <c r="AT323" s="2"/>
    </row>
    <row r="324" spans="1:46" s="2" customFormat="1" ht="17.25" customHeight="1" x14ac:dyDescent="0.2">
      <c r="A324" s="24"/>
      <c r="B324" s="201"/>
      <c r="C324" s="204"/>
      <c r="D324" s="63"/>
      <c r="E324" s="64"/>
      <c r="F324" s="64"/>
      <c r="G324" s="64"/>
      <c r="H324" s="64"/>
      <c r="I324" s="64"/>
      <c r="J324" s="64"/>
      <c r="K324" s="16"/>
      <c r="L324" s="16"/>
      <c r="M324" s="64"/>
      <c r="N324" s="16"/>
      <c r="O324" s="16"/>
      <c r="P324" s="64"/>
      <c r="Q324" s="46"/>
      <c r="R324" s="46"/>
      <c r="S324" s="39"/>
      <c r="T324" s="16"/>
      <c r="U324" s="16"/>
      <c r="V324" s="16"/>
      <c r="W324" s="16"/>
      <c r="X324" s="16"/>
      <c r="Y324" s="19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43">
        <f>A317</f>
        <v>45983</v>
      </c>
      <c r="AQ324" s="10"/>
      <c r="AR324" s="11"/>
    </row>
    <row r="325" spans="1:46" s="2" customFormat="1" ht="17.25" customHeight="1" thickBot="1" x14ac:dyDescent="0.3">
      <c r="A325" s="56"/>
      <c r="B325" s="101" t="s">
        <v>102</v>
      </c>
      <c r="C325" s="102">
        <f>D326+E326+F326+G326+H326+I326+J326+M326+P326</f>
        <v>112040.93954000002</v>
      </c>
      <c r="D325" s="84"/>
      <c r="E325" s="85"/>
      <c r="F325" s="85"/>
      <c r="G325" s="85"/>
      <c r="H325" s="85"/>
      <c r="I325" s="85"/>
      <c r="J325" s="85"/>
      <c r="K325" s="28"/>
      <c r="L325" s="28"/>
      <c r="M325" s="85"/>
      <c r="N325" s="28"/>
      <c r="O325" s="28"/>
      <c r="P325" s="85"/>
      <c r="Q325" s="48"/>
      <c r="R325" s="48"/>
      <c r="S325" s="51"/>
      <c r="T325" s="28"/>
      <c r="U325" s="28"/>
      <c r="V325" s="28"/>
      <c r="W325" s="28"/>
      <c r="X325" s="28"/>
      <c r="Y325" s="36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42">
        <f>SUM($Q316:AN325)</f>
        <v>-407943.10000000003</v>
      </c>
      <c r="AQ325" s="10"/>
      <c r="AR325" s="11"/>
      <c r="AS325" s="2" t="s">
        <v>5</v>
      </c>
    </row>
    <row r="326" spans="1:46" s="2" customFormat="1" ht="17.25" customHeight="1" thickTop="1" thickBot="1" x14ac:dyDescent="0.3">
      <c r="A326" s="103"/>
      <c r="B326" s="104" t="s">
        <v>103</v>
      </c>
      <c r="C326" s="105">
        <f>AO326</f>
        <v>-295902.16046000004</v>
      </c>
      <c r="D326" s="106">
        <f t="shared" ref="D326:K326" si="42">SUM(D316:D325)</f>
        <v>15555.847040000002</v>
      </c>
      <c r="E326" s="107">
        <f t="shared" si="42"/>
        <v>-8130.52</v>
      </c>
      <c r="F326" s="107">
        <f t="shared" si="42"/>
        <v>0</v>
      </c>
      <c r="G326" s="107">
        <f t="shared" si="42"/>
        <v>0</v>
      </c>
      <c r="H326" s="107">
        <f t="shared" si="42"/>
        <v>47160.082500000004</v>
      </c>
      <c r="I326" s="107">
        <f t="shared" si="42"/>
        <v>9739.41</v>
      </c>
      <c r="J326" s="107">
        <f t="shared" si="42"/>
        <v>0</v>
      </c>
      <c r="K326" s="108">
        <f t="shared" si="42"/>
        <v>4737</v>
      </c>
      <c r="L326" s="109">
        <f>M326/K326</f>
        <v>5.0611526282457255</v>
      </c>
      <c r="M326" s="107">
        <f>ROUND(SUM(M316:M325),2)</f>
        <v>23974.68</v>
      </c>
      <c r="N326" s="108">
        <f>SUM(N316:N325)</f>
        <v>6709</v>
      </c>
      <c r="O326" s="109">
        <f>P326/N326</f>
        <v>3.5387449694440303</v>
      </c>
      <c r="P326" s="107">
        <f>ROUND(SUM(P316:P325),2)</f>
        <v>23741.439999999999</v>
      </c>
      <c r="Q326" s="110">
        <f t="shared" ref="Q326:AN326" si="43">SUM(Q316:Q325)</f>
        <v>-448528.33</v>
      </c>
      <c r="R326" s="107">
        <f t="shared" si="43"/>
        <v>50229.299999999996</v>
      </c>
      <c r="S326" s="107">
        <f t="shared" si="43"/>
        <v>0</v>
      </c>
      <c r="T326" s="107">
        <f t="shared" si="43"/>
        <v>-9644.07</v>
      </c>
      <c r="U326" s="107">
        <f t="shared" si="43"/>
        <v>0</v>
      </c>
      <c r="V326" s="107">
        <f t="shared" si="43"/>
        <v>0</v>
      </c>
      <c r="W326" s="107">
        <f t="shared" si="43"/>
        <v>0</v>
      </c>
      <c r="X326" s="107">
        <f t="shared" si="43"/>
        <v>0</v>
      </c>
      <c r="Y326" s="107">
        <f t="shared" si="43"/>
        <v>0</v>
      </c>
      <c r="Z326" s="107">
        <f t="shared" si="43"/>
        <v>0</v>
      </c>
      <c r="AA326" s="107">
        <f t="shared" si="43"/>
        <v>0</v>
      </c>
      <c r="AB326" s="107">
        <f t="shared" si="43"/>
        <v>0</v>
      </c>
      <c r="AC326" s="107">
        <f t="shared" si="43"/>
        <v>0</v>
      </c>
      <c r="AD326" s="107">
        <f t="shared" si="43"/>
        <v>0</v>
      </c>
      <c r="AE326" s="107">
        <f t="shared" si="43"/>
        <v>0</v>
      </c>
      <c r="AF326" s="107">
        <f t="shared" si="43"/>
        <v>0</v>
      </c>
      <c r="AG326" s="107">
        <f t="shared" si="43"/>
        <v>0</v>
      </c>
      <c r="AH326" s="107">
        <f t="shared" si="43"/>
        <v>0</v>
      </c>
      <c r="AI326" s="107">
        <f t="shared" si="43"/>
        <v>0</v>
      </c>
      <c r="AJ326" s="107">
        <f t="shared" si="43"/>
        <v>0</v>
      </c>
      <c r="AK326" s="107">
        <f t="shared" si="43"/>
        <v>0</v>
      </c>
      <c r="AL326" s="107">
        <f t="shared" si="43"/>
        <v>0</v>
      </c>
      <c r="AM326" s="107">
        <f t="shared" si="43"/>
        <v>0</v>
      </c>
      <c r="AN326" s="107">
        <f t="shared" si="43"/>
        <v>0</v>
      </c>
      <c r="AO326" s="111">
        <f>D326+E326+F326+G326+H326+I326+J326+M326+P326+SUM(Q326:AN326)</f>
        <v>-295902.16046000004</v>
      </c>
      <c r="AP326" s="4"/>
      <c r="AQ326" s="5"/>
      <c r="AR326" s="5"/>
      <c r="AS326" s="2" t="s">
        <v>6</v>
      </c>
    </row>
    <row r="327" spans="1:46" s="2" customFormat="1" ht="17.25" customHeight="1" thickTop="1" x14ac:dyDescent="0.25">
      <c r="A327" s="23">
        <f>A317+1</f>
        <v>45984</v>
      </c>
      <c r="B327" s="210" t="s">
        <v>64</v>
      </c>
      <c r="C327" s="203"/>
      <c r="D327" s="63">
        <v>9490.11</v>
      </c>
      <c r="E327" s="66"/>
      <c r="F327" s="66"/>
      <c r="G327" s="66"/>
      <c r="H327" s="66"/>
      <c r="I327" s="66">
        <f>-D327</f>
        <v>-9490.11</v>
      </c>
      <c r="J327" s="66"/>
      <c r="K327" s="18"/>
      <c r="L327" s="18"/>
      <c r="M327" s="66"/>
      <c r="N327" s="18"/>
      <c r="O327" s="18"/>
      <c r="P327" s="66"/>
      <c r="Q327" s="46"/>
      <c r="R327" s="46"/>
      <c r="S327" s="45"/>
      <c r="T327" s="18"/>
      <c r="U327" s="18"/>
      <c r="V327" s="18"/>
      <c r="W327" s="18"/>
      <c r="X327" s="18"/>
      <c r="Y327" s="14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31"/>
      <c r="AQ327" s="10"/>
      <c r="AR327" s="27"/>
    </row>
    <row r="328" spans="1:46" s="4" customFormat="1" ht="17.25" customHeight="1" x14ac:dyDescent="0.25">
      <c r="A328" s="23"/>
      <c r="B328" s="201" t="s">
        <v>96</v>
      </c>
      <c r="C328" s="202"/>
      <c r="D328" s="63"/>
      <c r="E328" s="64"/>
      <c r="F328" s="64"/>
      <c r="G328" s="64"/>
      <c r="H328" s="64"/>
      <c r="I328" s="64">
        <f>-I326-I327</f>
        <v>-249.29999999999927</v>
      </c>
      <c r="J328" s="64"/>
      <c r="K328" s="16"/>
      <c r="L328" s="92"/>
      <c r="M328" s="64"/>
      <c r="N328" s="16"/>
      <c r="O328" s="92"/>
      <c r="P328" s="64"/>
      <c r="Q328" s="40"/>
      <c r="R328" s="46"/>
      <c r="S328" s="39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22"/>
      <c r="AP328" s="30"/>
    </row>
    <row r="329" spans="1:46" s="2" customFormat="1" ht="17.25" customHeight="1" thickBot="1" x14ac:dyDescent="0.25">
      <c r="A329" s="24"/>
      <c r="B329" s="216"/>
      <c r="C329" s="217"/>
      <c r="D329" s="83"/>
      <c r="E329" s="81"/>
      <c r="F329" s="81"/>
      <c r="G329" s="81"/>
      <c r="H329" s="81"/>
      <c r="I329" s="81"/>
      <c r="J329" s="81"/>
      <c r="K329" s="37"/>
      <c r="L329" s="93"/>
      <c r="M329" s="81"/>
      <c r="N329" s="37"/>
      <c r="O329" s="93"/>
      <c r="P329" s="81"/>
      <c r="Q329" s="40"/>
      <c r="R329" s="40"/>
      <c r="S329" s="39"/>
      <c r="T329" s="16"/>
      <c r="U329" s="16"/>
      <c r="V329" s="16"/>
      <c r="W329" s="16"/>
      <c r="X329" s="16"/>
      <c r="Y329" s="19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41"/>
      <c r="AQ329" s="10"/>
      <c r="AR329" s="11"/>
    </row>
    <row r="330" spans="1:46" s="4" customFormat="1" ht="17.25" customHeight="1" x14ac:dyDescent="0.25">
      <c r="A330" s="23"/>
      <c r="B330" s="210" t="s">
        <v>94</v>
      </c>
      <c r="C330" s="203"/>
      <c r="D330" s="66"/>
      <c r="E330" s="66"/>
      <c r="F330" s="117"/>
      <c r="G330" s="117"/>
      <c r="H330" s="66"/>
      <c r="I330" s="66"/>
      <c r="J330" s="66">
        <f>-M330</f>
        <v>6446.7</v>
      </c>
      <c r="K330" s="58">
        <v>-1102</v>
      </c>
      <c r="L330" s="89">
        <v>5.85</v>
      </c>
      <c r="M330" s="73">
        <f>K330*L330</f>
        <v>-6446.7</v>
      </c>
      <c r="N330" s="58"/>
      <c r="O330" s="89"/>
      <c r="P330" s="73"/>
      <c r="Q330" s="39"/>
      <c r="R330" s="39"/>
      <c r="S330" s="8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35"/>
      <c r="AP330" s="12" t="e">
        <f>#REF!</f>
        <v>#REF!</v>
      </c>
    </row>
    <row r="331" spans="1:46" s="4" customFormat="1" ht="17.25" customHeight="1" x14ac:dyDescent="0.25">
      <c r="A331" s="23"/>
      <c r="B331" s="201" t="s">
        <v>95</v>
      </c>
      <c r="C331" s="202"/>
      <c r="D331" s="64"/>
      <c r="E331" s="64"/>
      <c r="F331" s="117"/>
      <c r="G331" s="117"/>
      <c r="H331" s="64"/>
      <c r="I331" s="64"/>
      <c r="J331" s="64">
        <f>-P331</f>
        <v>6645.1</v>
      </c>
      <c r="K331" s="57"/>
      <c r="L331" s="88"/>
      <c r="M331" s="62"/>
      <c r="N331" s="57">
        <v>-1726</v>
      </c>
      <c r="O331" s="88">
        <v>3.85</v>
      </c>
      <c r="P331" s="62">
        <f>N331*O331</f>
        <v>-6645.1</v>
      </c>
      <c r="Q331" s="39"/>
      <c r="R331" s="39"/>
      <c r="S331" s="8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35"/>
      <c r="AP331" s="12" t="e">
        <f>#REF!</f>
        <v>#REF!</v>
      </c>
    </row>
    <row r="332" spans="1:46" s="4" customFormat="1" ht="17.25" customHeight="1" x14ac:dyDescent="0.25">
      <c r="A332" s="23"/>
      <c r="B332" s="201" t="s">
        <v>97</v>
      </c>
      <c r="C332" s="203"/>
      <c r="D332" s="64"/>
      <c r="E332" s="64"/>
      <c r="F332" s="64"/>
      <c r="G332" s="64"/>
      <c r="H332" s="64">
        <f>-J332-I332</f>
        <v>3853.0399999999991</v>
      </c>
      <c r="I332" s="64">
        <v>9238.76</v>
      </c>
      <c r="J332" s="64">
        <f>-SUM(J330:J331)</f>
        <v>-13091.8</v>
      </c>
      <c r="K332" s="57"/>
      <c r="L332" s="88"/>
      <c r="M332" s="62"/>
      <c r="N332" s="57"/>
      <c r="O332" s="88"/>
      <c r="P332" s="62"/>
      <c r="Q332" s="39"/>
      <c r="R332" s="39"/>
      <c r="S332" s="39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22"/>
      <c r="AO332" s="43">
        <f>A313</f>
        <v>0</v>
      </c>
      <c r="AP332" s="12" t="e">
        <f>#REF!</f>
        <v>#REF!</v>
      </c>
      <c r="AT332" s="2"/>
    </row>
    <row r="333" spans="1:46" s="4" customFormat="1" ht="17.25" customHeight="1" x14ac:dyDescent="0.25">
      <c r="A333" s="23"/>
      <c r="B333" s="201" t="s">
        <v>93</v>
      </c>
      <c r="C333" s="202"/>
      <c r="D333" s="64"/>
      <c r="E333" s="64"/>
      <c r="F333" s="64"/>
      <c r="G333" s="64"/>
      <c r="H333" s="64"/>
      <c r="I333" s="64"/>
      <c r="J333" s="64"/>
      <c r="K333" s="57">
        <v>-4</v>
      </c>
      <c r="L333" s="88"/>
      <c r="M333" s="62">
        <f>(K336*L326)-M326-M330</f>
        <v>849.06519316022877</v>
      </c>
      <c r="N333" s="57">
        <v>-13</v>
      </c>
      <c r="O333" s="88"/>
      <c r="P333" s="62">
        <f>(N336*O326)-P326-P331</f>
        <v>491.22249813683266</v>
      </c>
      <c r="Q333" s="39"/>
      <c r="R333" s="39"/>
      <c r="S333" s="39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22"/>
      <c r="AO333" s="43">
        <f>A320</f>
        <v>0</v>
      </c>
      <c r="AP333" s="12" t="e">
        <f>#REF!</f>
        <v>#REF!</v>
      </c>
      <c r="AT333" s="2"/>
    </row>
    <row r="334" spans="1:46" s="2" customFormat="1" ht="17.25" customHeight="1" x14ac:dyDescent="0.2">
      <c r="A334" s="24"/>
      <c r="B334" s="201"/>
      <c r="C334" s="204"/>
      <c r="D334" s="63"/>
      <c r="E334" s="64"/>
      <c r="F334" s="64"/>
      <c r="G334" s="64"/>
      <c r="H334" s="64"/>
      <c r="I334" s="64"/>
      <c r="J334" s="64"/>
      <c r="K334" s="16"/>
      <c r="L334" s="16"/>
      <c r="M334" s="64"/>
      <c r="N334" s="16"/>
      <c r="O334" s="16"/>
      <c r="P334" s="64"/>
      <c r="Q334" s="46"/>
      <c r="R334" s="46"/>
      <c r="S334" s="39"/>
      <c r="T334" s="16"/>
      <c r="U334" s="16"/>
      <c r="V334" s="16"/>
      <c r="W334" s="16"/>
      <c r="X334" s="16"/>
      <c r="Y334" s="19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43">
        <f>A327</f>
        <v>45984</v>
      </c>
      <c r="AQ334" s="10"/>
      <c r="AR334" s="11"/>
    </row>
    <row r="335" spans="1:46" s="2" customFormat="1" ht="17.25" customHeight="1" thickBot="1" x14ac:dyDescent="0.3">
      <c r="A335" s="56"/>
      <c r="B335" s="101" t="s">
        <v>102</v>
      </c>
      <c r="C335" s="102">
        <f>D336+E336+F336+G336+H336+I336+J336+M336+P336</f>
        <v>113131.92954</v>
      </c>
      <c r="D335" s="84"/>
      <c r="E335" s="85"/>
      <c r="F335" s="85"/>
      <c r="G335" s="85"/>
      <c r="H335" s="85"/>
      <c r="I335" s="85"/>
      <c r="J335" s="85"/>
      <c r="K335" s="28"/>
      <c r="L335" s="28"/>
      <c r="M335" s="85"/>
      <c r="N335" s="28"/>
      <c r="O335" s="28"/>
      <c r="P335" s="85"/>
      <c r="Q335" s="48"/>
      <c r="R335" s="48"/>
      <c r="S335" s="51"/>
      <c r="T335" s="28"/>
      <c r="U335" s="28"/>
      <c r="V335" s="28"/>
      <c r="W335" s="28"/>
      <c r="X335" s="28"/>
      <c r="Y335" s="36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42">
        <f>SUM($Q326:AN335)</f>
        <v>-407943.10000000003</v>
      </c>
      <c r="AQ335" s="10"/>
      <c r="AR335" s="11"/>
      <c r="AS335" s="2" t="s">
        <v>5</v>
      </c>
    </row>
    <row r="336" spans="1:46" s="2" customFormat="1" ht="17.25" customHeight="1" thickTop="1" thickBot="1" x14ac:dyDescent="0.3">
      <c r="A336" s="103"/>
      <c r="B336" s="104" t="s">
        <v>103</v>
      </c>
      <c r="C336" s="105">
        <f>AO336</f>
        <v>-294811.17046000005</v>
      </c>
      <c r="D336" s="106">
        <f t="shared" ref="D336:K336" si="44">SUM(D326:D335)</f>
        <v>25045.957040000001</v>
      </c>
      <c r="E336" s="107">
        <f t="shared" si="44"/>
        <v>-8130.52</v>
      </c>
      <c r="F336" s="107">
        <f t="shared" si="44"/>
        <v>0</v>
      </c>
      <c r="G336" s="107">
        <f t="shared" si="44"/>
        <v>0</v>
      </c>
      <c r="H336" s="107">
        <f t="shared" si="44"/>
        <v>51013.122500000005</v>
      </c>
      <c r="I336" s="107">
        <f t="shared" si="44"/>
        <v>9238.76</v>
      </c>
      <c r="J336" s="107">
        <f t="shared" si="44"/>
        <v>0</v>
      </c>
      <c r="K336" s="108">
        <f t="shared" si="44"/>
        <v>3631</v>
      </c>
      <c r="L336" s="109">
        <f>M336/K336</f>
        <v>5.0611539520793167</v>
      </c>
      <c r="M336" s="107">
        <f>ROUND(SUM(M326:M335),2)</f>
        <v>18377.05</v>
      </c>
      <c r="N336" s="108">
        <f>SUM(N326:N335)</f>
        <v>4970</v>
      </c>
      <c r="O336" s="109">
        <f>P336/N336</f>
        <v>3.538744466800805</v>
      </c>
      <c r="P336" s="107">
        <f>ROUND(SUM(P326:P335),2)</f>
        <v>17587.560000000001</v>
      </c>
      <c r="Q336" s="110">
        <f t="shared" ref="Q336:AN336" si="45">SUM(Q326:Q335)</f>
        <v>-448528.33</v>
      </c>
      <c r="R336" s="107">
        <f t="shared" si="45"/>
        <v>50229.299999999996</v>
      </c>
      <c r="S336" s="107">
        <f t="shared" si="45"/>
        <v>0</v>
      </c>
      <c r="T336" s="107">
        <f t="shared" si="45"/>
        <v>-9644.07</v>
      </c>
      <c r="U336" s="107">
        <f t="shared" si="45"/>
        <v>0</v>
      </c>
      <c r="V336" s="107">
        <f t="shared" si="45"/>
        <v>0</v>
      </c>
      <c r="W336" s="107">
        <f t="shared" si="45"/>
        <v>0</v>
      </c>
      <c r="X336" s="107">
        <f t="shared" si="45"/>
        <v>0</v>
      </c>
      <c r="Y336" s="107">
        <f t="shared" si="45"/>
        <v>0</v>
      </c>
      <c r="Z336" s="107">
        <f t="shared" si="45"/>
        <v>0</v>
      </c>
      <c r="AA336" s="107">
        <f t="shared" si="45"/>
        <v>0</v>
      </c>
      <c r="AB336" s="107">
        <f t="shared" si="45"/>
        <v>0</v>
      </c>
      <c r="AC336" s="107">
        <f t="shared" si="45"/>
        <v>0</v>
      </c>
      <c r="AD336" s="107">
        <f t="shared" si="45"/>
        <v>0</v>
      </c>
      <c r="AE336" s="107">
        <f t="shared" si="45"/>
        <v>0</v>
      </c>
      <c r="AF336" s="107">
        <f t="shared" si="45"/>
        <v>0</v>
      </c>
      <c r="AG336" s="107">
        <f t="shared" si="45"/>
        <v>0</v>
      </c>
      <c r="AH336" s="107">
        <f t="shared" si="45"/>
        <v>0</v>
      </c>
      <c r="AI336" s="107">
        <f t="shared" si="45"/>
        <v>0</v>
      </c>
      <c r="AJ336" s="107">
        <f t="shared" si="45"/>
        <v>0</v>
      </c>
      <c r="AK336" s="107">
        <f t="shared" si="45"/>
        <v>0</v>
      </c>
      <c r="AL336" s="107">
        <f t="shared" si="45"/>
        <v>0</v>
      </c>
      <c r="AM336" s="107">
        <f t="shared" si="45"/>
        <v>0</v>
      </c>
      <c r="AN336" s="107">
        <f t="shared" si="45"/>
        <v>0</v>
      </c>
      <c r="AO336" s="111">
        <f>D336+E336+F336+G336+H336+I336+J336+M336+P336+SUM(Q336:AN336)</f>
        <v>-294811.17046000005</v>
      </c>
      <c r="AP336" s="4"/>
      <c r="AQ336" s="5"/>
      <c r="AR336" s="5"/>
      <c r="AS336" s="2" t="s">
        <v>6</v>
      </c>
    </row>
    <row r="337" spans="1:46" s="2" customFormat="1" ht="17.25" customHeight="1" thickTop="1" x14ac:dyDescent="0.25">
      <c r="A337" s="23">
        <f>A327+1</f>
        <v>45985</v>
      </c>
      <c r="B337" s="210" t="s">
        <v>64</v>
      </c>
      <c r="C337" s="203"/>
      <c r="D337" s="63">
        <v>8981.73</v>
      </c>
      <c r="E337" s="66"/>
      <c r="F337" s="66"/>
      <c r="G337" s="66"/>
      <c r="H337" s="66"/>
      <c r="I337" s="66">
        <f>-D337</f>
        <v>-8981.73</v>
      </c>
      <c r="J337" s="66"/>
      <c r="K337" s="18"/>
      <c r="L337" s="18"/>
      <c r="M337" s="66"/>
      <c r="N337" s="18"/>
      <c r="O337" s="18"/>
      <c r="P337" s="66"/>
      <c r="Q337" s="46"/>
      <c r="R337" s="46"/>
      <c r="S337" s="45"/>
      <c r="T337" s="18"/>
      <c r="U337" s="18"/>
      <c r="V337" s="18"/>
      <c r="W337" s="18"/>
      <c r="X337" s="18"/>
      <c r="Y337" s="14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31"/>
      <c r="AQ337" s="10"/>
      <c r="AR337" s="27"/>
    </row>
    <row r="338" spans="1:46" s="4" customFormat="1" ht="17.25" customHeight="1" x14ac:dyDescent="0.25">
      <c r="A338" s="23"/>
      <c r="B338" s="201" t="s">
        <v>96</v>
      </c>
      <c r="C338" s="202"/>
      <c r="D338" s="63"/>
      <c r="E338" s="64"/>
      <c r="F338" s="64"/>
      <c r="G338" s="64"/>
      <c r="H338" s="64"/>
      <c r="I338" s="64">
        <f>-I336-I337</f>
        <v>-257.03000000000065</v>
      </c>
      <c r="J338" s="64"/>
      <c r="K338" s="16"/>
      <c r="L338" s="92"/>
      <c r="M338" s="64"/>
      <c r="N338" s="16"/>
      <c r="O338" s="92"/>
      <c r="P338" s="64"/>
      <c r="Q338" s="40"/>
      <c r="R338" s="46"/>
      <c r="S338" s="39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22"/>
      <c r="AP338" s="30"/>
    </row>
    <row r="339" spans="1:46" s="2" customFormat="1" ht="17.25" customHeight="1" x14ac:dyDescent="0.2">
      <c r="A339" s="23"/>
      <c r="B339" s="201" t="s">
        <v>13</v>
      </c>
      <c r="C339" s="203"/>
      <c r="D339" s="63"/>
      <c r="E339" s="64">
        <f>-E336-18984.42+14450</f>
        <v>3596.1000000000022</v>
      </c>
      <c r="F339" s="64"/>
      <c r="G339" s="64"/>
      <c r="H339" s="64">
        <f>-E339</f>
        <v>-3596.1000000000022</v>
      </c>
      <c r="I339" s="64"/>
      <c r="J339" s="64"/>
      <c r="K339" s="16"/>
      <c r="L339" s="16"/>
      <c r="M339" s="64"/>
      <c r="N339" s="16"/>
      <c r="O339" s="16"/>
      <c r="P339" s="64"/>
      <c r="Q339" s="46"/>
      <c r="R339" s="39"/>
      <c r="S339" s="40"/>
      <c r="T339" s="16"/>
      <c r="U339" s="16"/>
      <c r="V339" s="16"/>
      <c r="W339" s="16"/>
      <c r="X339" s="16"/>
      <c r="Y339" s="19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35"/>
      <c r="AQ339" s="10"/>
      <c r="AR339" s="27"/>
    </row>
    <row r="340" spans="1:46" s="2" customFormat="1" ht="17.25" customHeight="1" x14ac:dyDescent="0.25">
      <c r="A340" s="29"/>
      <c r="B340" s="201" t="s">
        <v>263</v>
      </c>
      <c r="C340" s="202"/>
      <c r="D340" s="63"/>
      <c r="E340" s="64">
        <v>-14450</v>
      </c>
      <c r="F340" s="64"/>
      <c r="G340" s="64"/>
      <c r="H340" s="64"/>
      <c r="I340" s="64"/>
      <c r="J340" s="64"/>
      <c r="K340" s="57"/>
      <c r="L340" s="88"/>
      <c r="M340" s="62"/>
      <c r="N340" s="57"/>
      <c r="O340" s="88"/>
      <c r="P340" s="62"/>
      <c r="Q340" s="47">
        <f>-E340</f>
        <v>14450</v>
      </c>
      <c r="R340" s="39"/>
      <c r="S340" s="39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22"/>
      <c r="AQ340" s="10" t="s">
        <v>4</v>
      </c>
      <c r="AR340" s="11" t="e">
        <v>#REF!</v>
      </c>
    </row>
    <row r="341" spans="1:46" s="2" customFormat="1" ht="17.25" customHeight="1" x14ac:dyDescent="0.25">
      <c r="A341" s="24"/>
      <c r="B341" s="205" t="s">
        <v>252</v>
      </c>
      <c r="C341" s="206"/>
      <c r="D341" s="64">
        <v>-15180</v>
      </c>
      <c r="E341" s="64"/>
      <c r="F341" s="64"/>
      <c r="G341" s="64"/>
      <c r="H341" s="64"/>
      <c r="I341" s="64"/>
      <c r="J341" s="64"/>
      <c r="K341" s="57"/>
      <c r="L341" s="88"/>
      <c r="M341" s="62"/>
      <c r="N341" s="57"/>
      <c r="O341" s="88"/>
      <c r="P341" s="62"/>
      <c r="Q341" s="39"/>
      <c r="R341" s="39"/>
      <c r="S341" s="39"/>
      <c r="T341" s="16"/>
      <c r="U341" s="16">
        <f>-D341</f>
        <v>15180</v>
      </c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22"/>
      <c r="AQ341" s="10"/>
      <c r="AR341" s="11"/>
    </row>
    <row r="342" spans="1:46" s="2" customFormat="1" ht="17.25" customHeight="1" x14ac:dyDescent="0.25">
      <c r="A342" s="29"/>
      <c r="B342" s="201" t="s">
        <v>284</v>
      </c>
      <c r="C342" s="202"/>
      <c r="D342" s="63">
        <f>-4.9</f>
        <v>-4.9000000000000004</v>
      </c>
      <c r="E342" s="64"/>
      <c r="F342" s="64"/>
      <c r="G342" s="64"/>
      <c r="H342" s="64"/>
      <c r="I342" s="64"/>
      <c r="J342" s="64"/>
      <c r="K342" s="57"/>
      <c r="L342" s="88"/>
      <c r="M342" s="62"/>
      <c r="N342" s="57"/>
      <c r="O342" s="88"/>
      <c r="P342" s="62"/>
      <c r="Q342" s="47"/>
      <c r="R342" s="39"/>
      <c r="S342" s="39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22"/>
      <c r="AQ342" s="10" t="s">
        <v>4</v>
      </c>
      <c r="AR342" s="11" t="e">
        <v>#REF!</v>
      </c>
    </row>
    <row r="343" spans="1:46" s="2" customFormat="1" ht="17.25" customHeight="1" x14ac:dyDescent="0.25">
      <c r="A343" s="24"/>
      <c r="B343" s="205" t="s">
        <v>252</v>
      </c>
      <c r="C343" s="206"/>
      <c r="D343" s="64">
        <v>-18800</v>
      </c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39"/>
      <c r="R343" s="39"/>
      <c r="S343" s="39"/>
      <c r="T343" s="16"/>
      <c r="U343" s="16">
        <f>-D343</f>
        <v>18800</v>
      </c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22"/>
      <c r="AQ343" s="10"/>
      <c r="AR343" s="11"/>
    </row>
    <row r="344" spans="1:46" s="2" customFormat="1" ht="17.25" customHeight="1" x14ac:dyDescent="0.25">
      <c r="A344" s="29"/>
      <c r="B344" s="201" t="s">
        <v>284</v>
      </c>
      <c r="C344" s="202"/>
      <c r="D344" s="63">
        <f>-4.9</f>
        <v>-4.9000000000000004</v>
      </c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47"/>
      <c r="R344" s="39"/>
      <c r="S344" s="39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22"/>
      <c r="AQ344" s="10" t="s">
        <v>4</v>
      </c>
      <c r="AR344" s="11" t="e">
        <v>#REF!</v>
      </c>
    </row>
    <row r="345" spans="1:46" s="2" customFormat="1" ht="17.25" customHeight="1" x14ac:dyDescent="0.25">
      <c r="A345" s="29"/>
      <c r="B345" s="205" t="s">
        <v>310</v>
      </c>
      <c r="C345" s="250"/>
      <c r="D345" s="63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47">
        <v>-6120</v>
      </c>
      <c r="R345" s="39"/>
      <c r="S345" s="39"/>
      <c r="T345" s="16"/>
      <c r="U345" s="20">
        <f>-Q345</f>
        <v>6120</v>
      </c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22"/>
      <c r="AQ345" s="10" t="s">
        <v>4</v>
      </c>
      <c r="AR345" s="11" t="e">
        <v>#REF!</v>
      </c>
    </row>
    <row r="346" spans="1:46" s="2" customFormat="1" ht="17.25" customHeight="1" thickBot="1" x14ac:dyDescent="0.25">
      <c r="A346" s="24"/>
      <c r="B346" s="216"/>
      <c r="C346" s="217"/>
      <c r="D346" s="83"/>
      <c r="E346" s="81"/>
      <c r="F346" s="81"/>
      <c r="G346" s="81"/>
      <c r="H346" s="81"/>
      <c r="I346" s="81"/>
      <c r="J346" s="81"/>
      <c r="K346" s="37"/>
      <c r="L346" s="93"/>
      <c r="M346" s="81"/>
      <c r="N346" s="37"/>
      <c r="O346" s="93"/>
      <c r="P346" s="81"/>
      <c r="Q346" s="40"/>
      <c r="R346" s="40"/>
      <c r="S346" s="39"/>
      <c r="T346" s="16"/>
      <c r="U346" s="16"/>
      <c r="V346" s="16"/>
      <c r="W346" s="16"/>
      <c r="X346" s="16"/>
      <c r="Y346" s="19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41"/>
      <c r="AQ346" s="10"/>
      <c r="AR346" s="11"/>
    </row>
    <row r="347" spans="1:46" s="4" customFormat="1" ht="17.25" customHeight="1" x14ac:dyDescent="0.25">
      <c r="A347" s="23"/>
      <c r="B347" s="210" t="s">
        <v>94</v>
      </c>
      <c r="C347" s="203"/>
      <c r="D347" s="66"/>
      <c r="E347" s="66"/>
      <c r="F347" s="117"/>
      <c r="G347" s="117"/>
      <c r="H347" s="66"/>
      <c r="I347" s="66"/>
      <c r="J347" s="66">
        <f>-M347</f>
        <v>9090.9</v>
      </c>
      <c r="K347" s="58">
        <v>-1554</v>
      </c>
      <c r="L347" s="89">
        <v>5.85</v>
      </c>
      <c r="M347" s="73">
        <f>K347*L347</f>
        <v>-9090.9</v>
      </c>
      <c r="N347" s="58"/>
      <c r="O347" s="89"/>
      <c r="P347" s="73"/>
      <c r="Q347" s="39"/>
      <c r="R347" s="39"/>
      <c r="S347" s="8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35"/>
      <c r="AP347" s="12" t="e">
        <f>#REF!</f>
        <v>#REF!</v>
      </c>
    </row>
    <row r="348" spans="1:46" s="4" customFormat="1" ht="17.25" customHeight="1" x14ac:dyDescent="0.25">
      <c r="A348" s="23"/>
      <c r="B348" s="201" t="s">
        <v>95</v>
      </c>
      <c r="C348" s="202"/>
      <c r="D348" s="64"/>
      <c r="E348" s="64"/>
      <c r="F348" s="117"/>
      <c r="G348" s="117"/>
      <c r="H348" s="64"/>
      <c r="I348" s="64"/>
      <c r="J348" s="64">
        <f>-P348</f>
        <v>9186.1</v>
      </c>
      <c r="K348" s="57"/>
      <c r="L348" s="88"/>
      <c r="M348" s="62"/>
      <c r="N348" s="57">
        <v>-2386</v>
      </c>
      <c r="O348" s="88">
        <v>3.85</v>
      </c>
      <c r="P348" s="62">
        <f>N348*O348</f>
        <v>-9186.1</v>
      </c>
      <c r="Q348" s="39"/>
      <c r="R348" s="39"/>
      <c r="S348" s="8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35"/>
      <c r="AP348" s="12" t="e">
        <f>#REF!</f>
        <v>#REF!</v>
      </c>
    </row>
    <row r="349" spans="1:46" s="4" customFormat="1" ht="17.25" customHeight="1" x14ac:dyDescent="0.25">
      <c r="A349" s="23"/>
      <c r="B349" s="201" t="s">
        <v>97</v>
      </c>
      <c r="C349" s="203"/>
      <c r="D349" s="64"/>
      <c r="E349" s="64"/>
      <c r="F349" s="64"/>
      <c r="G349" s="64"/>
      <c r="H349" s="64">
        <f>-J349-I349</f>
        <v>6923.1399999999994</v>
      </c>
      <c r="I349" s="64">
        <v>11353.86</v>
      </c>
      <c r="J349" s="64">
        <f>-SUM(J347:J348)</f>
        <v>-18277</v>
      </c>
      <c r="K349" s="57"/>
      <c r="L349" s="88"/>
      <c r="M349" s="62"/>
      <c r="N349" s="57"/>
      <c r="O349" s="88"/>
      <c r="P349" s="62"/>
      <c r="Q349" s="39"/>
      <c r="R349" s="39"/>
      <c r="S349" s="39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22"/>
      <c r="AO349" s="43">
        <f>A323</f>
        <v>0</v>
      </c>
      <c r="AP349" s="12" t="e">
        <f>#REF!</f>
        <v>#REF!</v>
      </c>
      <c r="AT349" s="2"/>
    </row>
    <row r="350" spans="1:46" s="4" customFormat="1" ht="17.25" customHeight="1" x14ac:dyDescent="0.25">
      <c r="A350" s="23"/>
      <c r="B350" s="201" t="s">
        <v>93</v>
      </c>
      <c r="C350" s="202"/>
      <c r="D350" s="64"/>
      <c r="E350" s="64"/>
      <c r="F350" s="64"/>
      <c r="G350" s="64"/>
      <c r="H350" s="64"/>
      <c r="I350" s="64"/>
      <c r="J350" s="64"/>
      <c r="K350" s="57">
        <v>10</v>
      </c>
      <c r="L350" s="88"/>
      <c r="M350" s="62">
        <f>(K353*(M336)/(K336))-M336-M347</f>
        <v>1276.4782979895353</v>
      </c>
      <c r="N350" s="57">
        <v>7</v>
      </c>
      <c r="O350" s="88"/>
      <c r="P350" s="62">
        <f>(N353*(P336)/(N336))-P336-P348</f>
        <v>767.42691348088374</v>
      </c>
      <c r="Q350" s="39"/>
      <c r="R350" s="39"/>
      <c r="S350" s="39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22"/>
      <c r="AO350" s="43">
        <f>A330</f>
        <v>0</v>
      </c>
      <c r="AP350" s="12" t="e">
        <f>#REF!</f>
        <v>#REF!</v>
      </c>
      <c r="AT350" s="2"/>
    </row>
    <row r="351" spans="1:46" s="2" customFormat="1" ht="17.25" customHeight="1" x14ac:dyDescent="0.2">
      <c r="A351" s="24"/>
      <c r="B351" s="201"/>
      <c r="C351" s="204"/>
      <c r="D351" s="63"/>
      <c r="E351" s="64"/>
      <c r="F351" s="64"/>
      <c r="G351" s="64"/>
      <c r="H351" s="64"/>
      <c r="I351" s="64"/>
      <c r="J351" s="64"/>
      <c r="K351" s="16"/>
      <c r="L351" s="16"/>
      <c r="M351" s="64"/>
      <c r="N351" s="16"/>
      <c r="O351" s="16"/>
      <c r="P351" s="64"/>
      <c r="Q351" s="46"/>
      <c r="R351" s="46"/>
      <c r="S351" s="39"/>
      <c r="T351" s="16"/>
      <c r="U351" s="16"/>
      <c r="V351" s="16"/>
      <c r="W351" s="16"/>
      <c r="X351" s="16"/>
      <c r="Y351" s="19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43">
        <f>A337</f>
        <v>45985</v>
      </c>
      <c r="AQ351" s="10"/>
      <c r="AR351" s="11"/>
    </row>
    <row r="352" spans="1:46" s="2" customFormat="1" ht="17.25" customHeight="1" thickBot="1" x14ac:dyDescent="0.3">
      <c r="A352" s="56"/>
      <c r="B352" s="101" t="s">
        <v>102</v>
      </c>
      <c r="C352" s="102">
        <f>D353+E353+F353+G353+H353+I353+J353+M353+P353</f>
        <v>66479.009539999999</v>
      </c>
      <c r="D352" s="84"/>
      <c r="E352" s="85"/>
      <c r="F352" s="85"/>
      <c r="G352" s="85"/>
      <c r="H352" s="85"/>
      <c r="I352" s="85"/>
      <c r="J352" s="85"/>
      <c r="K352" s="28"/>
      <c r="L352" s="28"/>
      <c r="M352" s="85"/>
      <c r="N352" s="28"/>
      <c r="O352" s="28"/>
      <c r="P352" s="85"/>
      <c r="Q352" s="48"/>
      <c r="R352" s="48"/>
      <c r="S352" s="51"/>
      <c r="T352" s="28"/>
      <c r="U352" s="28"/>
      <c r="V352" s="28"/>
      <c r="W352" s="28"/>
      <c r="X352" s="28"/>
      <c r="Y352" s="36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42">
        <f>SUM($Q336:AN352)</f>
        <v>-359513.10000000003</v>
      </c>
      <c r="AQ352" s="10"/>
      <c r="AR352" s="11"/>
      <c r="AS352" s="2" t="s">
        <v>5</v>
      </c>
    </row>
    <row r="353" spans="1:46" s="2" customFormat="1" ht="17.25" customHeight="1" thickTop="1" thickBot="1" x14ac:dyDescent="0.3">
      <c r="A353" s="103"/>
      <c r="B353" s="104" t="s">
        <v>103</v>
      </c>
      <c r="C353" s="105">
        <f>AO353</f>
        <v>-293034.09046000004</v>
      </c>
      <c r="D353" s="106">
        <f t="shared" ref="D353:K353" si="46">SUM(D336:D352)</f>
        <v>37.887040000002891</v>
      </c>
      <c r="E353" s="107">
        <f t="shared" si="46"/>
        <v>-18984.419999999998</v>
      </c>
      <c r="F353" s="107">
        <f t="shared" si="46"/>
        <v>0</v>
      </c>
      <c r="G353" s="107">
        <f t="shared" si="46"/>
        <v>0</v>
      </c>
      <c r="H353" s="107">
        <f t="shared" si="46"/>
        <v>54340.162500000006</v>
      </c>
      <c r="I353" s="107">
        <f t="shared" si="46"/>
        <v>11353.86</v>
      </c>
      <c r="J353" s="107">
        <f t="shared" si="46"/>
        <v>0</v>
      </c>
      <c r="K353" s="108">
        <f t="shared" si="46"/>
        <v>2087</v>
      </c>
      <c r="L353" s="109">
        <f>M353/K353</f>
        <v>5.0611547676090076</v>
      </c>
      <c r="M353" s="107">
        <f>ROUND(SUM(M336:M352),2)</f>
        <v>10562.63</v>
      </c>
      <c r="N353" s="108">
        <f>SUM(N336:N352)</f>
        <v>2591</v>
      </c>
      <c r="O353" s="109">
        <f>P353/N353</f>
        <v>3.5387456580470857</v>
      </c>
      <c r="P353" s="107">
        <f>ROUND(SUM(P336:P352),2)</f>
        <v>9168.89</v>
      </c>
      <c r="Q353" s="110">
        <f t="shared" ref="Q353:AN353" si="47">SUM(Q336:Q352)</f>
        <v>-440198.33</v>
      </c>
      <c r="R353" s="107">
        <f t="shared" si="47"/>
        <v>50229.299999999996</v>
      </c>
      <c r="S353" s="107">
        <f t="shared" si="47"/>
        <v>0</v>
      </c>
      <c r="T353" s="107">
        <f t="shared" si="47"/>
        <v>-9644.07</v>
      </c>
      <c r="U353" s="107">
        <f t="shared" si="47"/>
        <v>40100</v>
      </c>
      <c r="V353" s="107">
        <f t="shared" si="47"/>
        <v>0</v>
      </c>
      <c r="W353" s="107">
        <f t="shared" si="47"/>
        <v>0</v>
      </c>
      <c r="X353" s="107">
        <f t="shared" si="47"/>
        <v>0</v>
      </c>
      <c r="Y353" s="107">
        <f t="shared" si="47"/>
        <v>0</v>
      </c>
      <c r="Z353" s="107">
        <f t="shared" si="47"/>
        <v>0</v>
      </c>
      <c r="AA353" s="107">
        <f t="shared" si="47"/>
        <v>0</v>
      </c>
      <c r="AB353" s="107">
        <f t="shared" si="47"/>
        <v>0</v>
      </c>
      <c r="AC353" s="107">
        <f t="shared" si="47"/>
        <v>0</v>
      </c>
      <c r="AD353" s="107">
        <f t="shared" si="47"/>
        <v>0</v>
      </c>
      <c r="AE353" s="107">
        <f t="shared" si="47"/>
        <v>0</v>
      </c>
      <c r="AF353" s="107">
        <f t="shared" si="47"/>
        <v>0</v>
      </c>
      <c r="AG353" s="107">
        <f t="shared" si="47"/>
        <v>0</v>
      </c>
      <c r="AH353" s="107">
        <f t="shared" si="47"/>
        <v>0</v>
      </c>
      <c r="AI353" s="107">
        <f t="shared" si="47"/>
        <v>0</v>
      </c>
      <c r="AJ353" s="107">
        <f t="shared" si="47"/>
        <v>0</v>
      </c>
      <c r="AK353" s="107">
        <f t="shared" si="47"/>
        <v>0</v>
      </c>
      <c r="AL353" s="107">
        <f t="shared" si="47"/>
        <v>0</v>
      </c>
      <c r="AM353" s="107">
        <f t="shared" si="47"/>
        <v>0</v>
      </c>
      <c r="AN353" s="107">
        <f t="shared" si="47"/>
        <v>0</v>
      </c>
      <c r="AO353" s="111">
        <f>D353+E353+F353+G353+H353+I353+J353+M353+P353+SUM(Q353:AN353)</f>
        <v>-293034.09046000004</v>
      </c>
      <c r="AP353" s="4"/>
      <c r="AQ353" s="5"/>
      <c r="AR353" s="5"/>
      <c r="AS353" s="2" t="s">
        <v>6</v>
      </c>
    </row>
    <row r="354" spans="1:46" s="2" customFormat="1" ht="17.25" customHeight="1" thickTop="1" x14ac:dyDescent="0.25">
      <c r="A354" s="23">
        <f>A337+1</f>
        <v>45986</v>
      </c>
      <c r="B354" s="210" t="s">
        <v>64</v>
      </c>
      <c r="C354" s="203"/>
      <c r="D354" s="63">
        <v>11077.66</v>
      </c>
      <c r="E354" s="66"/>
      <c r="F354" s="66"/>
      <c r="G354" s="66"/>
      <c r="H354" s="66"/>
      <c r="I354" s="66">
        <f>-D354</f>
        <v>-11077.66</v>
      </c>
      <c r="J354" s="66"/>
      <c r="K354" s="18"/>
      <c r="L354" s="18"/>
      <c r="M354" s="66"/>
      <c r="N354" s="18"/>
      <c r="O354" s="18"/>
      <c r="P354" s="66"/>
      <c r="Q354" s="46"/>
      <c r="R354" s="46"/>
      <c r="S354" s="45"/>
      <c r="T354" s="18"/>
      <c r="U354" s="18"/>
      <c r="V354" s="18"/>
      <c r="W354" s="18"/>
      <c r="X354" s="18"/>
      <c r="Y354" s="14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31"/>
      <c r="AQ354" s="10"/>
      <c r="AR354" s="27"/>
    </row>
    <row r="355" spans="1:46" s="4" customFormat="1" ht="17.25" customHeight="1" x14ac:dyDescent="0.25">
      <c r="A355" s="23"/>
      <c r="B355" s="201" t="s">
        <v>96</v>
      </c>
      <c r="C355" s="202"/>
      <c r="D355" s="63"/>
      <c r="E355" s="64"/>
      <c r="F355" s="64"/>
      <c r="G355" s="64"/>
      <c r="H355" s="64"/>
      <c r="I355" s="64">
        <f>-I353-I354</f>
        <v>-276.20000000000073</v>
      </c>
      <c r="J355" s="64"/>
      <c r="K355" s="16"/>
      <c r="L355" s="92"/>
      <c r="M355" s="64"/>
      <c r="N355" s="16"/>
      <c r="O355" s="92"/>
      <c r="P355" s="64"/>
      <c r="Q355" s="40"/>
      <c r="R355" s="46"/>
      <c r="S355" s="39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22"/>
      <c r="AP355" s="30"/>
    </row>
    <row r="356" spans="1:46" s="2" customFormat="1" ht="17.25" customHeight="1" x14ac:dyDescent="0.2">
      <c r="A356" s="23"/>
      <c r="B356" s="201" t="s">
        <v>13</v>
      </c>
      <c r="C356" s="203"/>
      <c r="D356" s="63"/>
      <c r="E356" s="64">
        <f>-E353-11406.33</f>
        <v>7578.0899999999983</v>
      </c>
      <c r="F356" s="64"/>
      <c r="G356" s="64"/>
      <c r="H356" s="64">
        <f>-E356</f>
        <v>-7578.0899999999983</v>
      </c>
      <c r="I356" s="64"/>
      <c r="J356" s="64"/>
      <c r="K356" s="16"/>
      <c r="L356" s="16"/>
      <c r="M356" s="64"/>
      <c r="N356" s="16"/>
      <c r="O356" s="16"/>
      <c r="P356" s="64"/>
      <c r="Q356" s="46"/>
      <c r="R356" s="39"/>
      <c r="S356" s="40"/>
      <c r="T356" s="16"/>
      <c r="U356" s="16"/>
      <c r="V356" s="16"/>
      <c r="W356" s="16"/>
      <c r="X356" s="16"/>
      <c r="Y356" s="19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35"/>
      <c r="AQ356" s="10"/>
      <c r="AR356" s="27"/>
    </row>
    <row r="357" spans="1:46" s="2" customFormat="1" ht="17.25" customHeight="1" x14ac:dyDescent="0.25">
      <c r="A357" s="29"/>
      <c r="B357" s="201"/>
      <c r="C357" s="202"/>
      <c r="D357" s="63"/>
      <c r="E357" s="64"/>
      <c r="F357" s="64"/>
      <c r="G357" s="64"/>
      <c r="H357" s="64"/>
      <c r="I357" s="64"/>
      <c r="J357" s="64"/>
      <c r="K357" s="57"/>
      <c r="L357" s="88"/>
      <c r="M357" s="62"/>
      <c r="N357" s="57"/>
      <c r="O357" s="88"/>
      <c r="P357" s="62"/>
      <c r="Q357" s="47"/>
      <c r="R357" s="39"/>
      <c r="S357" s="39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22"/>
      <c r="AQ357" s="10" t="s">
        <v>4</v>
      </c>
      <c r="AR357" s="11" t="e">
        <v>#REF!</v>
      </c>
    </row>
    <row r="358" spans="1:46" s="2" customFormat="1" ht="17.25" customHeight="1" x14ac:dyDescent="0.25">
      <c r="A358" s="29"/>
      <c r="B358" s="201"/>
      <c r="C358" s="202"/>
      <c r="D358" s="63"/>
      <c r="E358" s="64"/>
      <c r="F358" s="64"/>
      <c r="G358" s="64"/>
      <c r="H358" s="64"/>
      <c r="I358" s="64"/>
      <c r="J358" s="64"/>
      <c r="K358" s="57"/>
      <c r="L358" s="88"/>
      <c r="M358" s="62"/>
      <c r="N358" s="57"/>
      <c r="O358" s="88"/>
      <c r="P358" s="62"/>
      <c r="Q358" s="47"/>
      <c r="R358" s="39"/>
      <c r="S358" s="39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22"/>
      <c r="AQ358" s="10" t="s">
        <v>4</v>
      </c>
      <c r="AR358" s="11" t="e">
        <v>#REF!</v>
      </c>
    </row>
    <row r="359" spans="1:46" s="2" customFormat="1" ht="17.25" customHeight="1" x14ac:dyDescent="0.25">
      <c r="A359" s="24"/>
      <c r="B359" s="205" t="s">
        <v>252</v>
      </c>
      <c r="C359" s="206"/>
      <c r="D359" s="64"/>
      <c r="E359" s="64"/>
      <c r="F359" s="64"/>
      <c r="G359" s="64"/>
      <c r="H359" s="64"/>
      <c r="I359" s="64"/>
      <c r="J359" s="64"/>
      <c r="K359" s="57">
        <v>3000</v>
      </c>
      <c r="L359" s="88">
        <v>5.0599999999999996</v>
      </c>
      <c r="M359" s="62">
        <f>K359*L359</f>
        <v>15179.999999999998</v>
      </c>
      <c r="N359" s="57"/>
      <c r="O359" s="88"/>
      <c r="P359" s="62"/>
      <c r="Q359" s="39"/>
      <c r="R359" s="39"/>
      <c r="S359" s="39"/>
      <c r="T359" s="16"/>
      <c r="U359" s="16">
        <f>-M359</f>
        <v>-15179.999999999998</v>
      </c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22"/>
      <c r="AQ359" s="10"/>
      <c r="AR359" s="11"/>
    </row>
    <row r="360" spans="1:46" s="2" customFormat="1" ht="17.25" customHeight="1" x14ac:dyDescent="0.2">
      <c r="A360" s="23"/>
      <c r="B360" s="205" t="s">
        <v>251</v>
      </c>
      <c r="C360" s="206"/>
      <c r="D360" s="64"/>
      <c r="E360" s="64"/>
      <c r="F360" s="64"/>
      <c r="G360" s="64"/>
      <c r="H360" s="64"/>
      <c r="I360" s="64"/>
      <c r="J360" s="64"/>
      <c r="K360" s="57"/>
      <c r="L360" s="88"/>
      <c r="M360" s="62"/>
      <c r="N360" s="57">
        <v>7000</v>
      </c>
      <c r="O360" s="88">
        <v>3.56</v>
      </c>
      <c r="P360" s="62">
        <f>N360*O360</f>
        <v>24920</v>
      </c>
      <c r="Q360" s="39"/>
      <c r="R360" s="39"/>
      <c r="S360" s="39"/>
      <c r="T360" s="16"/>
      <c r="U360" s="16">
        <f>-P360</f>
        <v>-24920</v>
      </c>
      <c r="V360" s="16"/>
      <c r="W360" s="16"/>
      <c r="X360" s="16"/>
      <c r="Y360" s="19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35"/>
      <c r="AQ360" s="10"/>
      <c r="AR360" s="27"/>
    </row>
    <row r="361" spans="1:46" s="2" customFormat="1" ht="17.25" customHeight="1" thickBot="1" x14ac:dyDescent="0.25">
      <c r="A361" s="24"/>
      <c r="B361" s="216"/>
      <c r="C361" s="217"/>
      <c r="D361" s="83"/>
      <c r="E361" s="81"/>
      <c r="F361" s="81"/>
      <c r="G361" s="81"/>
      <c r="H361" s="81"/>
      <c r="I361" s="81"/>
      <c r="J361" s="81"/>
      <c r="K361" s="37"/>
      <c r="L361" s="93"/>
      <c r="M361" s="81"/>
      <c r="N361" s="37"/>
      <c r="O361" s="93"/>
      <c r="P361" s="81"/>
      <c r="Q361" s="40"/>
      <c r="R361" s="40"/>
      <c r="S361" s="39"/>
      <c r="T361" s="16"/>
      <c r="U361" s="16"/>
      <c r="V361" s="16"/>
      <c r="W361" s="16"/>
      <c r="X361" s="16"/>
      <c r="Y361" s="19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41"/>
      <c r="AQ361" s="10"/>
      <c r="AR361" s="11"/>
    </row>
    <row r="362" spans="1:46" s="4" customFormat="1" ht="17.25" customHeight="1" x14ac:dyDescent="0.25">
      <c r="A362" s="23"/>
      <c r="B362" s="210" t="s">
        <v>94</v>
      </c>
      <c r="C362" s="203"/>
      <c r="D362" s="66"/>
      <c r="E362" s="66"/>
      <c r="F362" s="117"/>
      <c r="G362" s="117"/>
      <c r="H362" s="66"/>
      <c r="I362" s="66"/>
      <c r="J362" s="66">
        <f>-M362</f>
        <v>7031.7</v>
      </c>
      <c r="K362" s="58">
        <v>-1202</v>
      </c>
      <c r="L362" s="89">
        <v>5.85</v>
      </c>
      <c r="M362" s="73">
        <f>K362*L362</f>
        <v>-7031.7</v>
      </c>
      <c r="N362" s="58"/>
      <c r="O362" s="89"/>
      <c r="P362" s="73"/>
      <c r="Q362" s="39"/>
      <c r="R362" s="39"/>
      <c r="S362" s="8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35"/>
      <c r="AP362" s="12" t="e">
        <f>#REF!</f>
        <v>#REF!</v>
      </c>
    </row>
    <row r="363" spans="1:46" s="4" customFormat="1" ht="17.25" customHeight="1" x14ac:dyDescent="0.25">
      <c r="A363" s="23"/>
      <c r="B363" s="201" t="s">
        <v>95</v>
      </c>
      <c r="C363" s="202"/>
      <c r="D363" s="64"/>
      <c r="E363" s="64"/>
      <c r="F363" s="117"/>
      <c r="G363" s="117"/>
      <c r="H363" s="64"/>
      <c r="I363" s="64"/>
      <c r="J363" s="64">
        <f>-P363</f>
        <v>8223.6</v>
      </c>
      <c r="K363" s="57"/>
      <c r="L363" s="88"/>
      <c r="M363" s="62"/>
      <c r="N363" s="57">
        <v>-2136</v>
      </c>
      <c r="O363" s="88">
        <v>3.85</v>
      </c>
      <c r="P363" s="62">
        <f>N363*O363</f>
        <v>-8223.6</v>
      </c>
      <c r="Q363" s="39"/>
      <c r="R363" s="39"/>
      <c r="S363" s="8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35"/>
      <c r="AP363" s="12" t="e">
        <f>#REF!</f>
        <v>#REF!</v>
      </c>
    </row>
    <row r="364" spans="1:46" s="4" customFormat="1" ht="17.25" customHeight="1" x14ac:dyDescent="0.25">
      <c r="A364" s="23"/>
      <c r="B364" s="201" t="s">
        <v>97</v>
      </c>
      <c r="C364" s="203"/>
      <c r="D364" s="64"/>
      <c r="E364" s="64"/>
      <c r="F364" s="64"/>
      <c r="G364" s="64"/>
      <c r="H364" s="64">
        <f>-J364-I364</f>
        <v>5097.0499999999993</v>
      </c>
      <c r="I364" s="64">
        <v>10158.25</v>
      </c>
      <c r="J364" s="64">
        <f>-SUM(J362:J363)</f>
        <v>-15255.3</v>
      </c>
      <c r="K364" s="57"/>
      <c r="L364" s="88"/>
      <c r="M364" s="62"/>
      <c r="N364" s="57"/>
      <c r="O364" s="88"/>
      <c r="P364" s="62"/>
      <c r="Q364" s="39"/>
      <c r="R364" s="39"/>
      <c r="S364" s="39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22"/>
      <c r="AO364" s="43">
        <f>A333</f>
        <v>0</v>
      </c>
      <c r="AP364" s="12" t="e">
        <f>#REF!</f>
        <v>#REF!</v>
      </c>
      <c r="AT364" s="2"/>
    </row>
    <row r="365" spans="1:46" s="4" customFormat="1" ht="17.25" customHeight="1" x14ac:dyDescent="0.25">
      <c r="A365" s="23"/>
      <c r="B365" s="201" t="s">
        <v>93</v>
      </c>
      <c r="C365" s="202"/>
      <c r="D365" s="64"/>
      <c r="E365" s="64"/>
      <c r="F365" s="64"/>
      <c r="G365" s="64"/>
      <c r="H365" s="64"/>
      <c r="I365" s="64"/>
      <c r="J365" s="64"/>
      <c r="K365" s="57">
        <v>-75</v>
      </c>
      <c r="L365" s="88"/>
      <c r="M365" s="62">
        <f>(K368*(M353+M359)/(K353+K359))-M353-M362-M359</f>
        <v>569.47501277766969</v>
      </c>
      <c r="N365" s="57">
        <v>-47</v>
      </c>
      <c r="O365" s="88"/>
      <c r="P365" s="62">
        <f>(N368*(P353+P360)/(N353+N360))-P353-P363-P360</f>
        <v>464.65443957877142</v>
      </c>
      <c r="Q365" s="39"/>
      <c r="R365" s="39"/>
      <c r="S365" s="39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22"/>
      <c r="AO365" s="43">
        <f>A347</f>
        <v>0</v>
      </c>
      <c r="AP365" s="12" t="e">
        <f>#REF!</f>
        <v>#REF!</v>
      </c>
      <c r="AT365" s="2"/>
    </row>
    <row r="366" spans="1:46" s="2" customFormat="1" ht="17.25" customHeight="1" x14ac:dyDescent="0.2">
      <c r="A366" s="24"/>
      <c r="B366" s="201"/>
      <c r="C366" s="204"/>
      <c r="D366" s="63"/>
      <c r="E366" s="64"/>
      <c r="F366" s="64"/>
      <c r="G366" s="64"/>
      <c r="H366" s="64"/>
      <c r="I366" s="64"/>
      <c r="J366" s="64"/>
      <c r="K366" s="16"/>
      <c r="L366" s="16"/>
      <c r="M366" s="64"/>
      <c r="N366" s="16"/>
      <c r="O366" s="16"/>
      <c r="P366" s="64"/>
      <c r="Q366" s="46"/>
      <c r="R366" s="46"/>
      <c r="S366" s="39"/>
      <c r="T366" s="16"/>
      <c r="U366" s="16"/>
      <c r="V366" s="16"/>
      <c r="W366" s="16"/>
      <c r="X366" s="16"/>
      <c r="Y366" s="19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43">
        <f>A354</f>
        <v>45986</v>
      </c>
      <c r="AQ366" s="10"/>
      <c r="AR366" s="11"/>
    </row>
    <row r="367" spans="1:46" s="2" customFormat="1" ht="17.25" customHeight="1" thickBot="1" x14ac:dyDescent="0.3">
      <c r="A367" s="56"/>
      <c r="B367" s="101" t="s">
        <v>102</v>
      </c>
      <c r="C367" s="102">
        <f>D368+E368+F368+G368+H368+I368+J368+M368+P368</f>
        <v>107336.93954000002</v>
      </c>
      <c r="D367" s="84"/>
      <c r="E367" s="85"/>
      <c r="F367" s="85"/>
      <c r="G367" s="85"/>
      <c r="H367" s="85"/>
      <c r="I367" s="85"/>
      <c r="J367" s="85"/>
      <c r="K367" s="28"/>
      <c r="L367" s="28"/>
      <c r="M367" s="85"/>
      <c r="N367" s="28"/>
      <c r="O367" s="28"/>
      <c r="P367" s="85"/>
      <c r="Q367" s="48"/>
      <c r="R367" s="48"/>
      <c r="S367" s="51"/>
      <c r="T367" s="28"/>
      <c r="U367" s="28"/>
      <c r="V367" s="28"/>
      <c r="W367" s="28"/>
      <c r="X367" s="28"/>
      <c r="Y367" s="36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42">
        <f>SUM($Q353:AN367)</f>
        <v>-399613.10000000003</v>
      </c>
      <c r="AQ367" s="10"/>
      <c r="AR367" s="11"/>
      <c r="AS367" s="2" t="s">
        <v>5</v>
      </c>
    </row>
    <row r="368" spans="1:46" s="2" customFormat="1" ht="17.25" customHeight="1" thickTop="1" thickBot="1" x14ac:dyDescent="0.3">
      <c r="A368" s="103"/>
      <c r="B368" s="104" t="s">
        <v>103</v>
      </c>
      <c r="C368" s="105">
        <f>AO368</f>
        <v>-292276.16046000004</v>
      </c>
      <c r="D368" s="106">
        <f t="shared" ref="D368:K368" si="48">SUM(D353:D367)</f>
        <v>11115.547040000003</v>
      </c>
      <c r="E368" s="107">
        <f t="shared" si="48"/>
        <v>-11406.33</v>
      </c>
      <c r="F368" s="107">
        <f t="shared" si="48"/>
        <v>0</v>
      </c>
      <c r="G368" s="107">
        <f t="shared" si="48"/>
        <v>0</v>
      </c>
      <c r="H368" s="107">
        <f t="shared" si="48"/>
        <v>51859.122500000012</v>
      </c>
      <c r="I368" s="107">
        <f t="shared" si="48"/>
        <v>10158.25</v>
      </c>
      <c r="J368" s="107">
        <f t="shared" si="48"/>
        <v>0</v>
      </c>
      <c r="K368" s="108">
        <f t="shared" si="48"/>
        <v>3810</v>
      </c>
      <c r="L368" s="109">
        <f>M368/K368</f>
        <v>5.0604750656167976</v>
      </c>
      <c r="M368" s="107">
        <f>ROUND(SUM(M353:M367),2)</f>
        <v>19280.41</v>
      </c>
      <c r="N368" s="108">
        <f>SUM(N353:N367)</f>
        <v>7408</v>
      </c>
      <c r="O368" s="109">
        <f>P368/N368</f>
        <v>3.5542575593952481</v>
      </c>
      <c r="P368" s="107">
        <f>ROUND(SUM(P353:P367),2)</f>
        <v>26329.94</v>
      </c>
      <c r="Q368" s="110">
        <f t="shared" ref="Q368:AN368" si="49">SUM(Q353:Q367)</f>
        <v>-440198.33</v>
      </c>
      <c r="R368" s="107">
        <f t="shared" si="49"/>
        <v>50229.299999999996</v>
      </c>
      <c r="S368" s="107">
        <f t="shared" si="49"/>
        <v>0</v>
      </c>
      <c r="T368" s="107">
        <f t="shared" si="49"/>
        <v>-9644.07</v>
      </c>
      <c r="U368" s="107">
        <f t="shared" si="49"/>
        <v>0</v>
      </c>
      <c r="V368" s="107">
        <f t="shared" si="49"/>
        <v>0</v>
      </c>
      <c r="W368" s="107">
        <f t="shared" si="49"/>
        <v>0</v>
      </c>
      <c r="X368" s="107">
        <f t="shared" si="49"/>
        <v>0</v>
      </c>
      <c r="Y368" s="107">
        <f t="shared" si="49"/>
        <v>0</v>
      </c>
      <c r="Z368" s="107">
        <f t="shared" si="49"/>
        <v>0</v>
      </c>
      <c r="AA368" s="107">
        <f t="shared" si="49"/>
        <v>0</v>
      </c>
      <c r="AB368" s="107">
        <f t="shared" si="49"/>
        <v>0</v>
      </c>
      <c r="AC368" s="107">
        <f t="shared" si="49"/>
        <v>0</v>
      </c>
      <c r="AD368" s="107">
        <f t="shared" si="49"/>
        <v>0</v>
      </c>
      <c r="AE368" s="107">
        <f t="shared" si="49"/>
        <v>0</v>
      </c>
      <c r="AF368" s="107">
        <f t="shared" si="49"/>
        <v>0</v>
      </c>
      <c r="AG368" s="107">
        <f t="shared" si="49"/>
        <v>0</v>
      </c>
      <c r="AH368" s="107">
        <f t="shared" si="49"/>
        <v>0</v>
      </c>
      <c r="AI368" s="107">
        <f t="shared" si="49"/>
        <v>0</v>
      </c>
      <c r="AJ368" s="107">
        <f t="shared" si="49"/>
        <v>0</v>
      </c>
      <c r="AK368" s="107">
        <f t="shared" si="49"/>
        <v>0</v>
      </c>
      <c r="AL368" s="107">
        <f t="shared" si="49"/>
        <v>0</v>
      </c>
      <c r="AM368" s="107">
        <f t="shared" si="49"/>
        <v>0</v>
      </c>
      <c r="AN368" s="107">
        <f t="shared" si="49"/>
        <v>0</v>
      </c>
      <c r="AO368" s="111">
        <f>D368+E368+F368+G368+H368+I368+J368+M368+P368+SUM(Q368:AN368)</f>
        <v>-292276.16046000004</v>
      </c>
      <c r="AP368" s="4"/>
      <c r="AQ368" s="5"/>
      <c r="AR368" s="5"/>
      <c r="AS368" s="2" t="s">
        <v>6</v>
      </c>
    </row>
    <row r="369" spans="1:46" s="2" customFormat="1" ht="17.25" customHeight="1" thickTop="1" x14ac:dyDescent="0.25">
      <c r="A369" s="23">
        <f>A354+1</f>
        <v>45987</v>
      </c>
      <c r="B369" s="210" t="s">
        <v>64</v>
      </c>
      <c r="C369" s="203"/>
      <c r="D369" s="63">
        <v>9917.19</v>
      </c>
      <c r="E369" s="66"/>
      <c r="F369" s="66"/>
      <c r="G369" s="66"/>
      <c r="H369" s="66"/>
      <c r="I369" s="66">
        <f>-D369</f>
        <v>-9917.19</v>
      </c>
      <c r="J369" s="66"/>
      <c r="K369" s="18"/>
      <c r="L369" s="18"/>
      <c r="M369" s="66"/>
      <c r="N369" s="18"/>
      <c r="O369" s="18"/>
      <c r="P369" s="66"/>
      <c r="Q369" s="46"/>
      <c r="R369" s="46"/>
      <c r="S369" s="45"/>
      <c r="T369" s="18"/>
      <c r="U369" s="18"/>
      <c r="V369" s="18"/>
      <c r="W369" s="18"/>
      <c r="X369" s="18"/>
      <c r="Y369" s="14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31"/>
      <c r="AQ369" s="10"/>
      <c r="AR369" s="27"/>
    </row>
    <row r="370" spans="1:46" s="4" customFormat="1" ht="17.25" customHeight="1" x14ac:dyDescent="0.25">
      <c r="A370" s="23"/>
      <c r="B370" s="201" t="s">
        <v>96</v>
      </c>
      <c r="C370" s="202"/>
      <c r="D370" s="63"/>
      <c r="E370" s="64"/>
      <c r="F370" s="64"/>
      <c r="G370" s="64"/>
      <c r="H370" s="64"/>
      <c r="I370" s="64">
        <f>-I368-I369</f>
        <v>-241.05999999999949</v>
      </c>
      <c r="J370" s="64"/>
      <c r="K370" s="16"/>
      <c r="L370" s="92"/>
      <c r="M370" s="64"/>
      <c r="N370" s="16"/>
      <c r="O370" s="92"/>
      <c r="P370" s="64"/>
      <c r="Q370" s="40"/>
      <c r="R370" s="46"/>
      <c r="S370" s="39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22"/>
      <c r="AP370" s="30"/>
    </row>
    <row r="371" spans="1:46" s="2" customFormat="1" ht="17.25" customHeight="1" x14ac:dyDescent="0.2">
      <c r="A371" s="23"/>
      <c r="B371" s="201" t="s">
        <v>13</v>
      </c>
      <c r="C371" s="203"/>
      <c r="D371" s="63"/>
      <c r="E371" s="64">
        <f>-E368-20808.77+7272.1+6120</f>
        <v>3989.66</v>
      </c>
      <c r="F371" s="64"/>
      <c r="G371" s="64"/>
      <c r="H371" s="64">
        <f>-E371</f>
        <v>-3989.66</v>
      </c>
      <c r="I371" s="64"/>
      <c r="J371" s="64"/>
      <c r="K371" s="16"/>
      <c r="L371" s="16"/>
      <c r="M371" s="64"/>
      <c r="N371" s="16"/>
      <c r="O371" s="16"/>
      <c r="P371" s="64"/>
      <c r="Q371" s="46"/>
      <c r="R371" s="39"/>
      <c r="S371" s="40"/>
      <c r="T371" s="16"/>
      <c r="U371" s="16"/>
      <c r="V371" s="16"/>
      <c r="W371" s="16"/>
      <c r="X371" s="16"/>
      <c r="Y371" s="19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35"/>
      <c r="AQ371" s="10"/>
      <c r="AR371" s="27"/>
    </row>
    <row r="372" spans="1:46" s="2" customFormat="1" ht="17.25" customHeight="1" x14ac:dyDescent="0.25">
      <c r="A372" s="29"/>
      <c r="B372" s="201" t="s">
        <v>347</v>
      </c>
      <c r="C372" s="202"/>
      <c r="D372" s="63"/>
      <c r="E372" s="64">
        <f>-7272.1</f>
        <v>-7272.1</v>
      </c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47">
        <f>-E372</f>
        <v>7272.1</v>
      </c>
      <c r="R372" s="39"/>
      <c r="S372" s="39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22"/>
      <c r="AQ372" s="10" t="s">
        <v>4</v>
      </c>
      <c r="AR372" s="11" t="e">
        <v>#REF!</v>
      </c>
    </row>
    <row r="373" spans="1:46" s="2" customFormat="1" ht="17.25" customHeight="1" x14ac:dyDescent="0.25">
      <c r="A373" s="29"/>
      <c r="B373" s="201" t="s">
        <v>427</v>
      </c>
      <c r="C373" s="202"/>
      <c r="D373" s="63"/>
      <c r="E373" s="64">
        <f>-6120</f>
        <v>-6120</v>
      </c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47">
        <f>-E373</f>
        <v>6120</v>
      </c>
      <c r="R373" s="39"/>
      <c r="S373" s="39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22"/>
      <c r="AQ373" s="10" t="s">
        <v>4</v>
      </c>
      <c r="AR373" s="11" t="e">
        <v>#REF!</v>
      </c>
    </row>
    <row r="374" spans="1:46" s="2" customFormat="1" ht="17.25" customHeight="1" x14ac:dyDescent="0.25">
      <c r="A374" s="29"/>
      <c r="B374" s="201" t="s">
        <v>72</v>
      </c>
      <c r="C374" s="202"/>
      <c r="D374" s="63">
        <v>-21000</v>
      </c>
      <c r="E374" s="64"/>
      <c r="F374" s="64">
        <f>-D374</f>
        <v>21000</v>
      </c>
      <c r="G374" s="64"/>
      <c r="H374" s="64"/>
      <c r="I374" s="64"/>
      <c r="J374" s="64"/>
      <c r="K374" s="57"/>
      <c r="L374" s="88"/>
      <c r="M374" s="62"/>
      <c r="N374" s="57"/>
      <c r="O374" s="88"/>
      <c r="P374" s="62"/>
      <c r="Q374" s="47"/>
      <c r="R374" s="39"/>
      <c r="S374" s="39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22"/>
      <c r="AQ374" s="10" t="s">
        <v>4</v>
      </c>
      <c r="AR374" s="11" t="e">
        <v>#REF!</v>
      </c>
    </row>
    <row r="375" spans="1:46" s="2" customFormat="1" ht="17.25" customHeight="1" thickBot="1" x14ac:dyDescent="0.25">
      <c r="A375" s="24"/>
      <c r="B375" s="216"/>
      <c r="C375" s="217"/>
      <c r="D375" s="83"/>
      <c r="E375" s="81"/>
      <c r="F375" s="81"/>
      <c r="G375" s="81"/>
      <c r="H375" s="81"/>
      <c r="I375" s="81"/>
      <c r="J375" s="81"/>
      <c r="K375" s="37"/>
      <c r="L375" s="93"/>
      <c r="M375" s="81"/>
      <c r="N375" s="37"/>
      <c r="O375" s="93"/>
      <c r="P375" s="81"/>
      <c r="Q375" s="40"/>
      <c r="R375" s="40"/>
      <c r="S375" s="39"/>
      <c r="T375" s="16"/>
      <c r="U375" s="16"/>
      <c r="V375" s="16"/>
      <c r="W375" s="16"/>
      <c r="X375" s="16"/>
      <c r="Y375" s="19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41"/>
      <c r="AQ375" s="10"/>
      <c r="AR375" s="11"/>
    </row>
    <row r="376" spans="1:46" s="4" customFormat="1" ht="17.25" customHeight="1" x14ac:dyDescent="0.25">
      <c r="A376" s="23"/>
      <c r="B376" s="210" t="s">
        <v>94</v>
      </c>
      <c r="C376" s="203"/>
      <c r="D376" s="66"/>
      <c r="E376" s="66"/>
      <c r="F376" s="117"/>
      <c r="G376" s="117"/>
      <c r="H376" s="66"/>
      <c r="I376" s="66"/>
      <c r="J376" s="66">
        <f>-M376</f>
        <v>6347.25</v>
      </c>
      <c r="K376" s="58">
        <v>-1085</v>
      </c>
      <c r="L376" s="89">
        <v>5.85</v>
      </c>
      <c r="M376" s="73">
        <f>K376*L376</f>
        <v>-6347.25</v>
      </c>
      <c r="N376" s="58"/>
      <c r="O376" s="89"/>
      <c r="P376" s="73"/>
      <c r="Q376" s="39"/>
      <c r="R376" s="39"/>
      <c r="S376" s="8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35"/>
      <c r="AP376" s="12" t="e">
        <f>#REF!</f>
        <v>#REF!</v>
      </c>
    </row>
    <row r="377" spans="1:46" s="4" customFormat="1" ht="17.25" customHeight="1" x14ac:dyDescent="0.25">
      <c r="A377" s="23"/>
      <c r="B377" s="201" t="s">
        <v>95</v>
      </c>
      <c r="C377" s="202"/>
      <c r="D377" s="64"/>
      <c r="E377" s="64"/>
      <c r="F377" s="117"/>
      <c r="G377" s="117"/>
      <c r="H377" s="64"/>
      <c r="I377" s="64"/>
      <c r="J377" s="64">
        <f>-P377</f>
        <v>8458.4500000000007</v>
      </c>
      <c r="K377" s="57"/>
      <c r="L377" s="88"/>
      <c r="M377" s="62"/>
      <c r="N377" s="57">
        <v>-2197</v>
      </c>
      <c r="O377" s="88">
        <v>3.85</v>
      </c>
      <c r="P377" s="62">
        <f>N377*O377</f>
        <v>-8458.4500000000007</v>
      </c>
      <c r="Q377" s="39"/>
      <c r="R377" s="39"/>
      <c r="S377" s="8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35"/>
      <c r="AP377" s="12" t="e">
        <f>#REF!</f>
        <v>#REF!</v>
      </c>
    </row>
    <row r="378" spans="1:46" s="4" customFormat="1" ht="17.25" customHeight="1" x14ac:dyDescent="0.25">
      <c r="A378" s="23"/>
      <c r="B378" s="201" t="s">
        <v>97</v>
      </c>
      <c r="C378" s="203"/>
      <c r="D378" s="64"/>
      <c r="E378" s="64"/>
      <c r="F378" s="64"/>
      <c r="G378" s="64"/>
      <c r="H378" s="64">
        <f>-J378-I378</f>
        <v>5376.380000000001</v>
      </c>
      <c r="I378" s="64">
        <v>9429.32</v>
      </c>
      <c r="J378" s="64">
        <f>-SUM(J376:J377)</f>
        <v>-14805.7</v>
      </c>
      <c r="K378" s="57"/>
      <c r="L378" s="88"/>
      <c r="M378" s="62"/>
      <c r="N378" s="57"/>
      <c r="O378" s="88"/>
      <c r="P378" s="62"/>
      <c r="Q378" s="39"/>
      <c r="R378" s="39"/>
      <c r="S378" s="39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22"/>
      <c r="AO378" s="43"/>
      <c r="AP378" s="12" t="e">
        <f>#REF!</f>
        <v>#REF!</v>
      </c>
      <c r="AT378" s="2"/>
    </row>
    <row r="379" spans="1:46" s="4" customFormat="1" ht="17.25" customHeight="1" x14ac:dyDescent="0.25">
      <c r="A379" s="23"/>
      <c r="B379" s="201" t="s">
        <v>93</v>
      </c>
      <c r="C379" s="202"/>
      <c r="D379" s="64"/>
      <c r="E379" s="64"/>
      <c r="F379" s="64"/>
      <c r="G379" s="64"/>
      <c r="H379" s="64"/>
      <c r="I379" s="64"/>
      <c r="J379" s="64"/>
      <c r="K379" s="57">
        <v>64</v>
      </c>
      <c r="L379" s="88"/>
      <c r="M379" s="62">
        <f>(K382*(M368+M368)/(K368+K368))-M366-M376-M368</f>
        <v>1180.5049580052473</v>
      </c>
      <c r="N379" s="57">
        <v>18</v>
      </c>
      <c r="O379" s="88"/>
      <c r="P379" s="62">
        <f>(N382*(P368+P368)/(N368+N368))-P368-P377</f>
        <v>713.7227780777539</v>
      </c>
      <c r="Q379" s="39"/>
      <c r="R379" s="39"/>
      <c r="S379" s="39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22"/>
      <c r="AO379" s="43">
        <f>A362</f>
        <v>0</v>
      </c>
      <c r="AP379" s="12" t="e">
        <f>#REF!</f>
        <v>#REF!</v>
      </c>
      <c r="AT379" s="2"/>
    </row>
    <row r="380" spans="1:46" s="2" customFormat="1" ht="17.25" customHeight="1" x14ac:dyDescent="0.2">
      <c r="A380" s="24"/>
      <c r="B380" s="201"/>
      <c r="C380" s="204"/>
      <c r="D380" s="63"/>
      <c r="E380" s="64"/>
      <c r="F380" s="64"/>
      <c r="G380" s="64"/>
      <c r="H380" s="64"/>
      <c r="I380" s="64"/>
      <c r="J380" s="64"/>
      <c r="K380" s="16"/>
      <c r="L380" s="16"/>
      <c r="M380" s="64"/>
      <c r="N380" s="16"/>
      <c r="O380" s="16"/>
      <c r="P380" s="64"/>
      <c r="Q380" s="46"/>
      <c r="R380" s="46"/>
      <c r="S380" s="39"/>
      <c r="T380" s="16"/>
      <c r="U380" s="16"/>
      <c r="V380" s="16"/>
      <c r="W380" s="16"/>
      <c r="X380" s="16"/>
      <c r="Y380" s="19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43">
        <f>A369</f>
        <v>45987</v>
      </c>
      <c r="AQ380" s="10"/>
      <c r="AR380" s="11"/>
    </row>
    <row r="381" spans="1:46" s="2" customFormat="1" ht="17.25" customHeight="1" thickBot="1" x14ac:dyDescent="0.3">
      <c r="A381" s="56"/>
      <c r="B381" s="101" t="s">
        <v>102</v>
      </c>
      <c r="C381" s="102">
        <f>D382+E382+F382+G382+H382+I382+J382+M382+P382</f>
        <v>95597.999540000019</v>
      </c>
      <c r="D381" s="84"/>
      <c r="E381" s="85"/>
      <c r="F381" s="85"/>
      <c r="G381" s="85"/>
      <c r="H381" s="85"/>
      <c r="I381" s="85"/>
      <c r="J381" s="85"/>
      <c r="K381" s="28"/>
      <c r="L381" s="28"/>
      <c r="M381" s="85"/>
      <c r="N381" s="28"/>
      <c r="O381" s="28"/>
      <c r="P381" s="85"/>
      <c r="Q381" s="48"/>
      <c r="R381" s="48"/>
      <c r="S381" s="51"/>
      <c r="T381" s="28"/>
      <c r="U381" s="28"/>
      <c r="V381" s="28"/>
      <c r="W381" s="28"/>
      <c r="X381" s="28"/>
      <c r="Y381" s="36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42">
        <f>SUM($Q368:AN381)</f>
        <v>-386221.00000000006</v>
      </c>
      <c r="AQ381" s="10"/>
      <c r="AR381" s="11"/>
      <c r="AS381" s="2" t="s">
        <v>5</v>
      </c>
    </row>
    <row r="382" spans="1:46" s="2" customFormat="1" ht="17.25" customHeight="1" thickTop="1" thickBot="1" x14ac:dyDescent="0.3">
      <c r="A382" s="103"/>
      <c r="B382" s="104" t="s">
        <v>103</v>
      </c>
      <c r="C382" s="105">
        <f>AO382</f>
        <v>-290623.00046000001</v>
      </c>
      <c r="D382" s="106">
        <f t="shared" ref="D382:K382" si="50">SUM(D368:D381)</f>
        <v>32.737040000003617</v>
      </c>
      <c r="E382" s="107">
        <f t="shared" si="50"/>
        <v>-20808.77</v>
      </c>
      <c r="F382" s="107">
        <f t="shared" si="50"/>
        <v>21000</v>
      </c>
      <c r="G382" s="107">
        <f t="shared" si="50"/>
        <v>0</v>
      </c>
      <c r="H382" s="107">
        <f t="shared" si="50"/>
        <v>53245.842500000013</v>
      </c>
      <c r="I382" s="107">
        <f t="shared" si="50"/>
        <v>9429.32</v>
      </c>
      <c r="J382" s="107">
        <f t="shared" si="50"/>
        <v>0</v>
      </c>
      <c r="K382" s="108">
        <f t="shared" si="50"/>
        <v>2789</v>
      </c>
      <c r="L382" s="109">
        <f>M382/K382</f>
        <v>5.0604732879168157</v>
      </c>
      <c r="M382" s="107">
        <f>ROUND(SUM(M368:M381),2)</f>
        <v>14113.66</v>
      </c>
      <c r="N382" s="108">
        <f>SUM(N368:N381)</f>
        <v>5229</v>
      </c>
      <c r="O382" s="109">
        <f>P382/N382</f>
        <v>3.5542570281124495</v>
      </c>
      <c r="P382" s="107">
        <f>ROUND(SUM(P368:P381),2)</f>
        <v>18585.21</v>
      </c>
      <c r="Q382" s="110">
        <f t="shared" ref="Q382:AN382" si="51">SUM(Q368:Q381)</f>
        <v>-426806.23000000004</v>
      </c>
      <c r="R382" s="107">
        <f t="shared" si="51"/>
        <v>50229.299999999996</v>
      </c>
      <c r="S382" s="107">
        <f t="shared" si="51"/>
        <v>0</v>
      </c>
      <c r="T382" s="107">
        <f t="shared" si="51"/>
        <v>-9644.07</v>
      </c>
      <c r="U382" s="107">
        <f t="shared" si="51"/>
        <v>0</v>
      </c>
      <c r="V382" s="107">
        <f t="shared" si="51"/>
        <v>0</v>
      </c>
      <c r="W382" s="107">
        <f t="shared" si="51"/>
        <v>0</v>
      </c>
      <c r="X382" s="107">
        <f t="shared" si="51"/>
        <v>0</v>
      </c>
      <c r="Y382" s="107">
        <f t="shared" si="51"/>
        <v>0</v>
      </c>
      <c r="Z382" s="107">
        <f t="shared" si="51"/>
        <v>0</v>
      </c>
      <c r="AA382" s="107">
        <f t="shared" si="51"/>
        <v>0</v>
      </c>
      <c r="AB382" s="107">
        <f t="shared" si="51"/>
        <v>0</v>
      </c>
      <c r="AC382" s="107">
        <f t="shared" si="51"/>
        <v>0</v>
      </c>
      <c r="AD382" s="107">
        <f t="shared" si="51"/>
        <v>0</v>
      </c>
      <c r="AE382" s="107">
        <f t="shared" si="51"/>
        <v>0</v>
      </c>
      <c r="AF382" s="107">
        <f t="shared" si="51"/>
        <v>0</v>
      </c>
      <c r="AG382" s="107">
        <f t="shared" si="51"/>
        <v>0</v>
      </c>
      <c r="AH382" s="107">
        <f t="shared" si="51"/>
        <v>0</v>
      </c>
      <c r="AI382" s="107">
        <f t="shared" si="51"/>
        <v>0</v>
      </c>
      <c r="AJ382" s="107">
        <f t="shared" si="51"/>
        <v>0</v>
      </c>
      <c r="AK382" s="107">
        <f t="shared" si="51"/>
        <v>0</v>
      </c>
      <c r="AL382" s="107">
        <f t="shared" si="51"/>
        <v>0</v>
      </c>
      <c r="AM382" s="107">
        <f t="shared" si="51"/>
        <v>0</v>
      </c>
      <c r="AN382" s="107">
        <f t="shared" si="51"/>
        <v>0</v>
      </c>
      <c r="AO382" s="111">
        <f>D382+E382+F382+G382+H382+I382+J382+M382+P382+SUM(Q382:AN382)</f>
        <v>-290623.00046000001</v>
      </c>
      <c r="AP382" s="4"/>
      <c r="AQ382" s="5"/>
      <c r="AR382" s="5"/>
      <c r="AS382" s="2" t="s">
        <v>6</v>
      </c>
    </row>
    <row r="383" spans="1:46" s="2" customFormat="1" ht="17.25" customHeight="1" thickTop="1" x14ac:dyDescent="0.25">
      <c r="A383" s="23">
        <f>A369+1</f>
        <v>45988</v>
      </c>
      <c r="B383" s="210" t="s">
        <v>64</v>
      </c>
      <c r="C383" s="203"/>
      <c r="D383" s="63">
        <v>9206.14</v>
      </c>
      <c r="E383" s="66"/>
      <c r="F383" s="66"/>
      <c r="G383" s="66"/>
      <c r="H383" s="66"/>
      <c r="I383" s="66">
        <f>-D383</f>
        <v>-9206.14</v>
      </c>
      <c r="J383" s="66"/>
      <c r="K383" s="18"/>
      <c r="L383" s="18"/>
      <c r="M383" s="66"/>
      <c r="N383" s="18"/>
      <c r="O383" s="18"/>
      <c r="P383" s="66"/>
      <c r="Q383" s="46"/>
      <c r="R383" s="46"/>
      <c r="S383" s="45"/>
      <c r="T383" s="18"/>
      <c r="U383" s="18"/>
      <c r="V383" s="18"/>
      <c r="W383" s="18"/>
      <c r="X383" s="18"/>
      <c r="Y383" s="14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31"/>
      <c r="AQ383" s="10"/>
      <c r="AR383" s="27"/>
    </row>
    <row r="384" spans="1:46" s="4" customFormat="1" ht="17.25" customHeight="1" x14ac:dyDescent="0.25">
      <c r="A384" s="23"/>
      <c r="B384" s="201" t="s">
        <v>96</v>
      </c>
      <c r="C384" s="202"/>
      <c r="D384" s="63"/>
      <c r="E384" s="64"/>
      <c r="F384" s="64"/>
      <c r="G384" s="64"/>
      <c r="H384" s="64"/>
      <c r="I384" s="64">
        <f>-I382-I383</f>
        <v>-223.18000000000029</v>
      </c>
      <c r="J384" s="64"/>
      <c r="K384" s="16"/>
      <c r="L384" s="92"/>
      <c r="M384" s="64"/>
      <c r="N384" s="16"/>
      <c r="O384" s="92"/>
      <c r="P384" s="64"/>
      <c r="Q384" s="40"/>
      <c r="R384" s="46"/>
      <c r="S384" s="39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22"/>
      <c r="AP384" s="30"/>
    </row>
    <row r="385" spans="1:46" s="2" customFormat="1" ht="17.25" customHeight="1" x14ac:dyDescent="0.2">
      <c r="A385" s="23"/>
      <c r="B385" s="201" t="s">
        <v>13</v>
      </c>
      <c r="C385" s="203"/>
      <c r="D385" s="63"/>
      <c r="E385" s="64">
        <f>-E382-19722.05</f>
        <v>1086.7200000000012</v>
      </c>
      <c r="F385" s="64"/>
      <c r="G385" s="64"/>
      <c r="H385" s="64">
        <f>-E385</f>
        <v>-1086.7200000000012</v>
      </c>
      <c r="I385" s="64"/>
      <c r="J385" s="64"/>
      <c r="K385" s="16"/>
      <c r="L385" s="16"/>
      <c r="M385" s="64"/>
      <c r="N385" s="16"/>
      <c r="O385" s="16"/>
      <c r="P385" s="64"/>
      <c r="Q385" s="46"/>
      <c r="R385" s="39"/>
      <c r="S385" s="40"/>
      <c r="T385" s="16"/>
      <c r="U385" s="16"/>
      <c r="V385" s="16"/>
      <c r="W385" s="16"/>
      <c r="X385" s="16"/>
      <c r="Y385" s="19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35"/>
      <c r="AQ385" s="10"/>
      <c r="AR385" s="27"/>
    </row>
    <row r="386" spans="1:46" s="2" customFormat="1" ht="17.25" customHeight="1" x14ac:dyDescent="0.25">
      <c r="A386" s="29"/>
      <c r="B386" s="201" t="s">
        <v>72</v>
      </c>
      <c r="C386" s="202"/>
      <c r="D386" s="63">
        <v>-9200</v>
      </c>
      <c r="E386" s="64"/>
      <c r="F386" s="64">
        <f>-D386</f>
        <v>9200</v>
      </c>
      <c r="G386" s="64"/>
      <c r="H386" s="64"/>
      <c r="I386" s="64"/>
      <c r="J386" s="64"/>
      <c r="K386" s="57"/>
      <c r="L386" s="88"/>
      <c r="M386" s="62"/>
      <c r="N386" s="57"/>
      <c r="O386" s="88"/>
      <c r="P386" s="62"/>
      <c r="Q386" s="47"/>
      <c r="R386" s="39"/>
      <c r="S386" s="39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22"/>
      <c r="AQ386" s="10" t="s">
        <v>4</v>
      </c>
      <c r="AR386" s="11" t="e">
        <v>#REF!</v>
      </c>
    </row>
    <row r="387" spans="1:46" s="2" customFormat="1" ht="17.25" customHeight="1" x14ac:dyDescent="0.2">
      <c r="A387" s="23"/>
      <c r="B387" s="205" t="s">
        <v>346</v>
      </c>
      <c r="C387" s="206"/>
      <c r="D387" s="64"/>
      <c r="E387" s="64"/>
      <c r="F387" s="64"/>
      <c r="G387" s="64"/>
      <c r="H387" s="64"/>
      <c r="I387" s="64"/>
      <c r="J387" s="64"/>
      <c r="K387" s="57"/>
      <c r="L387" s="88"/>
      <c r="M387" s="62"/>
      <c r="N387" s="57">
        <v>10000</v>
      </c>
      <c r="O387" s="88">
        <v>3.63</v>
      </c>
      <c r="P387" s="62">
        <f>N387*O387</f>
        <v>36300</v>
      </c>
      <c r="Q387" s="39"/>
      <c r="R387" s="39"/>
      <c r="S387" s="39"/>
      <c r="T387" s="16"/>
      <c r="U387" s="16"/>
      <c r="V387" s="16">
        <f>-P387</f>
        <v>-36300</v>
      </c>
      <c r="W387" s="16"/>
      <c r="X387" s="16"/>
      <c r="Y387" s="19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35"/>
      <c r="AQ387" s="10"/>
      <c r="AR387" s="27"/>
    </row>
    <row r="388" spans="1:46" s="2" customFormat="1" ht="17.25" customHeight="1" thickBot="1" x14ac:dyDescent="0.25">
      <c r="A388" s="24"/>
      <c r="B388" s="216"/>
      <c r="C388" s="217"/>
      <c r="D388" s="83"/>
      <c r="E388" s="81"/>
      <c r="F388" s="81"/>
      <c r="G388" s="81"/>
      <c r="H388" s="81"/>
      <c r="I388" s="81"/>
      <c r="J388" s="81"/>
      <c r="K388" s="37"/>
      <c r="L388" s="93"/>
      <c r="M388" s="81"/>
      <c r="N388" s="37"/>
      <c r="O388" s="93"/>
      <c r="P388" s="81"/>
      <c r="Q388" s="40"/>
      <c r="R388" s="40"/>
      <c r="S388" s="39"/>
      <c r="T388" s="16"/>
      <c r="U388" s="16"/>
      <c r="V388" s="16"/>
      <c r="W388" s="16"/>
      <c r="X388" s="16"/>
      <c r="Y388" s="19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41"/>
      <c r="AQ388" s="10"/>
      <c r="AR388" s="11"/>
    </row>
    <row r="389" spans="1:46" s="4" customFormat="1" ht="17.25" customHeight="1" x14ac:dyDescent="0.25">
      <c r="A389" s="23"/>
      <c r="B389" s="210" t="s">
        <v>94</v>
      </c>
      <c r="C389" s="203"/>
      <c r="D389" s="66"/>
      <c r="E389" s="66"/>
      <c r="F389" s="117"/>
      <c r="G389" s="117"/>
      <c r="H389" s="66"/>
      <c r="I389" s="66"/>
      <c r="J389" s="66">
        <f>-M389</f>
        <v>9909.9</v>
      </c>
      <c r="K389" s="58">
        <v>-1694</v>
      </c>
      <c r="L389" s="89">
        <v>5.85</v>
      </c>
      <c r="M389" s="73">
        <f>K389*L389</f>
        <v>-9909.9</v>
      </c>
      <c r="N389" s="58"/>
      <c r="O389" s="89"/>
      <c r="P389" s="73"/>
      <c r="Q389" s="39"/>
      <c r="R389" s="39"/>
      <c r="S389" s="8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35"/>
      <c r="AP389" s="12" t="e">
        <f>#REF!</f>
        <v>#REF!</v>
      </c>
    </row>
    <row r="390" spans="1:46" s="4" customFormat="1" ht="17.25" customHeight="1" x14ac:dyDescent="0.25">
      <c r="A390" s="23"/>
      <c r="B390" s="201" t="s">
        <v>95</v>
      </c>
      <c r="C390" s="202"/>
      <c r="D390" s="64"/>
      <c r="E390" s="64"/>
      <c r="F390" s="117"/>
      <c r="G390" s="117"/>
      <c r="H390" s="64"/>
      <c r="I390" s="64"/>
      <c r="J390" s="64">
        <f>-P390</f>
        <v>10383.450000000001</v>
      </c>
      <c r="K390" s="57"/>
      <c r="L390" s="88"/>
      <c r="M390" s="62"/>
      <c r="N390" s="57">
        <v>-2697</v>
      </c>
      <c r="O390" s="88">
        <v>3.85</v>
      </c>
      <c r="P390" s="62">
        <f>N390*O390</f>
        <v>-10383.450000000001</v>
      </c>
      <c r="Q390" s="39"/>
      <c r="R390" s="39"/>
      <c r="S390" s="8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35"/>
      <c r="AP390" s="12" t="e">
        <f>#REF!</f>
        <v>#REF!</v>
      </c>
    </row>
    <row r="391" spans="1:46" s="4" customFormat="1" ht="17.25" customHeight="1" x14ac:dyDescent="0.25">
      <c r="A391" s="23"/>
      <c r="B391" s="201" t="s">
        <v>97</v>
      </c>
      <c r="C391" s="203"/>
      <c r="D391" s="64"/>
      <c r="E391" s="64"/>
      <c r="F391" s="64"/>
      <c r="G391" s="64"/>
      <c r="H391" s="64">
        <f>-J391-I391</f>
        <v>8162.4599999999991</v>
      </c>
      <c r="I391" s="64">
        <v>12130.89</v>
      </c>
      <c r="J391" s="64">
        <f>-SUM(J389:J390)</f>
        <v>-20293.349999999999</v>
      </c>
      <c r="K391" s="57"/>
      <c r="L391" s="88"/>
      <c r="M391" s="62"/>
      <c r="N391" s="57"/>
      <c r="O391" s="88"/>
      <c r="P391" s="62"/>
      <c r="Q391" s="39"/>
      <c r="R391" s="39"/>
      <c r="S391" s="39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22"/>
      <c r="AO391" s="43"/>
      <c r="AP391" s="12" t="e">
        <f>#REF!</f>
        <v>#REF!</v>
      </c>
      <c r="AT391" s="2"/>
    </row>
    <row r="392" spans="1:46" s="4" customFormat="1" ht="17.25" customHeight="1" x14ac:dyDescent="0.25">
      <c r="A392" s="23"/>
      <c r="B392" s="201" t="s">
        <v>93</v>
      </c>
      <c r="C392" s="202"/>
      <c r="D392" s="64"/>
      <c r="E392" s="64"/>
      <c r="F392" s="64"/>
      <c r="G392" s="64"/>
      <c r="H392" s="64"/>
      <c r="I392" s="64"/>
      <c r="J392" s="64"/>
      <c r="K392" s="57">
        <v>215</v>
      </c>
      <c r="L392" s="88"/>
      <c r="M392" s="62">
        <f>(K395*(M382)/(K382))-M382-M389</f>
        <v>2425.4600071710292</v>
      </c>
      <c r="N392" s="57">
        <v>97</v>
      </c>
      <c r="O392" s="88"/>
      <c r="P392" s="62">
        <f>(N395*(P382+P387)/(N382+N387))-P382-P390-P387</f>
        <v>1013.0680970516842</v>
      </c>
      <c r="Q392" s="39"/>
      <c r="R392" s="39"/>
      <c r="S392" s="39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22"/>
      <c r="AO392" s="43">
        <f>A376</f>
        <v>0</v>
      </c>
      <c r="AP392" s="12" t="e">
        <f>#REF!</f>
        <v>#REF!</v>
      </c>
      <c r="AT392" s="2"/>
    </row>
    <row r="393" spans="1:46" s="2" customFormat="1" ht="17.25" customHeight="1" x14ac:dyDescent="0.2">
      <c r="A393" s="24"/>
      <c r="B393" s="201"/>
      <c r="C393" s="204"/>
      <c r="D393" s="63"/>
      <c r="E393" s="64"/>
      <c r="F393" s="64"/>
      <c r="G393" s="64"/>
      <c r="H393" s="64"/>
      <c r="I393" s="64"/>
      <c r="J393" s="64"/>
      <c r="K393" s="16"/>
      <c r="L393" s="16"/>
      <c r="M393" s="64"/>
      <c r="N393" s="16"/>
      <c r="O393" s="16"/>
      <c r="P393" s="64"/>
      <c r="Q393" s="46"/>
      <c r="R393" s="46"/>
      <c r="S393" s="39"/>
      <c r="T393" s="16"/>
      <c r="U393" s="16"/>
      <c r="V393" s="16"/>
      <c r="W393" s="16"/>
      <c r="X393" s="16"/>
      <c r="Y393" s="19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43">
        <f>A383</f>
        <v>45988</v>
      </c>
      <c r="AQ393" s="10"/>
      <c r="AR393" s="11"/>
    </row>
    <row r="394" spans="1:46" s="2" customFormat="1" ht="17.25" customHeight="1" thickBot="1" x14ac:dyDescent="0.3">
      <c r="A394" s="56"/>
      <c r="B394" s="101" t="s">
        <v>102</v>
      </c>
      <c r="C394" s="102">
        <f>D395+E395+F395+G395+H395+I395+J395+M395+P395</f>
        <v>135113.34954000002</v>
      </c>
      <c r="D394" s="84"/>
      <c r="E394" s="85"/>
      <c r="F394" s="85"/>
      <c r="G394" s="85"/>
      <c r="H394" s="85"/>
      <c r="I394" s="85"/>
      <c r="J394" s="85"/>
      <c r="K394" s="28"/>
      <c r="L394" s="28"/>
      <c r="M394" s="85"/>
      <c r="N394" s="28"/>
      <c r="O394" s="28"/>
      <c r="P394" s="85"/>
      <c r="Q394" s="48"/>
      <c r="R394" s="48"/>
      <c r="S394" s="51"/>
      <c r="T394" s="28"/>
      <c r="U394" s="28"/>
      <c r="V394" s="28"/>
      <c r="W394" s="28"/>
      <c r="X394" s="28"/>
      <c r="Y394" s="36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42">
        <f>SUM($Q382:AN394)</f>
        <v>-422521.00000000006</v>
      </c>
      <c r="AQ394" s="10"/>
      <c r="AR394" s="11"/>
      <c r="AS394" s="2" t="s">
        <v>5</v>
      </c>
    </row>
    <row r="395" spans="1:46" s="2" customFormat="1" ht="17.25" customHeight="1" thickTop="1" thickBot="1" x14ac:dyDescent="0.3">
      <c r="A395" s="103"/>
      <c r="B395" s="104" t="s">
        <v>103</v>
      </c>
      <c r="C395" s="105">
        <f>AO395</f>
        <v>-287407.65046000003</v>
      </c>
      <c r="D395" s="106">
        <f t="shared" ref="D395:K395" si="52">SUM(D382:D394)</f>
        <v>38.877040000003035</v>
      </c>
      <c r="E395" s="107">
        <f t="shared" si="52"/>
        <v>-19722.05</v>
      </c>
      <c r="F395" s="107">
        <f t="shared" si="52"/>
        <v>30200</v>
      </c>
      <c r="G395" s="107">
        <f t="shared" si="52"/>
        <v>0</v>
      </c>
      <c r="H395" s="107">
        <f t="shared" si="52"/>
        <v>60321.582500000011</v>
      </c>
      <c r="I395" s="107">
        <f t="shared" si="52"/>
        <v>12130.89</v>
      </c>
      <c r="J395" s="107">
        <f t="shared" si="52"/>
        <v>0</v>
      </c>
      <c r="K395" s="108">
        <f t="shared" si="52"/>
        <v>1310</v>
      </c>
      <c r="L395" s="109">
        <f>M395/K395</f>
        <v>5.0604732824427483</v>
      </c>
      <c r="M395" s="107">
        <f>ROUND(SUM(M382:M394),2)</f>
        <v>6629.22</v>
      </c>
      <c r="N395" s="108">
        <f>SUM(N382:N394)</f>
        <v>12629</v>
      </c>
      <c r="O395" s="109">
        <f>P395/N395</f>
        <v>3.603993190276348</v>
      </c>
      <c r="P395" s="107">
        <f>ROUND(SUM(P382:P394),2)</f>
        <v>45514.83</v>
      </c>
      <c r="Q395" s="110">
        <f t="shared" ref="Q395:AN395" si="53">SUM(Q382:Q394)</f>
        <v>-426806.23000000004</v>
      </c>
      <c r="R395" s="107">
        <f t="shared" si="53"/>
        <v>50229.299999999996</v>
      </c>
      <c r="S395" s="107">
        <f t="shared" si="53"/>
        <v>0</v>
      </c>
      <c r="T395" s="107">
        <f t="shared" si="53"/>
        <v>-9644.07</v>
      </c>
      <c r="U395" s="107">
        <f t="shared" si="53"/>
        <v>0</v>
      </c>
      <c r="V395" s="107">
        <f t="shared" si="53"/>
        <v>-36300</v>
      </c>
      <c r="W395" s="107">
        <f t="shared" si="53"/>
        <v>0</v>
      </c>
      <c r="X395" s="107">
        <f t="shared" si="53"/>
        <v>0</v>
      </c>
      <c r="Y395" s="107">
        <f t="shared" si="53"/>
        <v>0</v>
      </c>
      <c r="Z395" s="107">
        <f t="shared" si="53"/>
        <v>0</v>
      </c>
      <c r="AA395" s="107">
        <f t="shared" si="53"/>
        <v>0</v>
      </c>
      <c r="AB395" s="107">
        <f t="shared" si="53"/>
        <v>0</v>
      </c>
      <c r="AC395" s="107">
        <f t="shared" si="53"/>
        <v>0</v>
      </c>
      <c r="AD395" s="107">
        <f t="shared" si="53"/>
        <v>0</v>
      </c>
      <c r="AE395" s="107">
        <f t="shared" si="53"/>
        <v>0</v>
      </c>
      <c r="AF395" s="107">
        <f t="shared" si="53"/>
        <v>0</v>
      </c>
      <c r="AG395" s="107">
        <f t="shared" si="53"/>
        <v>0</v>
      </c>
      <c r="AH395" s="107">
        <f t="shared" si="53"/>
        <v>0</v>
      </c>
      <c r="AI395" s="107">
        <f t="shared" si="53"/>
        <v>0</v>
      </c>
      <c r="AJ395" s="107">
        <f t="shared" si="53"/>
        <v>0</v>
      </c>
      <c r="AK395" s="107">
        <f t="shared" si="53"/>
        <v>0</v>
      </c>
      <c r="AL395" s="107">
        <f t="shared" si="53"/>
        <v>0</v>
      </c>
      <c r="AM395" s="107">
        <f t="shared" si="53"/>
        <v>0</v>
      </c>
      <c r="AN395" s="107">
        <f t="shared" si="53"/>
        <v>0</v>
      </c>
      <c r="AO395" s="111">
        <f>D395+E395+F395+G395+H395+I395+J395+M395+P395+SUM(Q395:AN395)</f>
        <v>-287407.65046000003</v>
      </c>
      <c r="AP395" s="4"/>
      <c r="AQ395" s="5"/>
      <c r="AR395" s="5"/>
      <c r="AS395" s="2" t="s">
        <v>6</v>
      </c>
    </row>
    <row r="396" spans="1:46" s="2" customFormat="1" ht="17.25" customHeight="1" thickTop="1" x14ac:dyDescent="0.25">
      <c r="A396" s="23">
        <f>A383+1</f>
        <v>45989</v>
      </c>
      <c r="B396" s="210" t="s">
        <v>64</v>
      </c>
      <c r="C396" s="203"/>
      <c r="D396" s="63">
        <v>11857.59</v>
      </c>
      <c r="E396" s="66"/>
      <c r="F396" s="66"/>
      <c r="G396" s="66"/>
      <c r="H396" s="66"/>
      <c r="I396" s="66">
        <f>-D396</f>
        <v>-11857.59</v>
      </c>
      <c r="J396" s="66"/>
      <c r="K396" s="18"/>
      <c r="L396" s="18"/>
      <c r="M396" s="66"/>
      <c r="N396" s="18"/>
      <c r="O396" s="18"/>
      <c r="P396" s="66"/>
      <c r="Q396" s="46"/>
      <c r="R396" s="46"/>
      <c r="S396" s="45"/>
      <c r="T396" s="18"/>
      <c r="U396" s="18"/>
      <c r="V396" s="18"/>
      <c r="W396" s="18"/>
      <c r="X396" s="18"/>
      <c r="Y396" s="14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31"/>
      <c r="AQ396" s="10"/>
      <c r="AR396" s="27"/>
    </row>
    <row r="397" spans="1:46" s="4" customFormat="1" ht="17.25" customHeight="1" x14ac:dyDescent="0.25">
      <c r="A397" s="23"/>
      <c r="B397" s="201" t="s">
        <v>96</v>
      </c>
      <c r="C397" s="202"/>
      <c r="D397" s="63"/>
      <c r="E397" s="64"/>
      <c r="F397" s="64"/>
      <c r="G397" s="64"/>
      <c r="H397" s="64"/>
      <c r="I397" s="64">
        <f>-I395-I396</f>
        <v>-273.29999999999927</v>
      </c>
      <c r="J397" s="64"/>
      <c r="K397" s="16"/>
      <c r="L397" s="92"/>
      <c r="M397" s="64"/>
      <c r="N397" s="16"/>
      <c r="O397" s="92"/>
      <c r="P397" s="64"/>
      <c r="Q397" s="40"/>
      <c r="R397" s="46"/>
      <c r="S397" s="39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22"/>
      <c r="AP397" s="30"/>
    </row>
    <row r="398" spans="1:46" s="2" customFormat="1" ht="17.25" customHeight="1" x14ac:dyDescent="0.2">
      <c r="A398" s="23"/>
      <c r="B398" s="201" t="s">
        <v>13</v>
      </c>
      <c r="C398" s="203"/>
      <c r="D398" s="63"/>
      <c r="E398" s="64">
        <f>-E395-19624.86+550.81+8600</f>
        <v>9247.9999999999982</v>
      </c>
      <c r="F398" s="64"/>
      <c r="G398" s="64"/>
      <c r="H398" s="64">
        <f>-E398</f>
        <v>-9247.9999999999982</v>
      </c>
      <c r="I398" s="64"/>
      <c r="J398" s="64"/>
      <c r="K398" s="16"/>
      <c r="L398" s="16"/>
      <c r="M398" s="64"/>
      <c r="N398" s="16"/>
      <c r="O398" s="16"/>
      <c r="P398" s="64"/>
      <c r="Q398" s="46"/>
      <c r="R398" s="39"/>
      <c r="S398" s="40"/>
      <c r="T398" s="16"/>
      <c r="U398" s="16"/>
      <c r="V398" s="16"/>
      <c r="W398" s="16"/>
      <c r="X398" s="16"/>
      <c r="Y398" s="19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35"/>
      <c r="AQ398" s="10"/>
      <c r="AR398" s="27"/>
    </row>
    <row r="399" spans="1:46" s="2" customFormat="1" ht="17.25" customHeight="1" x14ac:dyDescent="0.2">
      <c r="A399" s="23"/>
      <c r="B399" s="201" t="s">
        <v>298</v>
      </c>
      <c r="C399" s="203"/>
      <c r="D399" s="63">
        <v>8600</v>
      </c>
      <c r="E399" s="64">
        <v>-8600</v>
      </c>
      <c r="F399" s="74"/>
      <c r="G399" s="74"/>
      <c r="H399" s="64"/>
      <c r="I399" s="64"/>
      <c r="J399" s="64"/>
      <c r="K399" s="16"/>
      <c r="L399" s="16"/>
      <c r="M399" s="64"/>
      <c r="N399" s="16"/>
      <c r="O399" s="16"/>
      <c r="P399" s="64"/>
      <c r="Q399" s="46"/>
      <c r="R399" s="39"/>
      <c r="S399" s="40"/>
      <c r="T399" s="16"/>
      <c r="U399" s="16"/>
      <c r="V399" s="16"/>
      <c r="W399" s="16"/>
      <c r="X399" s="16"/>
      <c r="Y399" s="19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35"/>
      <c r="AQ399" s="10"/>
      <c r="AR399" s="27"/>
    </row>
    <row r="400" spans="1:46" s="2" customFormat="1" ht="17.25" customHeight="1" x14ac:dyDescent="0.25">
      <c r="A400" s="29"/>
      <c r="B400" s="201" t="s">
        <v>53</v>
      </c>
      <c r="C400" s="202"/>
      <c r="D400" s="63"/>
      <c r="E400" s="64">
        <v>-550.80999999999995</v>
      </c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47"/>
      <c r="R400" s="39"/>
      <c r="S400" s="39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22"/>
      <c r="AQ400" s="10" t="s">
        <v>4</v>
      </c>
      <c r="AR400" s="11" t="e">
        <v>#REF!</v>
      </c>
    </row>
    <row r="401" spans="1:46" s="2" customFormat="1" ht="17.25" customHeight="1" x14ac:dyDescent="0.25">
      <c r="A401" s="29"/>
      <c r="B401" s="201" t="s">
        <v>72</v>
      </c>
      <c r="C401" s="202"/>
      <c r="D401" s="63">
        <v>30200</v>
      </c>
      <c r="E401" s="64"/>
      <c r="F401" s="64">
        <f>-D401</f>
        <v>-30200</v>
      </c>
      <c r="G401" s="64"/>
      <c r="H401" s="64"/>
      <c r="I401" s="64"/>
      <c r="J401" s="64"/>
      <c r="K401" s="57"/>
      <c r="L401" s="88"/>
      <c r="M401" s="62"/>
      <c r="N401" s="57"/>
      <c r="O401" s="88"/>
      <c r="P401" s="62"/>
      <c r="Q401" s="47"/>
      <c r="R401" s="39"/>
      <c r="S401" s="39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22"/>
      <c r="AQ401" s="10" t="s">
        <v>4</v>
      </c>
      <c r="AR401" s="11" t="e">
        <v>#REF!</v>
      </c>
    </row>
    <row r="402" spans="1:46" s="2" customFormat="1" ht="17.25" customHeight="1" x14ac:dyDescent="0.25">
      <c r="A402" s="29"/>
      <c r="B402" s="201" t="s">
        <v>286</v>
      </c>
      <c r="C402" s="202"/>
      <c r="D402" s="63">
        <v>-68.8</v>
      </c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47"/>
      <c r="R402" s="39"/>
      <c r="S402" s="39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22"/>
      <c r="AQ402" s="10" t="s">
        <v>4</v>
      </c>
      <c r="AR402" s="11" t="e">
        <v>#REF!</v>
      </c>
    </row>
    <row r="403" spans="1:46" s="2" customFormat="1" ht="17.25" customHeight="1" x14ac:dyDescent="0.25">
      <c r="A403" s="24"/>
      <c r="B403" s="205" t="s">
        <v>345</v>
      </c>
      <c r="C403" s="206"/>
      <c r="D403" s="64">
        <f>-M403</f>
        <v>-50400</v>
      </c>
      <c r="E403" s="64"/>
      <c r="F403" s="64"/>
      <c r="G403" s="64"/>
      <c r="H403" s="64"/>
      <c r="I403" s="64"/>
      <c r="J403" s="64"/>
      <c r="K403" s="57">
        <v>10000</v>
      </c>
      <c r="L403" s="88">
        <v>5.04</v>
      </c>
      <c r="M403" s="62">
        <f>K403*L403</f>
        <v>50400</v>
      </c>
      <c r="N403" s="57"/>
      <c r="O403" s="88"/>
      <c r="P403" s="62"/>
      <c r="Q403" s="39"/>
      <c r="R403" s="39"/>
      <c r="S403" s="39"/>
      <c r="T403" s="16"/>
      <c r="U403" s="16">
        <f>-P403</f>
        <v>0</v>
      </c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22"/>
      <c r="AQ403" s="10"/>
      <c r="AR403" s="11"/>
    </row>
    <row r="404" spans="1:46" s="2" customFormat="1" ht="17.25" customHeight="1" x14ac:dyDescent="0.25">
      <c r="A404" s="29"/>
      <c r="B404" s="201" t="s">
        <v>284</v>
      </c>
      <c r="C404" s="202"/>
      <c r="D404" s="63">
        <f>-4.9</f>
        <v>-4.9000000000000004</v>
      </c>
      <c r="E404" s="64"/>
      <c r="F404" s="64"/>
      <c r="G404" s="64"/>
      <c r="H404" s="64"/>
      <c r="I404" s="64"/>
      <c r="J404" s="64"/>
      <c r="K404" s="57"/>
      <c r="L404" s="88"/>
      <c r="M404" s="62"/>
      <c r="N404" s="57"/>
      <c r="O404" s="88"/>
      <c r="P404" s="62"/>
      <c r="Q404" s="47"/>
      <c r="R404" s="39"/>
      <c r="S404" s="39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22"/>
      <c r="AQ404" s="10" t="s">
        <v>4</v>
      </c>
      <c r="AR404" s="11" t="e">
        <v>#REF!</v>
      </c>
    </row>
    <row r="405" spans="1:46" s="2" customFormat="1" ht="17.25" customHeight="1" thickBot="1" x14ac:dyDescent="0.25">
      <c r="A405" s="24"/>
      <c r="B405" s="216"/>
      <c r="C405" s="217"/>
      <c r="D405" s="83"/>
      <c r="E405" s="81"/>
      <c r="F405" s="81"/>
      <c r="G405" s="81"/>
      <c r="H405" s="81"/>
      <c r="I405" s="81"/>
      <c r="J405" s="81"/>
      <c r="K405" s="37"/>
      <c r="L405" s="93"/>
      <c r="M405" s="81"/>
      <c r="N405" s="37"/>
      <c r="O405" s="93"/>
      <c r="P405" s="81"/>
      <c r="Q405" s="40"/>
      <c r="R405" s="40"/>
      <c r="S405" s="39"/>
      <c r="T405" s="16"/>
      <c r="U405" s="16"/>
      <c r="V405" s="16"/>
      <c r="W405" s="16"/>
      <c r="X405" s="16"/>
      <c r="Y405" s="19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41"/>
      <c r="AQ405" s="10"/>
      <c r="AR405" s="11"/>
    </row>
    <row r="406" spans="1:46" s="4" customFormat="1" ht="17.25" customHeight="1" x14ac:dyDescent="0.25">
      <c r="A406" s="23"/>
      <c r="B406" s="210" t="s">
        <v>94</v>
      </c>
      <c r="C406" s="203"/>
      <c r="D406" s="66"/>
      <c r="E406" s="66"/>
      <c r="F406" s="117"/>
      <c r="G406" s="117"/>
      <c r="H406" s="66"/>
      <c r="I406" s="66"/>
      <c r="J406" s="66">
        <f>-M406</f>
        <v>12448.8</v>
      </c>
      <c r="K406" s="58">
        <v>-2128</v>
      </c>
      <c r="L406" s="89">
        <v>5.85</v>
      </c>
      <c r="M406" s="73">
        <f>K406*L406</f>
        <v>-12448.8</v>
      </c>
      <c r="N406" s="58"/>
      <c r="O406" s="89"/>
      <c r="P406" s="73"/>
      <c r="Q406" s="39"/>
      <c r="R406" s="39"/>
      <c r="S406" s="8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35"/>
      <c r="AP406" s="12" t="e">
        <f>#REF!</f>
        <v>#REF!</v>
      </c>
    </row>
    <row r="407" spans="1:46" s="4" customFormat="1" ht="17.25" customHeight="1" x14ac:dyDescent="0.25">
      <c r="A407" s="23"/>
      <c r="B407" s="201" t="s">
        <v>95</v>
      </c>
      <c r="C407" s="202"/>
      <c r="D407" s="64"/>
      <c r="E407" s="64"/>
      <c r="F407" s="117"/>
      <c r="G407" s="117"/>
      <c r="H407" s="64"/>
      <c r="I407" s="64"/>
      <c r="J407" s="64">
        <f>-P407</f>
        <v>10190.950000000001</v>
      </c>
      <c r="K407" s="57"/>
      <c r="L407" s="88"/>
      <c r="M407" s="62"/>
      <c r="N407" s="57">
        <v>-2647</v>
      </c>
      <c r="O407" s="88">
        <v>3.85</v>
      </c>
      <c r="P407" s="62">
        <f>N407*O407</f>
        <v>-10190.950000000001</v>
      </c>
      <c r="Q407" s="39"/>
      <c r="R407" s="39"/>
      <c r="S407" s="8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35"/>
      <c r="AP407" s="12" t="e">
        <f>#REF!</f>
        <v>#REF!</v>
      </c>
    </row>
    <row r="408" spans="1:46" s="4" customFormat="1" ht="17.25" customHeight="1" x14ac:dyDescent="0.25">
      <c r="A408" s="23"/>
      <c r="B408" s="201" t="s">
        <v>97</v>
      </c>
      <c r="C408" s="203"/>
      <c r="D408" s="64"/>
      <c r="E408" s="64"/>
      <c r="F408" s="64"/>
      <c r="G408" s="64"/>
      <c r="H408" s="64">
        <f>-J408-I408</f>
        <v>8844.39</v>
      </c>
      <c r="I408" s="64">
        <v>13795.36</v>
      </c>
      <c r="J408" s="64">
        <f>-SUM(J406:J407)</f>
        <v>-22639.75</v>
      </c>
      <c r="K408" s="57"/>
      <c r="L408" s="88"/>
      <c r="M408" s="62"/>
      <c r="N408" s="57"/>
      <c r="O408" s="88"/>
      <c r="P408" s="62"/>
      <c r="Q408" s="39"/>
      <c r="R408" s="39"/>
      <c r="S408" s="39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22"/>
      <c r="AO408" s="43">
        <f>A385</f>
        <v>0</v>
      </c>
      <c r="AP408" s="12" t="e">
        <f>#REF!</f>
        <v>#REF!</v>
      </c>
      <c r="AT408" s="2"/>
    </row>
    <row r="409" spans="1:46" s="4" customFormat="1" ht="17.25" customHeight="1" x14ac:dyDescent="0.25">
      <c r="A409" s="23"/>
      <c r="B409" s="201" t="s">
        <v>93</v>
      </c>
      <c r="C409" s="202"/>
      <c r="D409" s="64"/>
      <c r="E409" s="64"/>
      <c r="F409" s="64"/>
      <c r="G409" s="64"/>
      <c r="H409" s="64"/>
      <c r="I409" s="64"/>
      <c r="J409" s="64"/>
      <c r="K409" s="57">
        <v>330</v>
      </c>
      <c r="L409" s="88"/>
      <c r="M409" s="62">
        <f>(K412*(M395+M403)/(K395+K403))-M395-M406-M403</f>
        <v>3382.6163076923112</v>
      </c>
      <c r="N409" s="57">
        <v>-96</v>
      </c>
      <c r="O409" s="88"/>
      <c r="P409" s="62">
        <f>(N412*(P395)/(N395))-P395-P407</f>
        <v>305.196679071978</v>
      </c>
      <c r="Q409" s="39"/>
      <c r="R409" s="39"/>
      <c r="S409" s="39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22"/>
      <c r="AO409" s="43">
        <f>A389</f>
        <v>0</v>
      </c>
      <c r="AP409" s="12" t="e">
        <f>#REF!</f>
        <v>#REF!</v>
      </c>
      <c r="AT409" s="2"/>
    </row>
    <row r="410" spans="1:46" s="2" customFormat="1" ht="17.25" customHeight="1" x14ac:dyDescent="0.2">
      <c r="A410" s="24"/>
      <c r="B410" s="201"/>
      <c r="C410" s="204"/>
      <c r="D410" s="63"/>
      <c r="E410" s="64"/>
      <c r="F410" s="64"/>
      <c r="G410" s="64"/>
      <c r="H410" s="64"/>
      <c r="I410" s="64"/>
      <c r="J410" s="64"/>
      <c r="K410" s="16"/>
      <c r="L410" s="16"/>
      <c r="M410" s="64"/>
      <c r="N410" s="16"/>
      <c r="O410" s="16"/>
      <c r="P410" s="64"/>
      <c r="Q410" s="46"/>
      <c r="R410" s="46"/>
      <c r="S410" s="39"/>
      <c r="T410" s="16"/>
      <c r="U410" s="16"/>
      <c r="V410" s="16"/>
      <c r="W410" s="16"/>
      <c r="X410" s="16"/>
      <c r="Y410" s="19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43">
        <f>A396</f>
        <v>45989</v>
      </c>
      <c r="AQ410" s="10"/>
      <c r="AR410" s="11"/>
    </row>
    <row r="411" spans="1:46" s="2" customFormat="1" ht="17.25" customHeight="1" thickBot="1" x14ac:dyDescent="0.3">
      <c r="A411" s="56"/>
      <c r="B411" s="101" t="s">
        <v>102</v>
      </c>
      <c r="C411" s="102">
        <f>D412+E412+F412+G412+H412+I412+J412+M412+P412</f>
        <v>137903.35954000003</v>
      </c>
      <c r="D411" s="84"/>
      <c r="E411" s="85"/>
      <c r="F411" s="85"/>
      <c r="G411" s="85"/>
      <c r="H411" s="85"/>
      <c r="I411" s="85"/>
      <c r="J411" s="85"/>
      <c r="K411" s="28"/>
      <c r="L411" s="28"/>
      <c r="M411" s="85"/>
      <c r="N411" s="28"/>
      <c r="O411" s="28"/>
      <c r="P411" s="85"/>
      <c r="Q411" s="48"/>
      <c r="R411" s="48"/>
      <c r="S411" s="51"/>
      <c r="T411" s="28"/>
      <c r="U411" s="28"/>
      <c r="V411" s="28"/>
      <c r="W411" s="28"/>
      <c r="X411" s="28"/>
      <c r="Y411" s="36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42">
        <f>SUM($Q395:AN411)</f>
        <v>-422521.00000000006</v>
      </c>
      <c r="AQ411" s="10"/>
      <c r="AR411" s="11"/>
      <c r="AS411" s="2" t="s">
        <v>5</v>
      </c>
    </row>
    <row r="412" spans="1:46" s="2" customFormat="1" ht="17.25" customHeight="1" thickTop="1" thickBot="1" x14ac:dyDescent="0.3">
      <c r="A412" s="103"/>
      <c r="B412" s="104" t="s">
        <v>103</v>
      </c>
      <c r="C412" s="105">
        <f>AO412</f>
        <v>-284617.64046000002</v>
      </c>
      <c r="D412" s="106">
        <f t="shared" ref="D412:K412" si="54">SUM(D395:D411)</f>
        <v>222.76704000000026</v>
      </c>
      <c r="E412" s="107">
        <f t="shared" si="54"/>
        <v>-19624.860000000004</v>
      </c>
      <c r="F412" s="107">
        <f t="shared" si="54"/>
        <v>0</v>
      </c>
      <c r="G412" s="107">
        <f t="shared" si="54"/>
        <v>0</v>
      </c>
      <c r="H412" s="107">
        <f t="shared" si="54"/>
        <v>59917.972500000011</v>
      </c>
      <c r="I412" s="107">
        <f t="shared" si="54"/>
        <v>13795.36</v>
      </c>
      <c r="J412" s="107">
        <f t="shared" si="54"/>
        <v>0</v>
      </c>
      <c r="K412" s="108">
        <f t="shared" si="54"/>
        <v>9512</v>
      </c>
      <c r="L412" s="109">
        <f>M412/K412</f>
        <v>5.0423717409587887</v>
      </c>
      <c r="M412" s="107">
        <f>ROUND(SUM(M395:M411),2)</f>
        <v>47963.040000000001</v>
      </c>
      <c r="N412" s="108">
        <f>SUM(N395:N411)</f>
        <v>9886</v>
      </c>
      <c r="O412" s="109">
        <f>P412/N412</f>
        <v>3.6039935261986651</v>
      </c>
      <c r="P412" s="107">
        <f>ROUND(SUM(P395:P411),2)</f>
        <v>35629.08</v>
      </c>
      <c r="Q412" s="110">
        <f t="shared" ref="Q412:AN412" si="55">SUM(Q395:Q411)</f>
        <v>-426806.23000000004</v>
      </c>
      <c r="R412" s="107">
        <f t="shared" si="55"/>
        <v>50229.299999999996</v>
      </c>
      <c r="S412" s="107">
        <f t="shared" si="55"/>
        <v>0</v>
      </c>
      <c r="T412" s="107">
        <f t="shared" si="55"/>
        <v>-9644.07</v>
      </c>
      <c r="U412" s="107">
        <f t="shared" si="55"/>
        <v>0</v>
      </c>
      <c r="V412" s="107">
        <f t="shared" si="55"/>
        <v>-36300</v>
      </c>
      <c r="W412" s="107">
        <f t="shared" si="55"/>
        <v>0</v>
      </c>
      <c r="X412" s="107">
        <f t="shared" si="55"/>
        <v>0</v>
      </c>
      <c r="Y412" s="107">
        <f t="shared" si="55"/>
        <v>0</v>
      </c>
      <c r="Z412" s="107">
        <f t="shared" si="55"/>
        <v>0</v>
      </c>
      <c r="AA412" s="107">
        <f t="shared" si="55"/>
        <v>0</v>
      </c>
      <c r="AB412" s="107">
        <f t="shared" si="55"/>
        <v>0</v>
      </c>
      <c r="AC412" s="107">
        <f t="shared" si="55"/>
        <v>0</v>
      </c>
      <c r="AD412" s="107">
        <f t="shared" si="55"/>
        <v>0</v>
      </c>
      <c r="AE412" s="107">
        <f t="shared" si="55"/>
        <v>0</v>
      </c>
      <c r="AF412" s="107">
        <f t="shared" si="55"/>
        <v>0</v>
      </c>
      <c r="AG412" s="107">
        <f t="shared" si="55"/>
        <v>0</v>
      </c>
      <c r="AH412" s="107">
        <f t="shared" si="55"/>
        <v>0</v>
      </c>
      <c r="AI412" s="107">
        <f t="shared" si="55"/>
        <v>0</v>
      </c>
      <c r="AJ412" s="107">
        <f t="shared" si="55"/>
        <v>0</v>
      </c>
      <c r="AK412" s="107">
        <f t="shared" si="55"/>
        <v>0</v>
      </c>
      <c r="AL412" s="107">
        <f t="shared" si="55"/>
        <v>0</v>
      </c>
      <c r="AM412" s="107">
        <f t="shared" si="55"/>
        <v>0</v>
      </c>
      <c r="AN412" s="107">
        <f t="shared" si="55"/>
        <v>0</v>
      </c>
      <c r="AO412" s="111">
        <f>D412+E412+F412+G412+H412+I412+J412+M412+P412+SUM(Q412:AN412)</f>
        <v>-284617.64046000002</v>
      </c>
      <c r="AP412" s="4"/>
      <c r="AQ412" s="5"/>
      <c r="AR412" s="5"/>
      <c r="AS412" s="2" t="s">
        <v>6</v>
      </c>
    </row>
    <row r="413" spans="1:46" s="2" customFormat="1" ht="17.25" customHeight="1" thickTop="1" x14ac:dyDescent="0.25">
      <c r="A413" s="23">
        <f>A396+1</f>
        <v>45990</v>
      </c>
      <c r="B413" s="210" t="s">
        <v>64</v>
      </c>
      <c r="C413" s="203"/>
      <c r="D413" s="63">
        <v>13457.54</v>
      </c>
      <c r="E413" s="66"/>
      <c r="F413" s="66"/>
      <c r="G413" s="66"/>
      <c r="H413" s="66"/>
      <c r="I413" s="66">
        <f>-D413</f>
        <v>-13457.54</v>
      </c>
      <c r="J413" s="66"/>
      <c r="K413" s="18"/>
      <c r="L413" s="18"/>
      <c r="M413" s="66"/>
      <c r="N413" s="18"/>
      <c r="O413" s="18"/>
      <c r="P413" s="66"/>
      <c r="Q413" s="46"/>
      <c r="R413" s="46"/>
      <c r="S413" s="45"/>
      <c r="T413" s="18"/>
      <c r="U413" s="18"/>
      <c r="V413" s="18"/>
      <c r="W413" s="18"/>
      <c r="X413" s="18"/>
      <c r="Y413" s="14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31"/>
      <c r="AQ413" s="10"/>
      <c r="AR413" s="27"/>
    </row>
    <row r="414" spans="1:46" s="4" customFormat="1" ht="17.25" customHeight="1" x14ac:dyDescent="0.25">
      <c r="A414" s="23"/>
      <c r="B414" s="201" t="s">
        <v>96</v>
      </c>
      <c r="C414" s="202"/>
      <c r="D414" s="63"/>
      <c r="E414" s="64"/>
      <c r="F414" s="64"/>
      <c r="G414" s="64"/>
      <c r="H414" s="64"/>
      <c r="I414" s="64">
        <f>-I412-I413</f>
        <v>-337.81999999999971</v>
      </c>
      <c r="J414" s="64"/>
      <c r="K414" s="16"/>
      <c r="L414" s="92"/>
      <c r="M414" s="64"/>
      <c r="N414" s="16"/>
      <c r="O414" s="92"/>
      <c r="P414" s="64"/>
      <c r="Q414" s="40"/>
      <c r="R414" s="46"/>
      <c r="S414" s="39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22"/>
      <c r="AP414" s="30"/>
    </row>
    <row r="415" spans="1:46" s="2" customFormat="1" ht="17.25" customHeight="1" x14ac:dyDescent="0.25">
      <c r="A415" s="29"/>
      <c r="B415" s="201" t="s">
        <v>72</v>
      </c>
      <c r="C415" s="202"/>
      <c r="D415" s="63">
        <v>-13680</v>
      </c>
      <c r="E415" s="64"/>
      <c r="F415" s="64">
        <f>-D415</f>
        <v>13680</v>
      </c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47"/>
      <c r="R415" s="39"/>
      <c r="S415" s="39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22"/>
      <c r="AQ415" s="10" t="s">
        <v>4</v>
      </c>
      <c r="AR415" s="11" t="e">
        <v>#REF!</v>
      </c>
    </row>
    <row r="416" spans="1:46" s="2" customFormat="1" ht="17.25" customHeight="1" thickBot="1" x14ac:dyDescent="0.25">
      <c r="A416" s="24"/>
      <c r="B416" s="216"/>
      <c r="C416" s="217"/>
      <c r="D416" s="83"/>
      <c r="E416" s="81"/>
      <c r="F416" s="81"/>
      <c r="G416" s="81"/>
      <c r="H416" s="81"/>
      <c r="I416" s="81"/>
      <c r="J416" s="81"/>
      <c r="K416" s="37"/>
      <c r="L416" s="93"/>
      <c r="M416" s="81"/>
      <c r="N416" s="37"/>
      <c r="O416" s="93"/>
      <c r="P416" s="81"/>
      <c r="Q416" s="40"/>
      <c r="R416" s="40"/>
      <c r="S416" s="39"/>
      <c r="T416" s="16"/>
      <c r="U416" s="16"/>
      <c r="V416" s="16"/>
      <c r="W416" s="16"/>
      <c r="X416" s="16"/>
      <c r="Y416" s="19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41"/>
      <c r="AQ416" s="10"/>
      <c r="AR416" s="11"/>
    </row>
    <row r="417" spans="1:46" s="4" customFormat="1" ht="17.25" customHeight="1" x14ac:dyDescent="0.25">
      <c r="A417" s="23"/>
      <c r="B417" s="210" t="s">
        <v>94</v>
      </c>
      <c r="C417" s="203"/>
      <c r="D417" s="66"/>
      <c r="E417" s="66"/>
      <c r="F417" s="117"/>
      <c r="G417" s="117"/>
      <c r="H417" s="66"/>
      <c r="I417" s="66"/>
      <c r="J417" s="66">
        <f>-M417</f>
        <v>9927.4499999999989</v>
      </c>
      <c r="K417" s="58">
        <v>-1697</v>
      </c>
      <c r="L417" s="89">
        <v>5.85</v>
      </c>
      <c r="M417" s="73">
        <f>K417*L417</f>
        <v>-9927.4499999999989</v>
      </c>
      <c r="N417" s="58"/>
      <c r="O417" s="89"/>
      <c r="P417" s="73"/>
      <c r="Q417" s="39"/>
      <c r="R417" s="39"/>
      <c r="S417" s="8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35"/>
      <c r="AP417" s="12" t="e">
        <f>#REF!</f>
        <v>#REF!</v>
      </c>
    </row>
    <row r="418" spans="1:46" s="4" customFormat="1" ht="17.25" customHeight="1" x14ac:dyDescent="0.25">
      <c r="A418" s="23"/>
      <c r="B418" s="201" t="s">
        <v>95</v>
      </c>
      <c r="C418" s="202"/>
      <c r="D418" s="64"/>
      <c r="E418" s="64"/>
      <c r="F418" s="117"/>
      <c r="G418" s="117"/>
      <c r="H418" s="64"/>
      <c r="I418" s="64"/>
      <c r="J418" s="64">
        <f>-P418</f>
        <v>8531.6200000000008</v>
      </c>
      <c r="K418" s="57"/>
      <c r="L418" s="88"/>
      <c r="M418" s="62"/>
      <c r="N418" s="57">
        <v>-2182</v>
      </c>
      <c r="O418" s="88">
        <v>3.91</v>
      </c>
      <c r="P418" s="62">
        <f>N418*O418</f>
        <v>-8531.6200000000008</v>
      </c>
      <c r="Q418" s="39"/>
      <c r="R418" s="39"/>
      <c r="S418" s="8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35"/>
      <c r="AP418" s="12" t="e">
        <f>#REF!</f>
        <v>#REF!</v>
      </c>
    </row>
    <row r="419" spans="1:46" s="4" customFormat="1" ht="17.25" customHeight="1" x14ac:dyDescent="0.25">
      <c r="A419" s="23"/>
      <c r="B419" s="201" t="s">
        <v>97</v>
      </c>
      <c r="C419" s="203"/>
      <c r="D419" s="64"/>
      <c r="E419" s="64"/>
      <c r="F419" s="64"/>
      <c r="G419" s="64"/>
      <c r="H419" s="64">
        <f>-J419-I419</f>
        <v>5122.2199999999993</v>
      </c>
      <c r="I419" s="64">
        <v>13336.85</v>
      </c>
      <c r="J419" s="64">
        <f>-SUM(J417:J418)</f>
        <v>-18459.07</v>
      </c>
      <c r="K419" s="57"/>
      <c r="L419" s="88"/>
      <c r="M419" s="62"/>
      <c r="N419" s="57"/>
      <c r="O419" s="88"/>
      <c r="P419" s="62"/>
      <c r="Q419" s="39"/>
      <c r="R419" s="39"/>
      <c r="S419" s="39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22"/>
      <c r="AO419" s="43">
        <f>A398</f>
        <v>0</v>
      </c>
      <c r="AP419" s="12" t="e">
        <f>#REF!</f>
        <v>#REF!</v>
      </c>
      <c r="AT419" s="2"/>
    </row>
    <row r="420" spans="1:46" s="4" customFormat="1" ht="17.25" customHeight="1" x14ac:dyDescent="0.25">
      <c r="A420" s="23"/>
      <c r="B420" s="201" t="s">
        <v>93</v>
      </c>
      <c r="C420" s="202"/>
      <c r="D420" s="64"/>
      <c r="E420" s="64"/>
      <c r="F420" s="64"/>
      <c r="G420" s="64"/>
      <c r="H420" s="64"/>
      <c r="I420" s="64"/>
      <c r="J420" s="64"/>
      <c r="K420" s="57">
        <v>61</v>
      </c>
      <c r="L420" s="88"/>
      <c r="M420" s="62">
        <f>(K423*(M412)/(K412))-M412-M417</f>
        <v>1678.1298317914207</v>
      </c>
      <c r="N420" s="57">
        <v>-79</v>
      </c>
      <c r="O420" s="88"/>
      <c r="P420" s="62">
        <f>(N423*(P412)/(N412))-P412-P418</f>
        <v>382.99063726481654</v>
      </c>
      <c r="Q420" s="39"/>
      <c r="R420" s="39"/>
      <c r="S420" s="39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22"/>
      <c r="AO420" s="43">
        <f>A406</f>
        <v>0</v>
      </c>
      <c r="AP420" s="12" t="e">
        <f>#REF!</f>
        <v>#REF!</v>
      </c>
      <c r="AT420" s="2"/>
    </row>
    <row r="421" spans="1:46" s="2" customFormat="1" ht="17.25" customHeight="1" x14ac:dyDescent="0.2">
      <c r="A421" s="24"/>
      <c r="B421" s="201"/>
      <c r="C421" s="204"/>
      <c r="D421" s="63"/>
      <c r="E421" s="64"/>
      <c r="F421" s="64"/>
      <c r="G421" s="64"/>
      <c r="H421" s="64"/>
      <c r="I421" s="64"/>
      <c r="J421" s="64"/>
      <c r="K421" s="16"/>
      <c r="L421" s="16"/>
      <c r="M421" s="64"/>
      <c r="N421" s="16"/>
      <c r="O421" s="16"/>
      <c r="P421" s="64"/>
      <c r="Q421" s="46"/>
      <c r="R421" s="46"/>
      <c r="S421" s="39"/>
      <c r="T421" s="16"/>
      <c r="U421" s="16"/>
      <c r="V421" s="16"/>
      <c r="W421" s="16"/>
      <c r="X421" s="16"/>
      <c r="Y421" s="19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43">
        <f>A413</f>
        <v>45990</v>
      </c>
      <c r="AQ421" s="10"/>
      <c r="AR421" s="11"/>
    </row>
    <row r="422" spans="1:46" s="2" customFormat="1" ht="17.25" customHeight="1" thickBot="1" x14ac:dyDescent="0.3">
      <c r="A422" s="56"/>
      <c r="B422" s="101" t="s">
        <v>102</v>
      </c>
      <c r="C422" s="102">
        <f>D423+E423+F423+G423+H423+I423+J423+M423+P423</f>
        <v>139626.65954000002</v>
      </c>
      <c r="D422" s="84"/>
      <c r="E422" s="85"/>
      <c r="F422" s="85"/>
      <c r="G422" s="85"/>
      <c r="H422" s="85"/>
      <c r="I422" s="85"/>
      <c r="J422" s="85"/>
      <c r="K422" s="28"/>
      <c r="L422" s="28"/>
      <c r="M422" s="85"/>
      <c r="N422" s="28"/>
      <c r="O422" s="28"/>
      <c r="P422" s="85"/>
      <c r="Q422" s="48"/>
      <c r="R422" s="48"/>
      <c r="S422" s="51"/>
      <c r="T422" s="28"/>
      <c r="U422" s="28"/>
      <c r="V422" s="28"/>
      <c r="W422" s="28"/>
      <c r="X422" s="28"/>
      <c r="Y422" s="36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42">
        <f>SUM($Q412:AN422)</f>
        <v>-422521.00000000006</v>
      </c>
      <c r="AQ422" s="10"/>
      <c r="AR422" s="11"/>
      <c r="AS422" s="2" t="s">
        <v>5</v>
      </c>
    </row>
    <row r="423" spans="1:46" s="2" customFormat="1" ht="17.25" customHeight="1" thickTop="1" thickBot="1" x14ac:dyDescent="0.3">
      <c r="A423" s="103"/>
      <c r="B423" s="104" t="s">
        <v>103</v>
      </c>
      <c r="C423" s="105">
        <f>AO423</f>
        <v>-282894.34046000004</v>
      </c>
      <c r="D423" s="106">
        <f t="shared" ref="D423:K423" si="56">SUM(D412:D422)</f>
        <v>0.307040000001507</v>
      </c>
      <c r="E423" s="107">
        <f t="shared" si="56"/>
        <v>-19624.860000000004</v>
      </c>
      <c r="F423" s="107">
        <f t="shared" si="56"/>
        <v>13680</v>
      </c>
      <c r="G423" s="107">
        <f t="shared" si="56"/>
        <v>0</v>
      </c>
      <c r="H423" s="107">
        <f t="shared" si="56"/>
        <v>65040.192500000012</v>
      </c>
      <c r="I423" s="107">
        <f t="shared" si="56"/>
        <v>13336.85</v>
      </c>
      <c r="J423" s="107">
        <f t="shared" si="56"/>
        <v>0</v>
      </c>
      <c r="K423" s="108">
        <f t="shared" si="56"/>
        <v>7876</v>
      </c>
      <c r="L423" s="109">
        <f>M423/K423</f>
        <v>5.0423717623158968</v>
      </c>
      <c r="M423" s="107">
        <f>ROUND(SUM(M412:M422),2)</f>
        <v>39713.72</v>
      </c>
      <c r="N423" s="108">
        <f>SUM(N412:N422)</f>
        <v>7625</v>
      </c>
      <c r="O423" s="109">
        <f>P423/N423</f>
        <v>3.6039934426229507</v>
      </c>
      <c r="P423" s="107">
        <f>ROUND(SUM(P412:P422),2)</f>
        <v>27480.45</v>
      </c>
      <c r="Q423" s="110">
        <f t="shared" ref="Q423:AN423" si="57">SUM(Q412:Q422)</f>
        <v>-426806.23000000004</v>
      </c>
      <c r="R423" s="107">
        <f t="shared" si="57"/>
        <v>50229.299999999996</v>
      </c>
      <c r="S423" s="107">
        <f t="shared" si="57"/>
        <v>0</v>
      </c>
      <c r="T423" s="107">
        <f t="shared" si="57"/>
        <v>-9644.07</v>
      </c>
      <c r="U423" s="107">
        <f t="shared" si="57"/>
        <v>0</v>
      </c>
      <c r="V423" s="107">
        <f t="shared" si="57"/>
        <v>-36300</v>
      </c>
      <c r="W423" s="107">
        <f t="shared" si="57"/>
        <v>0</v>
      </c>
      <c r="X423" s="107">
        <f t="shared" si="57"/>
        <v>0</v>
      </c>
      <c r="Y423" s="107">
        <f t="shared" si="57"/>
        <v>0</v>
      </c>
      <c r="Z423" s="107">
        <f t="shared" si="57"/>
        <v>0</v>
      </c>
      <c r="AA423" s="107">
        <f t="shared" si="57"/>
        <v>0</v>
      </c>
      <c r="AB423" s="107">
        <f t="shared" si="57"/>
        <v>0</v>
      </c>
      <c r="AC423" s="107">
        <f t="shared" si="57"/>
        <v>0</v>
      </c>
      <c r="AD423" s="107">
        <f t="shared" si="57"/>
        <v>0</v>
      </c>
      <c r="AE423" s="107">
        <f t="shared" si="57"/>
        <v>0</v>
      </c>
      <c r="AF423" s="107">
        <f t="shared" si="57"/>
        <v>0</v>
      </c>
      <c r="AG423" s="107">
        <f t="shared" si="57"/>
        <v>0</v>
      </c>
      <c r="AH423" s="107">
        <f t="shared" si="57"/>
        <v>0</v>
      </c>
      <c r="AI423" s="107">
        <f t="shared" si="57"/>
        <v>0</v>
      </c>
      <c r="AJ423" s="107">
        <f t="shared" si="57"/>
        <v>0</v>
      </c>
      <c r="AK423" s="107">
        <f t="shared" si="57"/>
        <v>0</v>
      </c>
      <c r="AL423" s="107">
        <f t="shared" si="57"/>
        <v>0</v>
      </c>
      <c r="AM423" s="107">
        <f t="shared" si="57"/>
        <v>0</v>
      </c>
      <c r="AN423" s="107">
        <f t="shared" si="57"/>
        <v>0</v>
      </c>
      <c r="AO423" s="111">
        <f>D423+E423+F423+G423+H423+I423+J423+M423+P423+SUM(Q423:AN423)</f>
        <v>-282894.34046000004</v>
      </c>
      <c r="AP423" s="4"/>
      <c r="AQ423" s="5"/>
      <c r="AR423" s="5"/>
      <c r="AS423" s="2" t="s">
        <v>6</v>
      </c>
    </row>
    <row r="424" spans="1:46" s="2" customFormat="1" ht="17.25" customHeight="1" thickTop="1" x14ac:dyDescent="0.25">
      <c r="A424" s="23">
        <f>A413+1</f>
        <v>45991</v>
      </c>
      <c r="B424" s="210" t="s">
        <v>64</v>
      </c>
      <c r="C424" s="203"/>
      <c r="D424" s="63">
        <v>13023.35</v>
      </c>
      <c r="E424" s="66"/>
      <c r="F424" s="66"/>
      <c r="G424" s="66"/>
      <c r="H424" s="66"/>
      <c r="I424" s="66">
        <f>-D424</f>
        <v>-13023.35</v>
      </c>
      <c r="J424" s="66"/>
      <c r="K424" s="18"/>
      <c r="L424" s="18"/>
      <c r="M424" s="66"/>
      <c r="N424" s="18"/>
      <c r="O424" s="18"/>
      <c r="P424" s="66"/>
      <c r="Q424" s="46"/>
      <c r="R424" s="46"/>
      <c r="S424" s="45"/>
      <c r="T424" s="18"/>
      <c r="U424" s="18"/>
      <c r="V424" s="18"/>
      <c r="W424" s="18"/>
      <c r="X424" s="18"/>
      <c r="Y424" s="14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31"/>
      <c r="AQ424" s="10"/>
      <c r="AR424" s="27"/>
    </row>
    <row r="425" spans="1:46" s="4" customFormat="1" ht="17.25" customHeight="1" x14ac:dyDescent="0.25">
      <c r="A425" s="23"/>
      <c r="B425" s="201" t="s">
        <v>96</v>
      </c>
      <c r="C425" s="202"/>
      <c r="D425" s="63"/>
      <c r="E425" s="64"/>
      <c r="F425" s="64"/>
      <c r="G425" s="64"/>
      <c r="H425" s="64"/>
      <c r="I425" s="64">
        <f>-I423-I424</f>
        <v>-313.5</v>
      </c>
      <c r="J425" s="64"/>
      <c r="K425" s="16"/>
      <c r="L425" s="92"/>
      <c r="M425" s="64"/>
      <c r="N425" s="16"/>
      <c r="O425" s="92"/>
      <c r="P425" s="64"/>
      <c r="Q425" s="40"/>
      <c r="R425" s="46"/>
      <c r="S425" s="39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22"/>
      <c r="AP425" s="30"/>
    </row>
    <row r="426" spans="1:46" s="2" customFormat="1" ht="17.25" customHeight="1" x14ac:dyDescent="0.25">
      <c r="A426" s="29"/>
      <c r="B426" s="201" t="s">
        <v>72</v>
      </c>
      <c r="C426" s="202"/>
      <c r="D426" s="63">
        <v>-13000</v>
      </c>
      <c r="E426" s="64"/>
      <c r="F426" s="64">
        <f>-D426</f>
        <v>13000</v>
      </c>
      <c r="G426" s="64"/>
      <c r="H426" s="64"/>
      <c r="I426" s="64"/>
      <c r="J426" s="64"/>
      <c r="K426" s="57"/>
      <c r="L426" s="88"/>
      <c r="M426" s="62"/>
      <c r="N426" s="57"/>
      <c r="O426" s="88"/>
      <c r="P426" s="62"/>
      <c r="Q426" s="47"/>
      <c r="R426" s="39"/>
      <c r="S426" s="39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22"/>
      <c r="AQ426" s="10" t="s">
        <v>4</v>
      </c>
      <c r="AR426" s="11" t="e">
        <v>#REF!</v>
      </c>
    </row>
    <row r="427" spans="1:46" s="2" customFormat="1" ht="17.25" customHeight="1" thickBot="1" x14ac:dyDescent="0.25">
      <c r="A427" s="24"/>
      <c r="B427" s="216"/>
      <c r="C427" s="217"/>
      <c r="D427" s="83"/>
      <c r="E427" s="81"/>
      <c r="F427" s="81"/>
      <c r="G427" s="81"/>
      <c r="H427" s="81"/>
      <c r="I427" s="81"/>
      <c r="J427" s="81"/>
      <c r="K427" s="37"/>
      <c r="L427" s="93"/>
      <c r="M427" s="81"/>
      <c r="N427" s="37"/>
      <c r="O427" s="93"/>
      <c r="P427" s="81"/>
      <c r="Q427" s="40"/>
      <c r="R427" s="40"/>
      <c r="S427" s="39"/>
      <c r="T427" s="16"/>
      <c r="U427" s="16"/>
      <c r="V427" s="16"/>
      <c r="W427" s="16"/>
      <c r="X427" s="16"/>
      <c r="Y427" s="19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41"/>
      <c r="AQ427" s="10"/>
      <c r="AR427" s="11"/>
    </row>
    <row r="428" spans="1:46" s="4" customFormat="1" ht="17.25" customHeight="1" x14ac:dyDescent="0.25">
      <c r="A428" s="23"/>
      <c r="B428" s="210" t="s">
        <v>94</v>
      </c>
      <c r="C428" s="203"/>
      <c r="D428" s="66"/>
      <c r="E428" s="66"/>
      <c r="F428" s="117"/>
      <c r="G428" s="117"/>
      <c r="H428" s="66"/>
      <c r="I428" s="66"/>
      <c r="J428" s="66">
        <f>-M428</f>
        <v>6341.4</v>
      </c>
      <c r="K428" s="58">
        <v>-1084</v>
      </c>
      <c r="L428" s="89">
        <v>5.85</v>
      </c>
      <c r="M428" s="73">
        <f>K428*L428</f>
        <v>-6341.4</v>
      </c>
      <c r="N428" s="58"/>
      <c r="O428" s="89"/>
      <c r="P428" s="73"/>
      <c r="Q428" s="39"/>
      <c r="R428" s="39"/>
      <c r="S428" s="8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35"/>
      <c r="AP428" s="12" t="e">
        <f>#REF!</f>
        <v>#REF!</v>
      </c>
    </row>
    <row r="429" spans="1:46" s="4" customFormat="1" ht="17.25" customHeight="1" x14ac:dyDescent="0.25">
      <c r="A429" s="23"/>
      <c r="B429" s="201" t="s">
        <v>95</v>
      </c>
      <c r="C429" s="202"/>
      <c r="D429" s="64"/>
      <c r="E429" s="64"/>
      <c r="F429" s="117"/>
      <c r="G429" s="117"/>
      <c r="H429" s="64"/>
      <c r="I429" s="64"/>
      <c r="J429" s="64">
        <f>-P429</f>
        <v>7421.18</v>
      </c>
      <c r="K429" s="57"/>
      <c r="L429" s="88"/>
      <c r="M429" s="62"/>
      <c r="N429" s="57">
        <v>-1898</v>
      </c>
      <c r="O429" s="88">
        <v>3.91</v>
      </c>
      <c r="P429" s="62">
        <f>N429*O429</f>
        <v>-7421.18</v>
      </c>
      <c r="Q429" s="39"/>
      <c r="R429" s="39"/>
      <c r="S429" s="8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35"/>
      <c r="AP429" s="12" t="e">
        <f>#REF!</f>
        <v>#REF!</v>
      </c>
    </row>
    <row r="430" spans="1:46" s="4" customFormat="1" ht="17.25" customHeight="1" x14ac:dyDescent="0.25">
      <c r="A430" s="23"/>
      <c r="B430" s="201" t="s">
        <v>97</v>
      </c>
      <c r="C430" s="203"/>
      <c r="D430" s="64"/>
      <c r="E430" s="64"/>
      <c r="F430" s="64"/>
      <c r="G430" s="64"/>
      <c r="H430" s="64">
        <f>-J430-I430</f>
        <v>5044.1900000000005</v>
      </c>
      <c r="I430" s="64">
        <v>8718.39</v>
      </c>
      <c r="J430" s="64">
        <f>-SUM(J428:J429)</f>
        <v>-13762.58</v>
      </c>
      <c r="K430" s="57"/>
      <c r="L430" s="88"/>
      <c r="M430" s="62"/>
      <c r="N430" s="57"/>
      <c r="O430" s="88"/>
      <c r="P430" s="62"/>
      <c r="Q430" s="39"/>
      <c r="R430" s="39"/>
      <c r="S430" s="39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22"/>
      <c r="AO430" s="43"/>
      <c r="AP430" s="12" t="e">
        <f>#REF!</f>
        <v>#REF!</v>
      </c>
      <c r="AT430" s="2"/>
    </row>
    <row r="431" spans="1:46" s="4" customFormat="1" ht="17.25" customHeight="1" x14ac:dyDescent="0.25">
      <c r="A431" s="23"/>
      <c r="B431" s="201" t="s">
        <v>93</v>
      </c>
      <c r="C431" s="202"/>
      <c r="D431" s="64"/>
      <c r="E431" s="64"/>
      <c r="F431" s="64"/>
      <c r="G431" s="64"/>
      <c r="H431" s="64"/>
      <c r="I431" s="64"/>
      <c r="J431" s="64"/>
      <c r="K431" s="57">
        <v>-35</v>
      </c>
      <c r="L431" s="88"/>
      <c r="M431" s="62">
        <f>(K434*(M423)/(K423))-M423-M428</f>
        <v>698.98599796851158</v>
      </c>
      <c r="N431" s="57">
        <v>163</v>
      </c>
      <c r="O431" s="88"/>
      <c r="P431" s="62">
        <f>(N434*(P423)/(N423))-P423-P429</f>
        <v>1168.2513770491787</v>
      </c>
      <c r="Q431" s="39"/>
      <c r="R431" s="39"/>
      <c r="S431" s="39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22"/>
      <c r="AO431" s="43">
        <f>A417</f>
        <v>0</v>
      </c>
      <c r="AP431" s="12" t="e">
        <f>#REF!</f>
        <v>#REF!</v>
      </c>
      <c r="AT431" s="2"/>
    </row>
    <row r="432" spans="1:46" s="2" customFormat="1" ht="17.25" customHeight="1" x14ac:dyDescent="0.2">
      <c r="A432" s="24"/>
      <c r="B432" s="201"/>
      <c r="C432" s="204"/>
      <c r="D432" s="63"/>
      <c r="E432" s="64"/>
      <c r="F432" s="64"/>
      <c r="G432" s="64"/>
      <c r="H432" s="64"/>
      <c r="I432" s="64"/>
      <c r="J432" s="64"/>
      <c r="K432" s="16"/>
      <c r="L432" s="16"/>
      <c r="M432" s="64"/>
      <c r="N432" s="16"/>
      <c r="O432" s="16"/>
      <c r="P432" s="64"/>
      <c r="Q432" s="46"/>
      <c r="R432" s="46"/>
      <c r="S432" s="39"/>
      <c r="T432" s="16"/>
      <c r="U432" s="16"/>
      <c r="V432" s="16"/>
      <c r="W432" s="16"/>
      <c r="X432" s="16"/>
      <c r="Y432" s="19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43">
        <f>A424</f>
        <v>45991</v>
      </c>
      <c r="AQ432" s="10"/>
      <c r="AR432" s="11"/>
    </row>
    <row r="433" spans="1:45" s="2" customFormat="1" ht="17.25" customHeight="1" thickBot="1" x14ac:dyDescent="0.3">
      <c r="A433" s="56"/>
      <c r="B433" s="101" t="s">
        <v>102</v>
      </c>
      <c r="C433" s="102">
        <f>D434+E434+F434+G434+H434+I434+J434+M434+P434</f>
        <v>141180.39954000001</v>
      </c>
      <c r="D433" s="84"/>
      <c r="E433" s="85"/>
      <c r="F433" s="85"/>
      <c r="G433" s="85"/>
      <c r="H433" s="85"/>
      <c r="I433" s="85"/>
      <c r="J433" s="85"/>
      <c r="K433" s="28"/>
      <c r="L433" s="28"/>
      <c r="M433" s="85"/>
      <c r="N433" s="28"/>
      <c r="O433" s="28"/>
      <c r="P433" s="85"/>
      <c r="Q433" s="48"/>
      <c r="R433" s="48"/>
      <c r="S433" s="51"/>
      <c r="T433" s="28"/>
      <c r="U433" s="28"/>
      <c r="V433" s="28"/>
      <c r="W433" s="28"/>
      <c r="X433" s="28"/>
      <c r="Y433" s="36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42">
        <f>SUM($Q423:AN433)</f>
        <v>-422521.00000000006</v>
      </c>
      <c r="AQ433" s="10"/>
      <c r="AR433" s="11"/>
      <c r="AS433" s="2" t="s">
        <v>5</v>
      </c>
    </row>
    <row r="434" spans="1:45" s="2" customFormat="1" ht="17.25" customHeight="1" thickTop="1" thickBot="1" x14ac:dyDescent="0.3">
      <c r="A434" s="103"/>
      <c r="B434" s="104" t="s">
        <v>103</v>
      </c>
      <c r="C434" s="105">
        <f>AO434</f>
        <v>-281340.60046000005</v>
      </c>
      <c r="D434" s="106">
        <f t="shared" ref="D434:K434" si="58">SUM(D423:D433)</f>
        <v>23.657040000001871</v>
      </c>
      <c r="E434" s="107">
        <f t="shared" si="58"/>
        <v>-19624.860000000004</v>
      </c>
      <c r="F434" s="107">
        <f t="shared" si="58"/>
        <v>26680</v>
      </c>
      <c r="G434" s="107">
        <f t="shared" si="58"/>
        <v>0</v>
      </c>
      <c r="H434" s="107">
        <f t="shared" si="58"/>
        <v>70084.382500000007</v>
      </c>
      <c r="I434" s="107">
        <f t="shared" si="58"/>
        <v>8718.39</v>
      </c>
      <c r="J434" s="107">
        <f t="shared" si="58"/>
        <v>0</v>
      </c>
      <c r="K434" s="108">
        <f t="shared" si="58"/>
        <v>6757</v>
      </c>
      <c r="L434" s="109">
        <f>M434/K434</f>
        <v>5.0423723545952344</v>
      </c>
      <c r="M434" s="107">
        <f>ROUND(SUM(M423:M433),2)</f>
        <v>34071.31</v>
      </c>
      <c r="N434" s="108">
        <f>SUM(N423:N433)</f>
        <v>5890</v>
      </c>
      <c r="O434" s="109">
        <f>P434/N434</f>
        <v>3.6039932088285229</v>
      </c>
      <c r="P434" s="107">
        <f>ROUND(SUM(P423:P433),2)</f>
        <v>21227.52</v>
      </c>
      <c r="Q434" s="110">
        <f t="shared" ref="Q434:AN434" si="59">SUM(Q423:Q433)</f>
        <v>-426806.23000000004</v>
      </c>
      <c r="R434" s="107">
        <f t="shared" si="59"/>
        <v>50229.299999999996</v>
      </c>
      <c r="S434" s="107">
        <f t="shared" si="59"/>
        <v>0</v>
      </c>
      <c r="T434" s="107">
        <f t="shared" si="59"/>
        <v>-9644.07</v>
      </c>
      <c r="U434" s="107">
        <f t="shared" si="59"/>
        <v>0</v>
      </c>
      <c r="V434" s="107">
        <f t="shared" si="59"/>
        <v>-36300</v>
      </c>
      <c r="W434" s="107">
        <f t="shared" si="59"/>
        <v>0</v>
      </c>
      <c r="X434" s="107">
        <f t="shared" si="59"/>
        <v>0</v>
      </c>
      <c r="Y434" s="107">
        <f t="shared" si="59"/>
        <v>0</v>
      </c>
      <c r="Z434" s="107">
        <f t="shared" si="59"/>
        <v>0</v>
      </c>
      <c r="AA434" s="107">
        <f t="shared" si="59"/>
        <v>0</v>
      </c>
      <c r="AB434" s="107">
        <f t="shared" si="59"/>
        <v>0</v>
      </c>
      <c r="AC434" s="107">
        <f t="shared" si="59"/>
        <v>0</v>
      </c>
      <c r="AD434" s="107">
        <f t="shared" si="59"/>
        <v>0</v>
      </c>
      <c r="AE434" s="107">
        <f t="shared" si="59"/>
        <v>0</v>
      </c>
      <c r="AF434" s="107">
        <f t="shared" si="59"/>
        <v>0</v>
      </c>
      <c r="AG434" s="107">
        <f t="shared" si="59"/>
        <v>0</v>
      </c>
      <c r="AH434" s="107">
        <f t="shared" si="59"/>
        <v>0</v>
      </c>
      <c r="AI434" s="107">
        <f t="shared" si="59"/>
        <v>0</v>
      </c>
      <c r="AJ434" s="107">
        <f t="shared" si="59"/>
        <v>0</v>
      </c>
      <c r="AK434" s="107">
        <f t="shared" si="59"/>
        <v>0</v>
      </c>
      <c r="AL434" s="107">
        <f t="shared" si="59"/>
        <v>0</v>
      </c>
      <c r="AM434" s="107">
        <f t="shared" si="59"/>
        <v>0</v>
      </c>
      <c r="AN434" s="107">
        <f t="shared" si="59"/>
        <v>0</v>
      </c>
      <c r="AO434" s="111">
        <f>D434+E434+F434+G434+H434+I434+J434+M434+P434+SUM(Q434:AN434)</f>
        <v>-281340.60046000005</v>
      </c>
      <c r="AP434" s="4"/>
      <c r="AQ434" s="5"/>
      <c r="AR434" s="5"/>
      <c r="AS434" s="2" t="s">
        <v>6</v>
      </c>
    </row>
    <row r="435" spans="1:45" s="2" customFormat="1" ht="17.25" customHeight="1" thickTop="1" x14ac:dyDescent="0.2">
      <c r="A435" s="23"/>
      <c r="B435" s="201"/>
      <c r="C435" s="202"/>
      <c r="D435" s="63"/>
      <c r="E435" s="64"/>
      <c r="F435" s="74"/>
      <c r="G435" s="74"/>
      <c r="H435" s="64"/>
      <c r="I435" s="64"/>
      <c r="J435" s="64"/>
      <c r="K435" s="16"/>
      <c r="L435" s="16"/>
      <c r="M435" s="64"/>
      <c r="N435" s="16"/>
      <c r="O435" s="16"/>
      <c r="P435" s="64"/>
      <c r="Q435" s="46"/>
      <c r="R435" s="39"/>
      <c r="S435" s="40"/>
      <c r="T435" s="16"/>
      <c r="U435" s="16"/>
      <c r="V435" s="16"/>
      <c r="W435" s="16"/>
      <c r="X435" s="16"/>
      <c r="Y435" s="19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35"/>
      <c r="AQ435" s="10"/>
      <c r="AR435" s="27"/>
    </row>
    <row r="436" spans="1:45" s="2" customFormat="1" ht="17.25" customHeight="1" x14ac:dyDescent="0.2">
      <c r="A436" s="23"/>
      <c r="B436" s="201" t="s">
        <v>168</v>
      </c>
      <c r="C436" s="204"/>
      <c r="D436" s="63"/>
      <c r="E436" s="64"/>
      <c r="F436" s="74"/>
      <c r="G436" s="74"/>
      <c r="H436" s="64">
        <v>-12222.84</v>
      </c>
      <c r="I436" s="64"/>
      <c r="J436" s="64"/>
      <c r="K436" s="16"/>
      <c r="L436" s="16"/>
      <c r="M436" s="64"/>
      <c r="N436" s="16"/>
      <c r="O436" s="16"/>
      <c r="P436" s="64"/>
      <c r="Q436" s="46"/>
      <c r="R436" s="39"/>
      <c r="S436" s="40"/>
      <c r="T436" s="16"/>
      <c r="U436" s="16"/>
      <c r="V436" s="16"/>
      <c r="W436" s="16"/>
      <c r="X436" s="16"/>
      <c r="Y436" s="19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35"/>
      <c r="AQ436" s="10"/>
      <c r="AR436" s="27"/>
    </row>
    <row r="437" spans="1:45" s="2" customFormat="1" ht="17.25" customHeight="1" x14ac:dyDescent="0.2">
      <c r="A437" s="23"/>
      <c r="B437" s="201" t="s">
        <v>169</v>
      </c>
      <c r="C437" s="204"/>
      <c r="D437" s="63"/>
      <c r="E437" s="64"/>
      <c r="F437" s="74"/>
      <c r="G437" s="74"/>
      <c r="H437" s="64">
        <v>-6500</v>
      </c>
      <c r="I437" s="64"/>
      <c r="J437" s="64"/>
      <c r="K437" s="16"/>
      <c r="L437" s="16"/>
      <c r="M437" s="64"/>
      <c r="N437" s="16"/>
      <c r="O437" s="16"/>
      <c r="P437" s="64"/>
      <c r="Q437" s="46"/>
      <c r="R437" s="39"/>
      <c r="S437" s="40"/>
      <c r="T437" s="16"/>
      <c r="U437" s="16"/>
      <c r="V437" s="16"/>
      <c r="W437" s="16"/>
      <c r="X437" s="16"/>
      <c r="Y437" s="19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35"/>
      <c r="AQ437" s="10"/>
      <c r="AR437" s="27"/>
    </row>
    <row r="438" spans="1:45" s="2" customFormat="1" ht="17.25" customHeight="1" x14ac:dyDescent="0.2">
      <c r="A438" s="23"/>
      <c r="B438" s="201" t="s">
        <v>170</v>
      </c>
      <c r="C438" s="204"/>
      <c r="D438" s="63"/>
      <c r="E438" s="64"/>
      <c r="F438" s="74"/>
      <c r="G438" s="74"/>
      <c r="H438" s="64">
        <v>-1920</v>
      </c>
      <c r="I438" s="64"/>
      <c r="J438" s="64"/>
      <c r="K438" s="16"/>
      <c r="L438" s="16"/>
      <c r="M438" s="64"/>
      <c r="N438" s="16"/>
      <c r="O438" s="16"/>
      <c r="P438" s="64"/>
      <c r="Q438" s="46"/>
      <c r="R438" s="39"/>
      <c r="S438" s="40"/>
      <c r="T438" s="16"/>
      <c r="U438" s="16"/>
      <c r="V438" s="16"/>
      <c r="W438" s="16"/>
      <c r="X438" s="16"/>
      <c r="Y438" s="19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35"/>
      <c r="AQ438" s="10"/>
      <c r="AR438" s="27"/>
    </row>
    <row r="439" spans="1:45" s="2" customFormat="1" ht="17.25" customHeight="1" x14ac:dyDescent="0.2">
      <c r="A439" s="23"/>
      <c r="B439" s="201" t="s">
        <v>171</v>
      </c>
      <c r="C439" s="204"/>
      <c r="D439" s="63"/>
      <c r="E439" s="64"/>
      <c r="F439" s="74"/>
      <c r="G439" s="74"/>
      <c r="H439" s="64">
        <v>-600</v>
      </c>
      <c r="I439" s="64"/>
      <c r="J439" s="64"/>
      <c r="K439" s="16"/>
      <c r="L439" s="16"/>
      <c r="M439" s="64"/>
      <c r="N439" s="16"/>
      <c r="O439" s="16"/>
      <c r="P439" s="64"/>
      <c r="Q439" s="46"/>
      <c r="R439" s="39"/>
      <c r="S439" s="40"/>
      <c r="T439" s="16"/>
      <c r="U439" s="16"/>
      <c r="V439" s="16"/>
      <c r="W439" s="16"/>
      <c r="X439" s="16"/>
      <c r="Y439" s="19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35"/>
      <c r="AQ439" s="10"/>
      <c r="AR439" s="27"/>
    </row>
    <row r="440" spans="1:45" s="2" customFormat="1" ht="17.25" customHeight="1" x14ac:dyDescent="0.2">
      <c r="A440" s="23"/>
      <c r="B440" s="201" t="s">
        <v>172</v>
      </c>
      <c r="C440" s="204"/>
      <c r="D440" s="63"/>
      <c r="E440" s="64"/>
      <c r="F440" s="74"/>
      <c r="G440" s="74"/>
      <c r="H440" s="64">
        <v>-480</v>
      </c>
      <c r="I440" s="64"/>
      <c r="J440" s="64"/>
      <c r="K440" s="16"/>
      <c r="L440" s="16"/>
      <c r="M440" s="64"/>
      <c r="N440" s="16"/>
      <c r="O440" s="16"/>
      <c r="P440" s="64"/>
      <c r="Q440" s="46"/>
      <c r="R440" s="39"/>
      <c r="S440" s="40"/>
      <c r="T440" s="16"/>
      <c r="U440" s="16"/>
      <c r="V440" s="16"/>
      <c r="W440" s="16"/>
      <c r="X440" s="16"/>
      <c r="Y440" s="19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35"/>
      <c r="AQ440" s="10"/>
      <c r="AR440" s="27"/>
    </row>
    <row r="441" spans="1:45" s="2" customFormat="1" ht="17.25" customHeight="1" x14ac:dyDescent="0.2">
      <c r="A441" s="24"/>
      <c r="B441" s="201"/>
      <c r="C441" s="204"/>
      <c r="D441" s="63"/>
      <c r="E441" s="64"/>
      <c r="F441" s="64"/>
      <c r="G441" s="64"/>
      <c r="H441" s="64"/>
      <c r="I441" s="64"/>
      <c r="J441" s="64"/>
      <c r="K441" s="16"/>
      <c r="L441" s="16"/>
      <c r="M441" s="64"/>
      <c r="N441" s="16"/>
      <c r="O441" s="16"/>
      <c r="P441" s="64"/>
      <c r="Q441" s="46"/>
      <c r="R441" s="46"/>
      <c r="S441" s="39"/>
      <c r="T441" s="16"/>
      <c r="U441" s="16"/>
      <c r="V441" s="16"/>
      <c r="W441" s="16"/>
      <c r="X441" s="16"/>
      <c r="Y441" s="19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43"/>
      <c r="AQ441" s="10"/>
      <c r="AR441" s="11"/>
    </row>
    <row r="442" spans="1:45" s="2" customFormat="1" ht="17.25" customHeight="1" thickBot="1" x14ac:dyDescent="0.3">
      <c r="A442" s="56"/>
      <c r="B442" s="101" t="s">
        <v>102</v>
      </c>
      <c r="C442" s="102">
        <f>D443+E443+F443+G443+H443+I443+J443+M443+P443</f>
        <v>119457.55954</v>
      </c>
      <c r="D442" s="84"/>
      <c r="E442" s="85"/>
      <c r="F442" s="85"/>
      <c r="G442" s="85"/>
      <c r="H442" s="85"/>
      <c r="I442" s="85"/>
      <c r="J442" s="85"/>
      <c r="K442" s="28"/>
      <c r="L442" s="28"/>
      <c r="M442" s="85"/>
      <c r="N442" s="28"/>
      <c r="O442" s="28"/>
      <c r="P442" s="85"/>
      <c r="Q442" s="48"/>
      <c r="R442" s="48"/>
      <c r="S442" s="51"/>
      <c r="T442" s="28"/>
      <c r="U442" s="28"/>
      <c r="V442" s="28"/>
      <c r="W442" s="28"/>
      <c r="X442" s="28"/>
      <c r="Y442" s="36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42">
        <f>SUM($Q434:AN442)</f>
        <v>-422521.00000000006</v>
      </c>
      <c r="AQ442" s="10"/>
      <c r="AR442" s="11"/>
      <c r="AS442" s="2" t="s">
        <v>5</v>
      </c>
    </row>
    <row r="443" spans="1:45" s="2" customFormat="1" ht="17.25" customHeight="1" thickTop="1" thickBot="1" x14ac:dyDescent="0.3">
      <c r="A443" s="103"/>
      <c r="B443" s="104" t="s">
        <v>103</v>
      </c>
      <c r="C443" s="105">
        <f>AO443</f>
        <v>-303063.44046000007</v>
      </c>
      <c r="D443" s="106">
        <f t="shared" ref="D443:K443" si="60">SUM(D434:D442)</f>
        <v>23.657040000001871</v>
      </c>
      <c r="E443" s="106">
        <f t="shared" si="60"/>
        <v>-19624.860000000004</v>
      </c>
      <c r="F443" s="106">
        <f t="shared" si="60"/>
        <v>26680</v>
      </c>
      <c r="G443" s="106">
        <f t="shared" si="60"/>
        <v>0</v>
      </c>
      <c r="H443" s="106">
        <f t="shared" si="60"/>
        <v>48361.54250000001</v>
      </c>
      <c r="I443" s="106">
        <f t="shared" si="60"/>
        <v>8718.39</v>
      </c>
      <c r="J443" s="106">
        <f t="shared" si="60"/>
        <v>0</v>
      </c>
      <c r="K443" s="108">
        <f t="shared" si="60"/>
        <v>6757</v>
      </c>
      <c r="L443" s="109">
        <f>M443/K443</f>
        <v>5.0423723545952344</v>
      </c>
      <c r="M443" s="107">
        <f>ROUND(SUM(M434:M442),2)</f>
        <v>34071.31</v>
      </c>
      <c r="N443" s="108">
        <f>SUM(N434:N442)</f>
        <v>5890</v>
      </c>
      <c r="O443" s="109">
        <f>P443/N443</f>
        <v>3.6039932088285229</v>
      </c>
      <c r="P443" s="107">
        <f>ROUND(SUM(P434:P442),2)</f>
        <v>21227.52</v>
      </c>
      <c r="Q443" s="110">
        <f t="shared" ref="Q443:V443" si="61">SUM(Q434:Q442)</f>
        <v>-426806.23000000004</v>
      </c>
      <c r="R443" s="110">
        <f t="shared" si="61"/>
        <v>50229.299999999996</v>
      </c>
      <c r="S443" s="110">
        <f t="shared" si="61"/>
        <v>0</v>
      </c>
      <c r="T443" s="110">
        <f t="shared" si="61"/>
        <v>-9644.07</v>
      </c>
      <c r="U443" s="110">
        <f t="shared" si="61"/>
        <v>0</v>
      </c>
      <c r="V443" s="110">
        <f t="shared" si="61"/>
        <v>-36300</v>
      </c>
      <c r="W443" s="107">
        <f t="shared" ref="W443:AN443" si="62">SUM(W368:W442)</f>
        <v>0</v>
      </c>
      <c r="X443" s="107">
        <f t="shared" si="62"/>
        <v>0</v>
      </c>
      <c r="Y443" s="107">
        <f t="shared" si="62"/>
        <v>0</v>
      </c>
      <c r="Z443" s="107">
        <f t="shared" si="62"/>
        <v>0</v>
      </c>
      <c r="AA443" s="107">
        <f t="shared" si="62"/>
        <v>0</v>
      </c>
      <c r="AB443" s="107">
        <f t="shared" si="62"/>
        <v>0</v>
      </c>
      <c r="AC443" s="107">
        <f t="shared" si="62"/>
        <v>0</v>
      </c>
      <c r="AD443" s="107">
        <f t="shared" si="62"/>
        <v>0</v>
      </c>
      <c r="AE443" s="107">
        <f t="shared" si="62"/>
        <v>0</v>
      </c>
      <c r="AF443" s="107">
        <f t="shared" si="62"/>
        <v>0</v>
      </c>
      <c r="AG443" s="107">
        <f t="shared" si="62"/>
        <v>0</v>
      </c>
      <c r="AH443" s="107">
        <f t="shared" si="62"/>
        <v>0</v>
      </c>
      <c r="AI443" s="107">
        <f t="shared" si="62"/>
        <v>0</v>
      </c>
      <c r="AJ443" s="107">
        <f t="shared" si="62"/>
        <v>0</v>
      </c>
      <c r="AK443" s="107">
        <f t="shared" si="62"/>
        <v>0</v>
      </c>
      <c r="AL443" s="107">
        <f t="shared" si="62"/>
        <v>0</v>
      </c>
      <c r="AM443" s="107">
        <f t="shared" si="62"/>
        <v>0</v>
      </c>
      <c r="AN443" s="107">
        <f t="shared" si="62"/>
        <v>0</v>
      </c>
      <c r="AO443" s="111">
        <f>D443+E443+F443+G443+H443+I443+J443+M443+P443+SUM(Q443:AN443)</f>
        <v>-303063.44046000007</v>
      </c>
      <c r="AP443" s="4"/>
      <c r="AQ443" s="5"/>
      <c r="AR443" s="5"/>
      <c r="AS443" s="2" t="s">
        <v>6</v>
      </c>
    </row>
    <row r="444" spans="1:45" ht="17.25" customHeight="1" thickTop="1" x14ac:dyDescent="0.25">
      <c r="A444" s="127"/>
      <c r="B444" s="125"/>
      <c r="C444" s="125"/>
      <c r="D444" s="128"/>
      <c r="E444" s="128"/>
      <c r="F444" s="128"/>
      <c r="G444" s="128"/>
      <c r="H444" s="128"/>
      <c r="I444" s="128"/>
      <c r="J444" s="128"/>
    </row>
    <row r="445" spans="1:45" ht="17.25" customHeight="1" x14ac:dyDescent="0.25">
      <c r="A445" s="127"/>
      <c r="B445" s="131" t="s">
        <v>150</v>
      </c>
      <c r="C445" s="126">
        <f>N451</f>
        <v>49567.287313868968</v>
      </c>
      <c r="E445" s="218" t="s">
        <v>243</v>
      </c>
      <c r="F445" s="218"/>
      <c r="G445" s="218"/>
      <c r="H445" s="213">
        <f>E64</f>
        <v>-3214.6899999999996</v>
      </c>
      <c r="I445" s="213"/>
      <c r="J445" s="129"/>
      <c r="K445" s="219" t="s">
        <v>87</v>
      </c>
      <c r="L445" s="220"/>
      <c r="M445" s="221"/>
      <c r="N445" s="223" t="s">
        <v>88</v>
      </c>
      <c r="O445" s="224"/>
      <c r="P445" s="225"/>
      <c r="R445" s="121"/>
    </row>
    <row r="446" spans="1:45" ht="17.25" customHeight="1" x14ac:dyDescent="0.25">
      <c r="A446" s="127"/>
      <c r="B446" s="131" t="s">
        <v>151</v>
      </c>
      <c r="C446" s="126">
        <f>I4+I17+I29+I43+I57+I76+I90+I112+I123+I135+I160+I187+I202+I219+I230+I240+I260+I274+I289+I301+I318+I328+I338+I355+I370+I384+I397+I414+I425+I173</f>
        <v>-7744.2000000000035</v>
      </c>
      <c r="E446" s="218" t="s">
        <v>158</v>
      </c>
      <c r="F446" s="218"/>
      <c r="G446" s="218"/>
      <c r="H446" s="213">
        <f>D95+D98+D100+D146+D207+D246+D277+D402+D60</f>
        <v>-488.67</v>
      </c>
      <c r="I446" s="213"/>
      <c r="J446" s="129"/>
      <c r="K446" s="226" t="s">
        <v>143</v>
      </c>
      <c r="L446" s="227"/>
      <c r="M446" s="57">
        <f>(K9+K21+K35+K49+K68+K82+K104+K115+K127+K152+K165+K179+K194+K211+K222+K232+K252+K266+K281+K293+K310+K320+K330+K347+K362+K376+K389+K406+K417+K428)*-1</f>
        <v>39013</v>
      </c>
      <c r="N446" s="226" t="s">
        <v>143</v>
      </c>
      <c r="O446" s="227"/>
      <c r="P446" s="57">
        <f>(N10+N22+N36+N50+N69+N83+N105+N116+N128+N153+N166+N180+N195+N212+N223+N233+N253+N267+N282+N294+N311+N321+N331+N348+N363+N377+N390+N407+N418+N429)*-1</f>
        <v>69274</v>
      </c>
      <c r="R446" s="121">
        <f>I11+I23+I37+I51+I70+I84+I106+I117+I129+I154+I167+I196+I213+I224+I234+I254+I268+I283+I295+I312+I322+I332+I349+I364+I378+I391+I408+I419+I430+I181</f>
        <v>321792.37</v>
      </c>
    </row>
    <row r="447" spans="1:45" ht="17.25" customHeight="1" x14ac:dyDescent="0.25">
      <c r="A447" s="127"/>
      <c r="B447" s="131" t="s">
        <v>160</v>
      </c>
      <c r="C447" s="126">
        <f>D5+E32+E62+E63+E137+E138+E139+E143+E144+E204+E303+E400+D177+E243+E142+H150</f>
        <v>-5667.52</v>
      </c>
      <c r="D447" s="128"/>
      <c r="E447" s="218" t="s">
        <v>157</v>
      </c>
      <c r="F447" s="218"/>
      <c r="G447" s="218"/>
      <c r="H447" s="213">
        <f>D102+D163+D209+D248+D262+D279+D306+D342+D344+D404</f>
        <v>-58.79999999999999</v>
      </c>
      <c r="I447" s="213"/>
      <c r="J447" s="129"/>
      <c r="K447" s="226" t="s">
        <v>144</v>
      </c>
      <c r="L447" s="227"/>
      <c r="M447" s="121">
        <f>(M12+M24+M38+M52+M71+M85+M107+M118+M130+M155+M168+M182+M197+M214+M225+M235+M255+M269+M284+M296+M313+M323+M333+M350+M365+M379+M392+M409+M420+M431)</f>
        <v>32079.199151931309</v>
      </c>
      <c r="N447" s="226" t="s">
        <v>144</v>
      </c>
      <c r="O447" s="227"/>
      <c r="P447" s="121">
        <f>(P12+P24+P38+P52+P71+P85+P107+P118+P130+P155+P168+P182+P197+P214+P225+P235+P255+P269+P284+P296+P313+P323+P333+P350+P365+P379+P392+P409+P420+P431)</f>
        <v>17488.08816193766</v>
      </c>
      <c r="R447" s="121">
        <f>I16+I28+I42+I56+I75+I89+I111+I122+I134+I159+I186+I201+I218+I229+I239+I259+I273+I288+I300+I317+I327+I337+I354+I369+I383+I396+I413+I424+I172-I430</f>
        <v>-314331.01</v>
      </c>
    </row>
    <row r="448" spans="1:45" ht="17.25" customHeight="1" x14ac:dyDescent="0.25">
      <c r="A448" s="127"/>
      <c r="B448" s="131" t="s">
        <v>244</v>
      </c>
      <c r="C448" s="126">
        <f>H436+H438+H439+H440+H65+H66</f>
        <v>-19849.120000000003</v>
      </c>
      <c r="D448" s="128"/>
      <c r="E448" s="230" t="s">
        <v>156</v>
      </c>
      <c r="F448" s="230"/>
      <c r="G448" s="230"/>
      <c r="H448" s="213">
        <f>E141+E47</f>
        <v>-2038.49</v>
      </c>
      <c r="I448" s="213"/>
      <c r="J448" s="133"/>
      <c r="K448" s="226" t="s">
        <v>145</v>
      </c>
      <c r="L448" s="227"/>
      <c r="M448" s="57">
        <f>(K12+K24+K38+K52+K71+K85+K107+K118+K130+K155+K168+K182+K197+K214+K225+K235+K255+K269+K284+K296+K313+K323+K333+K350+K365+K379+K392+K409+K420+K431)</f>
        <v>253</v>
      </c>
      <c r="N448" s="226" t="s">
        <v>145</v>
      </c>
      <c r="O448" s="227"/>
      <c r="P448" s="57">
        <f>(N12+N24+N38+N52+N71+N85+N107+N118+N130+N155+N168+N182+N197+N214+N225+N235+N255+N269+N284+N296+N313+N323+N333+N350+N365+N379+N392+N409+N420+N431)</f>
        <v>-388</v>
      </c>
      <c r="R448" s="121">
        <f>SUM(R446:R447)</f>
        <v>7461.359999999986</v>
      </c>
    </row>
    <row r="449" spans="1:46" ht="17.25" customHeight="1" x14ac:dyDescent="0.25">
      <c r="A449" s="127"/>
      <c r="B449" s="131" t="s">
        <v>245</v>
      </c>
      <c r="C449" s="126">
        <f>H437</f>
        <v>-6500</v>
      </c>
      <c r="D449" s="3"/>
      <c r="E449" s="230" t="s">
        <v>300</v>
      </c>
      <c r="F449" s="230"/>
      <c r="G449" s="230"/>
      <c r="H449" s="213">
        <f>E46</f>
        <v>-92.5</v>
      </c>
      <c r="I449" s="213"/>
      <c r="J449" s="129"/>
      <c r="K449" s="228"/>
      <c r="L449" s="229"/>
      <c r="M449" s="122"/>
      <c r="N449" s="228"/>
      <c r="O449" s="229"/>
      <c r="P449" s="123"/>
    </row>
    <row r="450" spans="1:46" s="21" customFormat="1" ht="17.25" customHeight="1" x14ac:dyDescent="0.25">
      <c r="A450" s="127"/>
      <c r="B450" s="137" t="s">
        <v>456</v>
      </c>
      <c r="C450" s="138">
        <f>SUM(C445:C449)</f>
        <v>9806.4473138689573</v>
      </c>
      <c r="D450" s="128"/>
      <c r="E450" s="231" t="s">
        <v>159</v>
      </c>
      <c r="F450" s="232"/>
      <c r="G450" s="232"/>
      <c r="H450" s="233">
        <f>SUM(H445:I449)</f>
        <v>-5893.15</v>
      </c>
      <c r="I450" s="234"/>
      <c r="J450" s="128"/>
      <c r="K450" s="241" t="s">
        <v>146</v>
      </c>
      <c r="L450" s="241"/>
      <c r="M450" s="241"/>
      <c r="N450" s="235">
        <f>M446+P446</f>
        <v>108287</v>
      </c>
      <c r="O450" s="236"/>
      <c r="P450" s="237"/>
      <c r="AP450" s="3"/>
      <c r="AQ450" s="3"/>
      <c r="AR450" s="3"/>
      <c r="AS450" s="3"/>
      <c r="AT450" s="3"/>
    </row>
    <row r="451" spans="1:46" s="21" customFormat="1" ht="17.25" customHeight="1" x14ac:dyDescent="0.25">
      <c r="A451" s="127"/>
      <c r="B451" s="3"/>
      <c r="C451" s="3"/>
      <c r="D451" s="3"/>
      <c r="J451" s="128"/>
      <c r="K451" s="241" t="s">
        <v>147</v>
      </c>
      <c r="L451" s="241"/>
      <c r="M451" s="241"/>
      <c r="N451" s="238">
        <f>M447+P447</f>
        <v>49567.287313868968</v>
      </c>
      <c r="O451" s="239"/>
      <c r="P451" s="240"/>
      <c r="AP451" s="3"/>
      <c r="AQ451" s="3"/>
      <c r="AR451" s="3"/>
      <c r="AS451" s="3"/>
      <c r="AT451" s="3"/>
    </row>
    <row r="452" spans="1:46" s="21" customFormat="1" ht="17.25" customHeight="1" x14ac:dyDescent="0.25">
      <c r="A452" s="127"/>
      <c r="B452" s="137" t="s">
        <v>242</v>
      </c>
      <c r="C452" s="138">
        <f>C450+H450</f>
        <v>3913.2973138689576</v>
      </c>
      <c r="D452" s="128"/>
      <c r="E452" s="230"/>
      <c r="F452" s="230"/>
      <c r="G452" s="230"/>
      <c r="H452" s="213"/>
      <c r="I452" s="213"/>
      <c r="J452" s="128"/>
      <c r="K452" s="241" t="s">
        <v>148</v>
      </c>
      <c r="L452" s="241"/>
      <c r="M452" s="241"/>
      <c r="N452" s="235">
        <f>M448+P448</f>
        <v>-135</v>
      </c>
      <c r="O452" s="236"/>
      <c r="P452" s="237"/>
      <c r="AP452" s="3"/>
      <c r="AQ452" s="3"/>
      <c r="AR452" s="3"/>
      <c r="AS452" s="3"/>
      <c r="AT452" s="3"/>
    </row>
    <row r="453" spans="1:46" s="21" customFormat="1" ht="17.25" customHeight="1" x14ac:dyDescent="0.25">
      <c r="A453" s="25"/>
      <c r="B453" s="3"/>
      <c r="C453" s="124"/>
      <c r="E453" s="230"/>
      <c r="F453" s="230"/>
      <c r="G453" s="230"/>
      <c r="H453" s="213"/>
      <c r="I453" s="213"/>
      <c r="AP453" s="3"/>
      <c r="AQ453" s="3"/>
      <c r="AR453" s="3"/>
      <c r="AS453" s="3"/>
      <c r="AT453" s="3"/>
    </row>
    <row r="454" spans="1:46" ht="17.25" customHeight="1" x14ac:dyDescent="0.25">
      <c r="B454" s="137" t="s">
        <v>242</v>
      </c>
      <c r="C454" s="138">
        <f>C443-C2</f>
        <v>7008.0024999999441</v>
      </c>
      <c r="E454" s="222">
        <f>C452-C454</f>
        <v>-3094.7051861309865</v>
      </c>
      <c r="F454" s="222"/>
      <c r="H454" s="21">
        <f>-E454+H445</f>
        <v>-119.98481386901312</v>
      </c>
    </row>
  </sheetData>
  <sheetProtection selectLockedCells="1" selectUnlockedCells="1"/>
  <mergeCells count="414">
    <mergeCell ref="E453:G453"/>
    <mergeCell ref="H453:I453"/>
    <mergeCell ref="E454:F454"/>
    <mergeCell ref="K451:M451"/>
    <mergeCell ref="B113:C113"/>
    <mergeCell ref="B175:C175"/>
    <mergeCell ref="B249:C249"/>
    <mergeCell ref="B250:C250"/>
    <mergeCell ref="B360:C360"/>
    <mergeCell ref="B359:C359"/>
    <mergeCell ref="B345:C345"/>
    <mergeCell ref="B347:C347"/>
    <mergeCell ref="B348:C348"/>
    <mergeCell ref="B403:C403"/>
    <mergeCell ref="B244:C244"/>
    <mergeCell ref="B263:C263"/>
    <mergeCell ref="B264:C264"/>
    <mergeCell ref="B356:C356"/>
    <mergeCell ref="B357:C357"/>
    <mergeCell ref="B371:C371"/>
    <mergeCell ref="E447:G447"/>
    <mergeCell ref="H447:I447"/>
    <mergeCell ref="K447:L447"/>
    <mergeCell ref="B431:C431"/>
    <mergeCell ref="N451:P451"/>
    <mergeCell ref="E452:G452"/>
    <mergeCell ref="H452:I452"/>
    <mergeCell ref="K452:M452"/>
    <mergeCell ref="N452:P452"/>
    <mergeCell ref="E449:G449"/>
    <mergeCell ref="H449:I449"/>
    <mergeCell ref="K449:L449"/>
    <mergeCell ref="N449:O449"/>
    <mergeCell ref="E450:G450"/>
    <mergeCell ref="H450:I450"/>
    <mergeCell ref="K450:M450"/>
    <mergeCell ref="N450:P450"/>
    <mergeCell ref="N447:O447"/>
    <mergeCell ref="E448:G448"/>
    <mergeCell ref="H448:I448"/>
    <mergeCell ref="K448:L448"/>
    <mergeCell ref="N448:O448"/>
    <mergeCell ref="B441:C441"/>
    <mergeCell ref="E445:G445"/>
    <mergeCell ref="H445:I445"/>
    <mergeCell ref="K445:M445"/>
    <mergeCell ref="N445:P445"/>
    <mergeCell ref="E446:G446"/>
    <mergeCell ref="H446:I446"/>
    <mergeCell ref="K446:L446"/>
    <mergeCell ref="N446:O446"/>
    <mergeCell ref="B432:C432"/>
    <mergeCell ref="B427:C427"/>
    <mergeCell ref="B428:C428"/>
    <mergeCell ref="B429:C429"/>
    <mergeCell ref="B440:C440"/>
    <mergeCell ref="B435:C435"/>
    <mergeCell ref="B436:C436"/>
    <mergeCell ref="B437:C437"/>
    <mergeCell ref="B438:C438"/>
    <mergeCell ref="B439:C439"/>
    <mergeCell ref="B425:C425"/>
    <mergeCell ref="B426:C426"/>
    <mergeCell ref="B417:C417"/>
    <mergeCell ref="B418:C418"/>
    <mergeCell ref="B419:C419"/>
    <mergeCell ref="B420:C420"/>
    <mergeCell ref="B421:C421"/>
    <mergeCell ref="B424:C424"/>
    <mergeCell ref="B430:C430"/>
    <mergeCell ref="B413:C413"/>
    <mergeCell ref="B414:C414"/>
    <mergeCell ref="B415:C415"/>
    <mergeCell ref="B416:C416"/>
    <mergeCell ref="B405:C405"/>
    <mergeCell ref="B406:C406"/>
    <mergeCell ref="B407:C407"/>
    <mergeCell ref="B408:C408"/>
    <mergeCell ref="B409:C409"/>
    <mergeCell ref="B410:C410"/>
    <mergeCell ref="B385:C385"/>
    <mergeCell ref="B399:C399"/>
    <mergeCell ref="B400:C400"/>
    <mergeCell ref="B401:C401"/>
    <mergeCell ref="B391:C391"/>
    <mergeCell ref="B392:C392"/>
    <mergeCell ref="B393:C393"/>
    <mergeCell ref="B396:C396"/>
    <mergeCell ref="B397:C397"/>
    <mergeCell ref="B398:C398"/>
    <mergeCell ref="B332:C332"/>
    <mergeCell ref="B333:C333"/>
    <mergeCell ref="B334:C334"/>
    <mergeCell ref="B337:C337"/>
    <mergeCell ref="B338:C338"/>
    <mergeCell ref="B350:C350"/>
    <mergeCell ref="B351:C351"/>
    <mergeCell ref="B370:C370"/>
    <mergeCell ref="B339:C339"/>
    <mergeCell ref="B340:C340"/>
    <mergeCell ref="B354:C354"/>
    <mergeCell ref="B355:C355"/>
    <mergeCell ref="B358:C358"/>
    <mergeCell ref="B361:C361"/>
    <mergeCell ref="B362:C362"/>
    <mergeCell ref="B363:C363"/>
    <mergeCell ref="B369:C369"/>
    <mergeCell ref="B364:C364"/>
    <mergeCell ref="B365:C365"/>
    <mergeCell ref="B366:C366"/>
    <mergeCell ref="B329:C329"/>
    <mergeCell ref="B330:C330"/>
    <mergeCell ref="B321:C321"/>
    <mergeCell ref="B322:C322"/>
    <mergeCell ref="B323:C323"/>
    <mergeCell ref="B324:C324"/>
    <mergeCell ref="B327:C327"/>
    <mergeCell ref="B328:C328"/>
    <mergeCell ref="B331:C331"/>
    <mergeCell ref="B318:C318"/>
    <mergeCell ref="B319:C319"/>
    <mergeCell ref="B320:C320"/>
    <mergeCell ref="B309:C309"/>
    <mergeCell ref="B310:C310"/>
    <mergeCell ref="B311:C311"/>
    <mergeCell ref="B312:C312"/>
    <mergeCell ref="B313:C313"/>
    <mergeCell ref="B314:C314"/>
    <mergeCell ref="B307:C307"/>
    <mergeCell ref="B308:C308"/>
    <mergeCell ref="B297:C297"/>
    <mergeCell ref="B300:C300"/>
    <mergeCell ref="B301:C301"/>
    <mergeCell ref="B302:C302"/>
    <mergeCell ref="B303:C303"/>
    <mergeCell ref="B306:C306"/>
    <mergeCell ref="B317:C317"/>
    <mergeCell ref="B304:C304"/>
    <mergeCell ref="B305:C305"/>
    <mergeCell ref="B292:C292"/>
    <mergeCell ref="B293:C293"/>
    <mergeCell ref="B294:C294"/>
    <mergeCell ref="B295:C295"/>
    <mergeCell ref="B296:C296"/>
    <mergeCell ref="B283:C283"/>
    <mergeCell ref="B284:C284"/>
    <mergeCell ref="B285:C285"/>
    <mergeCell ref="B288:C288"/>
    <mergeCell ref="B289:C289"/>
    <mergeCell ref="B291:C291"/>
    <mergeCell ref="B265:C265"/>
    <mergeCell ref="B266:C266"/>
    <mergeCell ref="B267:C267"/>
    <mergeCell ref="B268:C268"/>
    <mergeCell ref="B269:C269"/>
    <mergeCell ref="B270:C270"/>
    <mergeCell ref="B290:C290"/>
    <mergeCell ref="B273:C273"/>
    <mergeCell ref="B274:C274"/>
    <mergeCell ref="B275:C275"/>
    <mergeCell ref="B280:C280"/>
    <mergeCell ref="B281:C281"/>
    <mergeCell ref="B282:C282"/>
    <mergeCell ref="B279:C279"/>
    <mergeCell ref="B276:C276"/>
    <mergeCell ref="B277:C277"/>
    <mergeCell ref="B278:C278"/>
    <mergeCell ref="B256:C256"/>
    <mergeCell ref="B259:C259"/>
    <mergeCell ref="B260:C260"/>
    <mergeCell ref="B239:C239"/>
    <mergeCell ref="B240:C240"/>
    <mergeCell ref="B251:C251"/>
    <mergeCell ref="B252:C252"/>
    <mergeCell ref="B253:C253"/>
    <mergeCell ref="B248:C248"/>
    <mergeCell ref="B247:C247"/>
    <mergeCell ref="B246:C246"/>
    <mergeCell ref="B245:C245"/>
    <mergeCell ref="B241:C241"/>
    <mergeCell ref="B243:C243"/>
    <mergeCell ref="B242:C242"/>
    <mergeCell ref="B235:C235"/>
    <mergeCell ref="B236:C236"/>
    <mergeCell ref="B254:C254"/>
    <mergeCell ref="B255:C255"/>
    <mergeCell ref="B195:C195"/>
    <mergeCell ref="B196:C196"/>
    <mergeCell ref="B197:C197"/>
    <mergeCell ref="B198:C198"/>
    <mergeCell ref="B218:C218"/>
    <mergeCell ref="B219:C219"/>
    <mergeCell ref="B212:C212"/>
    <mergeCell ref="B213:C213"/>
    <mergeCell ref="B214:C214"/>
    <mergeCell ref="B215:C215"/>
    <mergeCell ref="B201:C201"/>
    <mergeCell ref="B202:C202"/>
    <mergeCell ref="B204:C204"/>
    <mergeCell ref="B205:C205"/>
    <mergeCell ref="B206:C206"/>
    <mergeCell ref="B211:C211"/>
    <mergeCell ref="B209:C209"/>
    <mergeCell ref="B207:C207"/>
    <mergeCell ref="B180:C180"/>
    <mergeCell ref="B181:C181"/>
    <mergeCell ref="B182:C182"/>
    <mergeCell ref="B183:C183"/>
    <mergeCell ref="B186:C186"/>
    <mergeCell ref="B187:C187"/>
    <mergeCell ref="B188:C188"/>
    <mergeCell ref="B233:C233"/>
    <mergeCell ref="B234:C234"/>
    <mergeCell ref="B208:C208"/>
    <mergeCell ref="B210:C210"/>
    <mergeCell ref="B193:C193"/>
    <mergeCell ref="B194:C194"/>
    <mergeCell ref="B190:C190"/>
    <mergeCell ref="B191:C191"/>
    <mergeCell ref="B192:C192"/>
    <mergeCell ref="B189:C189"/>
    <mergeCell ref="B231:C231"/>
    <mergeCell ref="B232:C232"/>
    <mergeCell ref="B141:C141"/>
    <mergeCell ref="B136:C136"/>
    <mergeCell ref="B142:C142"/>
    <mergeCell ref="B161:C161"/>
    <mergeCell ref="B164:C164"/>
    <mergeCell ref="B165:C165"/>
    <mergeCell ref="B166:C166"/>
    <mergeCell ref="B151:C151"/>
    <mergeCell ref="B152:C152"/>
    <mergeCell ref="B153:C153"/>
    <mergeCell ref="B150:C150"/>
    <mergeCell ref="B154:C154"/>
    <mergeCell ref="B155:C155"/>
    <mergeCell ref="B156:C156"/>
    <mergeCell ref="B143:C143"/>
    <mergeCell ref="B261:C261"/>
    <mergeCell ref="B262:C262"/>
    <mergeCell ref="B86:C86"/>
    <mergeCell ref="B112:C112"/>
    <mergeCell ref="B99:C99"/>
    <mergeCell ref="B103:C103"/>
    <mergeCell ref="B104:C104"/>
    <mergeCell ref="B127:C127"/>
    <mergeCell ref="B128:C128"/>
    <mergeCell ref="B129:C129"/>
    <mergeCell ref="B130:C130"/>
    <mergeCell ref="B131:C131"/>
    <mergeCell ref="B163:C163"/>
    <mergeCell ref="B176:C176"/>
    <mergeCell ref="B177:C177"/>
    <mergeCell ref="B145:C145"/>
    <mergeCell ref="B144:C144"/>
    <mergeCell ref="B167:C167"/>
    <mergeCell ref="B168:C168"/>
    <mergeCell ref="B169:C169"/>
    <mergeCell ref="B172:C172"/>
    <mergeCell ref="B173:C173"/>
    <mergeCell ref="B174:C174"/>
    <mergeCell ref="B178:C178"/>
    <mergeCell ref="B63:C63"/>
    <mergeCell ref="B56:C56"/>
    <mergeCell ref="B57:C57"/>
    <mergeCell ref="B45:C45"/>
    <mergeCell ref="B48:C48"/>
    <mergeCell ref="B49:C49"/>
    <mergeCell ref="B46:C46"/>
    <mergeCell ref="B95:C95"/>
    <mergeCell ref="B98:C98"/>
    <mergeCell ref="B66:C66"/>
    <mergeCell ref="B65:C65"/>
    <mergeCell ref="B76:C76"/>
    <mergeCell ref="B89:C89"/>
    <mergeCell ref="B75:C75"/>
    <mergeCell ref="B47:C47"/>
    <mergeCell ref="B50:C50"/>
    <mergeCell ref="B51:C51"/>
    <mergeCell ref="B52:C52"/>
    <mergeCell ref="B53:C53"/>
    <mergeCell ref="B94:C94"/>
    <mergeCell ref="B77:C77"/>
    <mergeCell ref="B91:C91"/>
    <mergeCell ref="B93:C93"/>
    <mergeCell ref="B92:C92"/>
    <mergeCell ref="B134:C134"/>
    <mergeCell ref="B135:C135"/>
    <mergeCell ref="B137:C137"/>
    <mergeCell ref="B159:C159"/>
    <mergeCell ref="B160:C160"/>
    <mergeCell ref="B138:C138"/>
    <mergeCell ref="B220:C220"/>
    <mergeCell ref="B229:C229"/>
    <mergeCell ref="B230:C230"/>
    <mergeCell ref="B221:C221"/>
    <mergeCell ref="B222:C222"/>
    <mergeCell ref="B223:C223"/>
    <mergeCell ref="B224:C224"/>
    <mergeCell ref="B225:C225"/>
    <mergeCell ref="B226:C226"/>
    <mergeCell ref="B203:C203"/>
    <mergeCell ref="B148:C148"/>
    <mergeCell ref="B149:C149"/>
    <mergeCell ref="B147:C147"/>
    <mergeCell ref="B146:C146"/>
    <mergeCell ref="B162:C162"/>
    <mergeCell ref="B179:C179"/>
    <mergeCell ref="B139:C139"/>
    <mergeCell ref="B140:C140"/>
    <mergeCell ref="N1:P1"/>
    <mergeCell ref="B3:C3"/>
    <mergeCell ref="B4:C4"/>
    <mergeCell ref="B5:C5"/>
    <mergeCell ref="B6:C6"/>
    <mergeCell ref="B33:C33"/>
    <mergeCell ref="B11:C11"/>
    <mergeCell ref="B12:C12"/>
    <mergeCell ref="B13:C13"/>
    <mergeCell ref="B16:C16"/>
    <mergeCell ref="B20:C20"/>
    <mergeCell ref="B21:C21"/>
    <mergeCell ref="B22:C22"/>
    <mergeCell ref="B23:C23"/>
    <mergeCell ref="B24:C24"/>
    <mergeCell ref="B25:C25"/>
    <mergeCell ref="B28:C28"/>
    <mergeCell ref="B29:C29"/>
    <mergeCell ref="B31:C31"/>
    <mergeCell ref="B30:C30"/>
    <mergeCell ref="B32:C32"/>
    <mergeCell ref="K1:M1"/>
    <mergeCell ref="B7:C7"/>
    <mergeCell ref="B8:C8"/>
    <mergeCell ref="B9:C9"/>
    <mergeCell ref="B10:C10"/>
    <mergeCell ref="B17:C17"/>
    <mergeCell ref="B18:C18"/>
    <mergeCell ref="B19:C19"/>
    <mergeCell ref="B61:C61"/>
    <mergeCell ref="B34:C34"/>
    <mergeCell ref="B35:C35"/>
    <mergeCell ref="B36:C36"/>
    <mergeCell ref="B37:C37"/>
    <mergeCell ref="B38:C38"/>
    <mergeCell ref="B39:C39"/>
    <mergeCell ref="B42:C42"/>
    <mergeCell ref="B43:C43"/>
    <mergeCell ref="B44:C44"/>
    <mergeCell ref="B58:C58"/>
    <mergeCell ref="B59:C59"/>
    <mergeCell ref="B60:C60"/>
    <mergeCell ref="B115:C115"/>
    <mergeCell ref="B78:C78"/>
    <mergeCell ref="B67:C67"/>
    <mergeCell ref="B68:C68"/>
    <mergeCell ref="B69:C69"/>
    <mergeCell ref="B70:C70"/>
    <mergeCell ref="B71:C71"/>
    <mergeCell ref="B72:C72"/>
    <mergeCell ref="B101:C101"/>
    <mergeCell ref="B105:C105"/>
    <mergeCell ref="B106:C106"/>
    <mergeCell ref="B107:C107"/>
    <mergeCell ref="B100:C100"/>
    <mergeCell ref="B97:C97"/>
    <mergeCell ref="B64:C64"/>
    <mergeCell ref="B62:C62"/>
    <mergeCell ref="B126:C126"/>
    <mergeCell ref="B122:C122"/>
    <mergeCell ref="B123:C123"/>
    <mergeCell ref="B124:C124"/>
    <mergeCell ref="B125:C125"/>
    <mergeCell ref="B79:C79"/>
    <mergeCell ref="B80:C80"/>
    <mergeCell ref="B81:C81"/>
    <mergeCell ref="B82:C82"/>
    <mergeCell ref="B83:C83"/>
    <mergeCell ref="B84:C84"/>
    <mergeCell ref="B85:C85"/>
    <mergeCell ref="B108:C108"/>
    <mergeCell ref="B111:C111"/>
    <mergeCell ref="B90:C90"/>
    <mergeCell ref="B96:C96"/>
    <mergeCell ref="B119:C119"/>
    <mergeCell ref="B117:C117"/>
    <mergeCell ref="B118:C118"/>
    <mergeCell ref="B116:C116"/>
    <mergeCell ref="B102:C102"/>
    <mergeCell ref="B114:C114"/>
    <mergeCell ref="B402:C402"/>
    <mergeCell ref="B404:C404"/>
    <mergeCell ref="B342:C342"/>
    <mergeCell ref="B341:C341"/>
    <mergeCell ref="B343:C343"/>
    <mergeCell ref="B344:C344"/>
    <mergeCell ref="B374:C374"/>
    <mergeCell ref="B386:C386"/>
    <mergeCell ref="B346:C346"/>
    <mergeCell ref="B349:C349"/>
    <mergeCell ref="B373:C373"/>
    <mergeCell ref="B372:C372"/>
    <mergeCell ref="B375:C375"/>
    <mergeCell ref="B376:C376"/>
    <mergeCell ref="B377:C377"/>
    <mergeCell ref="B378:C378"/>
    <mergeCell ref="B379:C379"/>
    <mergeCell ref="B380:C380"/>
    <mergeCell ref="B388:C388"/>
    <mergeCell ref="B389:C389"/>
    <mergeCell ref="B390:C390"/>
    <mergeCell ref="B387:C387"/>
    <mergeCell ref="B383:C383"/>
    <mergeCell ref="B384:C384"/>
  </mergeCells>
  <pageMargins left="0.31496062992125984" right="0.31496062992125984" top="0.39370078740157483" bottom="0.39370078740157483" header="0.31496062992125984" footer="0.31496062992125984"/>
  <pageSetup paperSize="9" scale="57" fitToHeight="2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68"/>
  <sheetViews>
    <sheetView showGridLines="0" showZeros="0" view="pageBreakPreview" zoomScale="70" zoomScaleNormal="75" zoomScaleSheetLayoutView="70" workbookViewId="0">
      <pane xSplit="16" ySplit="1" topLeftCell="Q443" activePane="bottomRight" state="frozenSplit"/>
      <selection pane="topRight" activeCell="F1" sqref="F1"/>
      <selection pane="bottomLeft" activeCell="A30" sqref="A30"/>
      <selection pane="bottomRight" activeCell="N461" sqref="N461:P461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8" width="10.5703125" style="21" customWidth="1"/>
    <col min="19" max="19" width="10.5703125" style="21" hidden="1" customWidth="1"/>
    <col min="20" max="22" width="10.5703125" style="21" customWidth="1"/>
    <col min="23" max="39" width="10.5703125" style="21" hidden="1" customWidth="1"/>
    <col min="40" max="40" width="10.7109375" style="21" hidden="1" customWidth="1"/>
    <col min="41" max="41" width="11.7109375" style="21" customWidth="1"/>
    <col min="42" max="44" width="14.85546875" style="3" hidden="1" customWidth="1"/>
    <col min="45" max="45" width="9.140625" style="3"/>
    <col min="46" max="46" width="9.85546875" style="3" bestFit="1" customWidth="1"/>
    <col min="47" max="16384" width="9.140625" style="3"/>
  </cols>
  <sheetData>
    <row r="1" spans="1:46" s="1" customFormat="1" ht="17.25" customHeight="1" x14ac:dyDescent="0.25">
      <c r="A1" s="137" t="s">
        <v>246</v>
      </c>
      <c r="B1" s="142"/>
      <c r="C1" s="153">
        <f>D2+E2+F2+G2+H2+I2+J2+M2+P2</f>
        <v>119457.55954</v>
      </c>
      <c r="D1" s="155" t="s">
        <v>8</v>
      </c>
      <c r="E1" s="144" t="s">
        <v>9</v>
      </c>
      <c r="F1" s="156" t="s">
        <v>89</v>
      </c>
      <c r="G1" s="156" t="s">
        <v>234</v>
      </c>
      <c r="H1" s="144" t="s">
        <v>101</v>
      </c>
      <c r="I1" s="144" t="s">
        <v>91</v>
      </c>
      <c r="J1" s="144" t="s">
        <v>90</v>
      </c>
      <c r="K1" s="252" t="s">
        <v>87</v>
      </c>
      <c r="L1" s="253"/>
      <c r="M1" s="254"/>
      <c r="N1" s="252" t="s">
        <v>88</v>
      </c>
      <c r="O1" s="253"/>
      <c r="P1" s="254"/>
      <c r="Q1" s="156" t="s">
        <v>10</v>
      </c>
      <c r="R1" s="156" t="s">
        <v>11</v>
      </c>
      <c r="S1" s="156" t="s">
        <v>89</v>
      </c>
      <c r="T1" s="156" t="s">
        <v>86</v>
      </c>
      <c r="U1" s="156" t="s">
        <v>238</v>
      </c>
      <c r="V1" s="156" t="s">
        <v>92</v>
      </c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51"/>
      <c r="AO1" s="152" t="s">
        <v>0</v>
      </c>
      <c r="AP1" s="6" t="s">
        <v>1</v>
      </c>
      <c r="AQ1" s="7" t="s">
        <v>2</v>
      </c>
      <c r="AR1" s="7" t="s">
        <v>3</v>
      </c>
    </row>
    <row r="2" spans="1:46" s="1" customFormat="1" ht="17.25" customHeight="1" x14ac:dyDescent="0.25">
      <c r="A2" s="146"/>
      <c r="B2" s="137" t="s">
        <v>7</v>
      </c>
      <c r="C2" s="154">
        <f>D2+E2+F2+G2+H2+I2+J2+M2+P2+SUM(Q2:AN2)</f>
        <v>-303063.44046000007</v>
      </c>
      <c r="D2" s="147">
        <f>'Nov25'!D443</f>
        <v>23.657040000001871</v>
      </c>
      <c r="E2" s="147">
        <f>'Nov25'!E443</f>
        <v>-19624.860000000004</v>
      </c>
      <c r="F2" s="148">
        <f>'Nov25'!F443</f>
        <v>26680</v>
      </c>
      <c r="G2" s="148">
        <f>'Nov25'!G443</f>
        <v>0</v>
      </c>
      <c r="H2" s="147">
        <f>'Nov25'!H443</f>
        <v>48361.54250000001</v>
      </c>
      <c r="I2" s="147">
        <f>'Nov25'!I443</f>
        <v>8718.39</v>
      </c>
      <c r="J2" s="147">
        <f>'Nov25'!J443</f>
        <v>0</v>
      </c>
      <c r="K2" s="149">
        <f>'Nov25'!K443</f>
        <v>6757</v>
      </c>
      <c r="L2" s="150">
        <f>'Nov25'!L443</f>
        <v>5.0423723545952344</v>
      </c>
      <c r="M2" s="147">
        <f>'Nov25'!M443</f>
        <v>34071.31</v>
      </c>
      <c r="N2" s="149">
        <f>'Nov25'!N443</f>
        <v>5890</v>
      </c>
      <c r="O2" s="150">
        <f>'Nov25'!O443</f>
        <v>3.6039932088285229</v>
      </c>
      <c r="P2" s="147">
        <f>'Nov25'!P443</f>
        <v>21227.52</v>
      </c>
      <c r="Q2" s="148">
        <f>'Nov25'!Q443</f>
        <v>-426806.23000000004</v>
      </c>
      <c r="R2" s="148">
        <f>'Nov25'!R443</f>
        <v>50229.299999999996</v>
      </c>
      <c r="S2" s="148">
        <f>'Nov25'!S443</f>
        <v>0</v>
      </c>
      <c r="T2" s="148">
        <f>'Nov25'!T443</f>
        <v>-9644.07</v>
      </c>
      <c r="U2" s="148">
        <f>'Nov25'!U443</f>
        <v>0</v>
      </c>
      <c r="V2" s="148">
        <f>'Nov25'!V443</f>
        <v>-36300</v>
      </c>
      <c r="W2" s="148">
        <f>'Nov25'!W443</f>
        <v>0</v>
      </c>
      <c r="X2" s="148">
        <f>'Nov25'!X443</f>
        <v>0</v>
      </c>
      <c r="Y2" s="148">
        <f>'Nov25'!Y443</f>
        <v>0</v>
      </c>
      <c r="Z2" s="148">
        <f>'Nov25'!Z443</f>
        <v>0</v>
      </c>
      <c r="AA2" s="148">
        <f>'Nov25'!AA443</f>
        <v>0</v>
      </c>
      <c r="AB2" s="148">
        <f>'Nov25'!AB443</f>
        <v>0</v>
      </c>
      <c r="AC2" s="148">
        <f>'Nov25'!AC443</f>
        <v>0</v>
      </c>
      <c r="AD2" s="148">
        <f>'Nov25'!AD443</f>
        <v>0</v>
      </c>
      <c r="AE2" s="148">
        <f>'Nov25'!AE443</f>
        <v>0</v>
      </c>
      <c r="AF2" s="148">
        <f>'Nov25'!AF443</f>
        <v>0</v>
      </c>
      <c r="AG2" s="148">
        <f>'Nov25'!AG443</f>
        <v>0</v>
      </c>
      <c r="AH2" s="148">
        <f>'Nov25'!AH443</f>
        <v>0</v>
      </c>
      <c r="AI2" s="148">
        <f>'Nov25'!AI443</f>
        <v>0</v>
      </c>
      <c r="AJ2" s="148">
        <f>'Nov25'!AJ443</f>
        <v>0</v>
      </c>
      <c r="AK2" s="148">
        <f>'Nov25'!AK443</f>
        <v>0</v>
      </c>
      <c r="AL2" s="148">
        <f>'Nov25'!AL443</f>
        <v>0</v>
      </c>
      <c r="AM2" s="148">
        <f>'Nov25'!AM443</f>
        <v>0</v>
      </c>
      <c r="AN2" s="148">
        <f>'Nov25'!AN443</f>
        <v>0</v>
      </c>
      <c r="AO2" s="147">
        <f>'Nov25'!AO443</f>
        <v>-303063.44046000007</v>
      </c>
      <c r="AP2" s="8" t="e">
        <f>#REF!</f>
        <v>#REF!</v>
      </c>
      <c r="AQ2" s="9" t="e">
        <f>#REF!</f>
        <v>#REF!</v>
      </c>
      <c r="AR2" s="9" t="e">
        <f>AP2-AQ2</f>
        <v>#REF!</v>
      </c>
    </row>
    <row r="3" spans="1:46" s="2" customFormat="1" ht="17.25" customHeight="1" x14ac:dyDescent="0.25">
      <c r="A3" s="29">
        <v>45992</v>
      </c>
      <c r="B3" s="201" t="s">
        <v>64</v>
      </c>
      <c r="C3" s="202"/>
      <c r="D3" s="65">
        <v>8509.07</v>
      </c>
      <c r="E3" s="64"/>
      <c r="F3" s="64"/>
      <c r="G3" s="64"/>
      <c r="H3" s="64"/>
      <c r="I3" s="64">
        <f>-D3</f>
        <v>-8509.07</v>
      </c>
      <c r="J3" s="64"/>
      <c r="K3" s="57"/>
      <c r="L3" s="88"/>
      <c r="M3" s="62"/>
      <c r="N3" s="57"/>
      <c r="O3" s="88"/>
      <c r="P3" s="62"/>
      <c r="Q3" s="47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22"/>
      <c r="AQ3" s="10" t="s">
        <v>4</v>
      </c>
      <c r="AR3" s="11" t="e">
        <v>#REF!</v>
      </c>
    </row>
    <row r="4" spans="1:46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>
        <f>-I2-I3</f>
        <v>-209.31999999999971</v>
      </c>
      <c r="J4" s="64"/>
      <c r="K4" s="57"/>
      <c r="L4" s="88"/>
      <c r="M4" s="62"/>
      <c r="N4" s="57"/>
      <c r="O4" s="88"/>
      <c r="P4" s="62"/>
      <c r="Q4" s="47"/>
      <c r="R4" s="39"/>
      <c r="S4" s="39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22"/>
      <c r="AQ4" s="10" t="s">
        <v>4</v>
      </c>
      <c r="AR4" s="11" t="e">
        <v>#REF!</v>
      </c>
    </row>
    <row r="5" spans="1:46" s="2" customFormat="1" ht="17.25" customHeight="1" x14ac:dyDescent="0.25">
      <c r="A5" s="29"/>
      <c r="B5" s="201" t="s">
        <v>72</v>
      </c>
      <c r="C5" s="202"/>
      <c r="D5" s="63">
        <v>-8500</v>
      </c>
      <c r="E5" s="64"/>
      <c r="F5" s="64">
        <f>-D5</f>
        <v>8500</v>
      </c>
      <c r="G5" s="64"/>
      <c r="H5" s="64"/>
      <c r="I5" s="64"/>
      <c r="J5" s="64"/>
      <c r="K5" s="57"/>
      <c r="L5" s="88"/>
      <c r="M5" s="62"/>
      <c r="N5" s="57"/>
      <c r="O5" s="88"/>
      <c r="P5" s="62"/>
      <c r="Q5" s="47"/>
      <c r="R5" s="39"/>
      <c r="S5" s="3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2"/>
      <c r="AQ5" s="10" t="s">
        <v>4</v>
      </c>
      <c r="AR5" s="11" t="e">
        <v>#REF!</v>
      </c>
    </row>
    <row r="6" spans="1:46" s="2" customFormat="1" ht="17.25" customHeight="1" x14ac:dyDescent="0.25">
      <c r="A6" s="29"/>
      <c r="B6" s="201" t="s">
        <v>274</v>
      </c>
      <c r="C6" s="202"/>
      <c r="D6" s="63">
        <v>1300</v>
      </c>
      <c r="E6" s="64">
        <f>-D6</f>
        <v>-1300</v>
      </c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47"/>
      <c r="R6" s="39"/>
      <c r="S6" s="3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2"/>
      <c r="AQ6" s="10" t="s">
        <v>4</v>
      </c>
      <c r="AR6" s="11" t="e">
        <v>#REF!</v>
      </c>
    </row>
    <row r="7" spans="1:46" s="2" customFormat="1" ht="17.25" customHeight="1" x14ac:dyDescent="0.25">
      <c r="A7" s="29"/>
      <c r="B7" s="201" t="s">
        <v>303</v>
      </c>
      <c r="C7" s="202"/>
      <c r="D7" s="63">
        <v>-10.4</v>
      </c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47"/>
      <c r="R7" s="39"/>
      <c r="S7" s="39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22"/>
      <c r="AQ7" s="10" t="s">
        <v>4</v>
      </c>
      <c r="AR7" s="11" t="e">
        <v>#REF!</v>
      </c>
    </row>
    <row r="8" spans="1:46" s="2" customFormat="1" ht="17.25" customHeight="1" x14ac:dyDescent="0.25">
      <c r="A8" s="29"/>
      <c r="B8" s="201" t="s">
        <v>72</v>
      </c>
      <c r="C8" s="202"/>
      <c r="D8" s="63">
        <v>35180</v>
      </c>
      <c r="E8" s="64"/>
      <c r="F8" s="64">
        <f>-D8</f>
        <v>-35180</v>
      </c>
      <c r="G8" s="64"/>
      <c r="H8" s="64"/>
      <c r="I8" s="64"/>
      <c r="J8" s="64"/>
      <c r="K8" s="57"/>
      <c r="L8" s="88"/>
      <c r="M8" s="62"/>
      <c r="N8" s="57"/>
      <c r="O8" s="88"/>
      <c r="P8" s="62"/>
      <c r="Q8" s="47"/>
      <c r="R8" s="39"/>
      <c r="S8" s="39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22"/>
      <c r="AQ8" s="10" t="s">
        <v>4</v>
      </c>
      <c r="AR8" s="11" t="e">
        <v>#REF!</v>
      </c>
    </row>
    <row r="9" spans="1:46" s="2" customFormat="1" ht="17.25" customHeight="1" x14ac:dyDescent="0.2">
      <c r="A9" s="23"/>
      <c r="B9" s="205" t="s">
        <v>304</v>
      </c>
      <c r="C9" s="250"/>
      <c r="D9" s="64">
        <v>-36300</v>
      </c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39"/>
      <c r="R9" s="39"/>
      <c r="S9" s="39"/>
      <c r="T9" s="16"/>
      <c r="U9" s="16"/>
      <c r="V9" s="16">
        <f>-D9</f>
        <v>36300</v>
      </c>
      <c r="W9" s="16"/>
      <c r="X9" s="16"/>
      <c r="Y9" s="19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35"/>
      <c r="AQ9" s="10"/>
      <c r="AR9" s="27"/>
    </row>
    <row r="10" spans="1:46" s="2" customFormat="1" ht="17.25" customHeight="1" x14ac:dyDescent="0.25">
      <c r="A10" s="29"/>
      <c r="B10" s="201" t="s">
        <v>13</v>
      </c>
      <c r="C10" s="202"/>
      <c r="D10" s="63"/>
      <c r="E10" s="64">
        <f>-E2+1300-10141.86+550.81</f>
        <v>11333.810000000003</v>
      </c>
      <c r="F10" s="64"/>
      <c r="G10" s="64"/>
      <c r="H10" s="64">
        <f>-E10</f>
        <v>-11333.810000000003</v>
      </c>
      <c r="I10" s="64"/>
      <c r="J10" s="64"/>
      <c r="K10" s="57"/>
      <c r="L10" s="88"/>
      <c r="M10" s="62"/>
      <c r="N10" s="57"/>
      <c r="O10" s="88"/>
      <c r="P10" s="62"/>
      <c r="Q10" s="46"/>
      <c r="R10" s="46"/>
      <c r="S10" s="39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22"/>
      <c r="AQ10" s="10" t="s">
        <v>4</v>
      </c>
      <c r="AR10" s="11" t="e">
        <v>#REF!</v>
      </c>
    </row>
    <row r="11" spans="1:46" s="2" customFormat="1" ht="17.25" customHeight="1" x14ac:dyDescent="0.25">
      <c r="A11" s="29"/>
      <c r="B11" s="201" t="s">
        <v>312</v>
      </c>
      <c r="C11" s="202"/>
      <c r="D11" s="63"/>
      <c r="E11" s="64">
        <v>-550.80999999999995</v>
      </c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40"/>
      <c r="R11" s="46"/>
      <c r="S11" s="3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22"/>
      <c r="AQ11" s="10"/>
      <c r="AR11" s="11"/>
    </row>
    <row r="12" spans="1:46" s="2" customFormat="1" ht="17.25" customHeight="1" x14ac:dyDescent="0.25">
      <c r="A12" s="29"/>
      <c r="B12" s="201"/>
      <c r="C12" s="202"/>
      <c r="D12" s="63"/>
      <c r="E12" s="64"/>
      <c r="F12" s="64"/>
      <c r="G12" s="64"/>
      <c r="H12" s="64"/>
      <c r="I12" s="64"/>
      <c r="J12" s="64"/>
      <c r="K12" s="57"/>
      <c r="L12" s="88"/>
      <c r="M12" s="62"/>
      <c r="N12" s="57"/>
      <c r="O12" s="88"/>
      <c r="P12" s="62"/>
      <c r="Q12" s="47"/>
      <c r="R12" s="39"/>
      <c r="S12" s="39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22"/>
      <c r="AQ12" s="10" t="s">
        <v>4</v>
      </c>
      <c r="AR12" s="11" t="e">
        <v>#REF!</v>
      </c>
    </row>
    <row r="13" spans="1:46" s="4" customFormat="1" ht="17.25" customHeight="1" thickBot="1" x14ac:dyDescent="0.3">
      <c r="A13" s="24"/>
      <c r="B13" s="246"/>
      <c r="C13" s="246"/>
      <c r="D13" s="81"/>
      <c r="E13" s="81"/>
      <c r="F13" s="81"/>
      <c r="G13" s="81"/>
      <c r="H13" s="81"/>
      <c r="I13" s="81"/>
      <c r="J13" s="81"/>
      <c r="K13" s="59"/>
      <c r="L13" s="90"/>
      <c r="M13" s="136"/>
      <c r="N13" s="59"/>
      <c r="O13" s="90"/>
      <c r="P13" s="136"/>
      <c r="Q13" s="39"/>
      <c r="R13" s="39"/>
      <c r="S13" s="39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22"/>
      <c r="AO13" s="43"/>
      <c r="AP13" s="12" t="e">
        <f>#REF!</f>
        <v>#REF!</v>
      </c>
      <c r="AT13" s="2"/>
    </row>
    <row r="14" spans="1:46" s="4" customFormat="1" ht="17.25" customHeight="1" x14ac:dyDescent="0.25">
      <c r="A14" s="23"/>
      <c r="B14" s="212" t="s">
        <v>94</v>
      </c>
      <c r="C14" s="212"/>
      <c r="D14" s="66"/>
      <c r="E14" s="66"/>
      <c r="F14" s="117"/>
      <c r="G14" s="117"/>
      <c r="H14" s="66"/>
      <c r="I14" s="66"/>
      <c r="J14" s="66">
        <f>-M14</f>
        <v>8862.75</v>
      </c>
      <c r="K14" s="58">
        <v>-1515</v>
      </c>
      <c r="L14" s="89">
        <v>5.85</v>
      </c>
      <c r="M14" s="73">
        <f>K14*L14</f>
        <v>-8862.75</v>
      </c>
      <c r="N14" s="58"/>
      <c r="O14" s="89"/>
      <c r="P14" s="73"/>
      <c r="Q14" s="39"/>
      <c r="R14" s="39"/>
      <c r="S14" s="8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35"/>
      <c r="AP14" s="12" t="e">
        <f>#REF!</f>
        <v>#REF!</v>
      </c>
    </row>
    <row r="15" spans="1:46" s="4" customFormat="1" ht="17.25" customHeight="1" x14ac:dyDescent="0.25">
      <c r="A15" s="23"/>
      <c r="B15" s="201" t="s">
        <v>95</v>
      </c>
      <c r="C15" s="203"/>
      <c r="D15" s="64"/>
      <c r="E15" s="64"/>
      <c r="F15" s="117"/>
      <c r="G15" s="117"/>
      <c r="H15" s="64"/>
      <c r="I15" s="64"/>
      <c r="J15" s="64">
        <f>-P15</f>
        <v>9692.8900000000012</v>
      </c>
      <c r="K15" s="57"/>
      <c r="L15" s="88"/>
      <c r="M15" s="62"/>
      <c r="N15" s="57">
        <v>-2479</v>
      </c>
      <c r="O15" s="88">
        <v>3.91</v>
      </c>
      <c r="P15" s="62">
        <f>N15*O15</f>
        <v>-9692.8900000000012</v>
      </c>
      <c r="Q15" s="39"/>
      <c r="R15" s="39"/>
      <c r="S15" s="8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35"/>
      <c r="AP15" s="12" t="e">
        <f>#REF!</f>
        <v>#REF!</v>
      </c>
    </row>
    <row r="16" spans="1:46" s="4" customFormat="1" ht="17.25" customHeight="1" x14ac:dyDescent="0.25">
      <c r="A16" s="23"/>
      <c r="B16" s="201" t="s">
        <v>97</v>
      </c>
      <c r="C16" s="203"/>
      <c r="D16" s="64"/>
      <c r="E16" s="64"/>
      <c r="F16" s="64"/>
      <c r="G16" s="64"/>
      <c r="H16" s="64">
        <f>-J16-I16</f>
        <v>6933.26</v>
      </c>
      <c r="I16" s="64">
        <v>11622.38</v>
      </c>
      <c r="J16" s="64">
        <f>-SUM(J14:J15)</f>
        <v>-18555.64</v>
      </c>
      <c r="K16" s="57"/>
      <c r="L16" s="88"/>
      <c r="M16" s="62"/>
      <c r="N16" s="57"/>
      <c r="O16" s="88"/>
      <c r="P16" s="62"/>
      <c r="Q16" s="39"/>
      <c r="R16" s="39"/>
      <c r="S16" s="39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22"/>
      <c r="AO16" s="43">
        <f>A2</f>
        <v>0</v>
      </c>
      <c r="AP16" s="12" t="e">
        <f>#REF!</f>
        <v>#REF!</v>
      </c>
      <c r="AT16" s="2"/>
    </row>
    <row r="17" spans="1:46" s="4" customFormat="1" ht="17.25" customHeight="1" x14ac:dyDescent="0.25">
      <c r="A17" s="23"/>
      <c r="B17" s="201" t="s">
        <v>100</v>
      </c>
      <c r="C17" s="203"/>
      <c r="D17" s="64"/>
      <c r="E17" s="64"/>
      <c r="F17" s="64"/>
      <c r="G17" s="64"/>
      <c r="H17" s="64"/>
      <c r="I17" s="64"/>
      <c r="J17" s="64"/>
      <c r="K17" s="57">
        <v>47</v>
      </c>
      <c r="L17" s="88"/>
      <c r="M17" s="62">
        <f>(K20*L2)-M2-M14</f>
        <v>1460.5473834541954</v>
      </c>
      <c r="N17" s="57">
        <v>80</v>
      </c>
      <c r="O17" s="88"/>
      <c r="P17" s="62">
        <f>(N20*((P2)/(N2))-P2-P15)</f>
        <v>1046.910292020375</v>
      </c>
      <c r="Q17" s="39"/>
      <c r="R17" s="39"/>
      <c r="S17" s="39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22"/>
      <c r="AO17" s="43"/>
      <c r="AP17" s="12" t="e">
        <f>#REF!</f>
        <v>#REF!</v>
      </c>
      <c r="AT17" s="2"/>
    </row>
    <row r="18" spans="1:46" s="4" customFormat="1" ht="17.25" customHeight="1" x14ac:dyDescent="0.25">
      <c r="A18" s="23"/>
      <c r="B18" s="201"/>
      <c r="C18" s="203"/>
      <c r="D18" s="64"/>
      <c r="E18" s="64"/>
      <c r="F18" s="64"/>
      <c r="G18" s="64"/>
      <c r="H18" s="64"/>
      <c r="I18" s="64"/>
      <c r="J18" s="64"/>
      <c r="K18" s="57"/>
      <c r="L18" s="88"/>
      <c r="M18" s="62"/>
      <c r="N18" s="57"/>
      <c r="O18" s="88"/>
      <c r="P18" s="62"/>
      <c r="Q18" s="39"/>
      <c r="R18" s="39"/>
      <c r="S18" s="39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22"/>
      <c r="AO18" s="43">
        <f>A3</f>
        <v>45992</v>
      </c>
      <c r="AP18" s="12" t="e">
        <f>#REF!</f>
        <v>#REF!</v>
      </c>
      <c r="AT18" s="2"/>
    </row>
    <row r="19" spans="1:46" s="2" customFormat="1" ht="17.25" customHeight="1" thickBot="1" x14ac:dyDescent="0.3">
      <c r="A19" s="56"/>
      <c r="B19" s="101" t="s">
        <v>102</v>
      </c>
      <c r="C19" s="102">
        <f>D20+E20+F20+G20+H20+I20+J20+M20+P20</f>
        <v>84894.48954000001</v>
      </c>
      <c r="D19" s="85"/>
      <c r="E19" s="85"/>
      <c r="F19" s="85"/>
      <c r="G19" s="85"/>
      <c r="H19" s="85"/>
      <c r="I19" s="85"/>
      <c r="J19" s="85"/>
      <c r="K19" s="97"/>
      <c r="L19" s="98"/>
      <c r="M19" s="99">
        <f>K19*L19</f>
        <v>0</v>
      </c>
      <c r="N19" s="97"/>
      <c r="O19" s="98"/>
      <c r="P19" s="99">
        <f>N19*O19</f>
        <v>0</v>
      </c>
      <c r="Q19" s="51"/>
      <c r="R19" s="51"/>
      <c r="S19" s="51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42">
        <f>SUM($Q2:AN19)</f>
        <v>-386221.00000000006</v>
      </c>
      <c r="AQ19" s="33"/>
      <c r="AR19" s="27"/>
      <c r="AS19" s="2" t="s">
        <v>5</v>
      </c>
    </row>
    <row r="20" spans="1:46" s="2" customFormat="1" ht="17.25" customHeight="1" thickTop="1" thickBot="1" x14ac:dyDescent="0.3">
      <c r="A20" s="103"/>
      <c r="B20" s="104" t="s">
        <v>103</v>
      </c>
      <c r="C20" s="105">
        <f>AO20</f>
        <v>-301326.51046000002</v>
      </c>
      <c r="D20" s="106">
        <f t="shared" ref="D20:K20" si="0">SUM(D2:D19)</f>
        <v>202.32704000000376</v>
      </c>
      <c r="E20" s="107">
        <f t="shared" si="0"/>
        <v>-10141.86</v>
      </c>
      <c r="F20" s="107">
        <f t="shared" si="0"/>
        <v>0</v>
      </c>
      <c r="G20" s="107">
        <f t="shared" si="0"/>
        <v>0</v>
      </c>
      <c r="H20" s="107">
        <f t="shared" si="0"/>
        <v>43960.992500000008</v>
      </c>
      <c r="I20" s="107">
        <f t="shared" si="0"/>
        <v>11622.38</v>
      </c>
      <c r="J20" s="107">
        <f t="shared" si="0"/>
        <v>0</v>
      </c>
      <c r="K20" s="108">
        <f t="shared" si="0"/>
        <v>5289</v>
      </c>
      <c r="L20" s="109">
        <f>M20/K20</f>
        <v>5.0423728493098885</v>
      </c>
      <c r="M20" s="107">
        <f>ROUND(SUM(M2:M19),2)</f>
        <v>26669.11</v>
      </c>
      <c r="N20" s="108">
        <f>SUM(N2:N19)</f>
        <v>3491</v>
      </c>
      <c r="O20" s="109">
        <f>P20/N20</f>
        <v>3.603993125179032</v>
      </c>
      <c r="P20" s="107">
        <f>ROUND(SUM(P2:P19),2)</f>
        <v>12581.54</v>
      </c>
      <c r="Q20" s="110">
        <f t="shared" ref="Q20:AH20" si="1">SUM(Q2:Q19)</f>
        <v>-426806.23000000004</v>
      </c>
      <c r="R20" s="107">
        <f t="shared" si="1"/>
        <v>50229.299999999996</v>
      </c>
      <c r="S20" s="107">
        <f t="shared" si="1"/>
        <v>0</v>
      </c>
      <c r="T20" s="107">
        <f t="shared" si="1"/>
        <v>-9644.07</v>
      </c>
      <c r="U20" s="107">
        <f t="shared" si="1"/>
        <v>0</v>
      </c>
      <c r="V20" s="107">
        <f t="shared" si="1"/>
        <v>0</v>
      </c>
      <c r="W20" s="107">
        <f t="shared" si="1"/>
        <v>0</v>
      </c>
      <c r="X20" s="107">
        <f t="shared" si="1"/>
        <v>0</v>
      </c>
      <c r="Y20" s="107">
        <f t="shared" si="1"/>
        <v>0</v>
      </c>
      <c r="Z20" s="107">
        <f t="shared" si="1"/>
        <v>0</v>
      </c>
      <c r="AA20" s="107">
        <f t="shared" si="1"/>
        <v>0</v>
      </c>
      <c r="AB20" s="107">
        <f t="shared" si="1"/>
        <v>0</v>
      </c>
      <c r="AC20" s="107">
        <f t="shared" si="1"/>
        <v>0</v>
      </c>
      <c r="AD20" s="107">
        <f t="shared" si="1"/>
        <v>0</v>
      </c>
      <c r="AE20" s="107">
        <f t="shared" si="1"/>
        <v>0</v>
      </c>
      <c r="AF20" s="107">
        <f t="shared" si="1"/>
        <v>0</v>
      </c>
      <c r="AG20" s="107">
        <f t="shared" si="1"/>
        <v>0</v>
      </c>
      <c r="AH20" s="107">
        <f t="shared" si="1"/>
        <v>0</v>
      </c>
      <c r="AI20" s="107"/>
      <c r="AJ20" s="107">
        <f>SUM(AJ2:AJ19)</f>
        <v>0</v>
      </c>
      <c r="AK20" s="107">
        <f>SUM(AK2:AK19)</f>
        <v>0</v>
      </c>
      <c r="AL20" s="107">
        <f>SUM(AL2:AL19)</f>
        <v>0</v>
      </c>
      <c r="AM20" s="107">
        <f>SUM(AM2:AM19)</f>
        <v>0</v>
      </c>
      <c r="AN20" s="107">
        <f>SUM(AN2:AN19)</f>
        <v>0</v>
      </c>
      <c r="AO20" s="111">
        <f>D20+E20+F20+G20+H20+I20+J20+M20+P20+SUM(Q20:AN20)</f>
        <v>-301326.51046000002</v>
      </c>
      <c r="AP20" s="4"/>
      <c r="AQ20" s="5"/>
      <c r="AR20" s="5"/>
      <c r="AS20" s="2" t="s">
        <v>6</v>
      </c>
    </row>
    <row r="21" spans="1:46" s="4" customFormat="1" ht="17.25" customHeight="1" thickTop="1" x14ac:dyDescent="0.25">
      <c r="A21" s="23">
        <f>A3+1</f>
        <v>45993</v>
      </c>
      <c r="B21" s="210" t="s">
        <v>64</v>
      </c>
      <c r="C21" s="203"/>
      <c r="D21" s="63">
        <v>11328.94</v>
      </c>
      <c r="E21" s="66"/>
      <c r="F21" s="66"/>
      <c r="G21" s="66"/>
      <c r="H21" s="66"/>
      <c r="I21" s="64">
        <f>-D21</f>
        <v>-11328.94</v>
      </c>
      <c r="J21" s="66"/>
      <c r="K21" s="18"/>
      <c r="L21" s="91"/>
      <c r="M21" s="66"/>
      <c r="N21" s="18"/>
      <c r="O21" s="91"/>
      <c r="P21" s="66"/>
      <c r="Q21" s="46"/>
      <c r="R21" s="46"/>
      <c r="S21" s="45"/>
      <c r="T21" s="18"/>
      <c r="U21" s="18"/>
      <c r="V21" s="18"/>
      <c r="W21" s="18"/>
      <c r="X21" s="18"/>
      <c r="Y21" s="14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7"/>
      <c r="AO21" s="13"/>
      <c r="AP21" s="12" t="e">
        <f>#REF!</f>
        <v>#REF!</v>
      </c>
    </row>
    <row r="22" spans="1:46" s="4" customFormat="1" ht="17.25" customHeight="1" x14ac:dyDescent="0.25">
      <c r="A22" s="23"/>
      <c r="B22" s="201" t="s">
        <v>96</v>
      </c>
      <c r="C22" s="202"/>
      <c r="D22" s="63"/>
      <c r="E22" s="64"/>
      <c r="F22" s="64"/>
      <c r="G22" s="64"/>
      <c r="H22" s="64"/>
      <c r="I22" s="64">
        <f>-I20-I21</f>
        <v>-293.43999999999869</v>
      </c>
      <c r="J22" s="64"/>
      <c r="K22" s="16"/>
      <c r="L22" s="92"/>
      <c r="M22" s="64"/>
      <c r="N22" s="16"/>
      <c r="O22" s="92"/>
      <c r="P22" s="64"/>
      <c r="Q22" s="40"/>
      <c r="R22" s="46"/>
      <c r="S22" s="39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22"/>
      <c r="AP22" s="30"/>
    </row>
    <row r="23" spans="1:46" s="4" customFormat="1" ht="17.25" customHeight="1" x14ac:dyDescent="0.25">
      <c r="A23" s="23"/>
      <c r="B23" s="201" t="s">
        <v>13</v>
      </c>
      <c r="C23" s="203"/>
      <c r="D23" s="63"/>
      <c r="E23" s="64">
        <f>-E20-8223.89+92.5+232.01+388.81+244.4+1671</f>
        <v>4546.6900000000014</v>
      </c>
      <c r="F23" s="64"/>
      <c r="G23" s="64"/>
      <c r="H23" s="64">
        <f>-E23</f>
        <v>-4546.6900000000014</v>
      </c>
      <c r="I23" s="66"/>
      <c r="J23" s="64"/>
      <c r="K23" s="16"/>
      <c r="L23" s="92"/>
      <c r="M23" s="64"/>
      <c r="N23" s="16"/>
      <c r="O23" s="92"/>
      <c r="P23" s="64"/>
      <c r="Q23" s="40"/>
      <c r="R23" s="46">
        <f>-D23</f>
        <v>0</v>
      </c>
      <c r="S23" s="39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22"/>
      <c r="AP23" s="30"/>
    </row>
    <row r="24" spans="1:46" s="2" customFormat="1" ht="17.25" customHeight="1" x14ac:dyDescent="0.2">
      <c r="A24" s="24"/>
      <c r="B24" s="201" t="s">
        <v>313</v>
      </c>
      <c r="C24" s="203"/>
      <c r="D24" s="64"/>
      <c r="E24" s="64">
        <v>-92.5</v>
      </c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39"/>
      <c r="R24" s="39"/>
      <c r="S24" s="39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34"/>
      <c r="AQ24" s="10"/>
      <c r="AR24" s="11"/>
    </row>
    <row r="25" spans="1:46" s="2" customFormat="1" ht="17.25" customHeight="1" x14ac:dyDescent="0.2">
      <c r="A25" s="24"/>
      <c r="B25" s="201" t="s">
        <v>176</v>
      </c>
      <c r="C25" s="203"/>
      <c r="D25" s="64"/>
      <c r="E25" s="64">
        <v>-232.01</v>
      </c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39"/>
      <c r="R25" s="39"/>
      <c r="S25" s="39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34"/>
      <c r="AQ25" s="10"/>
      <c r="AR25" s="11"/>
    </row>
    <row r="26" spans="1:46" s="2" customFormat="1" ht="17.25" customHeight="1" x14ac:dyDescent="0.25">
      <c r="A26" s="29"/>
      <c r="B26" s="207" t="s">
        <v>199</v>
      </c>
      <c r="C26" s="207"/>
      <c r="D26" s="117"/>
      <c r="E26" s="64"/>
      <c r="F26" s="64"/>
      <c r="G26" s="64"/>
      <c r="H26" s="64"/>
      <c r="I26" s="64"/>
      <c r="J26" s="64"/>
      <c r="K26" s="16"/>
      <c r="L26" s="92"/>
      <c r="M26" s="64"/>
      <c r="N26" s="16"/>
      <c r="O26" s="92"/>
      <c r="P26" s="64"/>
      <c r="Q26" s="39"/>
      <c r="R26" s="39"/>
      <c r="S26" s="39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22"/>
      <c r="AQ26" s="10"/>
      <c r="AR26" s="11"/>
    </row>
    <row r="27" spans="1:46" s="2" customFormat="1" ht="17.25" customHeight="1" x14ac:dyDescent="0.25">
      <c r="A27" s="29"/>
      <c r="B27" s="207" t="s">
        <v>305</v>
      </c>
      <c r="C27" s="207"/>
      <c r="D27" s="64">
        <v>-488</v>
      </c>
      <c r="E27" s="64"/>
      <c r="F27" s="64"/>
      <c r="G27" s="64"/>
      <c r="H27" s="64"/>
      <c r="I27" s="64"/>
      <c r="J27" s="64"/>
      <c r="K27" s="16"/>
      <c r="L27" s="92"/>
      <c r="M27" s="64"/>
      <c r="N27" s="16"/>
      <c r="O27" s="92"/>
      <c r="P27" s="64"/>
      <c r="Q27" s="39"/>
      <c r="R27" s="39"/>
      <c r="S27" s="39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22"/>
      <c r="AQ27" s="10"/>
      <c r="AR27" s="11"/>
    </row>
    <row r="28" spans="1:46" s="2" customFormat="1" ht="17.25" customHeight="1" x14ac:dyDescent="0.25">
      <c r="A28" s="29"/>
      <c r="B28" s="201" t="s">
        <v>306</v>
      </c>
      <c r="C28" s="202"/>
      <c r="D28" s="63">
        <v>-4.9000000000000004</v>
      </c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47"/>
      <c r="R28" s="39"/>
      <c r="S28" s="39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22"/>
      <c r="AQ28" s="10" t="s">
        <v>4</v>
      </c>
      <c r="AR28" s="11" t="e">
        <v>#REF!</v>
      </c>
    </row>
    <row r="29" spans="1:46" s="2" customFormat="1" ht="17.25" customHeight="1" x14ac:dyDescent="0.25">
      <c r="A29" s="29"/>
      <c r="B29" s="201" t="s">
        <v>314</v>
      </c>
      <c r="C29" s="202"/>
      <c r="D29" s="63"/>
      <c r="E29" s="64">
        <v>-388.81</v>
      </c>
      <c r="F29" s="64"/>
      <c r="G29" s="64"/>
      <c r="H29" s="64"/>
      <c r="I29" s="64"/>
      <c r="J29" s="64"/>
      <c r="K29" s="57"/>
      <c r="L29" s="88"/>
      <c r="M29" s="62"/>
      <c r="N29" s="57"/>
      <c r="O29" s="88"/>
      <c r="P29" s="62"/>
      <c r="Q29" s="47"/>
      <c r="R29" s="39"/>
      <c r="S29" s="39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22"/>
      <c r="AQ29" s="10"/>
      <c r="AR29" s="11"/>
    </row>
    <row r="30" spans="1:46" s="2" customFormat="1" ht="17.25" customHeight="1" x14ac:dyDescent="0.2">
      <c r="A30" s="24"/>
      <c r="B30" s="201" t="s">
        <v>254</v>
      </c>
      <c r="C30" s="203"/>
      <c r="D30" s="64"/>
      <c r="E30" s="64">
        <v>-244.4</v>
      </c>
      <c r="F30" s="64"/>
      <c r="G30" s="64"/>
      <c r="H30" s="64"/>
      <c r="I30" s="64"/>
      <c r="J30" s="64"/>
      <c r="K30" s="57"/>
      <c r="L30" s="88"/>
      <c r="M30" s="62"/>
      <c r="N30" s="57"/>
      <c r="O30" s="88"/>
      <c r="P30" s="62"/>
      <c r="Q30" s="39"/>
      <c r="R30" s="39"/>
      <c r="S30" s="39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34"/>
      <c r="AQ30" s="10"/>
      <c r="AR30" s="11"/>
    </row>
    <row r="31" spans="1:46" s="2" customFormat="1" ht="17.25" customHeight="1" x14ac:dyDescent="0.2">
      <c r="A31" s="24"/>
      <c r="B31" s="205" t="s">
        <v>263</v>
      </c>
      <c r="C31" s="206"/>
      <c r="D31" s="64"/>
      <c r="E31" s="64">
        <v>-1671</v>
      </c>
      <c r="F31" s="64"/>
      <c r="G31" s="64"/>
      <c r="H31" s="64"/>
      <c r="I31" s="64"/>
      <c r="J31" s="64"/>
      <c r="K31" s="57"/>
      <c r="L31" s="88"/>
      <c r="M31" s="62"/>
      <c r="N31" s="57"/>
      <c r="O31" s="88"/>
      <c r="P31" s="62"/>
      <c r="Q31" s="39">
        <f>-E31</f>
        <v>1671</v>
      </c>
      <c r="R31" s="39"/>
      <c r="S31" s="39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34"/>
      <c r="AQ31" s="10"/>
      <c r="AR31" s="11"/>
    </row>
    <row r="32" spans="1:46" s="2" customFormat="1" ht="17.25" customHeight="1" x14ac:dyDescent="0.2">
      <c r="A32" s="24"/>
      <c r="B32" s="201"/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39"/>
      <c r="R32" s="39"/>
      <c r="S32" s="39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34"/>
      <c r="AQ32" s="10"/>
      <c r="AR32" s="11"/>
    </row>
    <row r="33" spans="1:46" s="2" customFormat="1" ht="17.25" customHeight="1" x14ac:dyDescent="0.2">
      <c r="A33" s="24"/>
      <c r="B33" s="201"/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39"/>
      <c r="R33" s="39"/>
      <c r="S33" s="39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34"/>
      <c r="AQ33" s="10"/>
      <c r="AR33" s="11"/>
    </row>
    <row r="34" spans="1:46" s="4" customFormat="1" ht="17.25" customHeight="1" thickBot="1" x14ac:dyDescent="0.3">
      <c r="A34" s="24"/>
      <c r="B34" s="246"/>
      <c r="C34" s="246"/>
      <c r="D34" s="81"/>
      <c r="E34" s="81"/>
      <c r="F34" s="81"/>
      <c r="G34" s="81"/>
      <c r="H34" s="81"/>
      <c r="I34" s="81"/>
      <c r="J34" s="81"/>
      <c r="K34" s="59"/>
      <c r="L34" s="90"/>
      <c r="M34" s="136"/>
      <c r="N34" s="59"/>
      <c r="O34" s="90"/>
      <c r="P34" s="136"/>
      <c r="Q34" s="39"/>
      <c r="R34" s="39"/>
      <c r="S34" s="39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22"/>
      <c r="AO34" s="43"/>
      <c r="AP34" s="12" t="e">
        <f>#REF!</f>
        <v>#REF!</v>
      </c>
      <c r="AT34" s="2"/>
    </row>
    <row r="35" spans="1:46" s="4" customFormat="1" ht="17.25" customHeight="1" x14ac:dyDescent="0.25">
      <c r="A35" s="23"/>
      <c r="B35" s="212" t="s">
        <v>94</v>
      </c>
      <c r="C35" s="212"/>
      <c r="D35" s="66"/>
      <c r="E35" s="66"/>
      <c r="F35" s="117"/>
      <c r="G35" s="117"/>
      <c r="H35" s="66"/>
      <c r="I35" s="66"/>
      <c r="J35" s="66">
        <f>-M35</f>
        <v>7610.8499999999995</v>
      </c>
      <c r="K35" s="58">
        <v>-1301</v>
      </c>
      <c r="L35" s="89">
        <v>5.85</v>
      </c>
      <c r="M35" s="73">
        <f>K35*L35</f>
        <v>-7610.8499999999995</v>
      </c>
      <c r="N35" s="58"/>
      <c r="O35" s="89"/>
      <c r="P35" s="73"/>
      <c r="Q35" s="39"/>
      <c r="R35" s="39"/>
      <c r="S35" s="8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35"/>
      <c r="AP35" s="12" t="e">
        <f>#REF!</f>
        <v>#REF!</v>
      </c>
    </row>
    <row r="36" spans="1:46" s="4" customFormat="1" ht="17.25" customHeight="1" x14ac:dyDescent="0.25">
      <c r="A36" s="24"/>
      <c r="B36" s="207" t="s">
        <v>95</v>
      </c>
      <c r="C36" s="207"/>
      <c r="D36" s="64"/>
      <c r="E36" s="64"/>
      <c r="F36" s="117"/>
      <c r="G36" s="117"/>
      <c r="H36" s="64"/>
      <c r="I36" s="64"/>
      <c r="J36" s="64">
        <f>-P36</f>
        <v>7260.87</v>
      </c>
      <c r="K36" s="57"/>
      <c r="L36" s="88"/>
      <c r="M36" s="62"/>
      <c r="N36" s="57">
        <v>-1857</v>
      </c>
      <c r="O36" s="88">
        <v>3.91</v>
      </c>
      <c r="P36" s="62">
        <f>N36*O36</f>
        <v>-7260.87</v>
      </c>
      <c r="Q36" s="39"/>
      <c r="R36" s="39"/>
      <c r="S36" s="8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35"/>
      <c r="AP36" s="12" t="e">
        <f>#REF!</f>
        <v>#REF!</v>
      </c>
    </row>
    <row r="37" spans="1:46" s="4" customFormat="1" ht="17.25" customHeight="1" x14ac:dyDescent="0.25">
      <c r="A37" s="24"/>
      <c r="B37" s="207" t="s">
        <v>97</v>
      </c>
      <c r="C37" s="207"/>
      <c r="D37" s="64"/>
      <c r="E37" s="64"/>
      <c r="F37" s="64"/>
      <c r="G37" s="64"/>
      <c r="H37" s="64">
        <f>-J37-I37</f>
        <v>4787.2699999999986</v>
      </c>
      <c r="I37" s="64">
        <v>10084.450000000001</v>
      </c>
      <c r="J37" s="64">
        <f>-SUM(J35:J36)</f>
        <v>-14871.72</v>
      </c>
      <c r="K37" s="57"/>
      <c r="L37" s="88"/>
      <c r="M37" s="62"/>
      <c r="N37" s="57"/>
      <c r="O37" s="88"/>
      <c r="P37" s="62"/>
      <c r="Q37" s="39"/>
      <c r="R37" s="39"/>
      <c r="S37" s="39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22"/>
      <c r="AO37" s="43"/>
      <c r="AP37" s="12" t="e">
        <f>#REF!</f>
        <v>#REF!</v>
      </c>
      <c r="AT37" s="2"/>
    </row>
    <row r="38" spans="1:46" s="4" customFormat="1" ht="17.25" customHeight="1" x14ac:dyDescent="0.25">
      <c r="A38" s="24"/>
      <c r="B38" s="207" t="s">
        <v>100</v>
      </c>
      <c r="C38" s="207"/>
      <c r="D38" s="64"/>
      <c r="E38" s="64"/>
      <c r="F38" s="64"/>
      <c r="G38" s="64"/>
      <c r="H38" s="64"/>
      <c r="I38" s="64"/>
      <c r="J38" s="64"/>
      <c r="K38" s="57">
        <v>4</v>
      </c>
      <c r="L38" s="88"/>
      <c r="M38" s="62">
        <f>(K41*L20)-M20-M35</f>
        <v>1070.892414445073</v>
      </c>
      <c r="N38" s="57">
        <v>140</v>
      </c>
      <c r="O38" s="88"/>
      <c r="P38" s="62">
        <f>(N41*O20)-P20-P36</f>
        <v>1072.8138040676022</v>
      </c>
      <c r="Q38" s="39"/>
      <c r="R38" s="39"/>
      <c r="S38" s="39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22"/>
      <c r="AO38" s="43"/>
      <c r="AP38" s="12" t="e">
        <f>#REF!</f>
        <v>#REF!</v>
      </c>
      <c r="AT38" s="2"/>
    </row>
    <row r="39" spans="1:46" s="4" customFormat="1" ht="17.25" customHeight="1" x14ac:dyDescent="0.25">
      <c r="A39" s="24"/>
      <c r="B39" s="201"/>
      <c r="C39" s="202"/>
      <c r="D39" s="64"/>
      <c r="E39" s="64"/>
      <c r="F39" s="117"/>
      <c r="G39" s="117"/>
      <c r="H39" s="64"/>
      <c r="I39" s="64"/>
      <c r="J39" s="64"/>
      <c r="K39" s="16"/>
      <c r="L39" s="92"/>
      <c r="M39" s="64"/>
      <c r="N39" s="16"/>
      <c r="O39" s="92"/>
      <c r="P39" s="64"/>
      <c r="Q39" s="47"/>
      <c r="R39" s="39"/>
      <c r="S39" s="8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43">
        <f>A21</f>
        <v>45993</v>
      </c>
      <c r="AP39" s="12" t="e">
        <f>#REF!</f>
        <v>#REF!</v>
      </c>
    </row>
    <row r="40" spans="1:46" s="4" customFormat="1" ht="17.25" customHeight="1" thickBot="1" x14ac:dyDescent="0.3">
      <c r="A40" s="32"/>
      <c r="B40" s="101" t="s">
        <v>102</v>
      </c>
      <c r="C40" s="102">
        <f>D41+E41+F41+G41+H41+I41+J41+M41+P41</f>
        <v>83623.129540000009</v>
      </c>
      <c r="D40" s="96"/>
      <c r="E40" s="85"/>
      <c r="F40" s="120"/>
      <c r="G40" s="120"/>
      <c r="H40" s="85"/>
      <c r="I40" s="85"/>
      <c r="J40" s="85"/>
      <c r="K40" s="28"/>
      <c r="L40" s="112"/>
      <c r="M40" s="85"/>
      <c r="N40" s="28"/>
      <c r="O40" s="112"/>
      <c r="P40" s="85"/>
      <c r="Q40" s="113"/>
      <c r="R40" s="51"/>
      <c r="S40" s="87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42">
        <f>SUM($Q20:AN40)</f>
        <v>-384550.00000000006</v>
      </c>
      <c r="AP40" s="2"/>
      <c r="AQ40" s="33"/>
      <c r="AR40" s="27"/>
      <c r="AS40" s="2" t="s">
        <v>5</v>
      </c>
    </row>
    <row r="41" spans="1:46" s="2" customFormat="1" ht="17.25" customHeight="1" thickTop="1" thickBot="1" x14ac:dyDescent="0.3">
      <c r="A41" s="103"/>
      <c r="B41" s="104" t="s">
        <v>103</v>
      </c>
      <c r="C41" s="105">
        <f>AO41</f>
        <v>-300926.87046000006</v>
      </c>
      <c r="D41" s="106">
        <f t="shared" ref="D41:K41" si="2">SUM(D20:D40)</f>
        <v>11038.367040000005</v>
      </c>
      <c r="E41" s="107">
        <f t="shared" si="2"/>
        <v>-8223.89</v>
      </c>
      <c r="F41" s="107">
        <f t="shared" si="2"/>
        <v>0</v>
      </c>
      <c r="G41" s="107">
        <f t="shared" si="2"/>
        <v>0</v>
      </c>
      <c r="H41" s="107">
        <f t="shared" si="2"/>
        <v>44201.572500000002</v>
      </c>
      <c r="I41" s="107">
        <f t="shared" si="2"/>
        <v>10084.450000000001</v>
      </c>
      <c r="J41" s="107">
        <f t="shared" si="2"/>
        <v>0</v>
      </c>
      <c r="K41" s="108">
        <f t="shared" si="2"/>
        <v>3992</v>
      </c>
      <c r="L41" s="109">
        <f>M41/K41</f>
        <v>5.0423722444889787</v>
      </c>
      <c r="M41" s="107">
        <f>ROUND(SUM(M20:M40),2)</f>
        <v>20129.150000000001</v>
      </c>
      <c r="N41" s="108">
        <f>SUM(N20:N40)</f>
        <v>1774</v>
      </c>
      <c r="O41" s="114">
        <f>P41/N41</f>
        <v>3.6039909808342725</v>
      </c>
      <c r="P41" s="107">
        <f>ROUND(SUM(P20:P40),2)</f>
        <v>6393.48</v>
      </c>
      <c r="Q41" s="115">
        <f t="shared" ref="Q41:AN41" si="3">SUM(Q20:Q40)</f>
        <v>-425135.23000000004</v>
      </c>
      <c r="R41" s="107">
        <f t="shared" si="3"/>
        <v>50229.299999999996</v>
      </c>
      <c r="S41" s="107">
        <f t="shared" si="3"/>
        <v>0</v>
      </c>
      <c r="T41" s="107">
        <f t="shared" si="3"/>
        <v>-9644.07</v>
      </c>
      <c r="U41" s="107">
        <f t="shared" si="3"/>
        <v>0</v>
      </c>
      <c r="V41" s="107">
        <f t="shared" si="3"/>
        <v>0</v>
      </c>
      <c r="W41" s="107">
        <f t="shared" si="3"/>
        <v>0</v>
      </c>
      <c r="X41" s="107">
        <f t="shared" si="3"/>
        <v>0</v>
      </c>
      <c r="Y41" s="107">
        <f t="shared" si="3"/>
        <v>0</v>
      </c>
      <c r="Z41" s="107">
        <f t="shared" si="3"/>
        <v>0</v>
      </c>
      <c r="AA41" s="107">
        <f t="shared" si="3"/>
        <v>0</v>
      </c>
      <c r="AB41" s="107">
        <f t="shared" si="3"/>
        <v>0</v>
      </c>
      <c r="AC41" s="107">
        <f t="shared" si="3"/>
        <v>0</v>
      </c>
      <c r="AD41" s="107">
        <f t="shared" si="3"/>
        <v>0</v>
      </c>
      <c r="AE41" s="107">
        <f t="shared" si="3"/>
        <v>0</v>
      </c>
      <c r="AF41" s="107">
        <f t="shared" si="3"/>
        <v>0</v>
      </c>
      <c r="AG41" s="107">
        <f t="shared" si="3"/>
        <v>0</v>
      </c>
      <c r="AH41" s="107">
        <f t="shared" si="3"/>
        <v>0</v>
      </c>
      <c r="AI41" s="107">
        <f t="shared" si="3"/>
        <v>0</v>
      </c>
      <c r="AJ41" s="107">
        <f t="shared" si="3"/>
        <v>0</v>
      </c>
      <c r="AK41" s="107">
        <f t="shared" si="3"/>
        <v>0</v>
      </c>
      <c r="AL41" s="107">
        <f t="shared" si="3"/>
        <v>0</v>
      </c>
      <c r="AM41" s="107">
        <f t="shared" si="3"/>
        <v>0</v>
      </c>
      <c r="AN41" s="107">
        <f t="shared" si="3"/>
        <v>0</v>
      </c>
      <c r="AO41" s="111">
        <f>D41+E41+F41+G41+H41+I41+J41+M41+P41+SUM(Q41:AN41)</f>
        <v>-300926.87046000006</v>
      </c>
      <c r="AP41" s="4"/>
      <c r="AQ41" s="5"/>
      <c r="AR41" s="5"/>
      <c r="AS41" s="2" t="s">
        <v>6</v>
      </c>
    </row>
    <row r="42" spans="1:46" s="2" customFormat="1" ht="17.25" customHeight="1" thickTop="1" x14ac:dyDescent="0.25">
      <c r="A42" s="23">
        <f>A21+1</f>
        <v>45994</v>
      </c>
      <c r="B42" s="210" t="s">
        <v>64</v>
      </c>
      <c r="C42" s="203"/>
      <c r="D42" s="63">
        <v>9833.36</v>
      </c>
      <c r="E42" s="66"/>
      <c r="F42" s="66"/>
      <c r="G42" s="66"/>
      <c r="H42" s="66"/>
      <c r="I42" s="66">
        <f>-D42</f>
        <v>-9833.36</v>
      </c>
      <c r="J42" s="66"/>
      <c r="K42" s="18"/>
      <c r="L42" s="91"/>
      <c r="M42" s="66"/>
      <c r="N42" s="18"/>
      <c r="O42" s="91"/>
      <c r="P42" s="66"/>
      <c r="Q42" s="46"/>
      <c r="R42" s="46"/>
      <c r="S42" s="45"/>
      <c r="T42" s="18"/>
      <c r="U42" s="18"/>
      <c r="V42" s="18"/>
      <c r="W42" s="18"/>
      <c r="X42" s="18"/>
      <c r="Y42" s="14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7"/>
      <c r="AO42" s="13"/>
      <c r="AQ42" s="10"/>
      <c r="AR42" s="27"/>
    </row>
    <row r="43" spans="1:46" s="4" customFormat="1" ht="17.25" customHeight="1" x14ac:dyDescent="0.25">
      <c r="A43" s="23"/>
      <c r="B43" s="201" t="s">
        <v>96</v>
      </c>
      <c r="C43" s="202"/>
      <c r="D43" s="63"/>
      <c r="E43" s="64"/>
      <c r="F43" s="64"/>
      <c r="G43" s="64"/>
      <c r="H43" s="64"/>
      <c r="I43" s="64">
        <f>-I41-I42</f>
        <v>-251.09000000000015</v>
      </c>
      <c r="J43" s="64"/>
      <c r="K43" s="16"/>
      <c r="L43" s="92"/>
      <c r="M43" s="64"/>
      <c r="N43" s="16"/>
      <c r="O43" s="92"/>
      <c r="P43" s="64"/>
      <c r="Q43" s="40"/>
      <c r="R43" s="46"/>
      <c r="S43" s="39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22"/>
      <c r="AP43" s="30"/>
    </row>
    <row r="44" spans="1:46" s="2" customFormat="1" ht="17.25" customHeight="1" x14ac:dyDescent="0.25">
      <c r="A44" s="29"/>
      <c r="B44" s="201" t="s">
        <v>274</v>
      </c>
      <c r="C44" s="202"/>
      <c r="D44" s="63">
        <v>31000</v>
      </c>
      <c r="E44" s="64">
        <f>-D44</f>
        <v>-31000</v>
      </c>
      <c r="F44" s="64"/>
      <c r="G44" s="64"/>
      <c r="H44" s="64"/>
      <c r="I44" s="64"/>
      <c r="J44" s="64"/>
      <c r="K44" s="57"/>
      <c r="L44" s="88"/>
      <c r="M44" s="62"/>
      <c r="N44" s="57"/>
      <c r="O44" s="88"/>
      <c r="P44" s="62"/>
      <c r="Q44" s="47"/>
      <c r="R44" s="39"/>
      <c r="S44" s="39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22"/>
      <c r="AQ44" s="10" t="s">
        <v>4</v>
      </c>
      <c r="AR44" s="11" t="e">
        <v>#REF!</v>
      </c>
    </row>
    <row r="45" spans="1:46" s="2" customFormat="1" ht="17.25" customHeight="1" x14ac:dyDescent="0.25">
      <c r="A45" s="29"/>
      <c r="B45" s="201" t="s">
        <v>303</v>
      </c>
      <c r="C45" s="202"/>
      <c r="D45" s="63">
        <v>-248</v>
      </c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47"/>
      <c r="R45" s="39"/>
      <c r="S45" s="39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22"/>
      <c r="AQ45" s="10" t="s">
        <v>4</v>
      </c>
      <c r="AR45" s="11" t="e">
        <v>#REF!</v>
      </c>
    </row>
    <row r="46" spans="1:46" s="4" customFormat="1" ht="17.25" customHeight="1" x14ac:dyDescent="0.25">
      <c r="A46" s="23"/>
      <c r="B46" s="201" t="s">
        <v>13</v>
      </c>
      <c r="C46" s="203"/>
      <c r="D46" s="63"/>
      <c r="E46" s="64">
        <f>-E41-37567.49+31000</f>
        <v>1656.4000000000015</v>
      </c>
      <c r="F46" s="64"/>
      <c r="G46" s="64"/>
      <c r="H46" s="64">
        <f>-E46</f>
        <v>-1656.4000000000015</v>
      </c>
      <c r="I46" s="66"/>
      <c r="J46" s="64"/>
      <c r="K46" s="16"/>
      <c r="L46" s="92"/>
      <c r="M46" s="64"/>
      <c r="N46" s="16"/>
      <c r="O46" s="92"/>
      <c r="P46" s="64"/>
      <c r="Q46" s="40"/>
      <c r="R46" s="46">
        <f>-D46</f>
        <v>0</v>
      </c>
      <c r="S46" s="39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22"/>
      <c r="AP46" s="30"/>
    </row>
    <row r="47" spans="1:46" s="2" customFormat="1" ht="17.25" customHeight="1" x14ac:dyDescent="0.25">
      <c r="A47" s="24"/>
      <c r="B47" s="201" t="s">
        <v>14</v>
      </c>
      <c r="C47" s="203"/>
      <c r="D47" s="63"/>
      <c r="E47" s="64"/>
      <c r="F47" s="64"/>
      <c r="G47" s="64"/>
      <c r="H47" s="64"/>
      <c r="I47" s="64"/>
      <c r="J47" s="64"/>
      <c r="K47" s="16"/>
      <c r="L47" s="92"/>
      <c r="M47" s="64"/>
      <c r="N47" s="16"/>
      <c r="O47" s="92"/>
      <c r="P47" s="64"/>
      <c r="Q47" s="40"/>
      <c r="R47" s="40"/>
      <c r="S47" s="39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22"/>
      <c r="AQ47" s="10"/>
      <c r="AR47" s="11"/>
    </row>
    <row r="48" spans="1:46" s="2" customFormat="1" ht="17.25" customHeight="1" x14ac:dyDescent="0.25">
      <c r="A48" s="24"/>
      <c r="B48" s="201" t="s">
        <v>177</v>
      </c>
      <c r="C48" s="203"/>
      <c r="D48" s="63"/>
      <c r="E48" s="64"/>
      <c r="F48" s="64"/>
      <c r="G48" s="64"/>
      <c r="H48" s="64"/>
      <c r="I48" s="64"/>
      <c r="J48" s="64"/>
      <c r="K48" s="16"/>
      <c r="L48" s="92"/>
      <c r="M48" s="64"/>
      <c r="N48" s="16"/>
      <c r="O48" s="92"/>
      <c r="P48" s="64"/>
      <c r="Q48" s="39"/>
      <c r="R48" s="39"/>
      <c r="S48" s="39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22"/>
      <c r="AQ48" s="10"/>
      <c r="AR48" s="11"/>
    </row>
    <row r="49" spans="1:46" s="2" customFormat="1" ht="17.25" customHeight="1" x14ac:dyDescent="0.25">
      <c r="A49" s="24"/>
      <c r="B49" s="201" t="s">
        <v>178</v>
      </c>
      <c r="C49" s="203"/>
      <c r="D49" s="119"/>
      <c r="E49" s="64"/>
      <c r="F49" s="64"/>
      <c r="G49" s="64"/>
      <c r="H49" s="64"/>
      <c r="I49" s="64"/>
      <c r="J49" s="64"/>
      <c r="K49" s="16"/>
      <c r="L49" s="92"/>
      <c r="M49" s="64"/>
      <c r="N49" s="16"/>
      <c r="O49" s="92"/>
      <c r="P49" s="64"/>
      <c r="Q49" s="39"/>
      <c r="R49" s="39"/>
      <c r="S49" s="39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22"/>
      <c r="AQ49" s="10"/>
      <c r="AR49" s="11"/>
    </row>
    <row r="50" spans="1:46" s="2" customFormat="1" ht="17.25" customHeight="1" x14ac:dyDescent="0.25">
      <c r="A50" s="24"/>
      <c r="B50" s="205" t="s">
        <v>307</v>
      </c>
      <c r="C50" s="206"/>
      <c r="D50" s="64">
        <f>-M50</f>
        <v>-50599.999999999993</v>
      </c>
      <c r="E50" s="64"/>
      <c r="F50" s="64"/>
      <c r="G50" s="64"/>
      <c r="H50" s="64"/>
      <c r="I50" s="64"/>
      <c r="J50" s="64"/>
      <c r="K50" s="57">
        <v>10000</v>
      </c>
      <c r="L50" s="88">
        <v>5.0599999999999996</v>
      </c>
      <c r="M50" s="62">
        <f>K50*L50</f>
        <v>50599.999999999993</v>
      </c>
      <c r="N50" s="57"/>
      <c r="O50" s="88"/>
      <c r="P50" s="62"/>
      <c r="Q50" s="39"/>
      <c r="R50" s="39"/>
      <c r="S50" s="39"/>
      <c r="T50" s="16"/>
      <c r="U50" s="16">
        <f>-P50</f>
        <v>0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22"/>
      <c r="AQ50" s="10"/>
      <c r="AR50" s="11"/>
    </row>
    <row r="51" spans="1:46" s="2" customFormat="1" ht="17.25" customHeight="1" x14ac:dyDescent="0.25">
      <c r="A51" s="24"/>
      <c r="B51" s="205" t="s">
        <v>348</v>
      </c>
      <c r="C51" s="206"/>
      <c r="D51" s="64">
        <f>-M51</f>
        <v>0</v>
      </c>
      <c r="E51" s="64"/>
      <c r="F51" s="64"/>
      <c r="G51" s="64"/>
      <c r="H51" s="64"/>
      <c r="I51" s="64"/>
      <c r="J51" s="64"/>
      <c r="K51" s="57"/>
      <c r="L51" s="88"/>
      <c r="M51" s="62"/>
      <c r="N51" s="57">
        <v>10000</v>
      </c>
      <c r="O51" s="88">
        <v>3.66</v>
      </c>
      <c r="P51" s="62">
        <f>N51*O51</f>
        <v>36600</v>
      </c>
      <c r="Q51" s="39"/>
      <c r="R51" s="39"/>
      <c r="S51" s="39"/>
      <c r="T51" s="16"/>
      <c r="U51" s="16"/>
      <c r="V51" s="16">
        <f>-P51</f>
        <v>-36600</v>
      </c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22"/>
      <c r="AQ51" s="10"/>
      <c r="AR51" s="11"/>
    </row>
    <row r="52" spans="1:46" s="2" customFormat="1" ht="17.25" customHeight="1" x14ac:dyDescent="0.25">
      <c r="A52" s="29"/>
      <c r="B52" s="201" t="s">
        <v>276</v>
      </c>
      <c r="C52" s="202"/>
      <c r="D52" s="63">
        <v>-4.9000000000000004</v>
      </c>
      <c r="E52" s="64"/>
      <c r="F52" s="64"/>
      <c r="G52" s="64"/>
      <c r="H52" s="64"/>
      <c r="I52" s="64"/>
      <c r="J52" s="64"/>
      <c r="K52" s="57"/>
      <c r="L52" s="88"/>
      <c r="M52" s="62"/>
      <c r="N52" s="57"/>
      <c r="O52" s="88"/>
      <c r="P52" s="62"/>
      <c r="Q52" s="47"/>
      <c r="R52" s="39"/>
      <c r="S52" s="39"/>
      <c r="T52" s="16"/>
      <c r="U52" s="16">
        <f>-P52</f>
        <v>0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22"/>
      <c r="AQ52" s="10" t="s">
        <v>4</v>
      </c>
      <c r="AR52" s="11" t="e">
        <v>#REF!</v>
      </c>
    </row>
    <row r="53" spans="1:46" s="4" customFormat="1" ht="17.25" customHeight="1" thickBot="1" x14ac:dyDescent="0.25">
      <c r="A53" s="23"/>
      <c r="B53" s="216"/>
      <c r="C53" s="242"/>
      <c r="D53" s="83"/>
      <c r="E53" s="81"/>
      <c r="F53" s="81"/>
      <c r="G53" s="81"/>
      <c r="H53" s="81"/>
      <c r="I53" s="81"/>
      <c r="J53" s="81"/>
      <c r="K53" s="37"/>
      <c r="L53" s="93"/>
      <c r="M53" s="81"/>
      <c r="N53" s="37"/>
      <c r="O53" s="93"/>
      <c r="P53" s="81"/>
      <c r="Q53" s="46"/>
      <c r="R53" s="46"/>
      <c r="S53" s="39"/>
      <c r="T53" s="16"/>
      <c r="U53" s="16">
        <f>-P53</f>
        <v>0</v>
      </c>
      <c r="V53" s="16"/>
      <c r="W53" s="16"/>
      <c r="X53" s="16"/>
      <c r="Y53" s="19"/>
      <c r="Z53" s="16"/>
      <c r="AA53" s="16"/>
      <c r="AB53" s="16"/>
      <c r="AC53" s="16"/>
      <c r="AD53" s="16"/>
      <c r="AE53" s="16"/>
      <c r="AF53" s="16"/>
      <c r="AG53" s="16"/>
      <c r="AH53" s="16"/>
      <c r="AI53" s="44"/>
      <c r="AJ53" s="16"/>
      <c r="AK53" s="16"/>
      <c r="AL53" s="16"/>
      <c r="AM53" s="16"/>
      <c r="AN53" s="16"/>
      <c r="AO53" s="44"/>
    </row>
    <row r="54" spans="1:46" s="4" customFormat="1" ht="17.25" customHeight="1" x14ac:dyDescent="0.25">
      <c r="A54" s="23"/>
      <c r="B54" s="210" t="s">
        <v>94</v>
      </c>
      <c r="C54" s="203"/>
      <c r="D54" s="66"/>
      <c r="E54" s="66"/>
      <c r="F54" s="117"/>
      <c r="G54" s="117"/>
      <c r="H54" s="66"/>
      <c r="I54" s="66"/>
      <c r="J54" s="66">
        <f>-M54</f>
        <v>8353.7999999999993</v>
      </c>
      <c r="K54" s="58">
        <v>-1428</v>
      </c>
      <c r="L54" s="89">
        <v>5.85</v>
      </c>
      <c r="M54" s="73">
        <f>K54*L54</f>
        <v>-8353.7999999999993</v>
      </c>
      <c r="N54" s="58"/>
      <c r="O54" s="89"/>
      <c r="P54" s="73"/>
      <c r="Q54" s="39"/>
      <c r="R54" s="39"/>
      <c r="S54" s="8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35"/>
      <c r="AP54" s="12" t="e">
        <f>#REF!</f>
        <v>#REF!</v>
      </c>
    </row>
    <row r="55" spans="1:46" s="4" customFormat="1" ht="17.25" customHeight="1" x14ac:dyDescent="0.25">
      <c r="A55" s="23"/>
      <c r="B55" s="201" t="s">
        <v>95</v>
      </c>
      <c r="C55" s="202"/>
      <c r="D55" s="64"/>
      <c r="E55" s="64"/>
      <c r="F55" s="117"/>
      <c r="G55" s="117"/>
      <c r="H55" s="64"/>
      <c r="I55" s="64"/>
      <c r="J55" s="64">
        <f>-P55</f>
        <v>11292.08</v>
      </c>
      <c r="K55" s="57"/>
      <c r="L55" s="88"/>
      <c r="M55" s="62"/>
      <c r="N55" s="57">
        <v>-2888</v>
      </c>
      <c r="O55" s="88">
        <v>3.91</v>
      </c>
      <c r="P55" s="62">
        <f>N55*O55</f>
        <v>-11292.08</v>
      </c>
      <c r="Q55" s="39"/>
      <c r="R55" s="39"/>
      <c r="S55" s="8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35"/>
      <c r="AP55" s="12" t="e">
        <f>#REF!</f>
        <v>#REF!</v>
      </c>
    </row>
    <row r="56" spans="1:46" s="4" customFormat="1" ht="17.25" customHeight="1" x14ac:dyDescent="0.25">
      <c r="A56" s="23"/>
      <c r="B56" s="201" t="s">
        <v>97</v>
      </c>
      <c r="C56" s="203"/>
      <c r="D56" s="64"/>
      <c r="E56" s="64"/>
      <c r="F56" s="64"/>
      <c r="G56" s="64"/>
      <c r="H56" s="64">
        <f>-J56-I56</f>
        <v>6843.1899999999969</v>
      </c>
      <c r="I56" s="64">
        <v>12802.69</v>
      </c>
      <c r="J56" s="64">
        <f>-SUM(J54:J55)</f>
        <v>-19645.879999999997</v>
      </c>
      <c r="K56" s="57"/>
      <c r="L56" s="88"/>
      <c r="M56" s="62"/>
      <c r="N56" s="57"/>
      <c r="O56" s="88"/>
      <c r="P56" s="62"/>
      <c r="Q56" s="39"/>
      <c r="R56" s="39"/>
      <c r="S56" s="39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22"/>
      <c r="AO56" s="43">
        <f>A23</f>
        <v>0</v>
      </c>
      <c r="AP56" s="12" t="e">
        <f>#REF!</f>
        <v>#REF!</v>
      </c>
      <c r="AT56" s="2"/>
    </row>
    <row r="57" spans="1:46" s="4" customFormat="1" ht="17.25" customHeight="1" x14ac:dyDescent="0.25">
      <c r="A57" s="23"/>
      <c r="B57" s="201" t="s">
        <v>93</v>
      </c>
      <c r="C57" s="202"/>
      <c r="D57" s="64"/>
      <c r="E57" s="64"/>
      <c r="F57" s="64"/>
      <c r="G57" s="64"/>
      <c r="H57" s="64"/>
      <c r="I57" s="64"/>
      <c r="J57" s="64"/>
      <c r="K57" s="57">
        <v>58</v>
      </c>
      <c r="L57" s="88"/>
      <c r="M57" s="62">
        <f>(K60*((M41+M50)/(K41+K50)))-M41-M54-M50</f>
        <v>1428.4901443682102</v>
      </c>
      <c r="N57" s="57">
        <v>-36</v>
      </c>
      <c r="O57" s="88"/>
      <c r="P57" s="62">
        <f>(N60*((P41+P51)/(N41+N51)))-P41-P55-P51</f>
        <v>614.91544080176391</v>
      </c>
      <c r="Q57" s="39"/>
      <c r="R57" s="39"/>
      <c r="S57" s="39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22"/>
      <c r="AO57" s="43">
        <f>A22</f>
        <v>0</v>
      </c>
      <c r="AP57" s="12" t="e">
        <f>#REF!</f>
        <v>#REF!</v>
      </c>
      <c r="AT57" s="2"/>
    </row>
    <row r="58" spans="1:46" s="4" customFormat="1" ht="17.25" customHeight="1" x14ac:dyDescent="0.2">
      <c r="A58" s="23"/>
      <c r="B58" s="201"/>
      <c r="C58" s="202"/>
      <c r="D58" s="63"/>
      <c r="E58" s="64"/>
      <c r="F58" s="64"/>
      <c r="G58" s="64"/>
      <c r="H58" s="64"/>
      <c r="I58" s="64"/>
      <c r="J58" s="64"/>
      <c r="K58" s="16"/>
      <c r="L58" s="92"/>
      <c r="M58" s="64"/>
      <c r="N58" s="16"/>
      <c r="O58" s="92"/>
      <c r="P58" s="64"/>
      <c r="Q58" s="46"/>
      <c r="R58" s="46"/>
      <c r="S58" s="39"/>
      <c r="T58" s="16"/>
      <c r="U58" s="16"/>
      <c r="V58" s="16"/>
      <c r="W58" s="16"/>
      <c r="X58" s="16"/>
      <c r="Y58" s="19"/>
      <c r="Z58" s="16"/>
      <c r="AA58" s="16"/>
      <c r="AB58" s="16"/>
      <c r="AC58" s="16"/>
      <c r="AD58" s="16"/>
      <c r="AE58" s="16"/>
      <c r="AF58" s="16"/>
      <c r="AG58" s="16"/>
      <c r="AH58" s="16"/>
      <c r="AI58" s="44"/>
      <c r="AJ58" s="16"/>
      <c r="AK58" s="16"/>
      <c r="AL58" s="16"/>
      <c r="AM58" s="16"/>
      <c r="AN58" s="16"/>
      <c r="AO58" s="44"/>
    </row>
    <row r="59" spans="1:46" s="2" customFormat="1" ht="17.25" customHeight="1" thickBot="1" x14ac:dyDescent="0.3">
      <c r="A59" s="32"/>
      <c r="B59" s="101" t="s">
        <v>102</v>
      </c>
      <c r="C59" s="102">
        <f>D60+E60+F60+G60+H60+I60+J60+M60+P60</f>
        <v>121762.54954000001</v>
      </c>
      <c r="D59" s="96"/>
      <c r="E59" s="85"/>
      <c r="F59" s="85"/>
      <c r="G59" s="85"/>
      <c r="H59" s="85"/>
      <c r="I59" s="85"/>
      <c r="J59" s="85"/>
      <c r="K59" s="28"/>
      <c r="L59" s="112"/>
      <c r="M59" s="85"/>
      <c r="N59" s="28"/>
      <c r="O59" s="112"/>
      <c r="P59" s="85"/>
      <c r="Q59" s="113"/>
      <c r="R59" s="51"/>
      <c r="S59" s="51"/>
      <c r="T59" s="28"/>
      <c r="U59" s="28"/>
      <c r="V59" s="28"/>
      <c r="W59" s="3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100"/>
      <c r="AO59" s="42">
        <f>SUM($Q41:AN59)</f>
        <v>-421150.00000000006</v>
      </c>
      <c r="AQ59" s="33"/>
      <c r="AR59" s="27"/>
      <c r="AS59" s="2" t="s">
        <v>5</v>
      </c>
    </row>
    <row r="60" spans="1:46" s="2" customFormat="1" ht="17.25" customHeight="1" thickTop="1" thickBot="1" x14ac:dyDescent="0.3">
      <c r="A60" s="103"/>
      <c r="B60" s="104" t="s">
        <v>103</v>
      </c>
      <c r="C60" s="105">
        <f>AO60</f>
        <v>-299387.45046000008</v>
      </c>
      <c r="D60" s="106">
        <f t="shared" ref="D60:K60" si="4">SUM(D41:D59)</f>
        <v>1018.8270400000125</v>
      </c>
      <c r="E60" s="107">
        <f t="shared" si="4"/>
        <v>-37567.49</v>
      </c>
      <c r="F60" s="107">
        <f t="shared" si="4"/>
        <v>0</v>
      </c>
      <c r="G60" s="107">
        <f t="shared" si="4"/>
        <v>0</v>
      </c>
      <c r="H60" s="107">
        <f t="shared" si="4"/>
        <v>49388.362499999996</v>
      </c>
      <c r="I60" s="107">
        <f t="shared" si="4"/>
        <v>12802.69</v>
      </c>
      <c r="J60" s="107">
        <f t="shared" si="4"/>
        <v>0</v>
      </c>
      <c r="K60" s="108">
        <f t="shared" si="4"/>
        <v>12622</v>
      </c>
      <c r="L60" s="109">
        <f>M60/K60</f>
        <v>5.0549706861036281</v>
      </c>
      <c r="M60" s="107">
        <f>ROUND(SUM(M41:M59),2)</f>
        <v>63803.839999999997</v>
      </c>
      <c r="N60" s="108">
        <f>SUM(N41:N59)</f>
        <v>8850</v>
      </c>
      <c r="O60" s="109">
        <f>P60/N60</f>
        <v>3.651561581920904</v>
      </c>
      <c r="P60" s="107">
        <f>ROUND(SUM(P41:P59),2)</f>
        <v>32316.32</v>
      </c>
      <c r="Q60" s="115">
        <f t="shared" ref="Q60:AN60" si="5">SUM(Q41:Q59)</f>
        <v>-425135.23000000004</v>
      </c>
      <c r="R60" s="107">
        <f t="shared" si="5"/>
        <v>50229.299999999996</v>
      </c>
      <c r="S60" s="107">
        <f t="shared" si="5"/>
        <v>0</v>
      </c>
      <c r="T60" s="107">
        <f t="shared" si="5"/>
        <v>-9644.07</v>
      </c>
      <c r="U60" s="107">
        <f t="shared" si="5"/>
        <v>0</v>
      </c>
      <c r="V60" s="107">
        <f t="shared" si="5"/>
        <v>-36600</v>
      </c>
      <c r="W60" s="107">
        <f t="shared" si="5"/>
        <v>0</v>
      </c>
      <c r="X60" s="107">
        <f t="shared" si="5"/>
        <v>0</v>
      </c>
      <c r="Y60" s="107">
        <f t="shared" si="5"/>
        <v>0</v>
      </c>
      <c r="Z60" s="107">
        <f t="shared" si="5"/>
        <v>0</v>
      </c>
      <c r="AA60" s="107">
        <f t="shared" si="5"/>
        <v>0</v>
      </c>
      <c r="AB60" s="107">
        <f t="shared" si="5"/>
        <v>0</v>
      </c>
      <c r="AC60" s="107">
        <f t="shared" si="5"/>
        <v>0</v>
      </c>
      <c r="AD60" s="107">
        <f t="shared" si="5"/>
        <v>0</v>
      </c>
      <c r="AE60" s="107">
        <f t="shared" si="5"/>
        <v>0</v>
      </c>
      <c r="AF60" s="107">
        <f t="shared" si="5"/>
        <v>0</v>
      </c>
      <c r="AG60" s="107">
        <f t="shared" si="5"/>
        <v>0</v>
      </c>
      <c r="AH60" s="107">
        <f t="shared" si="5"/>
        <v>0</v>
      </c>
      <c r="AI60" s="107">
        <f t="shared" si="5"/>
        <v>0</v>
      </c>
      <c r="AJ60" s="107">
        <f t="shared" si="5"/>
        <v>0</v>
      </c>
      <c r="AK60" s="107">
        <f t="shared" si="5"/>
        <v>0</v>
      </c>
      <c r="AL60" s="107">
        <f t="shared" si="5"/>
        <v>0</v>
      </c>
      <c r="AM60" s="107">
        <f t="shared" si="5"/>
        <v>0</v>
      </c>
      <c r="AN60" s="107">
        <f t="shared" si="5"/>
        <v>0</v>
      </c>
      <c r="AO60" s="111">
        <f>D60+E60+F60+G60+H60+I60+J60+M60+P60+SUM(Q60:AN60)</f>
        <v>-299387.45046000008</v>
      </c>
      <c r="AP60" s="4"/>
      <c r="AQ60" s="5"/>
      <c r="AR60" s="5"/>
      <c r="AS60" s="2" t="s">
        <v>6</v>
      </c>
    </row>
    <row r="61" spans="1:46" s="2" customFormat="1" ht="17.25" customHeight="1" thickTop="1" x14ac:dyDescent="0.25">
      <c r="A61" s="23">
        <f>A42+1</f>
        <v>45995</v>
      </c>
      <c r="B61" s="201" t="s">
        <v>64</v>
      </c>
      <c r="C61" s="203"/>
      <c r="D61" s="63">
        <v>12501.48</v>
      </c>
      <c r="E61" s="64"/>
      <c r="F61" s="64"/>
      <c r="G61" s="64"/>
      <c r="H61" s="64"/>
      <c r="I61" s="64">
        <f>-D61</f>
        <v>-12501.48</v>
      </c>
      <c r="J61" s="66"/>
      <c r="K61" s="18"/>
      <c r="L61" s="91"/>
      <c r="M61" s="66"/>
      <c r="N61" s="18"/>
      <c r="O61" s="91"/>
      <c r="P61" s="66"/>
      <c r="Q61" s="46"/>
      <c r="R61" s="46"/>
      <c r="S61" s="45"/>
      <c r="T61" s="18"/>
      <c r="U61" s="18"/>
      <c r="V61" s="18"/>
      <c r="W61" s="18"/>
      <c r="X61" s="18"/>
      <c r="Y61" s="14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7"/>
      <c r="AO61" s="31"/>
      <c r="AQ61" s="10"/>
      <c r="AR61" s="27"/>
    </row>
    <row r="62" spans="1:46" s="2" customFormat="1" ht="17.25" customHeight="1" x14ac:dyDescent="0.25">
      <c r="A62" s="24"/>
      <c r="B62" s="201" t="s">
        <v>96</v>
      </c>
      <c r="C62" s="202"/>
      <c r="D62" s="63"/>
      <c r="E62" s="64"/>
      <c r="F62" s="64"/>
      <c r="G62" s="64"/>
      <c r="H62" s="64"/>
      <c r="I62" s="64">
        <f>-I60-I61</f>
        <v>-301.21000000000095</v>
      </c>
      <c r="J62" s="64"/>
      <c r="K62" s="16"/>
      <c r="L62" s="92"/>
      <c r="M62" s="64"/>
      <c r="N62" s="16"/>
      <c r="O62" s="92"/>
      <c r="P62" s="64"/>
      <c r="Q62" s="46"/>
      <c r="R62" s="40"/>
      <c r="S62" s="39"/>
      <c r="T62" s="16"/>
      <c r="U62" s="16"/>
      <c r="V62" s="16"/>
      <c r="W62" s="16"/>
      <c r="X62" s="16"/>
      <c r="Y62" s="19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22"/>
      <c r="AQ62" s="10"/>
      <c r="AR62" s="11"/>
    </row>
    <row r="63" spans="1:46" s="4" customFormat="1" ht="17.25" customHeight="1" x14ac:dyDescent="0.25">
      <c r="A63" s="23"/>
      <c r="B63" s="201" t="s">
        <v>13</v>
      </c>
      <c r="C63" s="203"/>
      <c r="D63" s="63"/>
      <c r="E63" s="64">
        <f>104+52+1462+1980+67+974+100+1000+15+40+150+9+60</f>
        <v>6013</v>
      </c>
      <c r="F63" s="64"/>
      <c r="G63" s="64"/>
      <c r="H63" s="64">
        <f>-E63</f>
        <v>-6013</v>
      </c>
      <c r="I63" s="66"/>
      <c r="J63" s="64"/>
      <c r="K63" s="16"/>
      <c r="L63" s="92"/>
      <c r="M63" s="64"/>
      <c r="N63" s="16"/>
      <c r="O63" s="92"/>
      <c r="P63" s="64"/>
      <c r="Q63" s="40"/>
      <c r="R63" s="46">
        <f>-D63</f>
        <v>0</v>
      </c>
      <c r="S63" s="39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22"/>
      <c r="AP63" s="30"/>
    </row>
    <row r="64" spans="1:46" s="2" customFormat="1" ht="17.25" customHeight="1" x14ac:dyDescent="0.25">
      <c r="A64" s="29"/>
      <c r="B64" s="201"/>
      <c r="C64" s="202"/>
      <c r="D64" s="63"/>
      <c r="E64" s="64"/>
      <c r="F64" s="64"/>
      <c r="G64" s="64"/>
      <c r="H64" s="64"/>
      <c r="I64" s="64"/>
      <c r="J64" s="64"/>
      <c r="K64" s="57"/>
      <c r="L64" s="88"/>
      <c r="M64" s="62"/>
      <c r="N64" s="57"/>
      <c r="O64" s="88"/>
      <c r="P64" s="62"/>
      <c r="Q64" s="47"/>
      <c r="R64" s="39"/>
      <c r="S64" s="39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22"/>
      <c r="AQ64" s="10"/>
      <c r="AR64" s="11"/>
    </row>
    <row r="65" spans="1:46" s="4" customFormat="1" ht="17.25" customHeight="1" thickBot="1" x14ac:dyDescent="0.25">
      <c r="A65" s="23"/>
      <c r="B65" s="216"/>
      <c r="C65" s="242"/>
      <c r="D65" s="83"/>
      <c r="E65" s="81"/>
      <c r="F65" s="81"/>
      <c r="G65" s="81"/>
      <c r="H65" s="81"/>
      <c r="I65" s="81"/>
      <c r="J65" s="81"/>
      <c r="K65" s="37"/>
      <c r="L65" s="93"/>
      <c r="M65" s="81"/>
      <c r="N65" s="37"/>
      <c r="O65" s="93"/>
      <c r="P65" s="81"/>
      <c r="Q65" s="46"/>
      <c r="R65" s="46"/>
      <c r="S65" s="39"/>
      <c r="T65" s="16"/>
      <c r="U65" s="16"/>
      <c r="V65" s="16"/>
      <c r="W65" s="16"/>
      <c r="X65" s="16"/>
      <c r="Y65" s="19"/>
      <c r="Z65" s="16"/>
      <c r="AA65" s="16"/>
      <c r="AB65" s="16"/>
      <c r="AC65" s="16"/>
      <c r="AD65" s="16"/>
      <c r="AE65" s="16"/>
      <c r="AF65" s="16"/>
      <c r="AG65" s="16"/>
      <c r="AH65" s="16"/>
      <c r="AI65" s="44"/>
      <c r="AJ65" s="16"/>
      <c r="AK65" s="16"/>
      <c r="AL65" s="16"/>
      <c r="AM65" s="16"/>
      <c r="AN65" s="16"/>
      <c r="AO65" s="44"/>
    </row>
    <row r="66" spans="1:46" s="4" customFormat="1" ht="17.25" customHeight="1" x14ac:dyDescent="0.25">
      <c r="A66" s="23"/>
      <c r="B66" s="210" t="s">
        <v>94</v>
      </c>
      <c r="C66" s="203"/>
      <c r="D66" s="66"/>
      <c r="E66" s="66"/>
      <c r="F66" s="117"/>
      <c r="G66" s="117"/>
      <c r="H66" s="66"/>
      <c r="I66" s="66"/>
      <c r="J66" s="66">
        <f>-M66</f>
        <v>7710.2999999999993</v>
      </c>
      <c r="K66" s="58">
        <v>-1318</v>
      </c>
      <c r="L66" s="89">
        <v>5.85</v>
      </c>
      <c r="M66" s="73">
        <f>K66*L66</f>
        <v>-7710.2999999999993</v>
      </c>
      <c r="N66" s="58"/>
      <c r="O66" s="89"/>
      <c r="P66" s="73"/>
      <c r="Q66" s="39"/>
      <c r="R66" s="39"/>
      <c r="S66" s="8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35"/>
      <c r="AP66" s="12" t="e">
        <f>#REF!</f>
        <v>#REF!</v>
      </c>
    </row>
    <row r="67" spans="1:46" s="4" customFormat="1" ht="17.25" customHeight="1" x14ac:dyDescent="0.25">
      <c r="A67" s="23"/>
      <c r="B67" s="201" t="s">
        <v>95</v>
      </c>
      <c r="C67" s="202"/>
      <c r="D67" s="64"/>
      <c r="E67" s="64"/>
      <c r="F67" s="117"/>
      <c r="G67" s="117"/>
      <c r="H67" s="64"/>
      <c r="I67" s="64"/>
      <c r="J67" s="64">
        <f>-P67</f>
        <v>9446.56</v>
      </c>
      <c r="K67" s="57"/>
      <c r="L67" s="88"/>
      <c r="M67" s="62"/>
      <c r="N67" s="57">
        <v>-2416</v>
      </c>
      <c r="O67" s="88">
        <v>3.91</v>
      </c>
      <c r="P67" s="62">
        <f>N67*O67</f>
        <v>-9446.56</v>
      </c>
      <c r="Q67" s="39"/>
      <c r="R67" s="39"/>
      <c r="S67" s="8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35"/>
      <c r="AP67" s="12" t="e">
        <f>#REF!</f>
        <v>#REF!</v>
      </c>
    </row>
    <row r="68" spans="1:46" s="4" customFormat="1" ht="17.25" customHeight="1" x14ac:dyDescent="0.25">
      <c r="A68" s="23"/>
      <c r="B68" s="201" t="s">
        <v>97</v>
      </c>
      <c r="C68" s="203"/>
      <c r="D68" s="64"/>
      <c r="E68" s="64"/>
      <c r="F68" s="64"/>
      <c r="G68" s="64"/>
      <c r="H68" s="64">
        <f>-J68-I68</f>
        <v>5987.4600000000009</v>
      </c>
      <c r="I68" s="64">
        <v>11169.4</v>
      </c>
      <c r="J68" s="64">
        <f>-SUM(J66:J67)</f>
        <v>-17156.86</v>
      </c>
      <c r="K68" s="57"/>
      <c r="L68" s="88"/>
      <c r="M68" s="62"/>
      <c r="N68" s="57"/>
      <c r="O68" s="88"/>
      <c r="P68" s="62"/>
      <c r="Q68" s="39"/>
      <c r="R68" s="39"/>
      <c r="S68" s="39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22"/>
      <c r="AO68" s="43"/>
      <c r="AP68" s="12" t="e">
        <f>#REF!</f>
        <v>#REF!</v>
      </c>
      <c r="AT68" s="2"/>
    </row>
    <row r="69" spans="1:46" s="4" customFormat="1" ht="17.25" customHeight="1" x14ac:dyDescent="0.25">
      <c r="A69" s="23"/>
      <c r="B69" s="201" t="s">
        <v>93</v>
      </c>
      <c r="C69" s="202"/>
      <c r="D69" s="64"/>
      <c r="E69" s="64"/>
      <c r="F69" s="64"/>
      <c r="G69" s="64"/>
      <c r="H69" s="64"/>
      <c r="I69" s="64"/>
      <c r="J69" s="64"/>
      <c r="K69" s="57">
        <v>-21</v>
      </c>
      <c r="L69" s="88"/>
      <c r="M69" s="62">
        <f>(K72*((M60)/(K60)))-M60-M66</f>
        <v>941.69425130723903</v>
      </c>
      <c r="N69" s="57">
        <v>-138</v>
      </c>
      <c r="O69" s="88"/>
      <c r="P69" s="62">
        <f>(N72*((P60)/(N60)))-P60-P67</f>
        <v>120.47171977401194</v>
      </c>
      <c r="Q69" s="39"/>
      <c r="R69" s="39"/>
      <c r="S69" s="39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22"/>
      <c r="AO69" s="43">
        <f>A41</f>
        <v>0</v>
      </c>
      <c r="AP69" s="12" t="e">
        <f>#REF!</f>
        <v>#REF!</v>
      </c>
      <c r="AT69" s="2"/>
    </row>
    <row r="70" spans="1:46" s="2" customFormat="1" ht="17.25" customHeight="1" x14ac:dyDescent="0.2">
      <c r="A70" s="24"/>
      <c r="B70" s="201"/>
      <c r="C70" s="204"/>
      <c r="D70" s="63"/>
      <c r="E70" s="64"/>
      <c r="F70" s="64"/>
      <c r="G70" s="64"/>
      <c r="H70" s="64"/>
      <c r="I70" s="64"/>
      <c r="J70" s="64"/>
      <c r="K70" s="16"/>
      <c r="L70" s="92"/>
      <c r="M70" s="64"/>
      <c r="N70" s="16"/>
      <c r="O70" s="92"/>
      <c r="P70" s="64"/>
      <c r="Q70" s="46"/>
      <c r="R70" s="46"/>
      <c r="S70" s="39"/>
      <c r="T70" s="16"/>
      <c r="U70" s="16"/>
      <c r="V70" s="16"/>
      <c r="W70" s="16"/>
      <c r="X70" s="16"/>
      <c r="Y70" s="19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43">
        <f>A61</f>
        <v>45995</v>
      </c>
      <c r="AQ70" s="10"/>
      <c r="AR70" s="11"/>
    </row>
    <row r="71" spans="1:46" s="2" customFormat="1" ht="17.25" customHeight="1" thickBot="1" x14ac:dyDescent="0.3">
      <c r="A71" s="56"/>
      <c r="B71" s="101" t="s">
        <v>102</v>
      </c>
      <c r="C71" s="102">
        <f>D72+E72+F72+G72+H72+I72+J72+M72+P72</f>
        <v>122523.49954</v>
      </c>
      <c r="D71" s="84"/>
      <c r="E71" s="85"/>
      <c r="F71" s="85"/>
      <c r="G71" s="85"/>
      <c r="H71" s="85"/>
      <c r="I71" s="85"/>
      <c r="J71" s="85"/>
      <c r="K71" s="28"/>
      <c r="L71" s="112"/>
      <c r="M71" s="85"/>
      <c r="N71" s="28"/>
      <c r="O71" s="112"/>
      <c r="P71" s="85"/>
      <c r="Q71" s="48"/>
      <c r="R71" s="48"/>
      <c r="S71" s="51"/>
      <c r="T71" s="28"/>
      <c r="U71" s="28"/>
      <c r="V71" s="28"/>
      <c r="W71" s="28"/>
      <c r="X71" s="28"/>
      <c r="Y71" s="36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42">
        <f>SUM($Q60:AN71)</f>
        <v>-421150.00000000006</v>
      </c>
      <c r="AQ71" s="10"/>
      <c r="AR71" s="11"/>
      <c r="AS71" s="2" t="s">
        <v>5</v>
      </c>
    </row>
    <row r="72" spans="1:46" s="2" customFormat="1" ht="17.25" customHeight="1" thickTop="1" thickBot="1" x14ac:dyDescent="0.3">
      <c r="A72" s="103"/>
      <c r="B72" s="104" t="s">
        <v>103</v>
      </c>
      <c r="C72" s="105">
        <f>AO72</f>
        <v>-298626.50046000007</v>
      </c>
      <c r="D72" s="106">
        <f t="shared" ref="D72:K72" si="6">SUM(D60:D71)</f>
        <v>13520.307040000012</v>
      </c>
      <c r="E72" s="107">
        <f t="shared" si="6"/>
        <v>-31554.489999999998</v>
      </c>
      <c r="F72" s="107">
        <f t="shared" si="6"/>
        <v>0</v>
      </c>
      <c r="G72" s="107">
        <f t="shared" si="6"/>
        <v>0</v>
      </c>
      <c r="H72" s="107">
        <f t="shared" si="6"/>
        <v>49362.822499999995</v>
      </c>
      <c r="I72" s="107">
        <f t="shared" si="6"/>
        <v>11169.4</v>
      </c>
      <c r="J72" s="107">
        <f t="shared" si="6"/>
        <v>0</v>
      </c>
      <c r="K72" s="108">
        <f t="shared" si="6"/>
        <v>11283</v>
      </c>
      <c r="L72" s="109">
        <f>M72/K72</f>
        <v>5.054970309314899</v>
      </c>
      <c r="M72" s="107">
        <f>ROUND(SUM(M60:M71),2)</f>
        <v>57035.23</v>
      </c>
      <c r="N72" s="108">
        <f>SUM(N60:N71)</f>
        <v>6296</v>
      </c>
      <c r="O72" s="109">
        <f>P72/N72</f>
        <v>3.6515613087674712</v>
      </c>
      <c r="P72" s="107">
        <f>ROUND(SUM(P60:P71),2)</f>
        <v>22990.23</v>
      </c>
      <c r="Q72" s="110">
        <f t="shared" ref="Q72:AN72" si="7">SUM(Q60:Q71)</f>
        <v>-425135.23000000004</v>
      </c>
      <c r="R72" s="107">
        <f t="shared" si="7"/>
        <v>50229.299999999996</v>
      </c>
      <c r="S72" s="107">
        <f t="shared" si="7"/>
        <v>0</v>
      </c>
      <c r="T72" s="107">
        <f t="shared" si="7"/>
        <v>-9644.07</v>
      </c>
      <c r="U72" s="107">
        <f t="shared" si="7"/>
        <v>0</v>
      </c>
      <c r="V72" s="107">
        <f t="shared" si="7"/>
        <v>-36600</v>
      </c>
      <c r="W72" s="107">
        <f t="shared" si="7"/>
        <v>0</v>
      </c>
      <c r="X72" s="107">
        <f t="shared" si="7"/>
        <v>0</v>
      </c>
      <c r="Y72" s="107">
        <f t="shared" si="7"/>
        <v>0</v>
      </c>
      <c r="Z72" s="107">
        <f t="shared" si="7"/>
        <v>0</v>
      </c>
      <c r="AA72" s="107">
        <f t="shared" si="7"/>
        <v>0</v>
      </c>
      <c r="AB72" s="107">
        <f t="shared" si="7"/>
        <v>0</v>
      </c>
      <c r="AC72" s="107">
        <f t="shared" si="7"/>
        <v>0</v>
      </c>
      <c r="AD72" s="107">
        <f t="shared" si="7"/>
        <v>0</v>
      </c>
      <c r="AE72" s="107">
        <f t="shared" si="7"/>
        <v>0</v>
      </c>
      <c r="AF72" s="107">
        <f t="shared" si="7"/>
        <v>0</v>
      </c>
      <c r="AG72" s="107">
        <f t="shared" si="7"/>
        <v>0</v>
      </c>
      <c r="AH72" s="107">
        <f t="shared" si="7"/>
        <v>0</v>
      </c>
      <c r="AI72" s="107">
        <f t="shared" si="7"/>
        <v>0</v>
      </c>
      <c r="AJ72" s="107">
        <f t="shared" si="7"/>
        <v>0</v>
      </c>
      <c r="AK72" s="107">
        <f t="shared" si="7"/>
        <v>0</v>
      </c>
      <c r="AL72" s="107">
        <f t="shared" si="7"/>
        <v>0</v>
      </c>
      <c r="AM72" s="107">
        <f t="shared" si="7"/>
        <v>0</v>
      </c>
      <c r="AN72" s="107">
        <f t="shared" si="7"/>
        <v>0</v>
      </c>
      <c r="AO72" s="111">
        <f>D72+E72+F72+G72+H72+I72+J72+M72+P72+SUM(Q72:AN72)</f>
        <v>-298626.50046000007</v>
      </c>
      <c r="AP72" s="4"/>
      <c r="AQ72" s="5"/>
      <c r="AR72" s="5"/>
      <c r="AS72" s="2" t="s">
        <v>6</v>
      </c>
    </row>
    <row r="73" spans="1:46" s="2" customFormat="1" ht="17.25" customHeight="1" thickTop="1" x14ac:dyDescent="0.25">
      <c r="A73" s="23">
        <f>A61+1</f>
        <v>45996</v>
      </c>
      <c r="B73" s="201" t="s">
        <v>64</v>
      </c>
      <c r="C73" s="203"/>
      <c r="D73" s="63">
        <v>10919</v>
      </c>
      <c r="E73" s="64"/>
      <c r="F73" s="74"/>
      <c r="G73" s="74"/>
      <c r="H73" s="64"/>
      <c r="I73" s="64">
        <f>-D73</f>
        <v>-10919</v>
      </c>
      <c r="J73" s="66"/>
      <c r="K73" s="18"/>
      <c r="L73" s="91"/>
      <c r="M73" s="66"/>
      <c r="N73" s="18"/>
      <c r="O73" s="91"/>
      <c r="P73" s="66"/>
      <c r="Q73" s="46"/>
      <c r="R73" s="46"/>
      <c r="S73" s="45"/>
      <c r="T73" s="18"/>
      <c r="U73" s="18"/>
      <c r="V73" s="18"/>
      <c r="W73" s="18"/>
      <c r="X73" s="18"/>
      <c r="Y73" s="14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7"/>
      <c r="AO73" s="31"/>
      <c r="AQ73" s="10"/>
      <c r="AR73" s="27"/>
    </row>
    <row r="74" spans="1:46" s="2" customFormat="1" ht="17.25" customHeight="1" x14ac:dyDescent="0.25">
      <c r="A74" s="24"/>
      <c r="B74" s="201" t="s">
        <v>96</v>
      </c>
      <c r="C74" s="202"/>
      <c r="D74" s="63"/>
      <c r="E74" s="64"/>
      <c r="F74" s="64"/>
      <c r="G74" s="64"/>
      <c r="H74" s="64"/>
      <c r="I74" s="64">
        <f>-I72-I73</f>
        <v>-250.39999999999964</v>
      </c>
      <c r="J74" s="64"/>
      <c r="K74" s="16"/>
      <c r="L74" s="92"/>
      <c r="M74" s="64"/>
      <c r="N74" s="16"/>
      <c r="O74" s="92"/>
      <c r="P74" s="64"/>
      <c r="Q74" s="46"/>
      <c r="R74" s="40"/>
      <c r="S74" s="39"/>
      <c r="T74" s="16"/>
      <c r="U74" s="16"/>
      <c r="V74" s="16"/>
      <c r="W74" s="16"/>
      <c r="X74" s="16"/>
      <c r="Y74" s="19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22"/>
      <c r="AQ74" s="10"/>
      <c r="AR74" s="11"/>
    </row>
    <row r="75" spans="1:46" s="2" customFormat="1" ht="17.25" customHeight="1" x14ac:dyDescent="0.25">
      <c r="A75" s="29"/>
      <c r="B75" s="201" t="s">
        <v>308</v>
      </c>
      <c r="C75" s="202"/>
      <c r="D75" s="63">
        <v>-800</v>
      </c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47"/>
      <c r="R75" s="39"/>
      <c r="S75" s="39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22"/>
      <c r="AQ75" s="10" t="s">
        <v>4</v>
      </c>
      <c r="AR75" s="11" t="e">
        <v>#REF!</v>
      </c>
    </row>
    <row r="76" spans="1:46" s="2" customFormat="1" ht="17.25" customHeight="1" x14ac:dyDescent="0.25">
      <c r="A76" s="29"/>
      <c r="B76" s="201" t="s">
        <v>276</v>
      </c>
      <c r="C76" s="202"/>
      <c r="D76" s="63">
        <v>-4.9000000000000004</v>
      </c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47"/>
      <c r="R76" s="39"/>
      <c r="S76" s="39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22"/>
      <c r="AQ76" s="10" t="s">
        <v>4</v>
      </c>
      <c r="AR76" s="11" t="e">
        <v>#REF!</v>
      </c>
    </row>
    <row r="77" spans="1:46" s="4" customFormat="1" ht="17.25" customHeight="1" x14ac:dyDescent="0.25">
      <c r="A77" s="23"/>
      <c r="B77" s="201" t="s">
        <v>13</v>
      </c>
      <c r="C77" s="203"/>
      <c r="D77" s="63"/>
      <c r="E77" s="64">
        <f>30+929.95+150+100+50+40+20.12+50+181+20+50+100+53+50+30+122+50+165+50+205.5+35+1000+30+20+20+50+20+100+100+120+150+50</f>
        <v>4141.57</v>
      </c>
      <c r="F77" s="64"/>
      <c r="G77" s="64"/>
      <c r="H77" s="64">
        <f>-E77</f>
        <v>-4141.57</v>
      </c>
      <c r="I77" s="66"/>
      <c r="J77" s="64"/>
      <c r="K77" s="16"/>
      <c r="L77" s="92"/>
      <c r="M77" s="64"/>
      <c r="N77" s="16"/>
      <c r="O77" s="92"/>
      <c r="P77" s="64"/>
      <c r="Q77" s="40"/>
      <c r="R77" s="46">
        <f>-D77</f>
        <v>0</v>
      </c>
      <c r="S77" s="39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22"/>
      <c r="AP77" s="30"/>
    </row>
    <row r="78" spans="1:46" s="4" customFormat="1" ht="17.25" customHeight="1" x14ac:dyDescent="0.25">
      <c r="A78" s="23"/>
      <c r="B78" s="201" t="s">
        <v>334</v>
      </c>
      <c r="C78" s="203"/>
      <c r="D78" s="63"/>
      <c r="E78" s="64">
        <v>-1588.96</v>
      </c>
      <c r="F78" s="64"/>
      <c r="G78" s="64"/>
      <c r="H78" s="64"/>
      <c r="I78" s="66"/>
      <c r="J78" s="64"/>
      <c r="K78" s="16"/>
      <c r="L78" s="92"/>
      <c r="M78" s="64"/>
      <c r="N78" s="16"/>
      <c r="O78" s="92"/>
      <c r="P78" s="64"/>
      <c r="Q78" s="40"/>
      <c r="R78" s="46">
        <f>-D78</f>
        <v>0</v>
      </c>
      <c r="S78" s="39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22"/>
      <c r="AP78" s="30"/>
    </row>
    <row r="79" spans="1:46" s="4" customFormat="1" ht="17.25" customHeight="1" x14ac:dyDescent="0.25">
      <c r="A79" s="23"/>
      <c r="B79" s="201" t="s">
        <v>335</v>
      </c>
      <c r="C79" s="203"/>
      <c r="D79" s="63"/>
      <c r="E79" s="64">
        <v>-1588.96</v>
      </c>
      <c r="F79" s="64"/>
      <c r="G79" s="64"/>
      <c r="H79" s="64"/>
      <c r="I79" s="66"/>
      <c r="J79" s="64"/>
      <c r="K79" s="16"/>
      <c r="L79" s="92"/>
      <c r="M79" s="64"/>
      <c r="N79" s="16"/>
      <c r="O79" s="92"/>
      <c r="P79" s="64"/>
      <c r="Q79" s="40"/>
      <c r="R79" s="46">
        <f>-D79</f>
        <v>0</v>
      </c>
      <c r="S79" s="39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22"/>
      <c r="AP79" s="30"/>
    </row>
    <row r="80" spans="1:46" s="2" customFormat="1" ht="17.25" customHeight="1" x14ac:dyDescent="0.25">
      <c r="A80" s="29"/>
      <c r="B80" s="205" t="s">
        <v>360</v>
      </c>
      <c r="C80" s="250"/>
      <c r="D80" s="63"/>
      <c r="E80" s="64">
        <f>-1141.12-5-50-700-20.7-20-20-50-100-170-30-50-50-25-50-732.87</f>
        <v>-3214.6899999999996</v>
      </c>
      <c r="F80" s="64"/>
      <c r="G80" s="64"/>
      <c r="H80" s="64"/>
      <c r="I80" s="64"/>
      <c r="J80" s="64"/>
      <c r="K80" s="57"/>
      <c r="L80" s="88"/>
      <c r="M80" s="62">
        <f>K80*L80</f>
        <v>0</v>
      </c>
      <c r="N80" s="57"/>
      <c r="O80" s="88"/>
      <c r="P80" s="62">
        <f>N80*O80</f>
        <v>0</v>
      </c>
      <c r="Q80" s="47"/>
      <c r="R80" s="39"/>
      <c r="S80" s="39"/>
      <c r="T80" s="20">
        <f>-E80</f>
        <v>3214.6899999999996</v>
      </c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22"/>
      <c r="AQ80" s="10" t="s">
        <v>4</v>
      </c>
      <c r="AR80" s="11" t="e">
        <v>#REF!</v>
      </c>
    </row>
    <row r="81" spans="1:46" s="2" customFormat="1" ht="17.25" customHeight="1" x14ac:dyDescent="0.2">
      <c r="A81" s="23"/>
      <c r="B81" s="201" t="s">
        <v>161</v>
      </c>
      <c r="C81" s="204"/>
      <c r="D81" s="63"/>
      <c r="E81" s="64"/>
      <c r="F81" s="74"/>
      <c r="G81" s="74"/>
      <c r="H81" s="64">
        <v>-791.28</v>
      </c>
      <c r="I81" s="64"/>
      <c r="J81" s="64"/>
      <c r="K81" s="16"/>
      <c r="L81" s="16"/>
      <c r="M81" s="64"/>
      <c r="N81" s="16"/>
      <c r="O81" s="16"/>
      <c r="P81" s="64"/>
      <c r="Q81" s="46"/>
      <c r="R81" s="39"/>
      <c r="S81" s="40"/>
      <c r="T81" s="16"/>
      <c r="U81" s="16"/>
      <c r="V81" s="16"/>
      <c r="W81" s="16"/>
      <c r="X81" s="16"/>
      <c r="Y81" s="19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35"/>
      <c r="AQ81" s="10"/>
      <c r="AR81" s="27"/>
    </row>
    <row r="82" spans="1:46" s="2" customFormat="1" ht="17.25" customHeight="1" x14ac:dyDescent="0.2">
      <c r="A82" s="23"/>
      <c r="B82" s="201" t="s">
        <v>163</v>
      </c>
      <c r="C82" s="204"/>
      <c r="D82" s="63"/>
      <c r="E82" s="64"/>
      <c r="F82" s="74"/>
      <c r="G82" s="74"/>
      <c r="H82" s="64">
        <v>-3835</v>
      </c>
      <c r="I82" s="64"/>
      <c r="J82" s="64"/>
      <c r="K82" s="16"/>
      <c r="L82" s="16"/>
      <c r="M82" s="64"/>
      <c r="N82" s="16"/>
      <c r="O82" s="16"/>
      <c r="P82" s="64"/>
      <c r="Q82" s="46"/>
      <c r="R82" s="39"/>
      <c r="S82" s="40"/>
      <c r="T82" s="16"/>
      <c r="U82" s="16"/>
      <c r="V82" s="16"/>
      <c r="W82" s="16"/>
      <c r="X82" s="16"/>
      <c r="Y82" s="19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35"/>
      <c r="AQ82" s="10"/>
      <c r="AR82" s="27"/>
    </row>
    <row r="83" spans="1:46" s="2" customFormat="1" ht="17.25" customHeight="1" x14ac:dyDescent="0.25">
      <c r="A83" s="24"/>
      <c r="B83" s="205" t="s">
        <v>429</v>
      </c>
      <c r="C83" s="206"/>
      <c r="D83" s="64">
        <f>-M83</f>
        <v>0</v>
      </c>
      <c r="E83" s="64"/>
      <c r="F83" s="64"/>
      <c r="G83" s="64"/>
      <c r="H83" s="64"/>
      <c r="I83" s="64"/>
      <c r="J83" s="64"/>
      <c r="K83" s="57"/>
      <c r="L83" s="88"/>
      <c r="M83" s="62"/>
      <c r="N83" s="57">
        <v>10000</v>
      </c>
      <c r="O83" s="88">
        <v>3.66</v>
      </c>
      <c r="P83" s="62">
        <f>N83*O83</f>
        <v>36600</v>
      </c>
      <c r="Q83" s="39">
        <f>-P83</f>
        <v>-36600</v>
      </c>
      <c r="R83" s="39"/>
      <c r="S83" s="39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22"/>
      <c r="AQ83" s="10"/>
      <c r="AR83" s="11"/>
    </row>
    <row r="84" spans="1:46" s="2" customFormat="1" ht="17.25" customHeight="1" x14ac:dyDescent="0.25">
      <c r="A84" s="24"/>
      <c r="B84" s="205" t="s">
        <v>428</v>
      </c>
      <c r="C84" s="206"/>
      <c r="D84" s="64">
        <f>-M84</f>
        <v>0</v>
      </c>
      <c r="E84" s="64"/>
      <c r="F84" s="64"/>
      <c r="G84" s="64"/>
      <c r="H84" s="64"/>
      <c r="I84" s="64"/>
      <c r="J84" s="64"/>
      <c r="K84" s="57"/>
      <c r="L84" s="88"/>
      <c r="M84" s="62"/>
      <c r="N84" s="57">
        <v>10000</v>
      </c>
      <c r="O84" s="88">
        <v>3.64</v>
      </c>
      <c r="P84" s="62">
        <f>N84*O84</f>
        <v>36400</v>
      </c>
      <c r="Q84" s="39">
        <f>-P84</f>
        <v>-36400</v>
      </c>
      <c r="R84" s="39"/>
      <c r="S84" s="39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22"/>
      <c r="AQ84" s="10"/>
      <c r="AR84" s="11"/>
    </row>
    <row r="85" spans="1:46" s="2" customFormat="1" ht="17.25" customHeight="1" thickBot="1" x14ac:dyDescent="0.25">
      <c r="A85" s="24"/>
      <c r="B85" s="216"/>
      <c r="C85" s="217"/>
      <c r="D85" s="83"/>
      <c r="E85" s="81"/>
      <c r="F85" s="81"/>
      <c r="G85" s="81"/>
      <c r="H85" s="81"/>
      <c r="I85" s="81"/>
      <c r="J85" s="81"/>
      <c r="K85" s="37"/>
      <c r="L85" s="93"/>
      <c r="M85" s="81"/>
      <c r="N85" s="37"/>
      <c r="O85" s="93"/>
      <c r="P85" s="81"/>
      <c r="Q85" s="40"/>
      <c r="R85" s="40"/>
      <c r="S85" s="39"/>
      <c r="T85" s="16"/>
      <c r="U85" s="16"/>
      <c r="V85" s="16"/>
      <c r="W85" s="16"/>
      <c r="X85" s="16"/>
      <c r="Y85" s="19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41"/>
      <c r="AQ85" s="10"/>
      <c r="AR85" s="11"/>
    </row>
    <row r="86" spans="1:46" s="4" customFormat="1" ht="17.25" customHeight="1" x14ac:dyDescent="0.25">
      <c r="A86" s="23"/>
      <c r="B86" s="210" t="s">
        <v>94</v>
      </c>
      <c r="C86" s="203"/>
      <c r="D86" s="66"/>
      <c r="E86" s="66"/>
      <c r="F86" s="117"/>
      <c r="G86" s="117"/>
      <c r="H86" s="66"/>
      <c r="I86" s="66"/>
      <c r="J86" s="66">
        <f>-M86</f>
        <v>9822.15</v>
      </c>
      <c r="K86" s="58">
        <v>-1679</v>
      </c>
      <c r="L86" s="89">
        <v>5.85</v>
      </c>
      <c r="M86" s="73">
        <f>K86*L86</f>
        <v>-9822.15</v>
      </c>
      <c r="N86" s="58"/>
      <c r="O86" s="89"/>
      <c r="P86" s="73"/>
      <c r="Q86" s="39"/>
      <c r="R86" s="39"/>
      <c r="S86" s="8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35"/>
      <c r="AP86" s="12" t="e">
        <f>#REF!</f>
        <v>#REF!</v>
      </c>
    </row>
    <row r="87" spans="1:46" s="4" customFormat="1" ht="17.25" customHeight="1" x14ac:dyDescent="0.25">
      <c r="A87" s="23"/>
      <c r="B87" s="201" t="s">
        <v>95</v>
      </c>
      <c r="C87" s="202"/>
      <c r="D87" s="64"/>
      <c r="E87" s="64"/>
      <c r="F87" s="117"/>
      <c r="G87" s="117"/>
      <c r="H87" s="64"/>
      <c r="I87" s="64"/>
      <c r="J87" s="64">
        <f>-P87</f>
        <v>11022.29</v>
      </c>
      <c r="K87" s="57"/>
      <c r="L87" s="88"/>
      <c r="M87" s="62"/>
      <c r="N87" s="57">
        <v>-2819</v>
      </c>
      <c r="O87" s="88">
        <v>3.91</v>
      </c>
      <c r="P87" s="62">
        <f>N87*O87</f>
        <v>-11022.29</v>
      </c>
      <c r="Q87" s="39"/>
      <c r="R87" s="39"/>
      <c r="S87" s="8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35"/>
      <c r="AP87" s="12" t="e">
        <f>#REF!</f>
        <v>#REF!</v>
      </c>
    </row>
    <row r="88" spans="1:46" s="4" customFormat="1" ht="17.25" customHeight="1" x14ac:dyDescent="0.25">
      <c r="A88" s="23"/>
      <c r="B88" s="201" t="s">
        <v>97</v>
      </c>
      <c r="C88" s="203"/>
      <c r="D88" s="64"/>
      <c r="E88" s="64"/>
      <c r="F88" s="64"/>
      <c r="G88" s="64"/>
      <c r="H88" s="64">
        <f>-J88-I88</f>
        <v>7077.5300000000025</v>
      </c>
      <c r="I88" s="64">
        <v>13766.91</v>
      </c>
      <c r="J88" s="64">
        <f>-SUM(J86:J87)</f>
        <v>-20844.440000000002</v>
      </c>
      <c r="K88" s="57"/>
      <c r="L88" s="88"/>
      <c r="M88" s="62"/>
      <c r="N88" s="57"/>
      <c r="O88" s="88"/>
      <c r="P88" s="62"/>
      <c r="Q88" s="39"/>
      <c r="R88" s="39"/>
      <c r="S88" s="39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22"/>
      <c r="AO88" s="43"/>
      <c r="AP88" s="12" t="e">
        <f>#REF!</f>
        <v>#REF!</v>
      </c>
      <c r="AT88" s="2"/>
    </row>
    <row r="89" spans="1:46" s="4" customFormat="1" ht="17.25" customHeight="1" x14ac:dyDescent="0.25">
      <c r="A89" s="23"/>
      <c r="B89" s="201" t="s">
        <v>93</v>
      </c>
      <c r="C89" s="202"/>
      <c r="D89" s="64"/>
      <c r="E89" s="64"/>
      <c r="F89" s="64"/>
      <c r="G89" s="64"/>
      <c r="H89" s="64"/>
      <c r="I89" s="64"/>
      <c r="J89" s="64"/>
      <c r="K89" s="57">
        <v>14</v>
      </c>
      <c r="L89" s="88"/>
      <c r="M89" s="62">
        <f>(K92*((M72)/(K72)))-M72-M86</f>
        <v>1405.6244349906974</v>
      </c>
      <c r="N89" s="57">
        <v>165</v>
      </c>
      <c r="O89" s="88"/>
      <c r="P89" s="62">
        <f>(N92*((P72+P83+P84)/(N72+N83+N84)))-P72-P87-P83-P84</f>
        <v>1334.1978787648259</v>
      </c>
      <c r="Q89" s="39"/>
      <c r="R89" s="39"/>
      <c r="S89" s="39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22"/>
      <c r="AO89" s="43">
        <f>A62</f>
        <v>0</v>
      </c>
      <c r="AP89" s="12" t="e">
        <f>#REF!</f>
        <v>#REF!</v>
      </c>
      <c r="AT89" s="2"/>
    </row>
    <row r="90" spans="1:46" s="2" customFormat="1" ht="17.25" customHeight="1" x14ac:dyDescent="0.2">
      <c r="A90" s="24"/>
      <c r="B90" s="201"/>
      <c r="C90" s="204"/>
      <c r="D90" s="63"/>
      <c r="E90" s="64"/>
      <c r="F90" s="64"/>
      <c r="G90" s="64"/>
      <c r="H90" s="64"/>
      <c r="I90" s="64"/>
      <c r="J90" s="64"/>
      <c r="K90" s="16"/>
      <c r="L90" s="92"/>
      <c r="M90" s="64"/>
      <c r="N90" s="16"/>
      <c r="O90" s="92"/>
      <c r="P90" s="64"/>
      <c r="Q90" s="46"/>
      <c r="R90" s="46"/>
      <c r="S90" s="39"/>
      <c r="T90" s="16"/>
      <c r="U90" s="16"/>
      <c r="V90" s="16"/>
      <c r="W90" s="16"/>
      <c r="X90" s="16"/>
      <c r="Y90" s="19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43">
        <f>A73</f>
        <v>45996</v>
      </c>
      <c r="AQ90" s="10"/>
      <c r="AR90" s="11"/>
    </row>
    <row r="91" spans="1:46" s="2" customFormat="1" ht="17.25" customHeight="1" thickBot="1" x14ac:dyDescent="0.3">
      <c r="A91" s="56"/>
      <c r="B91" s="101" t="s">
        <v>102</v>
      </c>
      <c r="C91" s="102">
        <f>D92+E92+F92+G92+H92+I92+J92+M92+P92</f>
        <v>186189.12953999999</v>
      </c>
      <c r="D91" s="84"/>
      <c r="E91" s="85"/>
      <c r="F91" s="85"/>
      <c r="G91" s="85"/>
      <c r="H91" s="85"/>
      <c r="I91" s="85"/>
      <c r="J91" s="85"/>
      <c r="K91" s="28"/>
      <c r="L91" s="112"/>
      <c r="M91" s="85"/>
      <c r="N91" s="28"/>
      <c r="O91" s="112"/>
      <c r="P91" s="85"/>
      <c r="Q91" s="48"/>
      <c r="R91" s="48"/>
      <c r="S91" s="51"/>
      <c r="T91" s="28"/>
      <c r="U91" s="28"/>
      <c r="V91" s="28"/>
      <c r="W91" s="28"/>
      <c r="X91" s="28"/>
      <c r="Y91" s="36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42">
        <f>SUM($Q72:AN91)</f>
        <v>-490935.31000000006</v>
      </c>
      <c r="AQ91" s="10"/>
      <c r="AR91" s="11"/>
      <c r="AS91" s="2" t="s">
        <v>5</v>
      </c>
    </row>
    <row r="92" spans="1:46" s="2" customFormat="1" ht="17.25" customHeight="1" thickTop="1" thickBot="1" x14ac:dyDescent="0.3">
      <c r="A92" s="103"/>
      <c r="B92" s="104" t="s">
        <v>103</v>
      </c>
      <c r="C92" s="105">
        <f>AO92</f>
        <v>-304746.18046000006</v>
      </c>
      <c r="D92" s="116">
        <f t="shared" ref="D92:K92" si="8">SUM(D72:D91)</f>
        <v>23634.407040000013</v>
      </c>
      <c r="E92" s="107">
        <f t="shared" si="8"/>
        <v>-33805.53</v>
      </c>
      <c r="F92" s="107">
        <f t="shared" si="8"/>
        <v>0</v>
      </c>
      <c r="G92" s="107">
        <f t="shared" si="8"/>
        <v>0</v>
      </c>
      <c r="H92" s="107">
        <f t="shared" si="8"/>
        <v>47672.502500000002</v>
      </c>
      <c r="I92" s="107">
        <f t="shared" si="8"/>
        <v>13766.91</v>
      </c>
      <c r="J92" s="107">
        <f t="shared" si="8"/>
        <v>0</v>
      </c>
      <c r="K92" s="108">
        <f t="shared" si="8"/>
        <v>9618</v>
      </c>
      <c r="L92" s="109">
        <f>M92/K92</f>
        <v>5.0549698482012886</v>
      </c>
      <c r="M92" s="107">
        <f>ROUND(SUM(M72:M91),2)</f>
        <v>48618.7</v>
      </c>
      <c r="N92" s="108">
        <f>SUM(N72:N91)</f>
        <v>23642</v>
      </c>
      <c r="O92" s="109">
        <f>P92/N92</f>
        <v>3.6503739108366466</v>
      </c>
      <c r="P92" s="107">
        <f>ROUND(SUM(P72:P91),2)</f>
        <v>86302.14</v>
      </c>
      <c r="Q92" s="110">
        <f t="shared" ref="Q92:AN92" si="9">SUM(Q72:Q91)</f>
        <v>-498135.23000000004</v>
      </c>
      <c r="R92" s="107">
        <f t="shared" si="9"/>
        <v>50229.299999999996</v>
      </c>
      <c r="S92" s="107">
        <f t="shared" si="9"/>
        <v>0</v>
      </c>
      <c r="T92" s="107">
        <f t="shared" si="9"/>
        <v>-6429.38</v>
      </c>
      <c r="U92" s="107">
        <f t="shared" si="9"/>
        <v>0</v>
      </c>
      <c r="V92" s="107">
        <f t="shared" si="9"/>
        <v>-36600</v>
      </c>
      <c r="W92" s="107">
        <f t="shared" si="9"/>
        <v>0</v>
      </c>
      <c r="X92" s="107">
        <f t="shared" si="9"/>
        <v>0</v>
      </c>
      <c r="Y92" s="107">
        <f t="shared" si="9"/>
        <v>0</v>
      </c>
      <c r="Z92" s="107">
        <f t="shared" si="9"/>
        <v>0</v>
      </c>
      <c r="AA92" s="107">
        <f t="shared" si="9"/>
        <v>0</v>
      </c>
      <c r="AB92" s="107">
        <f t="shared" si="9"/>
        <v>0</v>
      </c>
      <c r="AC92" s="107">
        <f t="shared" si="9"/>
        <v>0</v>
      </c>
      <c r="AD92" s="107">
        <f t="shared" si="9"/>
        <v>0</v>
      </c>
      <c r="AE92" s="107">
        <f t="shared" si="9"/>
        <v>0</v>
      </c>
      <c r="AF92" s="107">
        <f t="shared" si="9"/>
        <v>0</v>
      </c>
      <c r="AG92" s="107">
        <f t="shared" si="9"/>
        <v>0</v>
      </c>
      <c r="AH92" s="107">
        <f t="shared" si="9"/>
        <v>0</v>
      </c>
      <c r="AI92" s="107">
        <f t="shared" si="9"/>
        <v>0</v>
      </c>
      <c r="AJ92" s="107">
        <f t="shared" si="9"/>
        <v>0</v>
      </c>
      <c r="AK92" s="107">
        <f t="shared" si="9"/>
        <v>0</v>
      </c>
      <c r="AL92" s="107">
        <f t="shared" si="9"/>
        <v>0</v>
      </c>
      <c r="AM92" s="107">
        <f t="shared" si="9"/>
        <v>0</v>
      </c>
      <c r="AN92" s="107">
        <f t="shared" si="9"/>
        <v>0</v>
      </c>
      <c r="AO92" s="111">
        <f>D92+E92+F92+G92+H92+I92+J92+M92+P92+SUM(Q92:AN92)</f>
        <v>-304746.18046000006</v>
      </c>
      <c r="AP92" s="4"/>
      <c r="AQ92" s="5"/>
      <c r="AR92" s="5"/>
      <c r="AS92" s="2" t="s">
        <v>6</v>
      </c>
    </row>
    <row r="93" spans="1:46" s="2" customFormat="1" ht="17.25" customHeight="1" thickTop="1" x14ac:dyDescent="0.25">
      <c r="A93" s="24">
        <f>A73+1</f>
        <v>45997</v>
      </c>
      <c r="B93" s="201" t="s">
        <v>64</v>
      </c>
      <c r="C93" s="203"/>
      <c r="D93" s="63">
        <v>13437.98</v>
      </c>
      <c r="E93" s="64"/>
      <c r="F93" s="74"/>
      <c r="G93" s="74"/>
      <c r="H93" s="64"/>
      <c r="I93" s="64">
        <f>-D93</f>
        <v>-13437.98</v>
      </c>
      <c r="J93" s="66"/>
      <c r="K93" s="18"/>
      <c r="L93" s="18"/>
      <c r="M93" s="66"/>
      <c r="N93" s="18"/>
      <c r="O93" s="18"/>
      <c r="P93" s="66"/>
      <c r="Q93" s="46"/>
      <c r="R93" s="46"/>
      <c r="S93" s="45"/>
      <c r="T93" s="18"/>
      <c r="U93" s="18"/>
      <c r="V93" s="18"/>
      <c r="W93" s="18"/>
      <c r="X93" s="18"/>
      <c r="Y93" s="14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7"/>
      <c r="AO93" s="31"/>
      <c r="AQ93" s="10"/>
      <c r="AR93" s="27"/>
    </row>
    <row r="94" spans="1:46" s="2" customFormat="1" ht="17.25" customHeight="1" x14ac:dyDescent="0.25">
      <c r="A94" s="24"/>
      <c r="B94" s="201" t="s">
        <v>96</v>
      </c>
      <c r="C94" s="202"/>
      <c r="D94" s="63"/>
      <c r="E94" s="64"/>
      <c r="F94" s="64"/>
      <c r="G94" s="64"/>
      <c r="H94" s="64"/>
      <c r="I94" s="64">
        <f>-I92-I93</f>
        <v>-328.93000000000029</v>
      </c>
      <c r="J94" s="64"/>
      <c r="K94" s="16"/>
      <c r="L94" s="16"/>
      <c r="M94" s="64"/>
      <c r="N94" s="16"/>
      <c r="O94" s="16"/>
      <c r="P94" s="64"/>
      <c r="Q94" s="46"/>
      <c r="R94" s="40"/>
      <c r="S94" s="39"/>
      <c r="T94" s="16"/>
      <c r="U94" s="16"/>
      <c r="V94" s="16"/>
      <c r="W94" s="16"/>
      <c r="X94" s="16"/>
      <c r="Y94" s="19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22"/>
      <c r="AQ94" s="10"/>
      <c r="AR94" s="11"/>
    </row>
    <row r="95" spans="1:46" s="2" customFormat="1" ht="17.25" customHeight="1" x14ac:dyDescent="0.25">
      <c r="A95" s="29"/>
      <c r="B95" s="201" t="s">
        <v>72</v>
      </c>
      <c r="C95" s="202"/>
      <c r="D95" s="63">
        <v>-37000</v>
      </c>
      <c r="E95" s="64"/>
      <c r="F95" s="64">
        <f>-D95</f>
        <v>37000</v>
      </c>
      <c r="G95" s="64"/>
      <c r="H95" s="64"/>
      <c r="I95" s="64"/>
      <c r="J95" s="64"/>
      <c r="K95" s="57"/>
      <c r="L95" s="88"/>
      <c r="M95" s="62"/>
      <c r="N95" s="57"/>
      <c r="O95" s="88"/>
      <c r="P95" s="62"/>
      <c r="Q95" s="47"/>
      <c r="R95" s="39"/>
      <c r="S95" s="39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22"/>
      <c r="AQ95" s="10" t="s">
        <v>4</v>
      </c>
      <c r="AR95" s="11" t="e">
        <v>#REF!</v>
      </c>
    </row>
    <row r="96" spans="1:46" s="2" customFormat="1" ht="17.25" customHeight="1" x14ac:dyDescent="0.25">
      <c r="A96" s="29"/>
      <c r="B96" s="201"/>
      <c r="C96" s="20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47"/>
      <c r="R96" s="39"/>
      <c r="S96" s="39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22"/>
      <c r="AQ96" s="10"/>
      <c r="AR96" s="11"/>
    </row>
    <row r="97" spans="1:46" s="2" customFormat="1" ht="17.25" customHeight="1" thickBot="1" x14ac:dyDescent="0.25">
      <c r="A97" s="24"/>
      <c r="B97" s="216"/>
      <c r="C97" s="217"/>
      <c r="D97" s="83"/>
      <c r="E97" s="81"/>
      <c r="F97" s="81"/>
      <c r="G97" s="81"/>
      <c r="H97" s="81"/>
      <c r="I97" s="81"/>
      <c r="J97" s="81"/>
      <c r="K97" s="37"/>
      <c r="L97" s="93"/>
      <c r="M97" s="81"/>
      <c r="N97" s="37"/>
      <c r="O97" s="93"/>
      <c r="P97" s="81"/>
      <c r="Q97" s="40"/>
      <c r="R97" s="40"/>
      <c r="S97" s="39"/>
      <c r="T97" s="16"/>
      <c r="U97" s="16"/>
      <c r="V97" s="16"/>
      <c r="W97" s="16"/>
      <c r="X97" s="16"/>
      <c r="Y97" s="19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41"/>
      <c r="AQ97" s="10"/>
      <c r="AR97" s="11"/>
    </row>
    <row r="98" spans="1:46" s="4" customFormat="1" ht="17.25" customHeight="1" x14ac:dyDescent="0.25">
      <c r="A98" s="23"/>
      <c r="B98" s="210" t="s">
        <v>94</v>
      </c>
      <c r="C98" s="203"/>
      <c r="D98" s="66"/>
      <c r="E98" s="66"/>
      <c r="F98" s="117"/>
      <c r="G98" s="117"/>
      <c r="H98" s="66"/>
      <c r="I98" s="66"/>
      <c r="J98" s="66">
        <f>-M98</f>
        <v>8851.0499999999993</v>
      </c>
      <c r="K98" s="58">
        <v>-1513</v>
      </c>
      <c r="L98" s="89">
        <v>5.85</v>
      </c>
      <c r="M98" s="73">
        <f>K98*L98</f>
        <v>-8851.0499999999993</v>
      </c>
      <c r="N98" s="58"/>
      <c r="O98" s="89"/>
      <c r="P98" s="73"/>
      <c r="Q98" s="39"/>
      <c r="R98" s="39"/>
      <c r="S98" s="8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35"/>
      <c r="AP98" s="12" t="e">
        <f>#REF!</f>
        <v>#REF!</v>
      </c>
    </row>
    <row r="99" spans="1:46" s="4" customFormat="1" ht="17.25" customHeight="1" x14ac:dyDescent="0.25">
      <c r="A99" s="23"/>
      <c r="B99" s="201" t="s">
        <v>95</v>
      </c>
      <c r="C99" s="202"/>
      <c r="D99" s="64"/>
      <c r="E99" s="64"/>
      <c r="F99" s="117"/>
      <c r="G99" s="117"/>
      <c r="H99" s="64"/>
      <c r="I99" s="64"/>
      <c r="J99" s="64">
        <f>-P99</f>
        <v>10717.31</v>
      </c>
      <c r="K99" s="57"/>
      <c r="L99" s="88"/>
      <c r="M99" s="62"/>
      <c r="N99" s="57">
        <v>-2741</v>
      </c>
      <c r="O99" s="88">
        <v>3.91</v>
      </c>
      <c r="P99" s="62">
        <f>N99*O99</f>
        <v>-10717.31</v>
      </c>
      <c r="Q99" s="39"/>
      <c r="R99" s="39"/>
      <c r="S99" s="8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35"/>
      <c r="AP99" s="12" t="e">
        <f>#REF!</f>
        <v>#REF!</v>
      </c>
    </row>
    <row r="100" spans="1:46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>
        <f>-J100-I100</f>
        <v>5318.17</v>
      </c>
      <c r="I100" s="64">
        <v>14250.19</v>
      </c>
      <c r="J100" s="64">
        <f>-SUM(J98:J99)</f>
        <v>-19568.36</v>
      </c>
      <c r="K100" s="57"/>
      <c r="L100" s="88"/>
      <c r="M100" s="62"/>
      <c r="N100" s="57"/>
      <c r="O100" s="88"/>
      <c r="P100" s="62"/>
      <c r="Q100" s="39"/>
      <c r="R100" s="39"/>
      <c r="S100" s="39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22"/>
      <c r="AO100" s="43"/>
      <c r="AP100" s="12" t="e">
        <f>#REF!</f>
        <v>#REF!</v>
      </c>
      <c r="AT100" s="2"/>
    </row>
    <row r="101" spans="1:46" s="4" customFormat="1" ht="17.25" customHeight="1" x14ac:dyDescent="0.25">
      <c r="A101" s="23"/>
      <c r="B101" s="201" t="s">
        <v>93</v>
      </c>
      <c r="C101" s="202"/>
      <c r="D101" s="64"/>
      <c r="E101" s="64"/>
      <c r="F101" s="64"/>
      <c r="G101" s="64"/>
      <c r="H101" s="64"/>
      <c r="I101" s="64"/>
      <c r="J101" s="64"/>
      <c r="K101" s="57">
        <v>-35</v>
      </c>
      <c r="L101" s="88"/>
      <c r="M101" s="62">
        <f>(K104*M92/K92)-M92-M98</f>
        <v>1025.9566749844053</v>
      </c>
      <c r="N101" s="57">
        <v>-205</v>
      </c>
      <c r="O101" s="88"/>
      <c r="P101" s="62">
        <f>(N104*P92/N92)-P92-P99</f>
        <v>-36.691541324760692</v>
      </c>
      <c r="Q101" s="39"/>
      <c r="R101" s="39"/>
      <c r="S101" s="39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22"/>
      <c r="AO101" s="43">
        <f>A75</f>
        <v>0</v>
      </c>
      <c r="AP101" s="12" t="e">
        <f>#REF!</f>
        <v>#REF!</v>
      </c>
      <c r="AT101" s="2"/>
    </row>
    <row r="102" spans="1:46" s="2" customFormat="1" ht="17.25" customHeight="1" x14ac:dyDescent="0.2">
      <c r="A102" s="24"/>
      <c r="B102" s="201"/>
      <c r="C102" s="202"/>
      <c r="D102" s="63"/>
      <c r="E102" s="64"/>
      <c r="F102" s="64"/>
      <c r="G102" s="64"/>
      <c r="H102" s="64"/>
      <c r="I102" s="64"/>
      <c r="J102" s="64"/>
      <c r="K102" s="16"/>
      <c r="L102" s="16"/>
      <c r="M102" s="64"/>
      <c r="N102" s="16"/>
      <c r="O102" s="16"/>
      <c r="P102" s="64"/>
      <c r="Q102" s="46"/>
      <c r="R102" s="46"/>
      <c r="S102" s="39"/>
      <c r="T102" s="16"/>
      <c r="U102" s="16"/>
      <c r="V102" s="16"/>
      <c r="W102" s="16"/>
      <c r="X102" s="16"/>
      <c r="Y102" s="19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43">
        <f>A93</f>
        <v>45997</v>
      </c>
      <c r="AQ102" s="10"/>
      <c r="AR102" s="11"/>
    </row>
    <row r="103" spans="1:46" s="2" customFormat="1" ht="17.25" customHeight="1" thickBot="1" x14ac:dyDescent="0.3">
      <c r="A103" s="56"/>
      <c r="B103" s="101" t="s">
        <v>102</v>
      </c>
      <c r="C103" s="102">
        <f>D104+E104+F104+G104+H104+I104+J104+M104+P104</f>
        <v>186849.46954000002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48"/>
      <c r="R103" s="48"/>
      <c r="S103" s="51"/>
      <c r="T103" s="28"/>
      <c r="U103" s="28"/>
      <c r="V103" s="28"/>
      <c r="W103" s="28"/>
      <c r="X103" s="28"/>
      <c r="Y103" s="36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42">
        <f>SUM($Q92:AN103)</f>
        <v>-490935.31000000006</v>
      </c>
      <c r="AQ103" s="10"/>
      <c r="AR103" s="11"/>
      <c r="AS103" s="2" t="s">
        <v>5</v>
      </c>
    </row>
    <row r="104" spans="1:46" s="2" customFormat="1" ht="17.25" customHeight="1" thickTop="1" thickBot="1" x14ac:dyDescent="0.3">
      <c r="A104" s="103"/>
      <c r="B104" s="104" t="s">
        <v>103</v>
      </c>
      <c r="C104" s="105">
        <f>AO104</f>
        <v>-304085.84046000004</v>
      </c>
      <c r="D104" s="107">
        <f t="shared" ref="D104:K104" si="10">SUM(D92:D103)</f>
        <v>72.387040000015986</v>
      </c>
      <c r="E104" s="107">
        <f t="shared" si="10"/>
        <v>-33805.53</v>
      </c>
      <c r="F104" s="107">
        <f t="shared" si="10"/>
        <v>37000</v>
      </c>
      <c r="G104" s="107">
        <f t="shared" si="10"/>
        <v>0</v>
      </c>
      <c r="H104" s="107">
        <f t="shared" si="10"/>
        <v>52990.672500000001</v>
      </c>
      <c r="I104" s="107">
        <f t="shared" si="10"/>
        <v>14250.19</v>
      </c>
      <c r="J104" s="107">
        <f t="shared" si="10"/>
        <v>0</v>
      </c>
      <c r="K104" s="108">
        <f t="shared" si="10"/>
        <v>8070</v>
      </c>
      <c r="L104" s="109">
        <f>M104/K104</f>
        <v>5.0549702602230484</v>
      </c>
      <c r="M104" s="107">
        <f>ROUND(SUM(M92:M103),2)</f>
        <v>40793.61</v>
      </c>
      <c r="N104" s="108">
        <f>SUM(N92:N103)</f>
        <v>20696</v>
      </c>
      <c r="O104" s="109">
        <f>P104/N104</f>
        <v>3.6503739853111714</v>
      </c>
      <c r="P104" s="107">
        <f>ROUND(SUM(P92:P103),2)</f>
        <v>75548.14</v>
      </c>
      <c r="Q104" s="107">
        <f t="shared" ref="Q104:AN104" si="11">SUM(Q92:Q103)</f>
        <v>-498135.23000000004</v>
      </c>
      <c r="R104" s="107">
        <f t="shared" si="11"/>
        <v>50229.299999999996</v>
      </c>
      <c r="S104" s="107">
        <f t="shared" si="11"/>
        <v>0</v>
      </c>
      <c r="T104" s="107">
        <f t="shared" si="11"/>
        <v>-6429.38</v>
      </c>
      <c r="U104" s="107">
        <f t="shared" si="11"/>
        <v>0</v>
      </c>
      <c r="V104" s="107">
        <f t="shared" si="11"/>
        <v>-36600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11">
        <f>D104+E104+F104+G104+H104+I104+J104+M104+P104+SUM(Q104:AN104)</f>
        <v>-304085.84046000004</v>
      </c>
      <c r="AP104" s="4"/>
      <c r="AQ104" s="5"/>
      <c r="AR104" s="5"/>
      <c r="AS104" s="2" t="s">
        <v>6</v>
      </c>
    </row>
    <row r="105" spans="1:46" s="2" customFormat="1" ht="17.25" customHeight="1" thickTop="1" x14ac:dyDescent="0.25">
      <c r="A105" s="23">
        <f>A93+1</f>
        <v>45998</v>
      </c>
      <c r="B105" s="201" t="s">
        <v>64</v>
      </c>
      <c r="C105" s="203"/>
      <c r="D105" s="63">
        <v>13929.78</v>
      </c>
      <c r="E105" s="64"/>
      <c r="F105" s="74"/>
      <c r="G105" s="74"/>
      <c r="H105" s="64"/>
      <c r="I105" s="64">
        <f>-D105</f>
        <v>-13929.78</v>
      </c>
      <c r="J105" s="66"/>
      <c r="K105" s="18"/>
      <c r="L105" s="18"/>
      <c r="M105" s="66"/>
      <c r="N105" s="18"/>
      <c r="O105" s="18"/>
      <c r="P105" s="66"/>
      <c r="Q105" s="46"/>
      <c r="R105" s="46"/>
      <c r="S105" s="45"/>
      <c r="T105" s="18"/>
      <c r="U105" s="18"/>
      <c r="V105" s="18"/>
      <c r="W105" s="18"/>
      <c r="X105" s="18"/>
      <c r="Y105" s="14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7"/>
      <c r="AO105" s="31"/>
      <c r="AQ105" s="10"/>
      <c r="AR105" s="27"/>
    </row>
    <row r="106" spans="1:46" s="2" customFormat="1" ht="17.25" customHeight="1" x14ac:dyDescent="0.25">
      <c r="A106" s="24"/>
      <c r="B106" s="201" t="s">
        <v>96</v>
      </c>
      <c r="C106" s="202"/>
      <c r="D106" s="63"/>
      <c r="E106" s="64"/>
      <c r="F106" s="64"/>
      <c r="G106" s="64"/>
      <c r="H106" s="64"/>
      <c r="I106" s="64">
        <f>-I104-I105</f>
        <v>-320.40999999999985</v>
      </c>
      <c r="J106" s="64"/>
      <c r="K106" s="16"/>
      <c r="L106" s="16"/>
      <c r="M106" s="64"/>
      <c r="N106" s="16"/>
      <c r="O106" s="16"/>
      <c r="P106" s="64"/>
      <c r="Q106" s="46"/>
      <c r="R106" s="40"/>
      <c r="S106" s="39"/>
      <c r="T106" s="16"/>
      <c r="U106" s="16"/>
      <c r="V106" s="16"/>
      <c r="W106" s="16"/>
      <c r="X106" s="16"/>
      <c r="Y106" s="19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22"/>
      <c r="AQ106" s="10"/>
      <c r="AR106" s="11"/>
    </row>
    <row r="107" spans="1:46" s="2" customFormat="1" ht="17.25" customHeight="1" x14ac:dyDescent="0.25">
      <c r="A107" s="29"/>
      <c r="B107" s="201" t="s">
        <v>72</v>
      </c>
      <c r="C107" s="202"/>
      <c r="D107" s="63">
        <v>-13900</v>
      </c>
      <c r="E107" s="64"/>
      <c r="F107" s="64">
        <f>-D107</f>
        <v>13900</v>
      </c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47"/>
      <c r="R107" s="39"/>
      <c r="S107" s="39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22"/>
      <c r="AQ107" s="10" t="s">
        <v>4</v>
      </c>
      <c r="AR107" s="11" t="e">
        <v>#REF!</v>
      </c>
    </row>
    <row r="108" spans="1:46" s="2" customFormat="1" ht="17.25" customHeight="1" thickBot="1" x14ac:dyDescent="0.25">
      <c r="A108" s="24"/>
      <c r="B108" s="216"/>
      <c r="C108" s="217"/>
      <c r="D108" s="83"/>
      <c r="E108" s="81"/>
      <c r="F108" s="81"/>
      <c r="G108" s="81"/>
      <c r="H108" s="81"/>
      <c r="I108" s="81"/>
      <c r="J108" s="81"/>
      <c r="K108" s="37"/>
      <c r="L108" s="93"/>
      <c r="M108" s="81"/>
      <c r="N108" s="37"/>
      <c r="O108" s="93"/>
      <c r="P108" s="81"/>
      <c r="Q108" s="40"/>
      <c r="R108" s="40"/>
      <c r="S108" s="39"/>
      <c r="T108" s="16"/>
      <c r="U108" s="16"/>
      <c r="V108" s="16"/>
      <c r="W108" s="16"/>
      <c r="X108" s="16"/>
      <c r="Y108" s="19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41"/>
      <c r="AQ108" s="10"/>
      <c r="AR108" s="11"/>
    </row>
    <row r="109" spans="1:46" s="4" customFormat="1" ht="17.25" customHeight="1" x14ac:dyDescent="0.25">
      <c r="A109" s="23"/>
      <c r="B109" s="210" t="s">
        <v>94</v>
      </c>
      <c r="C109" s="203"/>
      <c r="D109" s="66"/>
      <c r="E109" s="66"/>
      <c r="F109" s="117"/>
      <c r="G109" s="117"/>
      <c r="H109" s="66"/>
      <c r="I109" s="66"/>
      <c r="J109" s="66">
        <f>-M109</f>
        <v>5335.2</v>
      </c>
      <c r="K109" s="58">
        <v>-912</v>
      </c>
      <c r="L109" s="89">
        <v>5.85</v>
      </c>
      <c r="M109" s="73">
        <f>K109*L109</f>
        <v>-5335.2</v>
      </c>
      <c r="N109" s="58"/>
      <c r="O109" s="89"/>
      <c r="P109" s="73"/>
      <c r="Q109" s="39"/>
      <c r="R109" s="39"/>
      <c r="S109" s="8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35"/>
      <c r="AP109" s="12" t="e">
        <f>#REF!</f>
        <v>#REF!</v>
      </c>
    </row>
    <row r="110" spans="1:46" s="4" customFormat="1" ht="17.25" customHeight="1" x14ac:dyDescent="0.25">
      <c r="A110" s="23"/>
      <c r="B110" s="201" t="s">
        <v>95</v>
      </c>
      <c r="C110" s="202"/>
      <c r="D110" s="64"/>
      <c r="E110" s="64"/>
      <c r="F110" s="117"/>
      <c r="G110" s="117"/>
      <c r="H110" s="64"/>
      <c r="I110" s="64"/>
      <c r="J110" s="64">
        <f>-P110</f>
        <v>7065.37</v>
      </c>
      <c r="K110" s="57"/>
      <c r="L110" s="88"/>
      <c r="M110" s="62"/>
      <c r="N110" s="57">
        <v>-1807</v>
      </c>
      <c r="O110" s="88">
        <v>3.91</v>
      </c>
      <c r="P110" s="62">
        <f>N110*O110</f>
        <v>-7065.37</v>
      </c>
      <c r="Q110" s="39"/>
      <c r="R110" s="39"/>
      <c r="S110" s="8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35"/>
      <c r="AP110" s="12" t="e">
        <f>#REF!</f>
        <v>#REF!</v>
      </c>
    </row>
    <row r="111" spans="1:46" s="4" customFormat="1" ht="17.25" customHeight="1" x14ac:dyDescent="0.25">
      <c r="A111" s="23"/>
      <c r="B111" s="201" t="s">
        <v>97</v>
      </c>
      <c r="C111" s="203"/>
      <c r="D111" s="64"/>
      <c r="E111" s="64"/>
      <c r="F111" s="64"/>
      <c r="G111" s="64"/>
      <c r="H111" s="64">
        <f>-J111-I111</f>
        <v>3415.7099999999991</v>
      </c>
      <c r="I111" s="64">
        <v>8984.86</v>
      </c>
      <c r="J111" s="64">
        <f>-SUM(J109:J110)</f>
        <v>-12400.57</v>
      </c>
      <c r="K111" s="57"/>
      <c r="L111" s="88"/>
      <c r="M111" s="62"/>
      <c r="N111" s="57"/>
      <c r="O111" s="88"/>
      <c r="P111" s="62"/>
      <c r="Q111" s="39"/>
      <c r="R111" s="39"/>
      <c r="S111" s="39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22"/>
      <c r="AO111" s="43"/>
      <c r="AP111" s="12" t="e">
        <f>#REF!</f>
        <v>#REF!</v>
      </c>
      <c r="AT111" s="2"/>
    </row>
    <row r="112" spans="1:46" s="4" customFormat="1" ht="17.25" customHeight="1" x14ac:dyDescent="0.25">
      <c r="A112" s="23"/>
      <c r="B112" s="201" t="s">
        <v>93</v>
      </c>
      <c r="C112" s="202"/>
      <c r="D112" s="64"/>
      <c r="E112" s="64"/>
      <c r="F112" s="64"/>
      <c r="G112" s="64"/>
      <c r="H112" s="64"/>
      <c r="I112" s="64"/>
      <c r="J112" s="64"/>
      <c r="K112" s="57">
        <v>-6</v>
      </c>
      <c r="L112" s="88"/>
      <c r="M112" s="62">
        <f>(K115*M104/K104)-M104-M109</f>
        <v>694.73730111524765</v>
      </c>
      <c r="N112" s="57">
        <v>129</v>
      </c>
      <c r="O112" s="88"/>
      <c r="P112" s="62">
        <f>(N115*P104/N104)-P104-P110</f>
        <v>940.04245264785004</v>
      </c>
      <c r="Q112" s="39"/>
      <c r="R112" s="39"/>
      <c r="S112" s="39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22"/>
      <c r="AO112" s="43">
        <f>A101</f>
        <v>0</v>
      </c>
      <c r="AP112" s="12" t="e">
        <f>#REF!</f>
        <v>#REF!</v>
      </c>
      <c r="AT112" s="2"/>
    </row>
    <row r="113" spans="1:46" s="2" customFormat="1" ht="17.25" customHeight="1" x14ac:dyDescent="0.2">
      <c r="A113" s="24"/>
      <c r="B113" s="201"/>
      <c r="C113" s="204"/>
      <c r="D113" s="63"/>
      <c r="E113" s="64"/>
      <c r="F113" s="64"/>
      <c r="G113" s="64"/>
      <c r="H113" s="64"/>
      <c r="I113" s="64"/>
      <c r="J113" s="64"/>
      <c r="K113" s="16"/>
      <c r="L113" s="16"/>
      <c r="M113" s="64"/>
      <c r="N113" s="16"/>
      <c r="O113" s="16"/>
      <c r="P113" s="64"/>
      <c r="Q113" s="46"/>
      <c r="R113" s="46"/>
      <c r="S113" s="39"/>
      <c r="T113" s="16"/>
      <c r="U113" s="16"/>
      <c r="V113" s="16"/>
      <c r="W113" s="16"/>
      <c r="X113" s="16"/>
      <c r="Y113" s="19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43">
        <f>A105</f>
        <v>45998</v>
      </c>
      <c r="AQ113" s="10"/>
      <c r="AR113" s="11"/>
    </row>
    <row r="114" spans="1:46" s="2" customFormat="1" ht="17.25" customHeight="1" thickBot="1" x14ac:dyDescent="0.3">
      <c r="A114" s="56"/>
      <c r="B114" s="101" t="s">
        <v>102</v>
      </c>
      <c r="C114" s="102">
        <f>D115+E115+F115+G115+H115+I115+J115+M115+P115</f>
        <v>188163.83954000002</v>
      </c>
      <c r="D114" s="84"/>
      <c r="E114" s="85"/>
      <c r="F114" s="85"/>
      <c r="G114" s="85"/>
      <c r="H114" s="85"/>
      <c r="I114" s="85"/>
      <c r="J114" s="85"/>
      <c r="K114" s="28"/>
      <c r="L114" s="28"/>
      <c r="M114" s="85"/>
      <c r="N114" s="28"/>
      <c r="O114" s="28"/>
      <c r="P114" s="85"/>
      <c r="Q114" s="48"/>
      <c r="R114" s="48"/>
      <c r="S114" s="51"/>
      <c r="T114" s="28"/>
      <c r="U114" s="28"/>
      <c r="V114" s="28"/>
      <c r="W114" s="28"/>
      <c r="X114" s="28"/>
      <c r="Y114" s="36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42">
        <f>SUM($Q104:AN114)</f>
        <v>-490935.31000000006</v>
      </c>
      <c r="AQ114" s="10"/>
      <c r="AR114" s="11"/>
      <c r="AS114" s="2" t="s">
        <v>5</v>
      </c>
    </row>
    <row r="115" spans="1:46" s="2" customFormat="1" ht="17.25" customHeight="1" thickTop="1" thickBot="1" x14ac:dyDescent="0.3">
      <c r="A115" s="103"/>
      <c r="B115" s="104" t="s">
        <v>103</v>
      </c>
      <c r="C115" s="105">
        <f>AO115</f>
        <v>-302771.47046000004</v>
      </c>
      <c r="D115" s="106">
        <f t="shared" ref="D115:K115" si="12">SUM(D104:D114)</f>
        <v>102.16704000001664</v>
      </c>
      <c r="E115" s="107">
        <f t="shared" si="12"/>
        <v>-33805.53</v>
      </c>
      <c r="F115" s="107">
        <f t="shared" si="12"/>
        <v>50900</v>
      </c>
      <c r="G115" s="107">
        <f t="shared" si="12"/>
        <v>0</v>
      </c>
      <c r="H115" s="107">
        <f t="shared" si="12"/>
        <v>56406.3825</v>
      </c>
      <c r="I115" s="107">
        <f t="shared" si="12"/>
        <v>8984.86</v>
      </c>
      <c r="J115" s="107">
        <f t="shared" si="12"/>
        <v>0</v>
      </c>
      <c r="K115" s="108">
        <f t="shared" si="12"/>
        <v>7152</v>
      </c>
      <c r="L115" s="109">
        <f>M115/K115</f>
        <v>5.0549706375838932</v>
      </c>
      <c r="M115" s="107">
        <f>ROUND(SUM(M104:M114),2)</f>
        <v>36153.15</v>
      </c>
      <c r="N115" s="108">
        <f>SUM(N104:N114)</f>
        <v>19018</v>
      </c>
      <c r="O115" s="109">
        <f>P115/N115</f>
        <v>3.650373856346619</v>
      </c>
      <c r="P115" s="107">
        <f>ROUND(SUM(P104:P114),2)</f>
        <v>69422.81</v>
      </c>
      <c r="Q115" s="110">
        <f t="shared" ref="Q115:AN115" si="13">SUM(Q104:Q114)</f>
        <v>-498135.23000000004</v>
      </c>
      <c r="R115" s="107">
        <f t="shared" si="13"/>
        <v>50229.299999999996</v>
      </c>
      <c r="S115" s="107">
        <f t="shared" si="13"/>
        <v>0</v>
      </c>
      <c r="T115" s="107">
        <f t="shared" si="13"/>
        <v>-6429.38</v>
      </c>
      <c r="U115" s="107">
        <f t="shared" si="13"/>
        <v>0</v>
      </c>
      <c r="V115" s="107">
        <f t="shared" si="13"/>
        <v>-36600</v>
      </c>
      <c r="W115" s="107">
        <f t="shared" si="13"/>
        <v>0</v>
      </c>
      <c r="X115" s="107">
        <f t="shared" si="13"/>
        <v>0</v>
      </c>
      <c r="Y115" s="107">
        <f t="shared" si="13"/>
        <v>0</v>
      </c>
      <c r="Z115" s="107">
        <f t="shared" si="13"/>
        <v>0</v>
      </c>
      <c r="AA115" s="107">
        <f t="shared" si="13"/>
        <v>0</v>
      </c>
      <c r="AB115" s="107">
        <f t="shared" si="13"/>
        <v>0</v>
      </c>
      <c r="AC115" s="107">
        <f t="shared" si="13"/>
        <v>0</v>
      </c>
      <c r="AD115" s="107">
        <f t="shared" si="13"/>
        <v>0</v>
      </c>
      <c r="AE115" s="107">
        <f t="shared" si="13"/>
        <v>0</v>
      </c>
      <c r="AF115" s="107">
        <f t="shared" si="13"/>
        <v>0</v>
      </c>
      <c r="AG115" s="107">
        <f t="shared" si="13"/>
        <v>0</v>
      </c>
      <c r="AH115" s="107">
        <f t="shared" si="13"/>
        <v>0</v>
      </c>
      <c r="AI115" s="107">
        <f t="shared" si="13"/>
        <v>0</v>
      </c>
      <c r="AJ115" s="107">
        <f t="shared" si="13"/>
        <v>0</v>
      </c>
      <c r="AK115" s="107">
        <f t="shared" si="13"/>
        <v>0</v>
      </c>
      <c r="AL115" s="107">
        <f t="shared" si="13"/>
        <v>0</v>
      </c>
      <c r="AM115" s="107">
        <f t="shared" si="13"/>
        <v>0</v>
      </c>
      <c r="AN115" s="107">
        <f t="shared" si="13"/>
        <v>0</v>
      </c>
      <c r="AO115" s="111">
        <f>D115+E115+F115+G115+H115+I115+J115+M115+P115+SUM(Q115:AN115)</f>
        <v>-302771.47046000004</v>
      </c>
      <c r="AP115" s="4"/>
      <c r="AQ115" s="5"/>
      <c r="AR115" s="5"/>
      <c r="AS115" s="2" t="s">
        <v>6</v>
      </c>
    </row>
    <row r="116" spans="1:46" s="2" customFormat="1" ht="17.25" customHeight="1" thickTop="1" x14ac:dyDescent="0.25">
      <c r="A116" s="23">
        <f>A105+1</f>
        <v>45999</v>
      </c>
      <c r="B116" s="201" t="s">
        <v>64</v>
      </c>
      <c r="C116" s="203"/>
      <c r="D116" s="63">
        <v>8788.89</v>
      </c>
      <c r="E116" s="64"/>
      <c r="F116" s="74"/>
      <c r="G116" s="74"/>
      <c r="H116" s="64"/>
      <c r="I116" s="64">
        <f>-D116</f>
        <v>-8788.89</v>
      </c>
      <c r="J116" s="66"/>
      <c r="K116" s="18"/>
      <c r="L116" s="18"/>
      <c r="M116" s="66"/>
      <c r="N116" s="18"/>
      <c r="O116" s="18"/>
      <c r="P116" s="66"/>
      <c r="Q116" s="46"/>
      <c r="R116" s="46"/>
      <c r="S116" s="45"/>
      <c r="T116" s="18"/>
      <c r="U116" s="18"/>
      <c r="V116" s="18"/>
      <c r="W116" s="18"/>
      <c r="X116" s="18"/>
      <c r="Y116" s="14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7"/>
      <c r="AO116" s="31"/>
      <c r="AQ116" s="10"/>
      <c r="AR116" s="27"/>
    </row>
    <row r="117" spans="1:46" s="2" customFormat="1" ht="17.25" customHeight="1" x14ac:dyDescent="0.25">
      <c r="A117" s="24"/>
      <c r="B117" s="201" t="s">
        <v>96</v>
      </c>
      <c r="C117" s="202"/>
      <c r="D117" s="63"/>
      <c r="E117" s="64"/>
      <c r="F117" s="64"/>
      <c r="G117" s="64"/>
      <c r="H117" s="64"/>
      <c r="I117" s="64">
        <f>-I115-I116</f>
        <v>-195.97000000000116</v>
      </c>
      <c r="J117" s="64"/>
      <c r="K117" s="16"/>
      <c r="L117" s="16"/>
      <c r="M117" s="64"/>
      <c r="N117" s="16"/>
      <c r="O117" s="16"/>
      <c r="P117" s="64"/>
      <c r="Q117" s="46"/>
      <c r="R117" s="40"/>
      <c r="S117" s="39"/>
      <c r="T117" s="16"/>
      <c r="U117" s="16"/>
      <c r="V117" s="16"/>
      <c r="W117" s="16"/>
      <c r="X117" s="16"/>
      <c r="Y117" s="19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22"/>
      <c r="AQ117" s="10"/>
      <c r="AR117" s="11"/>
    </row>
    <row r="118" spans="1:46" s="2" customFormat="1" ht="17.25" customHeight="1" x14ac:dyDescent="0.25">
      <c r="A118" s="29"/>
      <c r="B118" s="201" t="s">
        <v>72</v>
      </c>
      <c r="C118" s="202"/>
      <c r="D118" s="63">
        <v>-8800</v>
      </c>
      <c r="E118" s="64"/>
      <c r="F118" s="64">
        <f>-D118</f>
        <v>8800</v>
      </c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47"/>
      <c r="R118" s="39"/>
      <c r="S118" s="39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22"/>
      <c r="AQ118" s="10" t="s">
        <v>4</v>
      </c>
      <c r="AR118" s="11" t="e">
        <v>#REF!</v>
      </c>
    </row>
    <row r="119" spans="1:46" s="2" customFormat="1" ht="17.25" customHeight="1" x14ac:dyDescent="0.25">
      <c r="A119" s="29"/>
      <c r="B119" s="201" t="s">
        <v>72</v>
      </c>
      <c r="C119" s="202"/>
      <c r="D119" s="63">
        <v>23100</v>
      </c>
      <c r="E119" s="64"/>
      <c r="F119" s="64">
        <f>-D119</f>
        <v>-23100</v>
      </c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47"/>
      <c r="R119" s="39"/>
      <c r="S119" s="39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22"/>
      <c r="AQ119" s="10" t="s">
        <v>4</v>
      </c>
      <c r="AR119" s="11" t="e">
        <v>#REF!</v>
      </c>
    </row>
    <row r="120" spans="1:46" s="2" customFormat="1" ht="17.25" customHeight="1" x14ac:dyDescent="0.2">
      <c r="A120" s="23"/>
      <c r="B120" s="205" t="s">
        <v>431</v>
      </c>
      <c r="C120" s="206"/>
      <c r="D120" s="63">
        <v>-22900</v>
      </c>
      <c r="E120" s="64"/>
      <c r="F120" s="74"/>
      <c r="G120" s="74"/>
      <c r="H120" s="64"/>
      <c r="I120" s="64"/>
      <c r="J120" s="64"/>
      <c r="K120" s="16"/>
      <c r="L120" s="16"/>
      <c r="M120" s="64"/>
      <c r="N120" s="16"/>
      <c r="O120" s="16"/>
      <c r="P120" s="64"/>
      <c r="Q120" s="46">
        <f>-D120</f>
        <v>22900</v>
      </c>
      <c r="R120" s="39"/>
      <c r="S120" s="40"/>
      <c r="T120" s="16"/>
      <c r="U120" s="16"/>
      <c r="V120" s="16"/>
      <c r="W120" s="16"/>
      <c r="X120" s="16"/>
      <c r="Y120" s="19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35"/>
      <c r="AQ120" s="10"/>
      <c r="AR120" s="27"/>
    </row>
    <row r="121" spans="1:46" s="2" customFormat="1" ht="17.25" customHeight="1" x14ac:dyDescent="0.25">
      <c r="A121" s="29"/>
      <c r="B121" s="201" t="s">
        <v>276</v>
      </c>
      <c r="C121" s="202"/>
      <c r="D121" s="63">
        <v>-4.9000000000000004</v>
      </c>
      <c r="E121" s="64"/>
      <c r="F121" s="64"/>
      <c r="G121" s="64"/>
      <c r="H121" s="64"/>
      <c r="I121" s="64"/>
      <c r="J121" s="64"/>
      <c r="K121" s="57"/>
      <c r="L121" s="88"/>
      <c r="M121" s="62"/>
      <c r="N121" s="57"/>
      <c r="O121" s="88"/>
      <c r="P121" s="62"/>
      <c r="Q121" s="47"/>
      <c r="R121" s="39"/>
      <c r="S121" s="39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22"/>
      <c r="AQ121" s="10" t="s">
        <v>4</v>
      </c>
      <c r="AR121" s="11" t="e">
        <v>#REF!</v>
      </c>
    </row>
    <row r="122" spans="1:46" s="2" customFormat="1" ht="17.25" customHeight="1" x14ac:dyDescent="0.25">
      <c r="A122" s="24"/>
      <c r="B122" s="201" t="s">
        <v>13</v>
      </c>
      <c r="C122" s="203"/>
      <c r="D122" s="63"/>
      <c r="E122" s="64">
        <f>-E115+13700-31707.92</f>
        <v>15797.61</v>
      </c>
      <c r="F122" s="74"/>
      <c r="G122" s="74"/>
      <c r="H122" s="64">
        <f>-E122</f>
        <v>-15797.61</v>
      </c>
      <c r="I122" s="64"/>
      <c r="J122" s="64"/>
      <c r="K122" s="16"/>
      <c r="L122" s="16"/>
      <c r="M122" s="64"/>
      <c r="N122" s="16"/>
      <c r="O122" s="16"/>
      <c r="P122" s="64"/>
      <c r="Q122" s="46"/>
      <c r="R122" s="39"/>
      <c r="S122" s="40"/>
      <c r="T122" s="16"/>
      <c r="U122" s="16"/>
      <c r="V122" s="16"/>
      <c r="W122" s="16"/>
      <c r="X122" s="16"/>
      <c r="Y122" s="19"/>
      <c r="Z122" s="16"/>
      <c r="AA122" s="16"/>
      <c r="AB122" s="16"/>
      <c r="AC122" s="16"/>
      <c r="AD122" s="16"/>
      <c r="AE122" s="16"/>
      <c r="AF122" s="16"/>
      <c r="AG122" s="15"/>
      <c r="AH122" s="15"/>
      <c r="AI122" s="15"/>
      <c r="AJ122" s="15"/>
      <c r="AK122" s="15"/>
      <c r="AL122" s="15"/>
      <c r="AM122" s="15"/>
      <c r="AN122" s="16"/>
      <c r="AO122" s="22"/>
      <c r="AQ122" s="10"/>
      <c r="AR122" s="11"/>
    </row>
    <row r="123" spans="1:46" s="2" customFormat="1" ht="17.25" customHeight="1" x14ac:dyDescent="0.25">
      <c r="A123" s="24"/>
      <c r="B123" s="205" t="s">
        <v>431</v>
      </c>
      <c r="C123" s="206"/>
      <c r="D123" s="63"/>
      <c r="E123" s="64">
        <v>-13700</v>
      </c>
      <c r="F123" s="64"/>
      <c r="G123" s="64"/>
      <c r="H123" s="64"/>
      <c r="I123" s="117"/>
      <c r="J123" s="64"/>
      <c r="K123" s="16"/>
      <c r="L123" s="16"/>
      <c r="M123" s="64"/>
      <c r="N123" s="16"/>
      <c r="O123" s="16"/>
      <c r="P123" s="64"/>
      <c r="Q123" s="40">
        <f>-E123</f>
        <v>13700</v>
      </c>
      <c r="R123" s="40"/>
      <c r="S123" s="39"/>
      <c r="T123" s="16"/>
      <c r="U123" s="16"/>
      <c r="V123" s="16"/>
      <c r="W123" s="16"/>
      <c r="X123" s="16"/>
      <c r="Y123" s="19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41"/>
      <c r="AQ123" s="10"/>
      <c r="AR123" s="11"/>
    </row>
    <row r="124" spans="1:46" s="2" customFormat="1" ht="17.25" customHeight="1" x14ac:dyDescent="0.25">
      <c r="A124" s="24"/>
      <c r="B124" s="205" t="s">
        <v>349</v>
      </c>
      <c r="C124" s="206"/>
      <c r="D124" s="64">
        <f>-M124</f>
        <v>0</v>
      </c>
      <c r="E124" s="64"/>
      <c r="F124" s="64">
        <v>-36600</v>
      </c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39"/>
      <c r="R124" s="39"/>
      <c r="S124" s="39"/>
      <c r="T124" s="16"/>
      <c r="U124" s="16"/>
      <c r="V124" s="16">
        <f>-F124</f>
        <v>36600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22"/>
      <c r="AQ124" s="10"/>
      <c r="AR124" s="11"/>
    </row>
    <row r="125" spans="1:46" s="2" customFormat="1" ht="17.25" customHeight="1" thickBot="1" x14ac:dyDescent="0.25">
      <c r="A125" s="24"/>
      <c r="B125" s="216"/>
      <c r="C125" s="217"/>
      <c r="D125" s="83"/>
      <c r="E125" s="81"/>
      <c r="F125" s="81"/>
      <c r="G125" s="81"/>
      <c r="H125" s="81"/>
      <c r="I125" s="81"/>
      <c r="J125" s="81"/>
      <c r="K125" s="37"/>
      <c r="L125" s="93"/>
      <c r="M125" s="81"/>
      <c r="N125" s="37"/>
      <c r="O125" s="93"/>
      <c r="P125" s="81"/>
      <c r="Q125" s="40"/>
      <c r="R125" s="40"/>
      <c r="S125" s="39"/>
      <c r="T125" s="16"/>
      <c r="U125" s="16"/>
      <c r="V125" s="16"/>
      <c r="W125" s="16"/>
      <c r="X125" s="16"/>
      <c r="Y125" s="19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41"/>
      <c r="AQ125" s="10"/>
      <c r="AR125" s="11"/>
    </row>
    <row r="126" spans="1:46" s="4" customFormat="1" ht="17.25" customHeight="1" x14ac:dyDescent="0.25">
      <c r="A126" s="23"/>
      <c r="B126" s="210" t="s">
        <v>94</v>
      </c>
      <c r="C126" s="203"/>
      <c r="D126" s="66"/>
      <c r="E126" s="66"/>
      <c r="F126" s="117"/>
      <c r="G126" s="117"/>
      <c r="H126" s="66"/>
      <c r="I126" s="66"/>
      <c r="J126" s="66">
        <f>-M126</f>
        <v>6557.8499999999995</v>
      </c>
      <c r="K126" s="58">
        <v>-1121</v>
      </c>
      <c r="L126" s="89">
        <v>5.85</v>
      </c>
      <c r="M126" s="73">
        <f>K126*L126</f>
        <v>-6557.8499999999995</v>
      </c>
      <c r="N126" s="58"/>
      <c r="O126" s="89"/>
      <c r="P126" s="73"/>
      <c r="Q126" s="39"/>
      <c r="R126" s="39"/>
      <c r="S126" s="8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35"/>
      <c r="AP126" s="12" t="e">
        <f>#REF!</f>
        <v>#REF!</v>
      </c>
    </row>
    <row r="127" spans="1:46" s="4" customFormat="1" ht="17.25" customHeight="1" x14ac:dyDescent="0.25">
      <c r="A127" s="23"/>
      <c r="B127" s="201" t="s">
        <v>95</v>
      </c>
      <c r="C127" s="202"/>
      <c r="D127" s="64"/>
      <c r="E127" s="64"/>
      <c r="F127" s="117"/>
      <c r="G127" s="117"/>
      <c r="H127" s="64"/>
      <c r="I127" s="64"/>
      <c r="J127" s="64">
        <f>-P127</f>
        <v>7647.96</v>
      </c>
      <c r="K127" s="57"/>
      <c r="L127" s="88"/>
      <c r="M127" s="62"/>
      <c r="N127" s="57">
        <v>-1956</v>
      </c>
      <c r="O127" s="88">
        <v>3.91</v>
      </c>
      <c r="P127" s="62">
        <f>N127*O127</f>
        <v>-7647.96</v>
      </c>
      <c r="Q127" s="39"/>
      <c r="R127" s="39"/>
      <c r="S127" s="8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35"/>
      <c r="AP127" s="12" t="e">
        <f>#REF!</f>
        <v>#REF!</v>
      </c>
    </row>
    <row r="128" spans="1:46" s="4" customFormat="1" ht="17.25" customHeight="1" x14ac:dyDescent="0.25">
      <c r="A128" s="23"/>
      <c r="B128" s="201" t="s">
        <v>97</v>
      </c>
      <c r="C128" s="203"/>
      <c r="D128" s="64"/>
      <c r="E128" s="64"/>
      <c r="F128" s="64"/>
      <c r="G128" s="64"/>
      <c r="H128" s="64">
        <f>-J128-I128</f>
        <v>4808.41</v>
      </c>
      <c r="I128" s="64">
        <v>9397.4</v>
      </c>
      <c r="J128" s="64">
        <f>-SUM(J126:J127)</f>
        <v>-14205.81</v>
      </c>
      <c r="K128" s="57"/>
      <c r="L128" s="88"/>
      <c r="M128" s="62"/>
      <c r="N128" s="57"/>
      <c r="O128" s="88"/>
      <c r="P128" s="62"/>
      <c r="Q128" s="39"/>
      <c r="R128" s="39"/>
      <c r="S128" s="39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22"/>
      <c r="AO128" s="43"/>
      <c r="AP128" s="12" t="e">
        <f>#REF!</f>
        <v>#REF!</v>
      </c>
      <c r="AT128" s="2"/>
    </row>
    <row r="129" spans="1:46" s="4" customFormat="1" ht="17.25" customHeight="1" x14ac:dyDescent="0.25">
      <c r="A129" s="23"/>
      <c r="B129" s="201" t="s">
        <v>93</v>
      </c>
      <c r="C129" s="202"/>
      <c r="D129" s="64"/>
      <c r="E129" s="64"/>
      <c r="F129" s="64"/>
      <c r="G129" s="64"/>
      <c r="H129" s="64"/>
      <c r="I129" s="64"/>
      <c r="J129" s="64"/>
      <c r="K129" s="57">
        <v>-54</v>
      </c>
      <c r="L129" s="88"/>
      <c r="M129" s="62">
        <f>(K132*M115/K115)-M115-M126</f>
        <v>618.25950083892621</v>
      </c>
      <c r="N129" s="57">
        <v>-66</v>
      </c>
      <c r="O129" s="88"/>
      <c r="P129" s="62">
        <f>(N132*(P115)/(N115))-P115-P127</f>
        <v>266.90406246714065</v>
      </c>
      <c r="Q129" s="39"/>
      <c r="R129" s="39"/>
      <c r="S129" s="39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22"/>
      <c r="AO129" s="43">
        <f>A117</f>
        <v>0</v>
      </c>
      <c r="AP129" s="12" t="e">
        <f>#REF!</f>
        <v>#REF!</v>
      </c>
      <c r="AT129" s="2"/>
    </row>
    <row r="130" spans="1:46" s="2" customFormat="1" ht="17.25" customHeight="1" x14ac:dyDescent="0.2">
      <c r="A130" s="24"/>
      <c r="B130" s="201"/>
      <c r="C130" s="204"/>
      <c r="D130" s="63"/>
      <c r="E130" s="64"/>
      <c r="F130" s="64"/>
      <c r="G130" s="64"/>
      <c r="H130" s="64"/>
      <c r="I130" s="64"/>
      <c r="J130" s="64"/>
      <c r="K130" s="16"/>
      <c r="L130" s="16"/>
      <c r="M130" s="64"/>
      <c r="N130" s="16"/>
      <c r="O130" s="16"/>
      <c r="P130" s="64"/>
      <c r="Q130" s="46"/>
      <c r="R130" s="46"/>
      <c r="S130" s="39"/>
      <c r="T130" s="16"/>
      <c r="U130" s="16"/>
      <c r="V130" s="16"/>
      <c r="W130" s="16"/>
      <c r="X130" s="16"/>
      <c r="Y130" s="19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43">
        <f>A116</f>
        <v>45999</v>
      </c>
      <c r="AQ130" s="10"/>
      <c r="AR130" s="11"/>
    </row>
    <row r="131" spans="1:46" s="2" customFormat="1" ht="17.25" customHeight="1" thickBot="1" x14ac:dyDescent="0.3">
      <c r="A131" s="56"/>
      <c r="B131" s="101" t="s">
        <v>102</v>
      </c>
      <c r="C131" s="102">
        <f>D132+E132+F132+G132+H132+I132+J132+M132+P132</f>
        <v>115648.12954000001</v>
      </c>
      <c r="D131" s="84"/>
      <c r="E131" s="85"/>
      <c r="F131" s="85"/>
      <c r="G131" s="85"/>
      <c r="H131" s="85"/>
      <c r="I131" s="85"/>
      <c r="J131" s="85"/>
      <c r="K131" s="28"/>
      <c r="L131" s="28"/>
      <c r="M131" s="85"/>
      <c r="N131" s="28"/>
      <c r="O131" s="28"/>
      <c r="P131" s="85"/>
      <c r="Q131" s="48"/>
      <c r="R131" s="48"/>
      <c r="S131" s="51"/>
      <c r="T131" s="28"/>
      <c r="U131" s="28"/>
      <c r="V131" s="28"/>
      <c r="W131" s="28"/>
      <c r="X131" s="28"/>
      <c r="Y131" s="36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42">
        <f>SUM($Q115:AN131)</f>
        <v>-417735.31000000006</v>
      </c>
      <c r="AQ131" s="10"/>
      <c r="AR131" s="11"/>
      <c r="AS131" s="2" t="s">
        <v>5</v>
      </c>
    </row>
    <row r="132" spans="1:46" s="2" customFormat="1" ht="17.25" customHeight="1" thickTop="1" thickBot="1" x14ac:dyDescent="0.3">
      <c r="A132" s="103"/>
      <c r="B132" s="104" t="s">
        <v>103</v>
      </c>
      <c r="C132" s="105">
        <f>AO132</f>
        <v>-302087.18046000006</v>
      </c>
      <c r="D132" s="106">
        <f t="shared" ref="D132:K132" si="14">SUM(D115:D131)</f>
        <v>286.15704000001426</v>
      </c>
      <c r="E132" s="107">
        <f t="shared" si="14"/>
        <v>-31707.919999999998</v>
      </c>
      <c r="F132" s="107">
        <f t="shared" si="14"/>
        <v>0</v>
      </c>
      <c r="G132" s="107">
        <f t="shared" si="14"/>
        <v>0</v>
      </c>
      <c r="H132" s="107">
        <f t="shared" si="14"/>
        <v>45417.182499999995</v>
      </c>
      <c r="I132" s="107">
        <f t="shared" si="14"/>
        <v>9397.4</v>
      </c>
      <c r="J132" s="107">
        <f t="shared" si="14"/>
        <v>0</v>
      </c>
      <c r="K132" s="108">
        <f t="shared" si="14"/>
        <v>5977</v>
      </c>
      <c r="L132" s="109">
        <f>M132/K132</f>
        <v>5.0549707210975408</v>
      </c>
      <c r="M132" s="107">
        <f>ROUND(SUM(M115:M131),2)</f>
        <v>30213.56</v>
      </c>
      <c r="N132" s="108">
        <f>SUM(N115:N131)</f>
        <v>16996</v>
      </c>
      <c r="O132" s="109">
        <f>P132/N132</f>
        <v>3.6503736173217227</v>
      </c>
      <c r="P132" s="107">
        <f>ROUND(SUM(P115:P131),2)</f>
        <v>62041.75</v>
      </c>
      <c r="Q132" s="110">
        <f t="shared" ref="Q132:AN132" si="15">SUM(Q115:Q131)</f>
        <v>-461535.23000000004</v>
      </c>
      <c r="R132" s="107">
        <f t="shared" si="15"/>
        <v>50229.299999999996</v>
      </c>
      <c r="S132" s="107">
        <f t="shared" si="15"/>
        <v>0</v>
      </c>
      <c r="T132" s="107">
        <f t="shared" si="15"/>
        <v>-6429.38</v>
      </c>
      <c r="U132" s="107">
        <f t="shared" si="15"/>
        <v>0</v>
      </c>
      <c r="V132" s="107">
        <f t="shared" si="15"/>
        <v>0</v>
      </c>
      <c r="W132" s="107">
        <f t="shared" si="15"/>
        <v>0</v>
      </c>
      <c r="X132" s="107">
        <f t="shared" si="15"/>
        <v>0</v>
      </c>
      <c r="Y132" s="107">
        <f t="shared" si="15"/>
        <v>0</v>
      </c>
      <c r="Z132" s="107">
        <f t="shared" si="15"/>
        <v>0</v>
      </c>
      <c r="AA132" s="107">
        <f t="shared" si="15"/>
        <v>0</v>
      </c>
      <c r="AB132" s="107">
        <f t="shared" si="15"/>
        <v>0</v>
      </c>
      <c r="AC132" s="107">
        <f t="shared" si="15"/>
        <v>0</v>
      </c>
      <c r="AD132" s="107">
        <f t="shared" si="15"/>
        <v>0</v>
      </c>
      <c r="AE132" s="107">
        <f t="shared" si="15"/>
        <v>0</v>
      </c>
      <c r="AF132" s="107">
        <f t="shared" si="15"/>
        <v>0</v>
      </c>
      <c r="AG132" s="107">
        <f t="shared" si="15"/>
        <v>0</v>
      </c>
      <c r="AH132" s="107">
        <f t="shared" si="15"/>
        <v>0</v>
      </c>
      <c r="AI132" s="107">
        <f t="shared" si="15"/>
        <v>0</v>
      </c>
      <c r="AJ132" s="107">
        <f t="shared" si="15"/>
        <v>0</v>
      </c>
      <c r="AK132" s="107">
        <f t="shared" si="15"/>
        <v>0</v>
      </c>
      <c r="AL132" s="107">
        <f t="shared" si="15"/>
        <v>0</v>
      </c>
      <c r="AM132" s="107">
        <f t="shared" si="15"/>
        <v>0</v>
      </c>
      <c r="AN132" s="107">
        <f t="shared" si="15"/>
        <v>0</v>
      </c>
      <c r="AO132" s="111">
        <f>D132+E132+F132+G132+H132+I132+J132+M132+P132+SUM(Q132:AN132)</f>
        <v>-302087.18046000006</v>
      </c>
      <c r="AP132" s="4"/>
      <c r="AQ132" s="5"/>
      <c r="AR132" s="5"/>
      <c r="AS132" s="2" t="s">
        <v>6</v>
      </c>
    </row>
    <row r="133" spans="1:46" s="2" customFormat="1" ht="17.25" customHeight="1" thickTop="1" x14ac:dyDescent="0.25">
      <c r="A133" s="23">
        <f>A116+1</f>
        <v>46000</v>
      </c>
      <c r="B133" s="210" t="s">
        <v>64</v>
      </c>
      <c r="C133" s="203"/>
      <c r="D133" s="63">
        <v>9191.85</v>
      </c>
      <c r="E133" s="66"/>
      <c r="F133" s="66"/>
      <c r="G133" s="66"/>
      <c r="H133" s="66"/>
      <c r="I133" s="66">
        <f>-D133</f>
        <v>-9191.85</v>
      </c>
      <c r="J133" s="66"/>
      <c r="K133" s="18"/>
      <c r="L133" s="18"/>
      <c r="M133" s="66"/>
      <c r="N133" s="18"/>
      <c r="O133" s="18"/>
      <c r="P133" s="66"/>
      <c r="Q133" s="46"/>
      <c r="R133" s="46"/>
      <c r="S133" s="45"/>
      <c r="T133" s="18"/>
      <c r="U133" s="18"/>
      <c r="V133" s="18"/>
      <c r="W133" s="18"/>
      <c r="X133" s="18"/>
      <c r="Y133" s="14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7"/>
      <c r="AO133" s="31"/>
      <c r="AQ133" s="10"/>
      <c r="AR133" s="27"/>
    </row>
    <row r="134" spans="1:46" s="4" customFormat="1" ht="17.25" customHeight="1" x14ac:dyDescent="0.25">
      <c r="A134" s="23"/>
      <c r="B134" s="201" t="s">
        <v>96</v>
      </c>
      <c r="C134" s="202"/>
      <c r="D134" s="63"/>
      <c r="E134" s="64"/>
      <c r="F134" s="64"/>
      <c r="G134" s="64"/>
      <c r="H134" s="64"/>
      <c r="I134" s="64">
        <f>-I132-I133</f>
        <v>-205.54999999999927</v>
      </c>
      <c r="J134" s="64"/>
      <c r="K134" s="16"/>
      <c r="L134" s="92"/>
      <c r="M134" s="64"/>
      <c r="N134" s="16"/>
      <c r="O134" s="92"/>
      <c r="P134" s="64"/>
      <c r="Q134" s="40"/>
      <c r="R134" s="46"/>
      <c r="S134" s="39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22"/>
      <c r="AP134" s="30"/>
    </row>
    <row r="135" spans="1:46" s="2" customFormat="1" ht="17.25" customHeight="1" x14ac:dyDescent="0.25">
      <c r="A135" s="29"/>
      <c r="B135" s="201" t="s">
        <v>264</v>
      </c>
      <c r="C135" s="202"/>
      <c r="D135" s="63">
        <v>226</v>
      </c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47"/>
      <c r="R135" s="39"/>
      <c r="S135" s="39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22"/>
      <c r="AQ135" s="10" t="s">
        <v>4</v>
      </c>
      <c r="AR135" s="11" t="e">
        <v>#REF!</v>
      </c>
    </row>
    <row r="136" spans="1:46" s="2" customFormat="1" ht="17.25" customHeight="1" x14ac:dyDescent="0.25">
      <c r="A136" s="29"/>
      <c r="B136" s="201" t="s">
        <v>309</v>
      </c>
      <c r="C136" s="202"/>
      <c r="D136" s="63">
        <v>-1.81</v>
      </c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47"/>
      <c r="R136" s="39"/>
      <c r="S136" s="39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22"/>
      <c r="AQ136" s="10" t="s">
        <v>4</v>
      </c>
      <c r="AR136" s="11" t="e">
        <v>#REF!</v>
      </c>
    </row>
    <row r="137" spans="1:46" s="2" customFormat="1" ht="17.25" customHeight="1" x14ac:dyDescent="0.25">
      <c r="A137" s="24"/>
      <c r="B137" s="201" t="s">
        <v>13</v>
      </c>
      <c r="C137" s="203"/>
      <c r="D137" s="63"/>
      <c r="E137" s="64">
        <f>-E132-26961.61</f>
        <v>4746.3099999999977</v>
      </c>
      <c r="F137" s="74"/>
      <c r="G137" s="74"/>
      <c r="H137" s="64">
        <f>-E137</f>
        <v>-4746.3099999999977</v>
      </c>
      <c r="I137" s="64"/>
      <c r="J137" s="64"/>
      <c r="K137" s="16"/>
      <c r="L137" s="16"/>
      <c r="M137" s="64"/>
      <c r="N137" s="16"/>
      <c r="O137" s="16"/>
      <c r="P137" s="64"/>
      <c r="Q137" s="46"/>
      <c r="R137" s="39"/>
      <c r="S137" s="40"/>
      <c r="T137" s="16"/>
      <c r="U137" s="16"/>
      <c r="V137" s="16"/>
      <c r="W137" s="16"/>
      <c r="X137" s="16"/>
      <c r="Y137" s="19"/>
      <c r="Z137" s="16"/>
      <c r="AA137" s="16"/>
      <c r="AB137" s="16"/>
      <c r="AC137" s="16"/>
      <c r="AD137" s="16"/>
      <c r="AE137" s="16"/>
      <c r="AF137" s="16"/>
      <c r="AG137" s="15"/>
      <c r="AH137" s="15"/>
      <c r="AI137" s="15"/>
      <c r="AJ137" s="15"/>
      <c r="AK137" s="15"/>
      <c r="AL137" s="15"/>
      <c r="AM137" s="15"/>
      <c r="AN137" s="16"/>
      <c r="AO137" s="22"/>
      <c r="AQ137" s="10"/>
      <c r="AR137" s="11"/>
    </row>
    <row r="138" spans="1:46" s="2" customFormat="1" ht="17.25" customHeight="1" x14ac:dyDescent="0.2">
      <c r="A138" s="24"/>
      <c r="B138" s="201" t="s">
        <v>205</v>
      </c>
      <c r="C138" s="204"/>
      <c r="D138" s="63"/>
      <c r="E138" s="64"/>
      <c r="F138" s="64"/>
      <c r="G138" s="64"/>
      <c r="H138" s="63">
        <v>-600</v>
      </c>
      <c r="I138" s="64"/>
      <c r="J138" s="64"/>
      <c r="K138" s="16"/>
      <c r="L138" s="16"/>
      <c r="M138" s="64"/>
      <c r="N138" s="16"/>
      <c r="O138" s="16"/>
      <c r="P138" s="64"/>
      <c r="Q138" s="40"/>
      <c r="R138" s="40"/>
      <c r="S138" s="39"/>
      <c r="T138" s="16"/>
      <c r="U138" s="16"/>
      <c r="V138" s="16"/>
      <c r="W138" s="16"/>
      <c r="X138" s="16"/>
      <c r="Y138" s="19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41"/>
      <c r="AQ138" s="10"/>
      <c r="AR138" s="11"/>
    </row>
    <row r="139" spans="1:46" s="2" customFormat="1" ht="17.25" customHeight="1" x14ac:dyDescent="0.2">
      <c r="A139" s="24"/>
      <c r="B139" s="201" t="s">
        <v>206</v>
      </c>
      <c r="C139" s="204"/>
      <c r="D139" s="63"/>
      <c r="E139" s="64"/>
      <c r="F139" s="64"/>
      <c r="G139" s="64"/>
      <c r="H139" s="63">
        <v>-120</v>
      </c>
      <c r="I139" s="64"/>
      <c r="J139" s="64"/>
      <c r="K139" s="16"/>
      <c r="L139" s="16"/>
      <c r="M139" s="64"/>
      <c r="N139" s="16"/>
      <c r="O139" s="16"/>
      <c r="P139" s="64"/>
      <c r="Q139" s="40"/>
      <c r="R139" s="40"/>
      <c r="S139" s="39"/>
      <c r="T139" s="16"/>
      <c r="U139" s="16"/>
      <c r="V139" s="16"/>
      <c r="W139" s="16"/>
      <c r="X139" s="16"/>
      <c r="Y139" s="19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41"/>
      <c r="AQ139" s="10"/>
      <c r="AR139" s="11"/>
    </row>
    <row r="140" spans="1:46" s="2" customFormat="1" ht="17.25" customHeight="1" thickBot="1" x14ac:dyDescent="0.25">
      <c r="A140" s="24"/>
      <c r="B140" s="216"/>
      <c r="C140" s="217"/>
      <c r="D140" s="83"/>
      <c r="E140" s="81"/>
      <c r="F140" s="81"/>
      <c r="G140" s="81"/>
      <c r="H140" s="81"/>
      <c r="I140" s="81"/>
      <c r="J140" s="81"/>
      <c r="K140" s="37"/>
      <c r="L140" s="93"/>
      <c r="M140" s="81"/>
      <c r="N140" s="37"/>
      <c r="O140" s="93"/>
      <c r="P140" s="81"/>
      <c r="Q140" s="40"/>
      <c r="R140" s="40"/>
      <c r="S140" s="39"/>
      <c r="T140" s="16"/>
      <c r="U140" s="16"/>
      <c r="V140" s="16"/>
      <c r="W140" s="16"/>
      <c r="X140" s="16"/>
      <c r="Y140" s="19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41"/>
      <c r="AQ140" s="10"/>
      <c r="AR140" s="11"/>
    </row>
    <row r="141" spans="1:46" s="4" customFormat="1" ht="17.25" customHeight="1" x14ac:dyDescent="0.25">
      <c r="A141" s="23"/>
      <c r="B141" s="210" t="s">
        <v>94</v>
      </c>
      <c r="C141" s="203"/>
      <c r="D141" s="66"/>
      <c r="E141" s="66"/>
      <c r="F141" s="117"/>
      <c r="G141" s="117"/>
      <c r="H141" s="66"/>
      <c r="I141" s="66"/>
      <c r="J141" s="66">
        <f>-M141</f>
        <v>8178.2999999999993</v>
      </c>
      <c r="K141" s="58">
        <v>-1398</v>
      </c>
      <c r="L141" s="89">
        <v>5.85</v>
      </c>
      <c r="M141" s="73">
        <f>K141*L141</f>
        <v>-8178.2999999999993</v>
      </c>
      <c r="N141" s="58"/>
      <c r="O141" s="89"/>
      <c r="P141" s="73"/>
      <c r="Q141" s="39"/>
      <c r="R141" s="39"/>
      <c r="S141" s="8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35"/>
      <c r="AP141" s="12" t="e">
        <f>#REF!</f>
        <v>#REF!</v>
      </c>
    </row>
    <row r="142" spans="1:46" s="4" customFormat="1" ht="17.25" customHeight="1" x14ac:dyDescent="0.25">
      <c r="A142" s="23"/>
      <c r="B142" s="201" t="s">
        <v>95</v>
      </c>
      <c r="C142" s="202"/>
      <c r="D142" s="64"/>
      <c r="E142" s="64"/>
      <c r="F142" s="117"/>
      <c r="G142" s="117"/>
      <c r="H142" s="64"/>
      <c r="I142" s="64"/>
      <c r="J142" s="64">
        <f>-P142</f>
        <v>9657.7000000000007</v>
      </c>
      <c r="K142" s="57"/>
      <c r="L142" s="88"/>
      <c r="M142" s="62"/>
      <c r="N142" s="57">
        <v>-2470</v>
      </c>
      <c r="O142" s="88">
        <v>3.91</v>
      </c>
      <c r="P142" s="62">
        <f>N142*O142</f>
        <v>-9657.7000000000007</v>
      </c>
      <c r="Q142" s="39"/>
      <c r="R142" s="39"/>
      <c r="S142" s="8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35"/>
      <c r="AP142" s="12" t="e">
        <f>#REF!</f>
        <v>#REF!</v>
      </c>
    </row>
    <row r="143" spans="1:46" s="4" customFormat="1" ht="17.25" customHeight="1" x14ac:dyDescent="0.25">
      <c r="A143" s="23"/>
      <c r="B143" s="201" t="s">
        <v>97</v>
      </c>
      <c r="C143" s="203"/>
      <c r="D143" s="64"/>
      <c r="E143" s="64"/>
      <c r="F143" s="64"/>
      <c r="G143" s="64"/>
      <c r="H143" s="64">
        <f>-J143-I143</f>
        <v>5605</v>
      </c>
      <c r="I143" s="64">
        <v>12231</v>
      </c>
      <c r="J143" s="64">
        <f>-SUM(J141:J142)</f>
        <v>-17836</v>
      </c>
      <c r="K143" s="57"/>
      <c r="L143" s="88"/>
      <c r="M143" s="62"/>
      <c r="N143" s="57"/>
      <c r="O143" s="88"/>
      <c r="P143" s="62"/>
      <c r="Q143" s="39"/>
      <c r="R143" s="39"/>
      <c r="S143" s="39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22"/>
      <c r="AO143" s="35"/>
      <c r="AP143" s="12" t="e">
        <f>#REF!</f>
        <v>#REF!</v>
      </c>
      <c r="AT143" s="2"/>
    </row>
    <row r="144" spans="1:46" s="4" customFormat="1" ht="17.25" customHeight="1" x14ac:dyDescent="0.25">
      <c r="A144" s="23"/>
      <c r="B144" s="201" t="s">
        <v>93</v>
      </c>
      <c r="C144" s="202"/>
      <c r="D144" s="64"/>
      <c r="E144" s="64"/>
      <c r="F144" s="64"/>
      <c r="G144" s="64"/>
      <c r="H144" s="64"/>
      <c r="I144" s="64"/>
      <c r="J144" s="64"/>
      <c r="K144" s="57">
        <v>-11</v>
      </c>
      <c r="L144" s="88"/>
      <c r="M144" s="62">
        <f>(K147*M132/K132)-M132-M141</f>
        <v>1055.8462539735665</v>
      </c>
      <c r="N144" s="57">
        <v>-187</v>
      </c>
      <c r="O144" s="88"/>
      <c r="P144" s="62">
        <f>(N147*P132/N132)-P132-P142</f>
        <v>-41.342701223813492</v>
      </c>
      <c r="Q144" s="39"/>
      <c r="R144" s="39"/>
      <c r="S144" s="39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22"/>
      <c r="AO144" s="43">
        <f>A126</f>
        <v>0</v>
      </c>
      <c r="AP144" s="12" t="e">
        <f>#REF!</f>
        <v>#REF!</v>
      </c>
      <c r="AT144" s="2"/>
    </row>
    <row r="145" spans="1:45" s="2" customFormat="1" ht="17.25" customHeight="1" x14ac:dyDescent="0.2">
      <c r="A145" s="24"/>
      <c r="B145" s="201"/>
      <c r="C145" s="204"/>
      <c r="D145" s="63"/>
      <c r="E145" s="64"/>
      <c r="F145" s="64"/>
      <c r="G145" s="64"/>
      <c r="H145" s="64"/>
      <c r="I145" s="64"/>
      <c r="J145" s="64"/>
      <c r="K145" s="16"/>
      <c r="L145" s="16"/>
      <c r="M145" s="64"/>
      <c r="N145" s="16"/>
      <c r="O145" s="16"/>
      <c r="P145" s="64"/>
      <c r="Q145" s="46"/>
      <c r="R145" s="46"/>
      <c r="S145" s="39"/>
      <c r="T145" s="16"/>
      <c r="U145" s="16"/>
      <c r="V145" s="16"/>
      <c r="W145" s="16"/>
      <c r="X145" s="16"/>
      <c r="Y145" s="19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43">
        <f>A133</f>
        <v>46000</v>
      </c>
      <c r="AQ145" s="10"/>
      <c r="AR145" s="11"/>
    </row>
    <row r="146" spans="1:45" s="2" customFormat="1" ht="17.25" customHeight="1" thickBot="1" x14ac:dyDescent="0.3">
      <c r="A146" s="56"/>
      <c r="B146" s="101" t="s">
        <v>102</v>
      </c>
      <c r="C146" s="102">
        <f>D147+E147+F147+G147+H147+I147+J147+M147+P147</f>
        <v>115961.27954000002</v>
      </c>
      <c r="D146" s="84"/>
      <c r="E146" s="85"/>
      <c r="F146" s="85"/>
      <c r="G146" s="85"/>
      <c r="H146" s="85"/>
      <c r="I146" s="85"/>
      <c r="J146" s="85"/>
      <c r="K146" s="28"/>
      <c r="L146" s="28"/>
      <c r="M146" s="85"/>
      <c r="N146" s="28"/>
      <c r="O146" s="28"/>
      <c r="P146" s="85"/>
      <c r="Q146" s="48"/>
      <c r="R146" s="48"/>
      <c r="S146" s="51"/>
      <c r="T146" s="28"/>
      <c r="U146" s="28"/>
      <c r="V146" s="28"/>
      <c r="W146" s="28"/>
      <c r="X146" s="28"/>
      <c r="Y146" s="36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42">
        <f>SUM($Q132:AN146)</f>
        <v>-417735.31000000006</v>
      </c>
      <c r="AQ146" s="10"/>
      <c r="AR146" s="11"/>
      <c r="AS146" s="2" t="s">
        <v>5</v>
      </c>
    </row>
    <row r="147" spans="1:45" s="2" customFormat="1" ht="17.25" customHeight="1" thickTop="1" thickBot="1" x14ac:dyDescent="0.3">
      <c r="A147" s="103"/>
      <c r="B147" s="104" t="s">
        <v>103</v>
      </c>
      <c r="C147" s="105">
        <f>AO147</f>
        <v>-301774.03046000004</v>
      </c>
      <c r="D147" s="106">
        <f t="shared" ref="D147:K147" si="16">SUM(D132:D146)</f>
        <v>9702.1970400000155</v>
      </c>
      <c r="E147" s="107">
        <f t="shared" si="16"/>
        <v>-26961.61</v>
      </c>
      <c r="F147" s="107">
        <f t="shared" si="16"/>
        <v>0</v>
      </c>
      <c r="G147" s="107">
        <f t="shared" si="16"/>
        <v>0</v>
      </c>
      <c r="H147" s="107">
        <f t="shared" si="16"/>
        <v>45555.872499999998</v>
      </c>
      <c r="I147" s="107">
        <f t="shared" si="16"/>
        <v>12231</v>
      </c>
      <c r="J147" s="107">
        <f t="shared" si="16"/>
        <v>0</v>
      </c>
      <c r="K147" s="108">
        <f t="shared" si="16"/>
        <v>4568</v>
      </c>
      <c r="L147" s="109">
        <f>M147/K147</f>
        <v>5.0549715411558669</v>
      </c>
      <c r="M147" s="107">
        <f>ROUND(SUM(M132:M146),2)</f>
        <v>23091.11</v>
      </c>
      <c r="N147" s="108">
        <f>SUM(N132:N146)</f>
        <v>14339</v>
      </c>
      <c r="O147" s="109">
        <f>P147/N147</f>
        <v>3.6503738057047213</v>
      </c>
      <c r="P147" s="107">
        <f>ROUND(SUM(P132:P146),2)</f>
        <v>52342.71</v>
      </c>
      <c r="Q147" s="110">
        <f t="shared" ref="Q147:AN147" si="17">SUM(Q132:Q146)</f>
        <v>-461535.23000000004</v>
      </c>
      <c r="R147" s="107">
        <f t="shared" si="17"/>
        <v>50229.299999999996</v>
      </c>
      <c r="S147" s="107">
        <f t="shared" si="17"/>
        <v>0</v>
      </c>
      <c r="T147" s="107">
        <f t="shared" si="17"/>
        <v>-6429.38</v>
      </c>
      <c r="U147" s="107">
        <f t="shared" si="17"/>
        <v>0</v>
      </c>
      <c r="V147" s="107">
        <f t="shared" si="17"/>
        <v>0</v>
      </c>
      <c r="W147" s="107">
        <f t="shared" si="17"/>
        <v>0</v>
      </c>
      <c r="X147" s="107">
        <f t="shared" si="17"/>
        <v>0</v>
      </c>
      <c r="Y147" s="107">
        <f t="shared" si="17"/>
        <v>0</v>
      </c>
      <c r="Z147" s="107">
        <f t="shared" si="17"/>
        <v>0</v>
      </c>
      <c r="AA147" s="107">
        <f t="shared" si="17"/>
        <v>0</v>
      </c>
      <c r="AB147" s="107">
        <f t="shared" si="17"/>
        <v>0</v>
      </c>
      <c r="AC147" s="107">
        <f t="shared" si="17"/>
        <v>0</v>
      </c>
      <c r="AD147" s="107">
        <f t="shared" si="17"/>
        <v>0</v>
      </c>
      <c r="AE147" s="107">
        <f t="shared" si="17"/>
        <v>0</v>
      </c>
      <c r="AF147" s="107">
        <f t="shared" si="17"/>
        <v>0</v>
      </c>
      <c r="AG147" s="107">
        <f t="shared" si="17"/>
        <v>0</v>
      </c>
      <c r="AH147" s="107">
        <f t="shared" si="17"/>
        <v>0</v>
      </c>
      <c r="AI147" s="107">
        <f t="shared" si="17"/>
        <v>0</v>
      </c>
      <c r="AJ147" s="107">
        <f t="shared" si="17"/>
        <v>0</v>
      </c>
      <c r="AK147" s="107">
        <f t="shared" si="17"/>
        <v>0</v>
      </c>
      <c r="AL147" s="107">
        <f t="shared" si="17"/>
        <v>0</v>
      </c>
      <c r="AM147" s="107">
        <f t="shared" si="17"/>
        <v>0</v>
      </c>
      <c r="AN147" s="107">
        <f t="shared" si="17"/>
        <v>0</v>
      </c>
      <c r="AO147" s="111">
        <f>D147+E147+F147+G147+H147+I147+J147+M147+P147+SUM(Q147:AN147)</f>
        <v>-301774.03046000004</v>
      </c>
      <c r="AP147" s="4"/>
      <c r="AQ147" s="5"/>
      <c r="AR147" s="5"/>
      <c r="AS147" s="2" t="s">
        <v>6</v>
      </c>
    </row>
    <row r="148" spans="1:45" s="2" customFormat="1" ht="17.25" customHeight="1" thickTop="1" x14ac:dyDescent="0.25">
      <c r="A148" s="23">
        <f>A133+1</f>
        <v>46001</v>
      </c>
      <c r="B148" s="210" t="s">
        <v>64</v>
      </c>
      <c r="C148" s="203"/>
      <c r="D148" s="63">
        <v>11944.75</v>
      </c>
      <c r="E148" s="66"/>
      <c r="F148" s="66"/>
      <c r="G148" s="66"/>
      <c r="H148" s="66"/>
      <c r="I148" s="66">
        <f>-D148</f>
        <v>-11944.75</v>
      </c>
      <c r="J148" s="66"/>
      <c r="K148" s="18"/>
      <c r="L148" s="18"/>
      <c r="M148" s="66"/>
      <c r="N148" s="18"/>
      <c r="O148" s="18"/>
      <c r="P148" s="66"/>
      <c r="Q148" s="46"/>
      <c r="R148" s="46"/>
      <c r="S148" s="45"/>
      <c r="T148" s="18"/>
      <c r="U148" s="18"/>
      <c r="V148" s="18"/>
      <c r="W148" s="18"/>
      <c r="X148" s="18"/>
      <c r="Y148" s="14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31"/>
      <c r="AQ148" s="10"/>
      <c r="AR148" s="27"/>
    </row>
    <row r="149" spans="1:45" s="4" customFormat="1" ht="17.25" customHeight="1" x14ac:dyDescent="0.25">
      <c r="A149" s="23"/>
      <c r="B149" s="201" t="s">
        <v>96</v>
      </c>
      <c r="C149" s="202"/>
      <c r="D149" s="63"/>
      <c r="E149" s="64"/>
      <c r="F149" s="64"/>
      <c r="G149" s="64"/>
      <c r="H149" s="64"/>
      <c r="I149" s="64">
        <f>-I147-I148</f>
        <v>-286.25</v>
      </c>
      <c r="J149" s="64"/>
      <c r="K149" s="16"/>
      <c r="L149" s="92"/>
      <c r="M149" s="64"/>
      <c r="N149" s="16"/>
      <c r="O149" s="92"/>
      <c r="P149" s="64"/>
      <c r="Q149" s="40"/>
      <c r="R149" s="46"/>
      <c r="S149" s="39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22"/>
      <c r="AP149" s="30"/>
    </row>
    <row r="150" spans="1:45" s="2" customFormat="1" ht="17.25" customHeight="1" x14ac:dyDescent="0.2">
      <c r="A150" s="23"/>
      <c r="B150" s="205" t="s">
        <v>432</v>
      </c>
      <c r="C150" s="206"/>
      <c r="D150" s="63">
        <v>-21600</v>
      </c>
      <c r="E150" s="64"/>
      <c r="F150" s="74"/>
      <c r="G150" s="74"/>
      <c r="H150" s="64"/>
      <c r="I150" s="64"/>
      <c r="J150" s="64"/>
      <c r="K150" s="16"/>
      <c r="L150" s="16"/>
      <c r="M150" s="64"/>
      <c r="N150" s="16"/>
      <c r="O150" s="16"/>
      <c r="P150" s="64"/>
      <c r="Q150" s="46">
        <f>-D150</f>
        <v>21600</v>
      </c>
      <c r="R150" s="39"/>
      <c r="S150" s="40"/>
      <c r="T150" s="16"/>
      <c r="U150" s="16"/>
      <c r="V150" s="16"/>
      <c r="W150" s="16"/>
      <c r="X150" s="16"/>
      <c r="Y150" s="19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35"/>
      <c r="AQ150" s="10"/>
      <c r="AR150" s="27"/>
    </row>
    <row r="151" spans="1:45" s="2" customFormat="1" ht="17.25" customHeight="1" x14ac:dyDescent="0.25">
      <c r="A151" s="29"/>
      <c r="B151" s="201" t="s">
        <v>276</v>
      </c>
      <c r="C151" s="202"/>
      <c r="D151" s="63">
        <v>-4.9000000000000004</v>
      </c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47"/>
      <c r="R151" s="39"/>
      <c r="S151" s="39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22"/>
      <c r="AQ151" s="10" t="s">
        <v>4</v>
      </c>
      <c r="AR151" s="11" t="e">
        <v>#REF!</v>
      </c>
    </row>
    <row r="152" spans="1:45" s="2" customFormat="1" ht="17.25" customHeight="1" x14ac:dyDescent="0.25">
      <c r="A152" s="24"/>
      <c r="B152" s="201" t="s">
        <v>13</v>
      </c>
      <c r="C152" s="203"/>
      <c r="D152" s="63"/>
      <c r="E152" s="64">
        <f>-E147-40441.8+1577.79+188.82+110.28+168.3+14800</f>
        <v>3364.9999999999982</v>
      </c>
      <c r="F152" s="74"/>
      <c r="G152" s="74"/>
      <c r="H152" s="64">
        <f>-E152</f>
        <v>-3364.9999999999982</v>
      </c>
      <c r="I152" s="64"/>
      <c r="J152" s="64"/>
      <c r="K152" s="16"/>
      <c r="L152" s="16"/>
      <c r="M152" s="64"/>
      <c r="N152" s="16"/>
      <c r="O152" s="16"/>
      <c r="P152" s="64"/>
      <c r="Q152" s="46"/>
      <c r="R152" s="39"/>
      <c r="S152" s="40"/>
      <c r="T152" s="16"/>
      <c r="U152" s="16"/>
      <c r="V152" s="16"/>
      <c r="W152" s="16"/>
      <c r="X152" s="16"/>
      <c r="Y152" s="19"/>
      <c r="Z152" s="16"/>
      <c r="AA152" s="16"/>
      <c r="AB152" s="16"/>
      <c r="AC152" s="16"/>
      <c r="AD152" s="16"/>
      <c r="AE152" s="16"/>
      <c r="AF152" s="16"/>
      <c r="AG152" s="15"/>
      <c r="AH152" s="15"/>
      <c r="AI152" s="15"/>
      <c r="AJ152" s="15"/>
      <c r="AK152" s="15"/>
      <c r="AL152" s="15"/>
      <c r="AM152" s="15"/>
      <c r="AN152" s="16"/>
      <c r="AO152" s="22"/>
      <c r="AQ152" s="10"/>
      <c r="AR152" s="11"/>
    </row>
    <row r="153" spans="1:45" s="2" customFormat="1" ht="17.25" customHeight="1" x14ac:dyDescent="0.2">
      <c r="A153" s="23"/>
      <c r="B153" s="201" t="s">
        <v>20</v>
      </c>
      <c r="C153" s="203"/>
      <c r="D153" s="63"/>
      <c r="E153" s="64">
        <v>-1577.79</v>
      </c>
      <c r="F153" s="74"/>
      <c r="G153" s="74"/>
      <c r="H153" s="64"/>
      <c r="I153" s="64"/>
      <c r="J153" s="64"/>
      <c r="K153" s="16"/>
      <c r="L153" s="16"/>
      <c r="M153" s="64"/>
      <c r="N153" s="16"/>
      <c r="O153" s="16"/>
      <c r="P153" s="64"/>
      <c r="Q153" s="46"/>
      <c r="R153" s="39"/>
      <c r="S153" s="40"/>
      <c r="T153" s="16"/>
      <c r="U153" s="16"/>
      <c r="V153" s="16"/>
      <c r="W153" s="16"/>
      <c r="X153" s="16"/>
      <c r="Y153" s="19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35"/>
      <c r="AQ153" s="10"/>
      <c r="AR153" s="27"/>
    </row>
    <row r="154" spans="1:45" s="2" customFormat="1" ht="17.25" customHeight="1" x14ac:dyDescent="0.2">
      <c r="A154" s="23"/>
      <c r="B154" s="201" t="s">
        <v>183</v>
      </c>
      <c r="C154" s="203"/>
      <c r="D154" s="63"/>
      <c r="E154" s="64">
        <v>-188.82</v>
      </c>
      <c r="F154" s="74"/>
      <c r="G154" s="74"/>
      <c r="H154" s="64"/>
      <c r="I154" s="64"/>
      <c r="J154" s="64"/>
      <c r="K154" s="16"/>
      <c r="L154" s="16"/>
      <c r="M154" s="64"/>
      <c r="N154" s="16"/>
      <c r="O154" s="16"/>
      <c r="P154" s="64"/>
      <c r="Q154" s="46"/>
      <c r="R154" s="39"/>
      <c r="S154" s="40"/>
      <c r="T154" s="16"/>
      <c r="U154" s="16"/>
      <c r="V154" s="16"/>
      <c r="W154" s="16"/>
      <c r="X154" s="16"/>
      <c r="Y154" s="19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35"/>
      <c r="AQ154" s="10"/>
      <c r="AR154" s="27"/>
    </row>
    <row r="155" spans="1:45" s="2" customFormat="1" ht="17.25" customHeight="1" x14ac:dyDescent="0.2">
      <c r="A155" s="23"/>
      <c r="B155" s="201" t="s">
        <v>259</v>
      </c>
      <c r="C155" s="203"/>
      <c r="D155" s="63"/>
      <c r="E155" s="64">
        <v>-110.28</v>
      </c>
      <c r="F155" s="74"/>
      <c r="G155" s="74"/>
      <c r="H155" s="64"/>
      <c r="I155" s="64"/>
      <c r="J155" s="64"/>
      <c r="K155" s="16"/>
      <c r="L155" s="16"/>
      <c r="M155" s="64"/>
      <c r="N155" s="16"/>
      <c r="O155" s="16"/>
      <c r="P155" s="64"/>
      <c r="Q155" s="46"/>
      <c r="R155" s="39"/>
      <c r="S155" s="40"/>
      <c r="T155" s="16"/>
      <c r="U155" s="16"/>
      <c r="V155" s="16"/>
      <c r="W155" s="16"/>
      <c r="X155" s="16"/>
      <c r="Y155" s="19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35"/>
      <c r="AQ155" s="10"/>
      <c r="AR155" s="27"/>
    </row>
    <row r="156" spans="1:45" s="2" customFormat="1" ht="17.25" customHeight="1" x14ac:dyDescent="0.25">
      <c r="A156" s="24"/>
      <c r="B156" s="201" t="s">
        <v>29</v>
      </c>
      <c r="C156" s="203"/>
      <c r="D156" s="63"/>
      <c r="E156" s="64">
        <v>-168.3</v>
      </c>
      <c r="F156" s="64"/>
      <c r="G156" s="64"/>
      <c r="H156" s="64"/>
      <c r="I156" s="64"/>
      <c r="J156" s="64"/>
      <c r="K156" s="16"/>
      <c r="L156" s="16"/>
      <c r="M156" s="64"/>
      <c r="N156" s="16"/>
      <c r="O156" s="16"/>
      <c r="P156" s="64"/>
      <c r="Q156" s="46"/>
      <c r="R156" s="40"/>
      <c r="S156" s="39"/>
      <c r="T156" s="16"/>
      <c r="U156" s="16"/>
      <c r="V156" s="16"/>
      <c r="W156" s="16"/>
      <c r="X156" s="16"/>
      <c r="Y156" s="19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22"/>
      <c r="AQ156" s="10"/>
      <c r="AR156" s="11"/>
    </row>
    <row r="157" spans="1:45" s="2" customFormat="1" ht="17.25" customHeight="1" x14ac:dyDescent="0.2">
      <c r="A157" s="23"/>
      <c r="B157" s="205" t="s">
        <v>432</v>
      </c>
      <c r="C157" s="206"/>
      <c r="D157" s="63"/>
      <c r="E157" s="64">
        <v>-14800</v>
      </c>
      <c r="F157" s="74"/>
      <c r="G157" s="74"/>
      <c r="H157" s="64"/>
      <c r="I157" s="64"/>
      <c r="J157" s="64"/>
      <c r="K157" s="16"/>
      <c r="L157" s="16"/>
      <c r="M157" s="64"/>
      <c r="N157" s="16"/>
      <c r="O157" s="16"/>
      <c r="P157" s="64"/>
      <c r="Q157" s="46">
        <f>-E157</f>
        <v>14800</v>
      </c>
      <c r="R157" s="39"/>
      <c r="S157" s="40"/>
      <c r="T157" s="16"/>
      <c r="U157" s="16"/>
      <c r="V157" s="16"/>
      <c r="W157" s="16"/>
      <c r="X157" s="16"/>
      <c r="Y157" s="19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35"/>
      <c r="AQ157" s="10"/>
      <c r="AR157" s="27"/>
    </row>
    <row r="158" spans="1:45" s="2" customFormat="1" ht="17.25" customHeight="1" thickBot="1" x14ac:dyDescent="0.25">
      <c r="A158" s="24"/>
      <c r="B158" s="216"/>
      <c r="C158" s="217"/>
      <c r="D158" s="83"/>
      <c r="E158" s="81"/>
      <c r="F158" s="81"/>
      <c r="G158" s="81"/>
      <c r="H158" s="81"/>
      <c r="I158" s="81"/>
      <c r="J158" s="81"/>
      <c r="K158" s="37"/>
      <c r="L158" s="93"/>
      <c r="M158" s="81"/>
      <c r="N158" s="37"/>
      <c r="O158" s="93"/>
      <c r="P158" s="81"/>
      <c r="Q158" s="40"/>
      <c r="R158" s="40"/>
      <c r="S158" s="39"/>
      <c r="T158" s="16"/>
      <c r="U158" s="16"/>
      <c r="V158" s="16"/>
      <c r="W158" s="16"/>
      <c r="X158" s="16"/>
      <c r="Y158" s="19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41"/>
      <c r="AQ158" s="10"/>
      <c r="AR158" s="11"/>
    </row>
    <row r="159" spans="1:45" s="4" customFormat="1" ht="17.25" customHeight="1" x14ac:dyDescent="0.25">
      <c r="A159" s="23"/>
      <c r="B159" s="210" t="s">
        <v>94</v>
      </c>
      <c r="C159" s="203"/>
      <c r="D159" s="66"/>
      <c r="E159" s="66"/>
      <c r="F159" s="117"/>
      <c r="G159" s="117"/>
      <c r="H159" s="66"/>
      <c r="I159" s="66"/>
      <c r="J159" s="66">
        <f>-M159</f>
        <v>8564.4</v>
      </c>
      <c r="K159" s="58">
        <v>-1464</v>
      </c>
      <c r="L159" s="89">
        <v>5.85</v>
      </c>
      <c r="M159" s="73">
        <f>K159*L159</f>
        <v>-8564.4</v>
      </c>
      <c r="N159" s="58"/>
      <c r="O159" s="89"/>
      <c r="P159" s="73"/>
      <c r="Q159" s="39"/>
      <c r="R159" s="39"/>
      <c r="S159" s="8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35"/>
      <c r="AP159" s="12" t="e">
        <f>#REF!</f>
        <v>#REF!</v>
      </c>
    </row>
    <row r="160" spans="1:45" s="4" customFormat="1" ht="17.25" customHeight="1" x14ac:dyDescent="0.25">
      <c r="A160" s="23"/>
      <c r="B160" s="201" t="s">
        <v>95</v>
      </c>
      <c r="C160" s="202"/>
      <c r="D160" s="64"/>
      <c r="E160" s="64"/>
      <c r="F160" s="117"/>
      <c r="G160" s="117"/>
      <c r="H160" s="64"/>
      <c r="I160" s="64"/>
      <c r="J160" s="64">
        <f>-P160</f>
        <v>8633.2800000000007</v>
      </c>
      <c r="K160" s="57"/>
      <c r="L160" s="88"/>
      <c r="M160" s="62"/>
      <c r="N160" s="57">
        <v>-2208</v>
      </c>
      <c r="O160" s="88">
        <v>3.91</v>
      </c>
      <c r="P160" s="62">
        <f>N160*O160</f>
        <v>-8633.2800000000007</v>
      </c>
      <c r="Q160" s="39"/>
      <c r="R160" s="39"/>
      <c r="S160" s="8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35"/>
      <c r="AP160" s="12" t="e">
        <f>#REF!</f>
        <v>#REF!</v>
      </c>
    </row>
    <row r="161" spans="1:46" s="4" customFormat="1" ht="17.25" customHeight="1" x14ac:dyDescent="0.25">
      <c r="A161" s="23"/>
      <c r="B161" s="201" t="s">
        <v>97</v>
      </c>
      <c r="C161" s="203"/>
      <c r="D161" s="64"/>
      <c r="E161" s="64"/>
      <c r="F161" s="64"/>
      <c r="G161" s="64"/>
      <c r="H161" s="64">
        <f>-J161-I161</f>
        <v>6452.74</v>
      </c>
      <c r="I161" s="64">
        <v>10744.94</v>
      </c>
      <c r="J161" s="64">
        <f>-SUM(J159:J160)</f>
        <v>-17197.68</v>
      </c>
      <c r="K161" s="57"/>
      <c r="L161" s="88"/>
      <c r="M161" s="62"/>
      <c r="N161" s="57"/>
      <c r="O161" s="88"/>
      <c r="P161" s="62"/>
      <c r="Q161" s="39"/>
      <c r="R161" s="39"/>
      <c r="S161" s="39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22"/>
      <c r="AO161" s="43">
        <f>A129</f>
        <v>0</v>
      </c>
      <c r="AP161" s="12" t="e">
        <f>#REF!</f>
        <v>#REF!</v>
      </c>
      <c r="AT161" s="2"/>
    </row>
    <row r="162" spans="1:46" s="4" customFormat="1" ht="17.25" customHeight="1" x14ac:dyDescent="0.25">
      <c r="A162" s="23"/>
      <c r="B162" s="201" t="s">
        <v>93</v>
      </c>
      <c r="C162" s="202"/>
      <c r="D162" s="64"/>
      <c r="E162" s="64"/>
      <c r="F162" s="64"/>
      <c r="G162" s="64"/>
      <c r="H162" s="64"/>
      <c r="I162" s="64"/>
      <c r="J162" s="64"/>
      <c r="K162" s="57">
        <v>24</v>
      </c>
      <c r="L162" s="88"/>
      <c r="M162" s="62">
        <f>(K165*M147/K147)-M147-M159</f>
        <v>1285.2409807355507</v>
      </c>
      <c r="N162" s="57">
        <v>35</v>
      </c>
      <c r="O162" s="88"/>
      <c r="P162" s="62">
        <f>(N165*P147/N147)-P147-P160</f>
        <v>701.01772020364479</v>
      </c>
      <c r="Q162" s="39"/>
      <c r="R162" s="39"/>
      <c r="S162" s="39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22"/>
      <c r="AO162" s="43">
        <f>A141</f>
        <v>0</v>
      </c>
      <c r="AP162" s="12" t="e">
        <f>#REF!</f>
        <v>#REF!</v>
      </c>
      <c r="AT162" s="2"/>
    </row>
    <row r="163" spans="1:46" s="2" customFormat="1" ht="17.25" customHeight="1" x14ac:dyDescent="0.2">
      <c r="A163" s="24"/>
      <c r="B163" s="201"/>
      <c r="C163" s="204"/>
      <c r="D163" s="63"/>
      <c r="E163" s="64"/>
      <c r="F163" s="64"/>
      <c r="G163" s="64"/>
      <c r="H163" s="64"/>
      <c r="I163" s="64"/>
      <c r="J163" s="64"/>
      <c r="K163" s="16"/>
      <c r="L163" s="16"/>
      <c r="M163" s="64"/>
      <c r="N163" s="16"/>
      <c r="O163" s="16"/>
      <c r="P163" s="64"/>
      <c r="Q163" s="46"/>
      <c r="R163" s="46"/>
      <c r="S163" s="39"/>
      <c r="T163" s="16"/>
      <c r="U163" s="16"/>
      <c r="V163" s="16"/>
      <c r="W163" s="16"/>
      <c r="X163" s="16"/>
      <c r="Y163" s="19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43">
        <f>A148</f>
        <v>46001</v>
      </c>
      <c r="AQ163" s="10"/>
      <c r="AR163" s="11"/>
    </row>
    <row r="164" spans="1:46" s="2" customFormat="1" ht="17.25" customHeight="1" thickBot="1" x14ac:dyDescent="0.3">
      <c r="A164" s="56"/>
      <c r="B164" s="101" t="s">
        <v>102</v>
      </c>
      <c r="C164" s="102">
        <f>D165+E165+F165+G165+H165+I165+J165+M165+P165</f>
        <v>79211.199540000001</v>
      </c>
      <c r="D164" s="84"/>
      <c r="E164" s="85"/>
      <c r="F164" s="85"/>
      <c r="G164" s="85"/>
      <c r="H164" s="85"/>
      <c r="I164" s="85"/>
      <c r="J164" s="85"/>
      <c r="K164" s="28"/>
      <c r="L164" s="28"/>
      <c r="M164" s="85"/>
      <c r="N164" s="28"/>
      <c r="O164" s="28"/>
      <c r="P164" s="85"/>
      <c r="Q164" s="48"/>
      <c r="R164" s="48"/>
      <c r="S164" s="51"/>
      <c r="T164" s="28"/>
      <c r="U164" s="28"/>
      <c r="V164" s="28"/>
      <c r="W164" s="28"/>
      <c r="X164" s="28"/>
      <c r="Y164" s="36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42">
        <f>SUM($Q147:AN164)</f>
        <v>-381335.31000000006</v>
      </c>
      <c r="AQ164" s="10"/>
      <c r="AR164" s="11"/>
      <c r="AS164" s="2" t="s">
        <v>5</v>
      </c>
    </row>
    <row r="165" spans="1:46" s="2" customFormat="1" ht="17.25" customHeight="1" thickTop="1" thickBot="1" x14ac:dyDescent="0.3">
      <c r="A165" s="103"/>
      <c r="B165" s="104" t="s">
        <v>103</v>
      </c>
      <c r="C165" s="105">
        <f>AO165</f>
        <v>-302124.11046000005</v>
      </c>
      <c r="D165" s="106">
        <f t="shared" ref="D165:K165" si="18">SUM(D147:D164)</f>
        <v>42.047040000013659</v>
      </c>
      <c r="E165" s="107">
        <f t="shared" si="18"/>
        <v>-40441.800000000003</v>
      </c>
      <c r="F165" s="107">
        <f t="shared" si="18"/>
        <v>0</v>
      </c>
      <c r="G165" s="107">
        <f t="shared" si="18"/>
        <v>0</v>
      </c>
      <c r="H165" s="107">
        <f t="shared" si="18"/>
        <v>48643.612499999996</v>
      </c>
      <c r="I165" s="107">
        <f t="shared" si="18"/>
        <v>10744.94</v>
      </c>
      <c r="J165" s="107">
        <f t="shared" si="18"/>
        <v>0</v>
      </c>
      <c r="K165" s="108">
        <f t="shared" si="18"/>
        <v>3128</v>
      </c>
      <c r="L165" s="109">
        <f>M165/K165</f>
        <v>5.0549712276214835</v>
      </c>
      <c r="M165" s="107">
        <f>ROUND(SUM(M147:M164),2)</f>
        <v>15811.95</v>
      </c>
      <c r="N165" s="108">
        <f>SUM(N147:N164)</f>
        <v>12166</v>
      </c>
      <c r="O165" s="109">
        <f>P165/N165</f>
        <v>3.6503739930955117</v>
      </c>
      <c r="P165" s="107">
        <f>ROUND(SUM(P147:P164),2)</f>
        <v>44410.45</v>
      </c>
      <c r="Q165" s="110">
        <f t="shared" ref="Q165:AN165" si="19">SUM(Q147:Q164)</f>
        <v>-425135.23000000004</v>
      </c>
      <c r="R165" s="107">
        <f t="shared" si="19"/>
        <v>50229.299999999996</v>
      </c>
      <c r="S165" s="107">
        <f t="shared" si="19"/>
        <v>0</v>
      </c>
      <c r="T165" s="107">
        <f t="shared" si="19"/>
        <v>-6429.38</v>
      </c>
      <c r="U165" s="107">
        <f t="shared" si="19"/>
        <v>0</v>
      </c>
      <c r="V165" s="107">
        <f t="shared" si="19"/>
        <v>0</v>
      </c>
      <c r="W165" s="107">
        <f t="shared" si="19"/>
        <v>0</v>
      </c>
      <c r="X165" s="107">
        <f t="shared" si="19"/>
        <v>0</v>
      </c>
      <c r="Y165" s="107">
        <f t="shared" si="19"/>
        <v>0</v>
      </c>
      <c r="Z165" s="107">
        <f t="shared" si="19"/>
        <v>0</v>
      </c>
      <c r="AA165" s="107">
        <f t="shared" si="19"/>
        <v>0</v>
      </c>
      <c r="AB165" s="107">
        <f t="shared" si="19"/>
        <v>0</v>
      </c>
      <c r="AC165" s="107">
        <f t="shared" si="19"/>
        <v>0</v>
      </c>
      <c r="AD165" s="107">
        <f t="shared" si="19"/>
        <v>0</v>
      </c>
      <c r="AE165" s="107">
        <f t="shared" si="19"/>
        <v>0</v>
      </c>
      <c r="AF165" s="107">
        <f t="shared" si="19"/>
        <v>0</v>
      </c>
      <c r="AG165" s="107">
        <f t="shared" si="19"/>
        <v>0</v>
      </c>
      <c r="AH165" s="107">
        <f t="shared" si="19"/>
        <v>0</v>
      </c>
      <c r="AI165" s="107">
        <f t="shared" si="19"/>
        <v>0</v>
      </c>
      <c r="AJ165" s="107">
        <f t="shared" si="19"/>
        <v>0</v>
      </c>
      <c r="AK165" s="107">
        <f t="shared" si="19"/>
        <v>0</v>
      </c>
      <c r="AL165" s="107">
        <f t="shared" si="19"/>
        <v>0</v>
      </c>
      <c r="AM165" s="107">
        <f t="shared" si="19"/>
        <v>0</v>
      </c>
      <c r="AN165" s="107">
        <f t="shared" si="19"/>
        <v>0</v>
      </c>
      <c r="AO165" s="111">
        <f>D165+E165+F165+G165+H165+I165+J165+M165+P165+SUM(Q165:AN165)</f>
        <v>-302124.11046000005</v>
      </c>
      <c r="AP165" s="4"/>
      <c r="AQ165" s="5"/>
      <c r="AR165" s="5"/>
      <c r="AS165" s="2" t="s">
        <v>6</v>
      </c>
    </row>
    <row r="166" spans="1:46" s="2" customFormat="1" ht="17.25" customHeight="1" thickTop="1" x14ac:dyDescent="0.25">
      <c r="A166" s="29">
        <f>A148+1</f>
        <v>46002</v>
      </c>
      <c r="B166" s="210" t="s">
        <v>64</v>
      </c>
      <c r="C166" s="203"/>
      <c r="D166" s="63">
        <v>10491.76</v>
      </c>
      <c r="E166" s="66"/>
      <c r="F166" s="66"/>
      <c r="G166" s="66"/>
      <c r="H166" s="66"/>
      <c r="I166" s="66">
        <f>-D166</f>
        <v>-10491.76</v>
      </c>
      <c r="J166" s="66"/>
      <c r="K166" s="18"/>
      <c r="L166" s="18"/>
      <c r="M166" s="66"/>
      <c r="N166" s="18"/>
      <c r="O166" s="18"/>
      <c r="P166" s="66"/>
      <c r="Q166" s="46"/>
      <c r="R166" s="46"/>
      <c r="S166" s="45"/>
      <c r="T166" s="18"/>
      <c r="U166" s="18"/>
      <c r="V166" s="18"/>
      <c r="W166" s="18"/>
      <c r="X166" s="18"/>
      <c r="Y166" s="14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31"/>
      <c r="AQ166" s="10"/>
      <c r="AR166" s="27"/>
    </row>
    <row r="167" spans="1:46" s="4" customFormat="1" ht="17.25" customHeight="1" x14ac:dyDescent="0.25">
      <c r="A167" s="29"/>
      <c r="B167" s="201" t="s">
        <v>96</v>
      </c>
      <c r="C167" s="202"/>
      <c r="D167" s="63"/>
      <c r="E167" s="64"/>
      <c r="F167" s="64"/>
      <c r="G167" s="64"/>
      <c r="H167" s="64"/>
      <c r="I167" s="64">
        <f>-I165-I166</f>
        <v>-253.18000000000029</v>
      </c>
      <c r="J167" s="64"/>
      <c r="K167" s="16"/>
      <c r="L167" s="92"/>
      <c r="M167" s="64"/>
      <c r="N167" s="16"/>
      <c r="O167" s="92"/>
      <c r="P167" s="64"/>
      <c r="Q167" s="40"/>
      <c r="R167" s="46"/>
      <c r="S167" s="39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22"/>
      <c r="AP167" s="30"/>
    </row>
    <row r="168" spans="1:46" s="2" customFormat="1" ht="17.25" customHeight="1" x14ac:dyDescent="0.25">
      <c r="A168" s="29"/>
      <c r="B168" s="205" t="s">
        <v>430</v>
      </c>
      <c r="C168" s="250"/>
      <c r="D168" s="63">
        <v>40600</v>
      </c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47">
        <f>-D168</f>
        <v>-40600</v>
      </c>
      <c r="R168" s="39"/>
      <c r="S168" s="39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22"/>
      <c r="AQ168" s="10" t="s">
        <v>4</v>
      </c>
      <c r="AR168" s="11" t="e">
        <v>#REF!</v>
      </c>
    </row>
    <row r="169" spans="1:46" s="2" customFormat="1" ht="17.25" customHeight="1" x14ac:dyDescent="0.25">
      <c r="A169" s="29"/>
      <c r="B169" s="201" t="s">
        <v>309</v>
      </c>
      <c r="C169" s="202"/>
      <c r="D169" s="63">
        <f>-D168*0.008</f>
        <v>-324.8</v>
      </c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47"/>
      <c r="R169" s="39"/>
      <c r="S169" s="39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22"/>
      <c r="AQ169" s="10" t="s">
        <v>4</v>
      </c>
      <c r="AR169" s="11" t="e">
        <v>#REF!</v>
      </c>
    </row>
    <row r="170" spans="1:46" s="4" customFormat="1" ht="17.25" customHeight="1" x14ac:dyDescent="0.25">
      <c r="A170" s="23"/>
      <c r="B170" s="201" t="s">
        <v>13</v>
      </c>
      <c r="C170" s="203"/>
      <c r="D170" s="63"/>
      <c r="E170" s="64">
        <f>-E165-38702.3</f>
        <v>1739.5</v>
      </c>
      <c r="F170" s="64"/>
      <c r="G170" s="64"/>
      <c r="H170" s="64">
        <f>-E170</f>
        <v>-1739.5</v>
      </c>
      <c r="I170" s="66"/>
      <c r="J170" s="64"/>
      <c r="K170" s="16"/>
      <c r="L170" s="92"/>
      <c r="M170" s="64"/>
      <c r="N170" s="16"/>
      <c r="O170" s="92"/>
      <c r="P170" s="64"/>
      <c r="Q170" s="40"/>
      <c r="R170" s="46">
        <f>-D170</f>
        <v>0</v>
      </c>
      <c r="S170" s="39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22"/>
      <c r="AP170" s="30"/>
    </row>
    <row r="171" spans="1:46" s="2" customFormat="1" ht="17.25" customHeight="1" x14ac:dyDescent="0.25">
      <c r="A171" s="24"/>
      <c r="B171" s="205" t="s">
        <v>350</v>
      </c>
      <c r="C171" s="206"/>
      <c r="D171" s="64">
        <f>-M171</f>
        <v>0</v>
      </c>
      <c r="E171" s="64"/>
      <c r="F171" s="64"/>
      <c r="G171" s="64"/>
      <c r="H171" s="64"/>
      <c r="I171" s="64"/>
      <c r="J171" s="64"/>
      <c r="K171" s="57"/>
      <c r="L171" s="88"/>
      <c r="M171" s="62"/>
      <c r="N171" s="57">
        <v>15000</v>
      </c>
      <c r="O171" s="88">
        <v>3.67</v>
      </c>
      <c r="P171" s="62">
        <f>N171*O171</f>
        <v>55050</v>
      </c>
      <c r="Q171" s="39">
        <f>-P171</f>
        <v>-55050</v>
      </c>
      <c r="R171" s="39"/>
      <c r="S171" s="39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22"/>
      <c r="AQ171" s="10"/>
      <c r="AR171" s="11"/>
    </row>
    <row r="172" spans="1:46" s="2" customFormat="1" ht="17.25" customHeight="1" thickBot="1" x14ac:dyDescent="0.25">
      <c r="A172" s="24"/>
      <c r="B172" s="216"/>
      <c r="C172" s="242"/>
      <c r="D172" s="83"/>
      <c r="E172" s="81"/>
      <c r="F172" s="81"/>
      <c r="G172" s="81"/>
      <c r="H172" s="81"/>
      <c r="I172" s="81"/>
      <c r="J172" s="81"/>
      <c r="K172" s="37"/>
      <c r="L172" s="93"/>
      <c r="M172" s="81"/>
      <c r="N172" s="37"/>
      <c r="O172" s="93"/>
      <c r="P172" s="81"/>
      <c r="Q172" s="40"/>
      <c r="R172" s="40"/>
      <c r="S172" s="39"/>
      <c r="T172" s="16"/>
      <c r="U172" s="16"/>
      <c r="V172" s="16"/>
      <c r="W172" s="16"/>
      <c r="X172" s="16"/>
      <c r="Y172" s="19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41"/>
      <c r="AQ172" s="10"/>
      <c r="AR172" s="11"/>
    </row>
    <row r="173" spans="1:46" s="4" customFormat="1" ht="17.25" customHeight="1" x14ac:dyDescent="0.25">
      <c r="A173" s="23"/>
      <c r="B173" s="248" t="s">
        <v>94</v>
      </c>
      <c r="C173" s="249"/>
      <c r="D173" s="66"/>
      <c r="E173" s="66"/>
      <c r="F173" s="117"/>
      <c r="G173" s="117"/>
      <c r="H173" s="66"/>
      <c r="I173" s="66"/>
      <c r="J173" s="66">
        <f>-M173</f>
        <v>8716.5</v>
      </c>
      <c r="K173" s="58">
        <v>-1490</v>
      </c>
      <c r="L173" s="89">
        <v>5.85</v>
      </c>
      <c r="M173" s="73">
        <f>K173*L173</f>
        <v>-8716.5</v>
      </c>
      <c r="N173" s="58"/>
      <c r="O173" s="89"/>
      <c r="P173" s="73"/>
      <c r="Q173" s="39"/>
      <c r="R173" s="39"/>
      <c r="S173" s="8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35"/>
      <c r="AP173" s="12" t="e">
        <f>#REF!</f>
        <v>#REF!</v>
      </c>
    </row>
    <row r="174" spans="1:46" s="4" customFormat="1" ht="17.25" customHeight="1" x14ac:dyDescent="0.25">
      <c r="A174" s="23"/>
      <c r="B174" s="201" t="s">
        <v>95</v>
      </c>
      <c r="C174" s="202"/>
      <c r="D174" s="64"/>
      <c r="E174" s="64"/>
      <c r="F174" s="117"/>
      <c r="G174" s="117"/>
      <c r="H174" s="64"/>
      <c r="I174" s="64"/>
      <c r="J174" s="64">
        <f>-P174</f>
        <v>9360.5400000000009</v>
      </c>
      <c r="K174" s="57"/>
      <c r="L174" s="88"/>
      <c r="M174" s="62"/>
      <c r="N174" s="57">
        <v>-2394</v>
      </c>
      <c r="O174" s="88">
        <v>3.91</v>
      </c>
      <c r="P174" s="62">
        <f>N174*O174</f>
        <v>-9360.5400000000009</v>
      </c>
      <c r="Q174" s="39"/>
      <c r="R174" s="39"/>
      <c r="S174" s="8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35"/>
      <c r="AP174" s="12" t="e">
        <f>#REF!</f>
        <v>#REF!</v>
      </c>
    </row>
    <row r="175" spans="1:46" s="4" customFormat="1" ht="17.25" customHeight="1" x14ac:dyDescent="0.25">
      <c r="A175" s="23"/>
      <c r="B175" s="201" t="s">
        <v>97</v>
      </c>
      <c r="C175" s="202"/>
      <c r="D175" s="64"/>
      <c r="E175" s="64"/>
      <c r="F175" s="64"/>
      <c r="G175" s="64"/>
      <c r="H175" s="64">
        <f>-J175-I175</f>
        <v>6193.7100000000009</v>
      </c>
      <c r="I175" s="64">
        <v>11883.33</v>
      </c>
      <c r="J175" s="64">
        <f>-SUM(J173:J174)</f>
        <v>-18077.04</v>
      </c>
      <c r="K175" s="57"/>
      <c r="L175" s="88"/>
      <c r="M175" s="62"/>
      <c r="N175" s="57"/>
      <c r="O175" s="88"/>
      <c r="P175" s="62"/>
      <c r="Q175" s="39"/>
      <c r="R175" s="39"/>
      <c r="S175" s="39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22"/>
      <c r="AO175" s="43">
        <f>A144</f>
        <v>0</v>
      </c>
      <c r="AP175" s="12" t="e">
        <f>#REF!</f>
        <v>#REF!</v>
      </c>
      <c r="AT175" s="2"/>
    </row>
    <row r="176" spans="1:46" s="4" customFormat="1" ht="17.25" customHeight="1" x14ac:dyDescent="0.25">
      <c r="A176" s="23"/>
      <c r="B176" s="201" t="s">
        <v>93</v>
      </c>
      <c r="C176" s="202"/>
      <c r="D176" s="64"/>
      <c r="E176" s="64"/>
      <c r="F176" s="64"/>
      <c r="G176" s="64"/>
      <c r="H176" s="64"/>
      <c r="I176" s="64"/>
      <c r="J176" s="64"/>
      <c r="K176" s="57">
        <v>-69</v>
      </c>
      <c r="L176" s="88"/>
      <c r="M176" s="62">
        <f>(K179*M165/K165)-M165-M173</f>
        <v>835.79985613810732</v>
      </c>
      <c r="N176" s="57">
        <v>128</v>
      </c>
      <c r="O176" s="88"/>
      <c r="P176" s="62">
        <f>(N179*(P165+P171)/(N165+N171))-P165-P174-P171</f>
        <v>1064.2365434734602</v>
      </c>
      <c r="Q176" s="39"/>
      <c r="R176" s="39"/>
      <c r="S176" s="39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22"/>
      <c r="AO176" s="43">
        <f>A159</f>
        <v>0</v>
      </c>
      <c r="AP176" s="12" t="e">
        <f>#REF!</f>
        <v>#REF!</v>
      </c>
      <c r="AT176" s="2"/>
    </row>
    <row r="177" spans="1:46" s="2" customFormat="1" ht="17.25" customHeight="1" x14ac:dyDescent="0.2">
      <c r="A177" s="24"/>
      <c r="B177" s="201" t="s">
        <v>110</v>
      </c>
      <c r="C177" s="204"/>
      <c r="D177" s="63"/>
      <c r="E177" s="64"/>
      <c r="F177" s="64"/>
      <c r="G177" s="64"/>
      <c r="H177" s="64"/>
      <c r="I177" s="64"/>
      <c r="J177" s="64"/>
      <c r="K177" s="16"/>
      <c r="L177" s="16"/>
      <c r="M177" s="64"/>
      <c r="N177" s="16"/>
      <c r="O177" s="16"/>
      <c r="P177" s="64"/>
      <c r="Q177" s="46"/>
      <c r="R177" s="46">
        <f>-I177</f>
        <v>0</v>
      </c>
      <c r="S177" s="39"/>
      <c r="T177" s="16"/>
      <c r="U177" s="16"/>
      <c r="V177" s="16"/>
      <c r="W177" s="16"/>
      <c r="X177" s="16"/>
      <c r="Y177" s="19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43">
        <f>A166</f>
        <v>46002</v>
      </c>
      <c r="AQ177" s="10"/>
      <c r="AR177" s="11"/>
    </row>
    <row r="178" spans="1:46" s="2" customFormat="1" ht="17.25" customHeight="1" thickBot="1" x14ac:dyDescent="0.3">
      <c r="A178" s="56"/>
      <c r="B178" s="101" t="s">
        <v>102</v>
      </c>
      <c r="C178" s="102">
        <f>D179+E179+F179+G179+H179+I179+J179+M179+P179</f>
        <v>176183.25954</v>
      </c>
      <c r="D178" s="84"/>
      <c r="E178" s="85"/>
      <c r="F178" s="85"/>
      <c r="G178" s="85"/>
      <c r="H178" s="85"/>
      <c r="I178" s="85"/>
      <c r="J178" s="85"/>
      <c r="K178" s="28"/>
      <c r="L178" s="28"/>
      <c r="M178" s="85"/>
      <c r="N178" s="28"/>
      <c r="O178" s="28"/>
      <c r="P178" s="85"/>
      <c r="Q178" s="48"/>
      <c r="R178" s="48"/>
      <c r="S178" s="51"/>
      <c r="T178" s="28"/>
      <c r="U178" s="28"/>
      <c r="V178" s="28"/>
      <c r="W178" s="28"/>
      <c r="X178" s="28"/>
      <c r="Y178" s="36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42">
        <f>SUM($Q165:AN178)</f>
        <v>-476985.31000000006</v>
      </c>
      <c r="AQ178" s="10"/>
      <c r="AR178" s="11"/>
      <c r="AS178" s="2" t="s">
        <v>5</v>
      </c>
    </row>
    <row r="179" spans="1:46" s="2" customFormat="1" ht="17.25" customHeight="1" thickTop="1" thickBot="1" x14ac:dyDescent="0.3">
      <c r="A179" s="103"/>
      <c r="B179" s="104" t="s">
        <v>103</v>
      </c>
      <c r="C179" s="105">
        <f>AO179</f>
        <v>-300802.05046000006</v>
      </c>
      <c r="D179" s="106">
        <f t="shared" ref="D179:K179" si="20">SUM(D165:D178)</f>
        <v>50809.007040000011</v>
      </c>
      <c r="E179" s="107">
        <f t="shared" si="20"/>
        <v>-38702.300000000003</v>
      </c>
      <c r="F179" s="107">
        <f t="shared" si="20"/>
        <v>0</v>
      </c>
      <c r="G179" s="107">
        <f t="shared" si="20"/>
        <v>0</v>
      </c>
      <c r="H179" s="107">
        <f t="shared" si="20"/>
        <v>53097.822499999995</v>
      </c>
      <c r="I179" s="107">
        <f t="shared" si="20"/>
        <v>11883.33</v>
      </c>
      <c r="J179" s="107">
        <f t="shared" si="20"/>
        <v>0</v>
      </c>
      <c r="K179" s="108">
        <f t="shared" si="20"/>
        <v>1569</v>
      </c>
      <c r="L179" s="109">
        <f>M179/K179</f>
        <v>5.0549713193116634</v>
      </c>
      <c r="M179" s="107">
        <f>ROUND(SUM(M165:M178),2)</f>
        <v>7931.25</v>
      </c>
      <c r="N179" s="108">
        <f>SUM(N165:N178)</f>
        <v>24900</v>
      </c>
      <c r="O179" s="109">
        <f>P179/N179</f>
        <v>3.6612108433734938</v>
      </c>
      <c r="P179" s="107">
        <f>ROUND(SUM(P165:P178),2)</f>
        <v>91164.15</v>
      </c>
      <c r="Q179" s="110">
        <f t="shared" ref="Q179:AN179" si="21">SUM(Q165:Q178)</f>
        <v>-520785.23000000004</v>
      </c>
      <c r="R179" s="107">
        <f t="shared" si="21"/>
        <v>50229.299999999996</v>
      </c>
      <c r="S179" s="107">
        <f t="shared" si="21"/>
        <v>0</v>
      </c>
      <c r="T179" s="107">
        <f t="shared" si="21"/>
        <v>-6429.38</v>
      </c>
      <c r="U179" s="107">
        <f t="shared" si="21"/>
        <v>0</v>
      </c>
      <c r="V179" s="107">
        <f t="shared" si="21"/>
        <v>0</v>
      </c>
      <c r="W179" s="107">
        <f t="shared" si="21"/>
        <v>0</v>
      </c>
      <c r="X179" s="107">
        <f t="shared" si="21"/>
        <v>0</v>
      </c>
      <c r="Y179" s="107">
        <f t="shared" si="21"/>
        <v>0</v>
      </c>
      <c r="Z179" s="107">
        <f t="shared" si="21"/>
        <v>0</v>
      </c>
      <c r="AA179" s="107">
        <f t="shared" si="21"/>
        <v>0</v>
      </c>
      <c r="AB179" s="107">
        <f t="shared" si="21"/>
        <v>0</v>
      </c>
      <c r="AC179" s="107">
        <f t="shared" si="21"/>
        <v>0</v>
      </c>
      <c r="AD179" s="107">
        <f t="shared" si="21"/>
        <v>0</v>
      </c>
      <c r="AE179" s="107">
        <f t="shared" si="21"/>
        <v>0</v>
      </c>
      <c r="AF179" s="107">
        <f t="shared" si="21"/>
        <v>0</v>
      </c>
      <c r="AG179" s="107">
        <f t="shared" si="21"/>
        <v>0</v>
      </c>
      <c r="AH179" s="107">
        <f t="shared" si="21"/>
        <v>0</v>
      </c>
      <c r="AI179" s="107">
        <f t="shared" si="21"/>
        <v>0</v>
      </c>
      <c r="AJ179" s="107">
        <f t="shared" si="21"/>
        <v>0</v>
      </c>
      <c r="AK179" s="107">
        <f t="shared" si="21"/>
        <v>0</v>
      </c>
      <c r="AL179" s="107">
        <f t="shared" si="21"/>
        <v>0</v>
      </c>
      <c r="AM179" s="107">
        <f t="shared" si="21"/>
        <v>0</v>
      </c>
      <c r="AN179" s="107">
        <f t="shared" si="21"/>
        <v>0</v>
      </c>
      <c r="AO179" s="111">
        <f>D179+E179+F179+G179+H179+I179+J179+M179+P179+SUM(Q179:AN179)</f>
        <v>-300802.05046000006</v>
      </c>
      <c r="AP179" s="4"/>
      <c r="AQ179" s="5"/>
      <c r="AR179" s="5"/>
      <c r="AS179" s="2" t="s">
        <v>6</v>
      </c>
    </row>
    <row r="180" spans="1:46" s="2" customFormat="1" ht="17.25" customHeight="1" thickTop="1" x14ac:dyDescent="0.25">
      <c r="A180" s="23">
        <f>A166+1</f>
        <v>46003</v>
      </c>
      <c r="B180" s="210" t="s">
        <v>64</v>
      </c>
      <c r="C180" s="203"/>
      <c r="D180" s="63">
        <v>11568.77</v>
      </c>
      <c r="E180" s="66"/>
      <c r="F180" s="66"/>
      <c r="G180" s="66"/>
      <c r="H180" s="66"/>
      <c r="I180" s="66">
        <f>-D180</f>
        <v>-11568.77</v>
      </c>
      <c r="J180" s="66"/>
      <c r="K180" s="18"/>
      <c r="L180" s="18"/>
      <c r="M180" s="66"/>
      <c r="N180" s="18"/>
      <c r="O180" s="18"/>
      <c r="P180" s="66"/>
      <c r="Q180" s="46"/>
      <c r="R180" s="46"/>
      <c r="S180" s="45"/>
      <c r="T180" s="18"/>
      <c r="U180" s="18"/>
      <c r="V180" s="18"/>
      <c r="W180" s="18"/>
      <c r="X180" s="18"/>
      <c r="Y180" s="14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31"/>
      <c r="AQ180" s="10"/>
      <c r="AR180" s="27"/>
    </row>
    <row r="181" spans="1:46" s="4" customFormat="1" ht="17.25" customHeight="1" x14ac:dyDescent="0.25">
      <c r="A181" s="23"/>
      <c r="B181" s="201" t="s">
        <v>96</v>
      </c>
      <c r="C181" s="202"/>
      <c r="D181" s="63"/>
      <c r="E181" s="64"/>
      <c r="F181" s="64"/>
      <c r="G181" s="64"/>
      <c r="H181" s="64"/>
      <c r="I181" s="64">
        <f>-I179-I180</f>
        <v>-314.55999999999949</v>
      </c>
      <c r="J181" s="64"/>
      <c r="K181" s="16"/>
      <c r="L181" s="92"/>
      <c r="M181" s="64"/>
      <c r="N181" s="16"/>
      <c r="O181" s="92"/>
      <c r="P181" s="64"/>
      <c r="Q181" s="40"/>
      <c r="R181" s="46"/>
      <c r="S181" s="39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22"/>
      <c r="AP181" s="30"/>
    </row>
    <row r="182" spans="1:46" s="2" customFormat="1" ht="17.25" customHeight="1" x14ac:dyDescent="0.25">
      <c r="A182" s="29"/>
      <c r="B182" s="201" t="s">
        <v>72</v>
      </c>
      <c r="C182" s="202"/>
      <c r="D182" s="63">
        <v>-11700</v>
      </c>
      <c r="E182" s="64"/>
      <c r="F182" s="64">
        <f>-D182</f>
        <v>11700</v>
      </c>
      <c r="G182" s="64"/>
      <c r="H182" s="64"/>
      <c r="I182" s="64"/>
      <c r="J182" s="64"/>
      <c r="K182" s="57"/>
      <c r="L182" s="88"/>
      <c r="M182" s="62"/>
      <c r="N182" s="57"/>
      <c r="O182" s="88"/>
      <c r="P182" s="62"/>
      <c r="Q182" s="47"/>
      <c r="R182" s="39"/>
      <c r="S182" s="39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22"/>
      <c r="AQ182" s="10" t="s">
        <v>4</v>
      </c>
      <c r="AR182" s="11" t="e">
        <v>#REF!</v>
      </c>
    </row>
    <row r="183" spans="1:46" s="2" customFormat="1" ht="17.25" customHeight="1" x14ac:dyDescent="0.25">
      <c r="A183" s="24"/>
      <c r="B183" s="205" t="s">
        <v>351</v>
      </c>
      <c r="C183" s="206"/>
      <c r="D183" s="64">
        <f>-M183</f>
        <v>-50599.999999999993</v>
      </c>
      <c r="E183" s="64"/>
      <c r="F183" s="64"/>
      <c r="G183" s="64"/>
      <c r="H183" s="64"/>
      <c r="I183" s="64"/>
      <c r="J183" s="64"/>
      <c r="K183" s="57">
        <v>10000</v>
      </c>
      <c r="L183" s="88">
        <v>5.0599999999999996</v>
      </c>
      <c r="M183" s="62">
        <f>K183*L183</f>
        <v>50599.999999999993</v>
      </c>
      <c r="N183" s="57"/>
      <c r="O183" s="88"/>
      <c r="P183" s="62"/>
      <c r="Q183" s="39"/>
      <c r="R183" s="39"/>
      <c r="S183" s="39"/>
      <c r="T183" s="16"/>
      <c r="U183" s="16">
        <f>-P183</f>
        <v>0</v>
      </c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22"/>
      <c r="AQ183" s="10"/>
      <c r="AR183" s="11"/>
    </row>
    <row r="184" spans="1:46" s="2" customFormat="1" ht="17.25" customHeight="1" x14ac:dyDescent="0.25">
      <c r="A184" s="29"/>
      <c r="B184" s="201" t="s">
        <v>276</v>
      </c>
      <c r="C184" s="202"/>
      <c r="D184" s="63">
        <v>-4.9000000000000004</v>
      </c>
      <c r="E184" s="64"/>
      <c r="F184" s="64"/>
      <c r="G184" s="64"/>
      <c r="H184" s="64"/>
      <c r="I184" s="64"/>
      <c r="J184" s="64"/>
      <c r="K184" s="57"/>
      <c r="L184" s="88"/>
      <c r="M184" s="62"/>
      <c r="N184" s="57"/>
      <c r="O184" s="88"/>
      <c r="P184" s="62"/>
      <c r="Q184" s="47"/>
      <c r="R184" s="39"/>
      <c r="S184" s="39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22"/>
      <c r="AQ184" s="10" t="s">
        <v>4</v>
      </c>
      <c r="AR184" s="11" t="e">
        <v>#REF!</v>
      </c>
    </row>
    <row r="185" spans="1:46" s="4" customFormat="1" ht="17.25" customHeight="1" x14ac:dyDescent="0.25">
      <c r="A185" s="23"/>
      <c r="B185" s="201" t="s">
        <v>13</v>
      </c>
      <c r="C185" s="203"/>
      <c r="D185" s="63"/>
      <c r="E185" s="64">
        <f>-E179-31298.54+767.24</f>
        <v>8171.0000000000018</v>
      </c>
      <c r="F185" s="64"/>
      <c r="G185" s="64"/>
      <c r="H185" s="64">
        <f>-E185</f>
        <v>-8171.0000000000018</v>
      </c>
      <c r="I185" s="66"/>
      <c r="J185" s="64"/>
      <c r="K185" s="16"/>
      <c r="L185" s="92"/>
      <c r="M185" s="64"/>
      <c r="N185" s="16"/>
      <c r="O185" s="92"/>
      <c r="P185" s="64"/>
      <c r="Q185" s="40"/>
      <c r="R185" s="46">
        <f>-D185</f>
        <v>0</v>
      </c>
      <c r="S185" s="39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22"/>
      <c r="AP185" s="30"/>
    </row>
    <row r="186" spans="1:46" s="4" customFormat="1" ht="17.25" customHeight="1" x14ac:dyDescent="0.25">
      <c r="A186" s="23"/>
      <c r="B186" s="201" t="s">
        <v>36</v>
      </c>
      <c r="C186" s="203"/>
      <c r="D186" s="63"/>
      <c r="E186" s="64">
        <v>-767.24</v>
      </c>
      <c r="F186" s="64"/>
      <c r="G186" s="64"/>
      <c r="H186" s="64"/>
      <c r="I186" s="66"/>
      <c r="J186" s="64"/>
      <c r="K186" s="16"/>
      <c r="L186" s="92"/>
      <c r="M186" s="64"/>
      <c r="N186" s="16"/>
      <c r="O186" s="92"/>
      <c r="P186" s="64"/>
      <c r="Q186" s="40"/>
      <c r="R186" s="46">
        <f>-D186</f>
        <v>0</v>
      </c>
      <c r="S186" s="39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22"/>
      <c r="AP186" s="30"/>
    </row>
    <row r="187" spans="1:46" s="2" customFormat="1" ht="17.25" customHeight="1" thickBot="1" x14ac:dyDescent="0.25">
      <c r="A187" s="24"/>
      <c r="B187" s="216"/>
      <c r="C187" s="217"/>
      <c r="D187" s="83"/>
      <c r="E187" s="81"/>
      <c r="F187" s="81"/>
      <c r="G187" s="81"/>
      <c r="H187" s="81"/>
      <c r="I187" s="81"/>
      <c r="J187" s="81"/>
      <c r="K187" s="37"/>
      <c r="L187" s="93"/>
      <c r="M187" s="81"/>
      <c r="N187" s="37"/>
      <c r="O187" s="93"/>
      <c r="P187" s="81"/>
      <c r="Q187" s="40"/>
      <c r="R187" s="40"/>
      <c r="S187" s="39"/>
      <c r="T187" s="16"/>
      <c r="U187" s="16"/>
      <c r="V187" s="16"/>
      <c r="W187" s="16"/>
      <c r="X187" s="16"/>
      <c r="Y187" s="19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41"/>
      <c r="AQ187" s="10"/>
      <c r="AR187" s="11"/>
    </row>
    <row r="188" spans="1:46" s="4" customFormat="1" ht="17.25" customHeight="1" x14ac:dyDescent="0.25">
      <c r="A188" s="23"/>
      <c r="B188" s="210" t="s">
        <v>94</v>
      </c>
      <c r="C188" s="203"/>
      <c r="D188" s="66"/>
      <c r="E188" s="66"/>
      <c r="F188" s="117"/>
      <c r="G188" s="117"/>
      <c r="H188" s="66"/>
      <c r="I188" s="66"/>
      <c r="J188" s="66">
        <f>-M188</f>
        <v>10097.099999999999</v>
      </c>
      <c r="K188" s="58">
        <v>-1726</v>
      </c>
      <c r="L188" s="89">
        <v>5.85</v>
      </c>
      <c r="M188" s="73">
        <f>K188*L188</f>
        <v>-10097.099999999999</v>
      </c>
      <c r="N188" s="58"/>
      <c r="O188" s="89"/>
      <c r="P188" s="73"/>
      <c r="Q188" s="39"/>
      <c r="R188" s="39"/>
      <c r="S188" s="8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35"/>
      <c r="AP188" s="12" t="e">
        <f>#REF!</f>
        <v>#REF!</v>
      </c>
    </row>
    <row r="189" spans="1:46" s="4" customFormat="1" ht="17.25" customHeight="1" x14ac:dyDescent="0.25">
      <c r="A189" s="23"/>
      <c r="B189" s="201" t="s">
        <v>95</v>
      </c>
      <c r="C189" s="202"/>
      <c r="D189" s="64"/>
      <c r="E189" s="64"/>
      <c r="F189" s="117"/>
      <c r="G189" s="117"/>
      <c r="H189" s="64"/>
      <c r="I189" s="64"/>
      <c r="J189" s="64">
        <f>-P189</f>
        <v>7788.72</v>
      </c>
      <c r="K189" s="57"/>
      <c r="L189" s="88"/>
      <c r="M189" s="62"/>
      <c r="N189" s="57">
        <v>-1992</v>
      </c>
      <c r="O189" s="88">
        <v>3.91</v>
      </c>
      <c r="P189" s="62">
        <f>N189*O189</f>
        <v>-7788.72</v>
      </c>
      <c r="Q189" s="39"/>
      <c r="R189" s="39"/>
      <c r="S189" s="8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35"/>
      <c r="AP189" s="12" t="e">
        <f>#REF!</f>
        <v>#REF!</v>
      </c>
    </row>
    <row r="190" spans="1:46" s="4" customFormat="1" ht="17.25" customHeight="1" x14ac:dyDescent="0.25">
      <c r="A190" s="23"/>
      <c r="B190" s="201" t="s">
        <v>97</v>
      </c>
      <c r="C190" s="203"/>
      <c r="D190" s="64"/>
      <c r="E190" s="64"/>
      <c r="F190" s="64"/>
      <c r="G190" s="64"/>
      <c r="H190" s="64">
        <f>-J190-I190</f>
        <v>6616.18</v>
      </c>
      <c r="I190" s="64">
        <v>11269.64</v>
      </c>
      <c r="J190" s="64">
        <f>-SUM(J188:J189)</f>
        <v>-17885.82</v>
      </c>
      <c r="K190" s="57"/>
      <c r="L190" s="88"/>
      <c r="M190" s="62"/>
      <c r="N190" s="57"/>
      <c r="O190" s="88"/>
      <c r="P190" s="62"/>
      <c r="Q190" s="39"/>
      <c r="R190" s="39"/>
      <c r="S190" s="39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22"/>
      <c r="AO190" s="43">
        <f>A162</f>
        <v>0</v>
      </c>
      <c r="AP190" s="12" t="e">
        <f>#REF!</f>
        <v>#REF!</v>
      </c>
      <c r="AT190" s="2"/>
    </row>
    <row r="191" spans="1:46" s="4" customFormat="1" ht="17.25" customHeight="1" x14ac:dyDescent="0.25">
      <c r="A191" s="23"/>
      <c r="B191" s="201" t="s">
        <v>93</v>
      </c>
      <c r="C191" s="202"/>
      <c r="D191" s="64"/>
      <c r="E191" s="64"/>
      <c r="F191" s="64"/>
      <c r="G191" s="64"/>
      <c r="H191" s="64"/>
      <c r="I191" s="64"/>
      <c r="J191" s="64"/>
      <c r="K191" s="57">
        <v>23</v>
      </c>
      <c r="L191" s="88"/>
      <c r="M191" s="62">
        <f>(K194*(M179+M183)/(K179+K183))-M179-M188-M183</f>
        <v>1481.0814374621768</v>
      </c>
      <c r="N191" s="57">
        <v>-8</v>
      </c>
      <c r="O191" s="88"/>
      <c r="P191" s="62">
        <f>(N194*(P179)/(N179))-P179-P189</f>
        <v>466.29831325300529</v>
      </c>
      <c r="Q191" s="39"/>
      <c r="R191" s="39"/>
      <c r="S191" s="39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22"/>
      <c r="AO191" s="43">
        <f>A173</f>
        <v>0</v>
      </c>
      <c r="AP191" s="12" t="e">
        <f>#REF!</f>
        <v>#REF!</v>
      </c>
      <c r="AT191" s="2"/>
    </row>
    <row r="192" spans="1:46" s="2" customFormat="1" ht="17.25" customHeight="1" x14ac:dyDescent="0.2">
      <c r="A192" s="24"/>
      <c r="B192" s="201"/>
      <c r="C192" s="204"/>
      <c r="D192" s="63"/>
      <c r="E192" s="64"/>
      <c r="F192" s="64"/>
      <c r="G192" s="64"/>
      <c r="H192" s="64"/>
      <c r="I192" s="64"/>
      <c r="J192" s="64"/>
      <c r="K192" s="16"/>
      <c r="L192" s="16"/>
      <c r="M192" s="64"/>
      <c r="N192" s="16"/>
      <c r="O192" s="16"/>
      <c r="P192" s="64"/>
      <c r="Q192" s="46"/>
      <c r="R192" s="46"/>
      <c r="S192" s="39"/>
      <c r="T192" s="16"/>
      <c r="U192" s="16"/>
      <c r="V192" s="16"/>
      <c r="W192" s="16"/>
      <c r="X192" s="16"/>
      <c r="Y192" s="19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43">
        <f>A180</f>
        <v>46003</v>
      </c>
      <c r="AQ192" s="10"/>
      <c r="AR192" s="11"/>
    </row>
    <row r="193" spans="1:46" s="2" customFormat="1" ht="17.25" customHeight="1" thickBot="1" x14ac:dyDescent="0.3">
      <c r="A193" s="56"/>
      <c r="B193" s="101" t="s">
        <v>102</v>
      </c>
      <c r="C193" s="102">
        <f>D194+E194+F194+G194+H194+I194+J194+M194+P194</f>
        <v>177043.93953999999</v>
      </c>
      <c r="D193" s="84"/>
      <c r="E193" s="85"/>
      <c r="F193" s="85"/>
      <c r="G193" s="85"/>
      <c r="H193" s="85"/>
      <c r="I193" s="85"/>
      <c r="J193" s="85"/>
      <c r="K193" s="28"/>
      <c r="L193" s="28"/>
      <c r="M193" s="85"/>
      <c r="N193" s="28"/>
      <c r="O193" s="28"/>
      <c r="P193" s="85"/>
      <c r="Q193" s="48"/>
      <c r="R193" s="48"/>
      <c r="S193" s="51"/>
      <c r="T193" s="28"/>
      <c r="U193" s="28"/>
      <c r="V193" s="28"/>
      <c r="W193" s="28"/>
      <c r="X193" s="28"/>
      <c r="Y193" s="36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42">
        <f>SUM($Q179:AN193)</f>
        <v>-476985.31000000006</v>
      </c>
      <c r="AQ193" s="10"/>
      <c r="AR193" s="11"/>
      <c r="AS193" s="2" t="s">
        <v>5</v>
      </c>
    </row>
    <row r="194" spans="1:46" s="2" customFormat="1" ht="17.25" customHeight="1" thickTop="1" thickBot="1" x14ac:dyDescent="0.3">
      <c r="A194" s="103"/>
      <c r="B194" s="104" t="s">
        <v>103</v>
      </c>
      <c r="C194" s="105">
        <f>AO194</f>
        <v>-299941.37046000006</v>
      </c>
      <c r="D194" s="106">
        <f t="shared" ref="D194:K194" si="22">SUM(D179:D193)</f>
        <v>72.877040000022674</v>
      </c>
      <c r="E194" s="107">
        <f t="shared" si="22"/>
        <v>-31298.540000000005</v>
      </c>
      <c r="F194" s="107">
        <f t="shared" si="22"/>
        <v>11700</v>
      </c>
      <c r="G194" s="107">
        <f t="shared" si="22"/>
        <v>0</v>
      </c>
      <c r="H194" s="107">
        <f t="shared" si="22"/>
        <v>51543.002499999995</v>
      </c>
      <c r="I194" s="107">
        <f t="shared" si="22"/>
        <v>11269.64</v>
      </c>
      <c r="J194" s="107">
        <f t="shared" si="22"/>
        <v>0</v>
      </c>
      <c r="K194" s="108">
        <f t="shared" si="22"/>
        <v>9866</v>
      </c>
      <c r="L194" s="109">
        <f>M194/K194</f>
        <v>5.0593178593148185</v>
      </c>
      <c r="M194" s="107">
        <f>ROUND(SUM(M179:M193),2)</f>
        <v>49915.23</v>
      </c>
      <c r="N194" s="108">
        <f>SUM(N179:N193)</f>
        <v>22900</v>
      </c>
      <c r="O194" s="109">
        <f>P194/N194</f>
        <v>3.6612109170305676</v>
      </c>
      <c r="P194" s="107">
        <f>ROUND(SUM(P179:P193),2)</f>
        <v>83841.73</v>
      </c>
      <c r="Q194" s="110">
        <f t="shared" ref="Q194:AN194" si="23">SUM(Q179:Q193)</f>
        <v>-520785.23000000004</v>
      </c>
      <c r="R194" s="107">
        <f t="shared" si="23"/>
        <v>50229.299999999996</v>
      </c>
      <c r="S194" s="107">
        <f t="shared" si="23"/>
        <v>0</v>
      </c>
      <c r="T194" s="107">
        <f t="shared" si="23"/>
        <v>-6429.38</v>
      </c>
      <c r="U194" s="107">
        <f t="shared" si="23"/>
        <v>0</v>
      </c>
      <c r="V194" s="107">
        <f t="shared" si="23"/>
        <v>0</v>
      </c>
      <c r="W194" s="107">
        <f t="shared" si="23"/>
        <v>0</v>
      </c>
      <c r="X194" s="107">
        <f t="shared" si="23"/>
        <v>0</v>
      </c>
      <c r="Y194" s="107">
        <f t="shared" si="23"/>
        <v>0</v>
      </c>
      <c r="Z194" s="107">
        <f t="shared" si="23"/>
        <v>0</v>
      </c>
      <c r="AA194" s="107">
        <f t="shared" si="23"/>
        <v>0</v>
      </c>
      <c r="AB194" s="107">
        <f t="shared" si="23"/>
        <v>0</v>
      </c>
      <c r="AC194" s="107">
        <f t="shared" si="23"/>
        <v>0</v>
      </c>
      <c r="AD194" s="107">
        <f t="shared" si="23"/>
        <v>0</v>
      </c>
      <c r="AE194" s="107">
        <f t="shared" si="23"/>
        <v>0</v>
      </c>
      <c r="AF194" s="107">
        <f t="shared" si="23"/>
        <v>0</v>
      </c>
      <c r="AG194" s="107">
        <f t="shared" si="23"/>
        <v>0</v>
      </c>
      <c r="AH194" s="107">
        <f t="shared" si="23"/>
        <v>0</v>
      </c>
      <c r="AI194" s="107">
        <f t="shared" si="23"/>
        <v>0</v>
      </c>
      <c r="AJ194" s="107">
        <f t="shared" si="23"/>
        <v>0</v>
      </c>
      <c r="AK194" s="107">
        <f t="shared" si="23"/>
        <v>0</v>
      </c>
      <c r="AL194" s="107">
        <f t="shared" si="23"/>
        <v>0</v>
      </c>
      <c r="AM194" s="107">
        <f t="shared" si="23"/>
        <v>0</v>
      </c>
      <c r="AN194" s="107">
        <f t="shared" si="23"/>
        <v>0</v>
      </c>
      <c r="AO194" s="111">
        <f>D194+E194+F194+G194+H194+I194+J194+M194+P194+SUM(Q194:AN194)</f>
        <v>-299941.37046000006</v>
      </c>
      <c r="AP194" s="4"/>
      <c r="AQ194" s="5"/>
      <c r="AR194" s="5"/>
      <c r="AS194" s="2" t="s">
        <v>6</v>
      </c>
    </row>
    <row r="195" spans="1:46" s="2" customFormat="1" ht="17.25" customHeight="1" thickTop="1" x14ac:dyDescent="0.25">
      <c r="A195" s="23">
        <f>A180+1</f>
        <v>46004</v>
      </c>
      <c r="B195" s="210" t="s">
        <v>64</v>
      </c>
      <c r="C195" s="203"/>
      <c r="D195" s="63">
        <v>10993.5</v>
      </c>
      <c r="E195" s="66"/>
      <c r="F195" s="66"/>
      <c r="G195" s="66"/>
      <c r="H195" s="66"/>
      <c r="I195" s="66">
        <f>-D195</f>
        <v>-10993.5</v>
      </c>
      <c r="J195" s="66"/>
      <c r="K195" s="18"/>
      <c r="L195" s="18"/>
      <c r="M195" s="66"/>
      <c r="N195" s="18"/>
      <c r="O195" s="18"/>
      <c r="P195" s="66"/>
      <c r="Q195" s="46"/>
      <c r="R195" s="46"/>
      <c r="S195" s="45"/>
      <c r="T195" s="18"/>
      <c r="U195" s="18"/>
      <c r="V195" s="18"/>
      <c r="W195" s="18"/>
      <c r="X195" s="18"/>
      <c r="Y195" s="14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31"/>
      <c r="AQ195" s="10"/>
      <c r="AR195" s="27"/>
    </row>
    <row r="196" spans="1:46" s="4" customFormat="1" ht="17.25" customHeight="1" x14ac:dyDescent="0.25">
      <c r="A196" s="23"/>
      <c r="B196" s="201" t="s">
        <v>96</v>
      </c>
      <c r="C196" s="202"/>
      <c r="D196" s="63"/>
      <c r="E196" s="64"/>
      <c r="F196" s="64"/>
      <c r="G196" s="64"/>
      <c r="H196" s="64"/>
      <c r="I196" s="64">
        <f>-I194-I195</f>
        <v>-276.13999999999942</v>
      </c>
      <c r="J196" s="64"/>
      <c r="K196" s="16"/>
      <c r="L196" s="92"/>
      <c r="M196" s="64"/>
      <c r="N196" s="16"/>
      <c r="O196" s="92"/>
      <c r="P196" s="64"/>
      <c r="Q196" s="40"/>
      <c r="R196" s="46"/>
      <c r="S196" s="39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22"/>
      <c r="AP196" s="30"/>
    </row>
    <row r="197" spans="1:46" s="2" customFormat="1" ht="17.25" customHeight="1" x14ac:dyDescent="0.25">
      <c r="A197" s="29"/>
      <c r="B197" s="201" t="s">
        <v>72</v>
      </c>
      <c r="C197" s="202"/>
      <c r="D197" s="63">
        <v>-11000</v>
      </c>
      <c r="E197" s="64"/>
      <c r="F197" s="64">
        <f>-D197</f>
        <v>11000</v>
      </c>
      <c r="G197" s="64"/>
      <c r="H197" s="64"/>
      <c r="I197" s="64"/>
      <c r="J197" s="64"/>
      <c r="K197" s="57"/>
      <c r="L197" s="88"/>
      <c r="M197" s="62"/>
      <c r="N197" s="57"/>
      <c r="O197" s="88"/>
      <c r="P197" s="62"/>
      <c r="Q197" s="47"/>
      <c r="R197" s="39"/>
      <c r="S197" s="39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22"/>
      <c r="AQ197" s="10" t="s">
        <v>4</v>
      </c>
      <c r="AR197" s="11" t="e">
        <v>#REF!</v>
      </c>
    </row>
    <row r="198" spans="1:46" s="2" customFormat="1" ht="17.25" customHeight="1" thickBot="1" x14ac:dyDescent="0.25">
      <c r="A198" s="24"/>
      <c r="B198" s="216"/>
      <c r="C198" s="242"/>
      <c r="D198" s="83"/>
      <c r="E198" s="81"/>
      <c r="F198" s="81"/>
      <c r="G198" s="81"/>
      <c r="H198" s="81"/>
      <c r="I198" s="81"/>
      <c r="J198" s="81"/>
      <c r="K198" s="37"/>
      <c r="L198" s="93"/>
      <c r="M198" s="81"/>
      <c r="N198" s="37"/>
      <c r="O198" s="93"/>
      <c r="P198" s="81"/>
      <c r="Q198" s="40"/>
      <c r="R198" s="40"/>
      <c r="S198" s="39"/>
      <c r="T198" s="16"/>
      <c r="U198" s="16"/>
      <c r="V198" s="16"/>
      <c r="W198" s="16"/>
      <c r="X198" s="16"/>
      <c r="Y198" s="19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41"/>
      <c r="AQ198" s="10"/>
      <c r="AR198" s="11"/>
    </row>
    <row r="199" spans="1:46" s="4" customFormat="1" ht="17.25" customHeight="1" x14ac:dyDescent="0.25">
      <c r="A199" s="23"/>
      <c r="B199" s="210" t="s">
        <v>94</v>
      </c>
      <c r="C199" s="203"/>
      <c r="D199" s="66"/>
      <c r="E199" s="66"/>
      <c r="F199" s="135"/>
      <c r="G199" s="135"/>
      <c r="H199" s="66"/>
      <c r="I199" s="66"/>
      <c r="J199" s="66">
        <f>-M199</f>
        <v>8324.5499999999993</v>
      </c>
      <c r="K199" s="58">
        <v>-1423</v>
      </c>
      <c r="L199" s="89">
        <v>5.85</v>
      </c>
      <c r="M199" s="73">
        <f>K199*L199</f>
        <v>-8324.5499999999993</v>
      </c>
      <c r="N199" s="58"/>
      <c r="O199" s="89"/>
      <c r="P199" s="73"/>
      <c r="Q199" s="39"/>
      <c r="R199" s="39"/>
      <c r="S199" s="8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35"/>
      <c r="AP199" s="12" t="e">
        <f>#REF!</f>
        <v>#REF!</v>
      </c>
    </row>
    <row r="200" spans="1:46" s="4" customFormat="1" ht="17.25" customHeight="1" x14ac:dyDescent="0.25">
      <c r="A200" s="23"/>
      <c r="B200" s="201" t="s">
        <v>95</v>
      </c>
      <c r="C200" s="202"/>
      <c r="D200" s="64"/>
      <c r="E200" s="64"/>
      <c r="F200" s="117"/>
      <c r="G200" s="117"/>
      <c r="H200" s="64"/>
      <c r="I200" s="64"/>
      <c r="J200" s="64">
        <f>-P200</f>
        <v>10936.27</v>
      </c>
      <c r="K200" s="57"/>
      <c r="L200" s="88"/>
      <c r="M200" s="62"/>
      <c r="N200" s="57">
        <v>-2797</v>
      </c>
      <c r="O200" s="88">
        <v>3.91</v>
      </c>
      <c r="P200" s="62">
        <f>N200*O200</f>
        <v>-10936.27</v>
      </c>
      <c r="Q200" s="39"/>
      <c r="R200" s="39"/>
      <c r="S200" s="8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35"/>
      <c r="AP200" s="12" t="e">
        <f>#REF!</f>
        <v>#REF!</v>
      </c>
    </row>
    <row r="201" spans="1:46" s="4" customFormat="1" ht="17.25" customHeight="1" x14ac:dyDescent="0.25">
      <c r="A201" s="23"/>
      <c r="B201" s="201" t="s">
        <v>97</v>
      </c>
      <c r="C201" s="203"/>
      <c r="D201" s="64"/>
      <c r="E201" s="64"/>
      <c r="F201" s="64"/>
      <c r="G201" s="64"/>
      <c r="H201" s="64">
        <f>-J201-I201</f>
        <v>5618.7199999999993</v>
      </c>
      <c r="I201" s="64">
        <v>13642.1</v>
      </c>
      <c r="J201" s="64">
        <f>-SUM(J199:J200)</f>
        <v>-19260.82</v>
      </c>
      <c r="K201" s="57"/>
      <c r="L201" s="88"/>
      <c r="M201" s="62"/>
      <c r="N201" s="57"/>
      <c r="O201" s="88"/>
      <c r="P201" s="62"/>
      <c r="Q201" s="39"/>
      <c r="R201" s="39"/>
      <c r="S201" s="39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22"/>
      <c r="AO201" s="43">
        <f>A176</f>
        <v>0</v>
      </c>
      <c r="AP201" s="12" t="e">
        <f>#REF!</f>
        <v>#REF!</v>
      </c>
      <c r="AT201" s="2"/>
    </row>
    <row r="202" spans="1:46" s="4" customFormat="1" ht="17.25" customHeight="1" x14ac:dyDescent="0.25">
      <c r="A202" s="23"/>
      <c r="B202" s="201" t="s">
        <v>93</v>
      </c>
      <c r="C202" s="202"/>
      <c r="D202" s="64"/>
      <c r="E202" s="64"/>
      <c r="F202" s="64"/>
      <c r="G202" s="64"/>
      <c r="H202" s="64"/>
      <c r="I202" s="64"/>
      <c r="J202" s="64"/>
      <c r="K202" s="57">
        <v>30</v>
      </c>
      <c r="L202" s="88"/>
      <c r="M202" s="62">
        <f>(K205*(M194)/(K194))-M194-M199</f>
        <v>1276.9202219744584</v>
      </c>
      <c r="N202" s="57">
        <v>-297</v>
      </c>
      <c r="O202" s="88"/>
      <c r="P202" s="62">
        <f>(N205*(P194)/(N194))-P194-P200</f>
        <v>-391.51657729257204</v>
      </c>
      <c r="Q202" s="39"/>
      <c r="R202" s="39"/>
      <c r="S202" s="39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22"/>
      <c r="AO202" s="43">
        <f>A188</f>
        <v>0</v>
      </c>
      <c r="AP202" s="12" t="e">
        <f>#REF!</f>
        <v>#REF!</v>
      </c>
      <c r="AT202" s="2"/>
    </row>
    <row r="203" spans="1:46" s="2" customFormat="1" ht="17.25" customHeight="1" x14ac:dyDescent="0.2">
      <c r="A203" s="24"/>
      <c r="B203" s="201"/>
      <c r="C203" s="204"/>
      <c r="D203" s="63"/>
      <c r="E203" s="64"/>
      <c r="F203" s="64"/>
      <c r="G203" s="64"/>
      <c r="H203" s="64"/>
      <c r="I203" s="64"/>
      <c r="J203" s="64"/>
      <c r="K203" s="16"/>
      <c r="L203" s="16"/>
      <c r="M203" s="64"/>
      <c r="N203" s="16"/>
      <c r="O203" s="16"/>
      <c r="P203" s="64"/>
      <c r="Q203" s="46"/>
      <c r="R203" s="46"/>
      <c r="S203" s="39"/>
      <c r="T203" s="16"/>
      <c r="U203" s="16"/>
      <c r="V203" s="16"/>
      <c r="W203" s="16"/>
      <c r="X203" s="16"/>
      <c r="Y203" s="19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43">
        <f>A195</f>
        <v>46004</v>
      </c>
      <c r="AQ203" s="10"/>
      <c r="AR203" s="11"/>
    </row>
    <row r="204" spans="1:46" s="2" customFormat="1" ht="17.25" customHeight="1" thickBot="1" x14ac:dyDescent="0.3">
      <c r="A204" s="56"/>
      <c r="B204" s="101" t="s">
        <v>102</v>
      </c>
      <c r="C204" s="102">
        <f>D205+E205+F205+G205+H205+I205+J205+M205+P205</f>
        <v>177653.19954</v>
      </c>
      <c r="D204" s="84"/>
      <c r="E204" s="85"/>
      <c r="F204" s="85"/>
      <c r="G204" s="85"/>
      <c r="H204" s="85"/>
      <c r="I204" s="85"/>
      <c r="J204" s="85"/>
      <c r="K204" s="28"/>
      <c r="L204" s="28"/>
      <c r="M204" s="85"/>
      <c r="N204" s="28"/>
      <c r="O204" s="28"/>
      <c r="P204" s="85"/>
      <c r="Q204" s="48"/>
      <c r="R204" s="48"/>
      <c r="S204" s="51"/>
      <c r="T204" s="28"/>
      <c r="U204" s="28"/>
      <c r="V204" s="28"/>
      <c r="W204" s="28"/>
      <c r="X204" s="28"/>
      <c r="Y204" s="36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42">
        <f>SUM($Q194:AN204)</f>
        <v>-476985.31000000006</v>
      </c>
      <c r="AQ204" s="10"/>
      <c r="AR204" s="11"/>
      <c r="AS204" s="2" t="s">
        <v>5</v>
      </c>
    </row>
    <row r="205" spans="1:46" s="2" customFormat="1" ht="17.25" customHeight="1" thickTop="1" thickBot="1" x14ac:dyDescent="0.3">
      <c r="A205" s="103"/>
      <c r="B205" s="104" t="s">
        <v>103</v>
      </c>
      <c r="C205" s="105">
        <f>AO205</f>
        <v>-299332.11046000005</v>
      </c>
      <c r="D205" s="106">
        <f t="shared" ref="D205:K205" si="24">SUM(D194:D204)</f>
        <v>66.377040000023044</v>
      </c>
      <c r="E205" s="107">
        <f t="shared" si="24"/>
        <v>-31298.540000000005</v>
      </c>
      <c r="F205" s="107">
        <f t="shared" si="24"/>
        <v>22700</v>
      </c>
      <c r="G205" s="107">
        <f t="shared" si="24"/>
        <v>0</v>
      </c>
      <c r="H205" s="107">
        <f t="shared" si="24"/>
        <v>57161.722499999996</v>
      </c>
      <c r="I205" s="107">
        <f t="shared" si="24"/>
        <v>13642.1</v>
      </c>
      <c r="J205" s="107">
        <f t="shared" si="24"/>
        <v>0</v>
      </c>
      <c r="K205" s="108">
        <f t="shared" si="24"/>
        <v>8473</v>
      </c>
      <c r="L205" s="109">
        <f>M205/K205</f>
        <v>5.0593178331169595</v>
      </c>
      <c r="M205" s="107">
        <f>ROUND(SUM(M194:M204),2)</f>
        <v>42867.6</v>
      </c>
      <c r="N205" s="108">
        <f>SUM(N194:N204)</f>
        <v>19806</v>
      </c>
      <c r="O205" s="109">
        <f>P205/N205</f>
        <v>3.6612107442189239</v>
      </c>
      <c r="P205" s="107">
        <f>ROUND(SUM(P194:P204),2)</f>
        <v>72513.94</v>
      </c>
      <c r="Q205" s="110">
        <f t="shared" ref="Q205:AN205" si="25">SUM(Q194:Q204)</f>
        <v>-520785.23000000004</v>
      </c>
      <c r="R205" s="107">
        <f t="shared" si="25"/>
        <v>50229.299999999996</v>
      </c>
      <c r="S205" s="107">
        <f t="shared" si="25"/>
        <v>0</v>
      </c>
      <c r="T205" s="107">
        <f t="shared" si="25"/>
        <v>-6429.38</v>
      </c>
      <c r="U205" s="107">
        <f t="shared" si="25"/>
        <v>0</v>
      </c>
      <c r="V205" s="107">
        <f t="shared" si="25"/>
        <v>0</v>
      </c>
      <c r="W205" s="107">
        <f t="shared" si="25"/>
        <v>0</v>
      </c>
      <c r="X205" s="107">
        <f t="shared" si="25"/>
        <v>0</v>
      </c>
      <c r="Y205" s="107">
        <f t="shared" si="25"/>
        <v>0</v>
      </c>
      <c r="Z205" s="107">
        <f t="shared" si="25"/>
        <v>0</v>
      </c>
      <c r="AA205" s="107">
        <f t="shared" si="25"/>
        <v>0</v>
      </c>
      <c r="AB205" s="107">
        <f t="shared" si="25"/>
        <v>0</v>
      </c>
      <c r="AC205" s="107">
        <f t="shared" si="25"/>
        <v>0</v>
      </c>
      <c r="AD205" s="107">
        <f t="shared" si="25"/>
        <v>0</v>
      </c>
      <c r="AE205" s="107">
        <f t="shared" si="25"/>
        <v>0</v>
      </c>
      <c r="AF205" s="107">
        <f t="shared" si="25"/>
        <v>0</v>
      </c>
      <c r="AG205" s="107">
        <f t="shared" si="25"/>
        <v>0</v>
      </c>
      <c r="AH205" s="107">
        <f t="shared" si="25"/>
        <v>0</v>
      </c>
      <c r="AI205" s="107">
        <f t="shared" si="25"/>
        <v>0</v>
      </c>
      <c r="AJ205" s="107">
        <f t="shared" si="25"/>
        <v>0</v>
      </c>
      <c r="AK205" s="107">
        <f t="shared" si="25"/>
        <v>0</v>
      </c>
      <c r="AL205" s="107">
        <f t="shared" si="25"/>
        <v>0</v>
      </c>
      <c r="AM205" s="107">
        <f t="shared" si="25"/>
        <v>0</v>
      </c>
      <c r="AN205" s="107">
        <f t="shared" si="25"/>
        <v>0</v>
      </c>
      <c r="AO205" s="111">
        <f>D205+E205+F205+G205+H205+I205+J205+M205+P205+SUM(Q205:AN205)</f>
        <v>-299332.11046000005</v>
      </c>
      <c r="AP205" s="4"/>
      <c r="AQ205" s="5"/>
      <c r="AR205" s="5"/>
      <c r="AS205" s="2" t="s">
        <v>6</v>
      </c>
    </row>
    <row r="206" spans="1:46" s="2" customFormat="1" ht="17.25" customHeight="1" thickTop="1" x14ac:dyDescent="0.25">
      <c r="A206" s="23">
        <f>A195+1</f>
        <v>46005</v>
      </c>
      <c r="B206" s="210" t="s">
        <v>64</v>
      </c>
      <c r="C206" s="203"/>
      <c r="D206" s="63">
        <v>13321.23</v>
      </c>
      <c r="E206" s="66"/>
      <c r="F206" s="66"/>
      <c r="G206" s="66"/>
      <c r="H206" s="66"/>
      <c r="I206" s="66">
        <f>-D206</f>
        <v>-13321.23</v>
      </c>
      <c r="J206" s="66"/>
      <c r="K206" s="18"/>
      <c r="L206" s="18"/>
      <c r="M206" s="66"/>
      <c r="N206" s="18"/>
      <c r="O206" s="18"/>
      <c r="P206" s="66"/>
      <c r="Q206" s="46"/>
      <c r="R206" s="46"/>
      <c r="S206" s="45"/>
      <c r="T206" s="18"/>
      <c r="U206" s="18"/>
      <c r="V206" s="18"/>
      <c r="W206" s="18"/>
      <c r="X206" s="18"/>
      <c r="Y206" s="14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31"/>
      <c r="AQ206" s="10"/>
      <c r="AR206" s="27"/>
    </row>
    <row r="207" spans="1:46" s="4" customFormat="1" ht="17.25" customHeight="1" x14ac:dyDescent="0.25">
      <c r="A207" s="23"/>
      <c r="B207" s="201" t="s">
        <v>96</v>
      </c>
      <c r="C207" s="202"/>
      <c r="D207" s="63"/>
      <c r="E207" s="64"/>
      <c r="F207" s="64"/>
      <c r="G207" s="64"/>
      <c r="H207" s="64"/>
      <c r="I207" s="64">
        <f>-I205-I206</f>
        <v>-320.8700000000008</v>
      </c>
      <c r="J207" s="64"/>
      <c r="K207" s="16"/>
      <c r="L207" s="92"/>
      <c r="M207" s="64"/>
      <c r="N207" s="16"/>
      <c r="O207" s="92"/>
      <c r="P207" s="64"/>
      <c r="Q207" s="40"/>
      <c r="R207" s="46"/>
      <c r="S207" s="39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22"/>
      <c r="AP207" s="30"/>
    </row>
    <row r="208" spans="1:46" s="2" customFormat="1" ht="17.25" customHeight="1" x14ac:dyDescent="0.25">
      <c r="A208" s="24"/>
      <c r="B208" s="201" t="s">
        <v>181</v>
      </c>
      <c r="C208" s="203"/>
      <c r="D208" s="63">
        <v>-13300</v>
      </c>
      <c r="E208" s="64"/>
      <c r="F208" s="64">
        <f>-D208</f>
        <v>13300</v>
      </c>
      <c r="G208" s="64"/>
      <c r="H208" s="64"/>
      <c r="I208" s="64"/>
      <c r="J208" s="64"/>
      <c r="K208" s="16"/>
      <c r="L208" s="16"/>
      <c r="M208" s="64"/>
      <c r="N208" s="16"/>
      <c r="O208" s="16"/>
      <c r="P208" s="64"/>
      <c r="Q208" s="46"/>
      <c r="R208" s="40"/>
      <c r="S208" s="39"/>
      <c r="T208" s="16"/>
      <c r="U208" s="16"/>
      <c r="V208" s="16"/>
      <c r="W208" s="16"/>
      <c r="X208" s="16"/>
      <c r="Y208" s="19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22"/>
      <c r="AQ208" s="10"/>
      <c r="AR208" s="11"/>
    </row>
    <row r="209" spans="1:46" s="2" customFormat="1" ht="17.25" customHeight="1" thickBot="1" x14ac:dyDescent="0.25">
      <c r="A209" s="24"/>
      <c r="B209" s="216"/>
      <c r="C209" s="217"/>
      <c r="D209" s="83"/>
      <c r="E209" s="81"/>
      <c r="F209" s="81"/>
      <c r="G209" s="81"/>
      <c r="H209" s="81"/>
      <c r="I209" s="81"/>
      <c r="J209" s="81"/>
      <c r="K209" s="37"/>
      <c r="L209" s="93"/>
      <c r="M209" s="81"/>
      <c r="N209" s="37"/>
      <c r="O209" s="93"/>
      <c r="P209" s="81"/>
      <c r="Q209" s="40"/>
      <c r="R209" s="40"/>
      <c r="S209" s="39"/>
      <c r="T209" s="16"/>
      <c r="U209" s="16"/>
      <c r="V209" s="16"/>
      <c r="W209" s="16"/>
      <c r="X209" s="16"/>
      <c r="Y209" s="19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41"/>
      <c r="AQ209" s="10"/>
      <c r="AR209" s="11"/>
    </row>
    <row r="210" spans="1:46" s="4" customFormat="1" ht="17.25" customHeight="1" x14ac:dyDescent="0.25">
      <c r="A210" s="23"/>
      <c r="B210" s="210" t="s">
        <v>94</v>
      </c>
      <c r="C210" s="203"/>
      <c r="D210" s="66"/>
      <c r="E210" s="66"/>
      <c r="F210" s="117"/>
      <c r="G210" s="117"/>
      <c r="H210" s="66"/>
      <c r="I210" s="66"/>
      <c r="J210" s="66">
        <f>-M210</f>
        <v>5194.7999999999993</v>
      </c>
      <c r="K210" s="58">
        <v>-888</v>
      </c>
      <c r="L210" s="89">
        <v>5.85</v>
      </c>
      <c r="M210" s="73">
        <f>K210*L210</f>
        <v>-5194.7999999999993</v>
      </c>
      <c r="N210" s="58"/>
      <c r="O210" s="89"/>
      <c r="P210" s="73"/>
      <c r="Q210" s="39"/>
      <c r="R210" s="39"/>
      <c r="S210" s="8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35"/>
      <c r="AP210" s="12" t="e">
        <f>#REF!</f>
        <v>#REF!</v>
      </c>
    </row>
    <row r="211" spans="1:46" s="4" customFormat="1" ht="17.25" customHeight="1" x14ac:dyDescent="0.25">
      <c r="A211" s="23"/>
      <c r="B211" s="201" t="s">
        <v>95</v>
      </c>
      <c r="C211" s="202"/>
      <c r="D211" s="64"/>
      <c r="E211" s="64"/>
      <c r="F211" s="117"/>
      <c r="G211" s="117"/>
      <c r="H211" s="64"/>
      <c r="I211" s="64"/>
      <c r="J211" s="64">
        <f>-P211</f>
        <v>6381.12</v>
      </c>
      <c r="K211" s="57"/>
      <c r="L211" s="88"/>
      <c r="M211" s="62"/>
      <c r="N211" s="57">
        <v>-1632</v>
      </c>
      <c r="O211" s="88">
        <v>3.91</v>
      </c>
      <c r="P211" s="62">
        <f>N211*O211</f>
        <v>-6381.12</v>
      </c>
      <c r="Q211" s="39"/>
      <c r="R211" s="39"/>
      <c r="S211" s="8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35"/>
      <c r="AP211" s="12" t="e">
        <f>#REF!</f>
        <v>#REF!</v>
      </c>
    </row>
    <row r="212" spans="1:46" s="4" customFormat="1" ht="17.25" customHeight="1" x14ac:dyDescent="0.25">
      <c r="A212" s="23"/>
      <c r="B212" s="201" t="s">
        <v>97</v>
      </c>
      <c r="C212" s="203"/>
      <c r="D212" s="64"/>
      <c r="E212" s="64"/>
      <c r="F212" s="64"/>
      <c r="G212" s="64"/>
      <c r="H212" s="64">
        <f>-J212-I212</f>
        <v>3638.8999999999978</v>
      </c>
      <c r="I212" s="64">
        <v>7937.02</v>
      </c>
      <c r="J212" s="64">
        <f>-SUM(J210:J211)</f>
        <v>-11575.919999999998</v>
      </c>
      <c r="K212" s="57"/>
      <c r="L212" s="88"/>
      <c r="M212" s="62"/>
      <c r="N212" s="57"/>
      <c r="O212" s="88"/>
      <c r="P212" s="62"/>
      <c r="Q212" s="39"/>
      <c r="R212" s="39"/>
      <c r="S212" s="39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22"/>
      <c r="AO212" s="43">
        <f>A191</f>
        <v>0</v>
      </c>
      <c r="AP212" s="12" t="e">
        <f>#REF!</f>
        <v>#REF!</v>
      </c>
      <c r="AT212" s="2"/>
    </row>
    <row r="213" spans="1:46" s="4" customFormat="1" ht="17.25" customHeight="1" x14ac:dyDescent="0.25">
      <c r="A213" s="23"/>
      <c r="B213" s="201" t="s">
        <v>93</v>
      </c>
      <c r="C213" s="202"/>
      <c r="D213" s="64"/>
      <c r="E213" s="64"/>
      <c r="F213" s="64"/>
      <c r="G213" s="64"/>
      <c r="H213" s="64"/>
      <c r="I213" s="64"/>
      <c r="J213" s="64"/>
      <c r="K213" s="57">
        <v>-34</v>
      </c>
      <c r="L213" s="88"/>
      <c r="M213" s="62">
        <f>(K216*(M205)/(K205))-M205-M210</f>
        <v>530.10895786615947</v>
      </c>
      <c r="N213" s="57">
        <v>-88</v>
      </c>
      <c r="O213" s="88"/>
      <c r="P213" s="62">
        <f>(N216*(P205)/(N205))-P205-P211</f>
        <v>83.837519943456755</v>
      </c>
      <c r="Q213" s="39"/>
      <c r="R213" s="39"/>
      <c r="S213" s="39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22"/>
      <c r="AO213" s="43">
        <f>A199</f>
        <v>0</v>
      </c>
      <c r="AP213" s="12" t="e">
        <f>#REF!</f>
        <v>#REF!</v>
      </c>
      <c r="AT213" s="2"/>
    </row>
    <row r="214" spans="1:46" s="2" customFormat="1" ht="17.25" customHeight="1" x14ac:dyDescent="0.2">
      <c r="A214" s="24"/>
      <c r="B214" s="201"/>
      <c r="C214" s="204"/>
      <c r="D214" s="63"/>
      <c r="E214" s="64"/>
      <c r="F214" s="64"/>
      <c r="G214" s="64"/>
      <c r="H214" s="64"/>
      <c r="I214" s="64"/>
      <c r="J214" s="64"/>
      <c r="K214" s="16"/>
      <c r="L214" s="16"/>
      <c r="M214" s="64"/>
      <c r="N214" s="16"/>
      <c r="O214" s="16"/>
      <c r="P214" s="64"/>
      <c r="Q214" s="46"/>
      <c r="R214" s="46"/>
      <c r="S214" s="39"/>
      <c r="T214" s="16"/>
      <c r="U214" s="16"/>
      <c r="V214" s="16"/>
      <c r="W214" s="16"/>
      <c r="X214" s="16"/>
      <c r="Y214" s="19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43">
        <f>A206</f>
        <v>46005</v>
      </c>
      <c r="AQ214" s="10"/>
      <c r="AR214" s="11"/>
    </row>
    <row r="215" spans="1:46" s="2" customFormat="1" ht="17.25" customHeight="1" thickBot="1" x14ac:dyDescent="0.3">
      <c r="A215" s="56"/>
      <c r="B215" s="101" t="s">
        <v>102</v>
      </c>
      <c r="C215" s="102">
        <f>D216+E216+F216+G216+H216+I216+J216+M216+P216</f>
        <v>177946.27954000002</v>
      </c>
      <c r="D215" s="84"/>
      <c r="E215" s="85"/>
      <c r="F215" s="85"/>
      <c r="G215" s="85"/>
      <c r="H215" s="85"/>
      <c r="I215" s="85"/>
      <c r="J215" s="85"/>
      <c r="K215" s="28"/>
      <c r="L215" s="28"/>
      <c r="M215" s="85"/>
      <c r="N215" s="28"/>
      <c r="O215" s="28"/>
      <c r="P215" s="85"/>
      <c r="Q215" s="48"/>
      <c r="R215" s="48"/>
      <c r="S215" s="51"/>
      <c r="T215" s="28"/>
      <c r="U215" s="28"/>
      <c r="V215" s="28"/>
      <c r="W215" s="28"/>
      <c r="X215" s="28"/>
      <c r="Y215" s="36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42">
        <f>SUM($Q205:AN215)</f>
        <v>-476985.31000000006</v>
      </c>
      <c r="AQ215" s="10"/>
      <c r="AR215" s="11"/>
      <c r="AS215" s="2" t="s">
        <v>5</v>
      </c>
    </row>
    <row r="216" spans="1:46" s="2" customFormat="1" ht="17.25" customHeight="1" thickTop="1" thickBot="1" x14ac:dyDescent="0.3">
      <c r="A216" s="103"/>
      <c r="B216" s="104" t="s">
        <v>103</v>
      </c>
      <c r="C216" s="105">
        <f>AO216</f>
        <v>-299039.03046000004</v>
      </c>
      <c r="D216" s="106">
        <f t="shared" ref="D216:K216" si="26">SUM(D205:D215)</f>
        <v>87.607040000022607</v>
      </c>
      <c r="E216" s="107">
        <f t="shared" si="26"/>
        <v>-31298.540000000005</v>
      </c>
      <c r="F216" s="107">
        <f t="shared" si="26"/>
        <v>36000</v>
      </c>
      <c r="G216" s="107">
        <f t="shared" si="26"/>
        <v>0</v>
      </c>
      <c r="H216" s="107">
        <f t="shared" si="26"/>
        <v>60800.622499999998</v>
      </c>
      <c r="I216" s="107">
        <f t="shared" si="26"/>
        <v>7937.02</v>
      </c>
      <c r="J216" s="107">
        <f t="shared" si="26"/>
        <v>0</v>
      </c>
      <c r="K216" s="108">
        <f t="shared" si="26"/>
        <v>7551</v>
      </c>
      <c r="L216" s="109">
        <f>M216/K216</f>
        <v>5.0593179711296523</v>
      </c>
      <c r="M216" s="107">
        <f>ROUND(SUM(M205:M215),2)</f>
        <v>38202.910000000003</v>
      </c>
      <c r="N216" s="108">
        <f>SUM(N205:N215)</f>
        <v>18086</v>
      </c>
      <c r="O216" s="109">
        <f>P216/N216</f>
        <v>3.6612108813446866</v>
      </c>
      <c r="P216" s="107">
        <f>ROUND(SUM(P205:P215),2)</f>
        <v>66216.66</v>
      </c>
      <c r="Q216" s="110">
        <f t="shared" ref="Q216:AN216" si="27">SUM(Q205:Q215)</f>
        <v>-520785.23000000004</v>
      </c>
      <c r="R216" s="107">
        <f t="shared" si="27"/>
        <v>50229.299999999996</v>
      </c>
      <c r="S216" s="107">
        <f t="shared" si="27"/>
        <v>0</v>
      </c>
      <c r="T216" s="107">
        <f t="shared" si="27"/>
        <v>-6429.38</v>
      </c>
      <c r="U216" s="107">
        <f t="shared" si="27"/>
        <v>0</v>
      </c>
      <c r="V216" s="107">
        <f t="shared" si="27"/>
        <v>0</v>
      </c>
      <c r="W216" s="107">
        <f t="shared" si="27"/>
        <v>0</v>
      </c>
      <c r="X216" s="107">
        <f t="shared" si="27"/>
        <v>0</v>
      </c>
      <c r="Y216" s="107">
        <f t="shared" si="27"/>
        <v>0</v>
      </c>
      <c r="Z216" s="107">
        <f t="shared" si="27"/>
        <v>0</v>
      </c>
      <c r="AA216" s="107">
        <f t="shared" si="27"/>
        <v>0</v>
      </c>
      <c r="AB216" s="107">
        <f t="shared" si="27"/>
        <v>0</v>
      </c>
      <c r="AC216" s="107">
        <f t="shared" si="27"/>
        <v>0</v>
      </c>
      <c r="AD216" s="107">
        <f t="shared" si="27"/>
        <v>0</v>
      </c>
      <c r="AE216" s="107">
        <f t="shared" si="27"/>
        <v>0</v>
      </c>
      <c r="AF216" s="107">
        <f t="shared" si="27"/>
        <v>0</v>
      </c>
      <c r="AG216" s="107">
        <f t="shared" si="27"/>
        <v>0</v>
      </c>
      <c r="AH216" s="107">
        <f t="shared" si="27"/>
        <v>0</v>
      </c>
      <c r="AI216" s="107">
        <f t="shared" si="27"/>
        <v>0</v>
      </c>
      <c r="AJ216" s="107">
        <f t="shared" si="27"/>
        <v>0</v>
      </c>
      <c r="AK216" s="107">
        <f t="shared" si="27"/>
        <v>0</v>
      </c>
      <c r="AL216" s="107">
        <f t="shared" si="27"/>
        <v>0</v>
      </c>
      <c r="AM216" s="107">
        <f t="shared" si="27"/>
        <v>0</v>
      </c>
      <c r="AN216" s="107">
        <f t="shared" si="27"/>
        <v>0</v>
      </c>
      <c r="AO216" s="111">
        <f>D216+E216+F216+G216+H216+I216+J216+M216+P216+SUM(Q216:AN216)</f>
        <v>-299039.03046000004</v>
      </c>
      <c r="AP216" s="4"/>
      <c r="AQ216" s="5"/>
      <c r="AR216" s="5"/>
      <c r="AS216" s="2" t="s">
        <v>6</v>
      </c>
    </row>
    <row r="217" spans="1:46" s="2" customFormat="1" ht="17.25" customHeight="1" thickTop="1" x14ac:dyDescent="0.25">
      <c r="A217" s="23">
        <f>A206+1</f>
        <v>46006</v>
      </c>
      <c r="B217" s="210" t="s">
        <v>64</v>
      </c>
      <c r="C217" s="203"/>
      <c r="D217" s="63">
        <v>7737.05</v>
      </c>
      <c r="E217" s="66"/>
      <c r="F217" s="66"/>
      <c r="G217" s="66"/>
      <c r="H217" s="66"/>
      <c r="I217" s="66">
        <f>-D217</f>
        <v>-7737.05</v>
      </c>
      <c r="J217" s="66"/>
      <c r="K217" s="18"/>
      <c r="L217" s="18"/>
      <c r="M217" s="66"/>
      <c r="N217" s="18"/>
      <c r="O217" s="18"/>
      <c r="P217" s="66"/>
      <c r="Q217" s="46"/>
      <c r="R217" s="46"/>
      <c r="S217" s="45"/>
      <c r="T217" s="18"/>
      <c r="U217" s="18"/>
      <c r="V217" s="18"/>
      <c r="W217" s="18"/>
      <c r="X217" s="18"/>
      <c r="Y217" s="14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31"/>
      <c r="AQ217" s="10"/>
      <c r="AR217" s="27"/>
    </row>
    <row r="218" spans="1:46" s="4" customFormat="1" ht="17.25" customHeight="1" x14ac:dyDescent="0.25">
      <c r="A218" s="23"/>
      <c r="B218" s="201" t="s">
        <v>96</v>
      </c>
      <c r="C218" s="202"/>
      <c r="D218" s="63"/>
      <c r="E218" s="64"/>
      <c r="F218" s="64"/>
      <c r="G218" s="64"/>
      <c r="H218" s="64"/>
      <c r="I218" s="64">
        <f>-I216-I217</f>
        <v>-199.97000000000025</v>
      </c>
      <c r="J218" s="64"/>
      <c r="K218" s="16"/>
      <c r="L218" s="92"/>
      <c r="M218" s="64"/>
      <c r="N218" s="16"/>
      <c r="O218" s="92"/>
      <c r="P218" s="64"/>
      <c r="Q218" s="40"/>
      <c r="R218" s="46"/>
      <c r="S218" s="39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22"/>
      <c r="AP218" s="30"/>
    </row>
    <row r="219" spans="1:46" s="2" customFormat="1" ht="17.25" customHeight="1" x14ac:dyDescent="0.25">
      <c r="A219" s="29"/>
      <c r="B219" s="201" t="s">
        <v>72</v>
      </c>
      <c r="C219" s="202"/>
      <c r="D219" s="63">
        <v>-7800</v>
      </c>
      <c r="E219" s="64"/>
      <c r="F219" s="64">
        <f>-D219</f>
        <v>7800</v>
      </c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47"/>
      <c r="R219" s="39"/>
      <c r="S219" s="39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22"/>
      <c r="AQ219" s="10" t="s">
        <v>4</v>
      </c>
      <c r="AR219" s="11" t="e">
        <v>#REF!</v>
      </c>
    </row>
    <row r="220" spans="1:46" s="4" customFormat="1" ht="17.25" customHeight="1" x14ac:dyDescent="0.25">
      <c r="A220" s="23"/>
      <c r="B220" s="201" t="s">
        <v>13</v>
      </c>
      <c r="C220" s="203"/>
      <c r="D220" s="63"/>
      <c r="E220" s="64">
        <f>-E216-22134.59+112.57+897.39</f>
        <v>10173.910000000003</v>
      </c>
      <c r="F220" s="64"/>
      <c r="G220" s="64"/>
      <c r="H220" s="64">
        <f>-E220</f>
        <v>-10173.910000000003</v>
      </c>
      <c r="I220" s="66"/>
      <c r="J220" s="64"/>
      <c r="K220" s="16"/>
      <c r="L220" s="92"/>
      <c r="M220" s="64"/>
      <c r="N220" s="16"/>
      <c r="O220" s="92"/>
      <c r="P220" s="64"/>
      <c r="Q220" s="40"/>
      <c r="R220" s="46">
        <f>-D220</f>
        <v>0</v>
      </c>
      <c r="S220" s="39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22"/>
      <c r="AP220" s="30"/>
    </row>
    <row r="221" spans="1:46" s="4" customFormat="1" ht="17.25" customHeight="1" x14ac:dyDescent="0.25">
      <c r="A221" s="23"/>
      <c r="B221" s="201" t="s">
        <v>337</v>
      </c>
      <c r="C221" s="203"/>
      <c r="D221" s="63"/>
      <c r="E221" s="64">
        <v>-112.57</v>
      </c>
      <c r="F221" s="64"/>
      <c r="G221" s="64"/>
      <c r="H221" s="64"/>
      <c r="I221" s="66"/>
      <c r="J221" s="64"/>
      <c r="K221" s="16"/>
      <c r="L221" s="92"/>
      <c r="M221" s="64"/>
      <c r="N221" s="16"/>
      <c r="O221" s="92"/>
      <c r="P221" s="64"/>
      <c r="Q221" s="40"/>
      <c r="R221" s="46">
        <f>-D221</f>
        <v>0</v>
      </c>
      <c r="S221" s="39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22"/>
      <c r="AP221" s="30"/>
    </row>
    <row r="222" spans="1:46" s="4" customFormat="1" ht="17.25" customHeight="1" x14ac:dyDescent="0.25">
      <c r="A222" s="23"/>
      <c r="B222" s="201" t="s">
        <v>338</v>
      </c>
      <c r="C222" s="203"/>
      <c r="D222" s="63"/>
      <c r="E222" s="64">
        <v>-897.39</v>
      </c>
      <c r="F222" s="64"/>
      <c r="G222" s="64"/>
      <c r="H222" s="64"/>
      <c r="I222" s="66"/>
      <c r="J222" s="64"/>
      <c r="K222" s="16"/>
      <c r="L222" s="92"/>
      <c r="M222" s="64"/>
      <c r="N222" s="16"/>
      <c r="O222" s="92"/>
      <c r="P222" s="64"/>
      <c r="Q222" s="40"/>
      <c r="R222" s="46">
        <f>-D222</f>
        <v>0</v>
      </c>
      <c r="S222" s="39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22"/>
      <c r="AP222" s="30"/>
    </row>
    <row r="223" spans="1:46" s="2" customFormat="1" ht="17.25" customHeight="1" thickBot="1" x14ac:dyDescent="0.25">
      <c r="A223" s="24"/>
      <c r="B223" s="216"/>
      <c r="C223" s="217"/>
      <c r="D223" s="83"/>
      <c r="E223" s="81"/>
      <c r="F223" s="81"/>
      <c r="G223" s="81"/>
      <c r="H223" s="81"/>
      <c r="I223" s="81"/>
      <c r="J223" s="81"/>
      <c r="K223" s="37"/>
      <c r="L223" s="93"/>
      <c r="M223" s="81"/>
      <c r="N223" s="37"/>
      <c r="O223" s="93"/>
      <c r="P223" s="81"/>
      <c r="Q223" s="40"/>
      <c r="R223" s="40"/>
      <c r="S223" s="39"/>
      <c r="T223" s="16"/>
      <c r="U223" s="16"/>
      <c r="V223" s="16"/>
      <c r="W223" s="16"/>
      <c r="X223" s="16"/>
      <c r="Y223" s="19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41"/>
      <c r="AQ223" s="10"/>
      <c r="AR223" s="11"/>
    </row>
    <row r="224" spans="1:46" s="4" customFormat="1" ht="17.25" customHeight="1" x14ac:dyDescent="0.25">
      <c r="A224" s="23"/>
      <c r="B224" s="210" t="s">
        <v>94</v>
      </c>
      <c r="C224" s="203"/>
      <c r="D224" s="66"/>
      <c r="E224" s="66"/>
      <c r="F224" s="117"/>
      <c r="G224" s="117"/>
      <c r="H224" s="66"/>
      <c r="I224" s="66"/>
      <c r="J224" s="66">
        <f>-M224</f>
        <v>7575.7499999999991</v>
      </c>
      <c r="K224" s="58">
        <v>-1295</v>
      </c>
      <c r="L224" s="89">
        <v>5.85</v>
      </c>
      <c r="M224" s="73">
        <f>K224*L224</f>
        <v>-7575.7499999999991</v>
      </c>
      <c r="N224" s="58"/>
      <c r="O224" s="89"/>
      <c r="P224" s="73"/>
      <c r="Q224" s="39"/>
      <c r="R224" s="39"/>
      <c r="S224" s="8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35"/>
      <c r="AP224" s="12" t="e">
        <f>#REF!</f>
        <v>#REF!</v>
      </c>
    </row>
    <row r="225" spans="1:46" s="4" customFormat="1" ht="17.25" customHeight="1" x14ac:dyDescent="0.25">
      <c r="A225" s="23"/>
      <c r="B225" s="201" t="s">
        <v>95</v>
      </c>
      <c r="C225" s="202"/>
      <c r="D225" s="64"/>
      <c r="E225" s="64"/>
      <c r="F225" s="117"/>
      <c r="G225" s="117"/>
      <c r="H225" s="64"/>
      <c r="I225" s="64"/>
      <c r="J225" s="64">
        <f>-P225</f>
        <v>8625.4600000000009</v>
      </c>
      <c r="K225" s="57"/>
      <c r="L225" s="88"/>
      <c r="M225" s="62"/>
      <c r="N225" s="57">
        <v>-2206</v>
      </c>
      <c r="O225" s="88">
        <v>3.91</v>
      </c>
      <c r="P225" s="62">
        <f>N225*O225</f>
        <v>-8625.4600000000009</v>
      </c>
      <c r="Q225" s="39"/>
      <c r="R225" s="39"/>
      <c r="S225" s="8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35"/>
      <c r="AP225" s="12" t="e">
        <f>#REF!</f>
        <v>#REF!</v>
      </c>
    </row>
    <row r="226" spans="1:46" s="4" customFormat="1" ht="17.25" customHeight="1" x14ac:dyDescent="0.25">
      <c r="A226" s="23"/>
      <c r="B226" s="201" t="s">
        <v>97</v>
      </c>
      <c r="C226" s="203"/>
      <c r="D226" s="64"/>
      <c r="E226" s="64"/>
      <c r="F226" s="64"/>
      <c r="G226" s="64"/>
      <c r="H226" s="64">
        <f>-J226-I226</f>
        <v>5847.1299999999992</v>
      </c>
      <c r="I226" s="64">
        <v>10354.08</v>
      </c>
      <c r="J226" s="64">
        <f>-SUM(J224:J225)</f>
        <v>-16201.21</v>
      </c>
      <c r="K226" s="57"/>
      <c r="L226" s="88"/>
      <c r="M226" s="62"/>
      <c r="N226" s="57"/>
      <c r="O226" s="88"/>
      <c r="P226" s="62"/>
      <c r="Q226" s="39"/>
      <c r="R226" s="39"/>
      <c r="S226" s="39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22"/>
      <c r="AO226" s="43">
        <f>A202</f>
        <v>0</v>
      </c>
      <c r="AP226" s="12" t="e">
        <f>#REF!</f>
        <v>#REF!</v>
      </c>
      <c r="AT226" s="2"/>
    </row>
    <row r="227" spans="1:46" s="4" customFormat="1" ht="17.25" customHeight="1" x14ac:dyDescent="0.25">
      <c r="A227" s="23"/>
      <c r="B227" s="201" t="s">
        <v>93</v>
      </c>
      <c r="C227" s="202"/>
      <c r="D227" s="64"/>
      <c r="E227" s="64"/>
      <c r="F227" s="64"/>
      <c r="G227" s="64"/>
      <c r="H227" s="64"/>
      <c r="I227" s="64"/>
      <c r="J227" s="64"/>
      <c r="K227" s="57">
        <v>-4</v>
      </c>
      <c r="L227" s="88"/>
      <c r="M227" s="62">
        <f>(K230*(M216)/(K216))-M216-M224</f>
        <v>1003.6959555025815</v>
      </c>
      <c r="N227" s="57">
        <v>22</v>
      </c>
      <c r="O227" s="88"/>
      <c r="P227" s="62">
        <f>(N230*(P216)/(N216))-P216-P225</f>
        <v>629.37543514320168</v>
      </c>
      <c r="Q227" s="39"/>
      <c r="R227" s="39"/>
      <c r="S227" s="39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22"/>
      <c r="AO227" s="43">
        <f>A210</f>
        <v>0</v>
      </c>
      <c r="AP227" s="12" t="e">
        <f>#REF!</f>
        <v>#REF!</v>
      </c>
      <c r="AT227" s="2"/>
    </row>
    <row r="228" spans="1:46" s="2" customFormat="1" ht="17.25" customHeight="1" x14ac:dyDescent="0.2">
      <c r="A228" s="24"/>
      <c r="B228" s="201"/>
      <c r="C228" s="204"/>
      <c r="D228" s="63"/>
      <c r="E228" s="64"/>
      <c r="F228" s="64"/>
      <c r="G228" s="64"/>
      <c r="H228" s="64"/>
      <c r="I228" s="64"/>
      <c r="J228" s="64"/>
      <c r="K228" s="16"/>
      <c r="L228" s="16"/>
      <c r="M228" s="64"/>
      <c r="N228" s="16"/>
      <c r="O228" s="16"/>
      <c r="P228" s="64"/>
      <c r="Q228" s="46"/>
      <c r="R228" s="46"/>
      <c r="S228" s="39"/>
      <c r="T228" s="16"/>
      <c r="U228" s="16"/>
      <c r="V228" s="16"/>
      <c r="W228" s="16"/>
      <c r="X228" s="16"/>
      <c r="Y228" s="19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43">
        <f>A217</f>
        <v>46006</v>
      </c>
      <c r="AQ228" s="10"/>
      <c r="AR228" s="11"/>
    </row>
    <row r="229" spans="1:46" s="2" customFormat="1" ht="17.25" customHeight="1" thickBot="1" x14ac:dyDescent="0.3">
      <c r="A229" s="56"/>
      <c r="B229" s="101" t="s">
        <v>102</v>
      </c>
      <c r="C229" s="102">
        <f>D230+E230+F230+G230+H230+I230+J230+M230+P230</f>
        <v>178369.42954000004</v>
      </c>
      <c r="D229" s="84"/>
      <c r="E229" s="85"/>
      <c r="F229" s="85"/>
      <c r="G229" s="85"/>
      <c r="H229" s="85"/>
      <c r="I229" s="85"/>
      <c r="J229" s="85"/>
      <c r="K229" s="28"/>
      <c r="L229" s="28"/>
      <c r="M229" s="85"/>
      <c r="N229" s="28"/>
      <c r="O229" s="28"/>
      <c r="P229" s="85"/>
      <c r="Q229" s="48"/>
      <c r="R229" s="48"/>
      <c r="S229" s="51"/>
      <c r="T229" s="28"/>
      <c r="U229" s="28"/>
      <c r="V229" s="28"/>
      <c r="W229" s="28"/>
      <c r="X229" s="28"/>
      <c r="Y229" s="36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42">
        <f>SUM($Q216:AN229)</f>
        <v>-476985.31000000006</v>
      </c>
      <c r="AQ229" s="10"/>
      <c r="AR229" s="11"/>
      <c r="AS229" s="2" t="s">
        <v>5</v>
      </c>
    </row>
    <row r="230" spans="1:46" s="2" customFormat="1" ht="17.25" customHeight="1" thickTop="1" thickBot="1" x14ac:dyDescent="0.3">
      <c r="A230" s="103"/>
      <c r="B230" s="104" t="s">
        <v>103</v>
      </c>
      <c r="C230" s="105">
        <f>AO230</f>
        <v>-298615.88046000001</v>
      </c>
      <c r="D230" s="106">
        <f t="shared" ref="D230:K230" si="28">SUM(D216:D229)</f>
        <v>24.657040000022789</v>
      </c>
      <c r="E230" s="107">
        <f t="shared" si="28"/>
        <v>-22134.59</v>
      </c>
      <c r="F230" s="107">
        <f t="shared" si="28"/>
        <v>43800</v>
      </c>
      <c r="G230" s="107">
        <f t="shared" si="28"/>
        <v>0</v>
      </c>
      <c r="H230" s="107">
        <f t="shared" si="28"/>
        <v>56473.842499999992</v>
      </c>
      <c r="I230" s="107">
        <f t="shared" si="28"/>
        <v>10354.08</v>
      </c>
      <c r="J230" s="107">
        <f t="shared" si="28"/>
        <v>0</v>
      </c>
      <c r="K230" s="108">
        <f t="shared" si="28"/>
        <v>6252</v>
      </c>
      <c r="L230" s="109">
        <f>M230/K230</f>
        <v>5.0593186180422265</v>
      </c>
      <c r="M230" s="107">
        <f>ROUND(SUM(M216:M229),2)</f>
        <v>31630.86</v>
      </c>
      <c r="N230" s="108">
        <f>SUM(N216:N229)</f>
        <v>15902</v>
      </c>
      <c r="O230" s="109">
        <f>P230/N230</f>
        <v>3.6612111684064899</v>
      </c>
      <c r="P230" s="107">
        <f>ROUND(SUM(P216:P229),2)</f>
        <v>58220.58</v>
      </c>
      <c r="Q230" s="110">
        <f t="shared" ref="Q230:AN230" si="29">SUM(Q216:Q229)</f>
        <v>-520785.23000000004</v>
      </c>
      <c r="R230" s="107">
        <f t="shared" si="29"/>
        <v>50229.299999999996</v>
      </c>
      <c r="S230" s="107">
        <f t="shared" si="29"/>
        <v>0</v>
      </c>
      <c r="T230" s="107">
        <f t="shared" si="29"/>
        <v>-6429.38</v>
      </c>
      <c r="U230" s="107">
        <f t="shared" si="29"/>
        <v>0</v>
      </c>
      <c r="V230" s="107">
        <f t="shared" si="29"/>
        <v>0</v>
      </c>
      <c r="W230" s="107">
        <f t="shared" si="29"/>
        <v>0</v>
      </c>
      <c r="X230" s="107">
        <f t="shared" si="29"/>
        <v>0</v>
      </c>
      <c r="Y230" s="107">
        <f t="shared" si="29"/>
        <v>0</v>
      </c>
      <c r="Z230" s="107">
        <f t="shared" si="29"/>
        <v>0</v>
      </c>
      <c r="AA230" s="107">
        <f t="shared" si="29"/>
        <v>0</v>
      </c>
      <c r="AB230" s="107">
        <f t="shared" si="29"/>
        <v>0</v>
      </c>
      <c r="AC230" s="107">
        <f t="shared" si="29"/>
        <v>0</v>
      </c>
      <c r="AD230" s="107">
        <f t="shared" si="29"/>
        <v>0</v>
      </c>
      <c r="AE230" s="107">
        <f t="shared" si="29"/>
        <v>0</v>
      </c>
      <c r="AF230" s="107">
        <f t="shared" si="29"/>
        <v>0</v>
      </c>
      <c r="AG230" s="107">
        <f t="shared" si="29"/>
        <v>0</v>
      </c>
      <c r="AH230" s="107">
        <f t="shared" si="29"/>
        <v>0</v>
      </c>
      <c r="AI230" s="107">
        <f t="shared" si="29"/>
        <v>0</v>
      </c>
      <c r="AJ230" s="107">
        <f t="shared" si="29"/>
        <v>0</v>
      </c>
      <c r="AK230" s="107">
        <f t="shared" si="29"/>
        <v>0</v>
      </c>
      <c r="AL230" s="107">
        <f t="shared" si="29"/>
        <v>0</v>
      </c>
      <c r="AM230" s="107">
        <f t="shared" si="29"/>
        <v>0</v>
      </c>
      <c r="AN230" s="107">
        <f t="shared" si="29"/>
        <v>0</v>
      </c>
      <c r="AO230" s="111">
        <f>D230+E230+F230+G230+H230+I230+J230+M230+P230+SUM(Q230:AN230)</f>
        <v>-298615.88046000001</v>
      </c>
      <c r="AP230" s="4"/>
      <c r="AQ230" s="5"/>
      <c r="AR230" s="5"/>
      <c r="AS230" s="2" t="s">
        <v>6</v>
      </c>
    </row>
    <row r="231" spans="1:46" s="2" customFormat="1" ht="17.25" customHeight="1" thickTop="1" x14ac:dyDescent="0.25">
      <c r="A231" s="23">
        <f>A217+1</f>
        <v>46007</v>
      </c>
      <c r="B231" s="210" t="s">
        <v>64</v>
      </c>
      <c r="C231" s="203"/>
      <c r="D231" s="63">
        <v>10105.85</v>
      </c>
      <c r="E231" s="66"/>
      <c r="F231" s="66"/>
      <c r="G231" s="66"/>
      <c r="H231" s="66"/>
      <c r="I231" s="66">
        <f>-D231</f>
        <v>-10105.85</v>
      </c>
      <c r="J231" s="66"/>
      <c r="K231" s="18"/>
      <c r="L231" s="18"/>
      <c r="M231" s="66"/>
      <c r="N231" s="18"/>
      <c r="O231" s="18"/>
      <c r="P231" s="66"/>
      <c r="Q231" s="46"/>
      <c r="R231" s="46"/>
      <c r="S231" s="45"/>
      <c r="T231" s="18"/>
      <c r="U231" s="18"/>
      <c r="V231" s="18"/>
      <c r="W231" s="18"/>
      <c r="X231" s="18"/>
      <c r="Y231" s="14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31"/>
      <c r="AQ231" s="10"/>
      <c r="AR231" s="27"/>
    </row>
    <row r="232" spans="1:46" s="4" customFormat="1" ht="17.25" customHeight="1" x14ac:dyDescent="0.25">
      <c r="A232" s="23"/>
      <c r="B232" s="201" t="s">
        <v>96</v>
      </c>
      <c r="C232" s="202"/>
      <c r="D232" s="63"/>
      <c r="E232" s="64"/>
      <c r="F232" s="64"/>
      <c r="G232" s="64"/>
      <c r="H232" s="64"/>
      <c r="I232" s="64">
        <f>-I230-I231</f>
        <v>-248.22999999999956</v>
      </c>
      <c r="J232" s="64"/>
      <c r="K232" s="16"/>
      <c r="L232" s="92"/>
      <c r="M232" s="64"/>
      <c r="N232" s="16"/>
      <c r="O232" s="92"/>
      <c r="P232" s="64"/>
      <c r="Q232" s="40"/>
      <c r="R232" s="46"/>
      <c r="S232" s="39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22"/>
      <c r="AP232" s="30"/>
    </row>
    <row r="233" spans="1:46" s="2" customFormat="1" ht="17.25" customHeight="1" x14ac:dyDescent="0.2">
      <c r="A233" s="23"/>
      <c r="B233" s="201" t="s">
        <v>221</v>
      </c>
      <c r="C233" s="203"/>
      <c r="D233" s="64">
        <v>-10100</v>
      </c>
      <c r="E233" s="64"/>
      <c r="F233" s="74">
        <f>-D233</f>
        <v>10100</v>
      </c>
      <c r="G233" s="74"/>
      <c r="H233" s="64"/>
      <c r="I233" s="64"/>
      <c r="J233" s="64"/>
      <c r="K233" s="16"/>
      <c r="L233" s="16"/>
      <c r="M233" s="64"/>
      <c r="N233" s="16"/>
      <c r="O233" s="16"/>
      <c r="P233" s="64"/>
      <c r="Q233" s="46"/>
      <c r="R233" s="39"/>
      <c r="S233" s="40"/>
      <c r="T233" s="16"/>
      <c r="U233" s="16"/>
      <c r="V233" s="16"/>
      <c r="W233" s="16"/>
      <c r="X233" s="16"/>
      <c r="Y233" s="19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35"/>
      <c r="AQ233" s="10"/>
      <c r="AR233" s="27"/>
    </row>
    <row r="234" spans="1:46" s="2" customFormat="1" ht="17.25" customHeight="1" x14ac:dyDescent="0.2">
      <c r="A234" s="23"/>
      <c r="B234" s="201" t="s">
        <v>311</v>
      </c>
      <c r="C234" s="203"/>
      <c r="D234" s="63"/>
      <c r="E234" s="64"/>
      <c r="F234" s="74">
        <v>-654.5</v>
      </c>
      <c r="G234" s="74"/>
      <c r="H234" s="64"/>
      <c r="I234" s="64"/>
      <c r="J234" s="64"/>
      <c r="K234" s="16"/>
      <c r="L234" s="16"/>
      <c r="M234" s="64"/>
      <c r="N234" s="16"/>
      <c r="O234" s="16"/>
      <c r="P234" s="64"/>
      <c r="Q234" s="46"/>
      <c r="R234" s="39"/>
      <c r="S234" s="40"/>
      <c r="T234" s="16"/>
      <c r="U234" s="16"/>
      <c r="V234" s="16"/>
      <c r="W234" s="16"/>
      <c r="X234" s="16"/>
      <c r="Y234" s="19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35"/>
      <c r="AQ234" s="10"/>
      <c r="AR234" s="27"/>
    </row>
    <row r="235" spans="1:46" s="4" customFormat="1" ht="17.25" customHeight="1" x14ac:dyDescent="0.25">
      <c r="A235" s="23"/>
      <c r="B235" s="201" t="s">
        <v>13</v>
      </c>
      <c r="C235" s="202"/>
      <c r="D235" s="63"/>
      <c r="E235" s="64">
        <f>-E230-19305.32+796.99+695.27+186.52</f>
        <v>4508.0500000000011</v>
      </c>
      <c r="F235" s="64"/>
      <c r="G235" s="64"/>
      <c r="H235" s="64">
        <f>-E235</f>
        <v>-4508.0500000000011</v>
      </c>
      <c r="I235" s="66"/>
      <c r="J235" s="64"/>
      <c r="K235" s="16"/>
      <c r="L235" s="92"/>
      <c r="M235" s="64"/>
      <c r="N235" s="16"/>
      <c r="O235" s="92"/>
      <c r="P235" s="64"/>
      <c r="Q235" s="40"/>
      <c r="R235" s="46">
        <f>-D235</f>
        <v>0</v>
      </c>
      <c r="S235" s="39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22"/>
      <c r="AP235" s="30"/>
    </row>
    <row r="236" spans="1:46" s="4" customFormat="1" ht="17.25" customHeight="1" x14ac:dyDescent="0.25">
      <c r="A236" s="23"/>
      <c r="B236" s="201" t="s">
        <v>260</v>
      </c>
      <c r="C236" s="202"/>
      <c r="D236" s="63"/>
      <c r="E236" s="64">
        <v>-796.99</v>
      </c>
      <c r="F236" s="64"/>
      <c r="G236" s="64"/>
      <c r="H236" s="64"/>
      <c r="I236" s="66"/>
      <c r="J236" s="64"/>
      <c r="K236" s="16"/>
      <c r="L236" s="92"/>
      <c r="M236" s="64"/>
      <c r="N236" s="16"/>
      <c r="O236" s="92"/>
      <c r="P236" s="64"/>
      <c r="Q236" s="40"/>
      <c r="R236" s="46">
        <f>-D236</f>
        <v>0</v>
      </c>
      <c r="S236" s="39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22"/>
      <c r="AP236" s="30"/>
    </row>
    <row r="237" spans="1:46" s="4" customFormat="1" ht="17.25" customHeight="1" x14ac:dyDescent="0.25">
      <c r="A237" s="23"/>
      <c r="B237" s="201" t="s">
        <v>339</v>
      </c>
      <c r="C237" s="202"/>
      <c r="D237" s="63"/>
      <c r="E237" s="64">
        <v>-695.27</v>
      </c>
      <c r="F237" s="64"/>
      <c r="G237" s="64"/>
      <c r="H237" s="64"/>
      <c r="I237" s="66"/>
      <c r="J237" s="64"/>
      <c r="K237" s="16"/>
      <c r="L237" s="92"/>
      <c r="M237" s="64"/>
      <c r="N237" s="16"/>
      <c r="O237" s="92"/>
      <c r="P237" s="64"/>
      <c r="Q237" s="40"/>
      <c r="R237" s="46">
        <f>-D237</f>
        <v>0</v>
      </c>
      <c r="S237" s="39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22"/>
      <c r="AP237" s="30"/>
    </row>
    <row r="238" spans="1:46" s="4" customFormat="1" ht="17.25" customHeight="1" x14ac:dyDescent="0.25">
      <c r="A238" s="23"/>
      <c r="B238" s="201" t="s">
        <v>340</v>
      </c>
      <c r="C238" s="202"/>
      <c r="D238" s="63"/>
      <c r="E238" s="64">
        <v>-186.52</v>
      </c>
      <c r="F238" s="64"/>
      <c r="G238" s="64"/>
      <c r="H238" s="64"/>
      <c r="I238" s="66"/>
      <c r="J238" s="64"/>
      <c r="K238" s="16"/>
      <c r="L238" s="92"/>
      <c r="M238" s="64"/>
      <c r="N238" s="16"/>
      <c r="O238" s="92"/>
      <c r="P238" s="64"/>
      <c r="Q238" s="40"/>
      <c r="R238" s="46">
        <f>-D238</f>
        <v>0</v>
      </c>
      <c r="S238" s="39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22"/>
      <c r="AP238" s="30"/>
    </row>
    <row r="239" spans="1:46" s="2" customFormat="1" ht="17.25" customHeight="1" thickBot="1" x14ac:dyDescent="0.25">
      <c r="A239" s="24"/>
      <c r="B239" s="216"/>
      <c r="C239" s="217"/>
      <c r="D239" s="83"/>
      <c r="E239" s="81"/>
      <c r="F239" s="81"/>
      <c r="G239" s="81"/>
      <c r="H239" s="81"/>
      <c r="I239" s="81"/>
      <c r="J239" s="81"/>
      <c r="K239" s="37"/>
      <c r="L239" s="93"/>
      <c r="M239" s="81"/>
      <c r="N239" s="37"/>
      <c r="O239" s="93"/>
      <c r="P239" s="81"/>
      <c r="Q239" s="40"/>
      <c r="R239" s="40"/>
      <c r="S239" s="39"/>
      <c r="T239" s="16"/>
      <c r="U239" s="16"/>
      <c r="V239" s="16"/>
      <c r="W239" s="16"/>
      <c r="X239" s="16"/>
      <c r="Y239" s="19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41"/>
      <c r="AQ239" s="10"/>
      <c r="AR239" s="11"/>
    </row>
    <row r="240" spans="1:46" s="4" customFormat="1" ht="17.25" customHeight="1" x14ac:dyDescent="0.25">
      <c r="A240" s="23"/>
      <c r="B240" s="210" t="s">
        <v>94</v>
      </c>
      <c r="C240" s="203"/>
      <c r="D240" s="66"/>
      <c r="E240" s="66"/>
      <c r="F240" s="117"/>
      <c r="G240" s="117"/>
      <c r="H240" s="66"/>
      <c r="I240" s="66"/>
      <c r="J240" s="66">
        <f>-M240</f>
        <v>9751.9499999999989</v>
      </c>
      <c r="K240" s="58">
        <v>-1667</v>
      </c>
      <c r="L240" s="89">
        <v>5.85</v>
      </c>
      <c r="M240" s="73">
        <f>K240*L240</f>
        <v>-9751.9499999999989</v>
      </c>
      <c r="N240" s="58"/>
      <c r="O240" s="89"/>
      <c r="P240" s="73"/>
      <c r="Q240" s="39"/>
      <c r="R240" s="39"/>
      <c r="S240" s="8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35"/>
      <c r="AP240" s="12" t="e">
        <f>#REF!</f>
        <v>#REF!</v>
      </c>
    </row>
    <row r="241" spans="1:46" s="4" customFormat="1" ht="17.25" customHeight="1" x14ac:dyDescent="0.25">
      <c r="A241" s="23"/>
      <c r="B241" s="201" t="s">
        <v>95</v>
      </c>
      <c r="C241" s="202"/>
      <c r="D241" s="64"/>
      <c r="E241" s="64"/>
      <c r="F241" s="117"/>
      <c r="G241" s="117"/>
      <c r="H241" s="64"/>
      <c r="I241" s="64"/>
      <c r="J241" s="64">
        <f>-P241</f>
        <v>8254.01</v>
      </c>
      <c r="K241" s="57"/>
      <c r="L241" s="88"/>
      <c r="M241" s="62"/>
      <c r="N241" s="57">
        <v>-2111</v>
      </c>
      <c r="O241" s="88">
        <v>3.91</v>
      </c>
      <c r="P241" s="62">
        <f>N241*O241</f>
        <v>-8254.01</v>
      </c>
      <c r="Q241" s="39"/>
      <c r="R241" s="39"/>
      <c r="S241" s="8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35"/>
      <c r="AP241" s="12" t="e">
        <f>#REF!</f>
        <v>#REF!</v>
      </c>
    </row>
    <row r="242" spans="1:46" s="4" customFormat="1" ht="17.25" customHeight="1" x14ac:dyDescent="0.25">
      <c r="A242" s="23"/>
      <c r="B242" s="201" t="s">
        <v>97</v>
      </c>
      <c r="C242" s="203"/>
      <c r="D242" s="64"/>
      <c r="E242" s="64"/>
      <c r="F242" s="64"/>
      <c r="G242" s="64"/>
      <c r="H242" s="64">
        <f>-J242-I242</f>
        <v>5859.2199999999993</v>
      </c>
      <c r="I242" s="64">
        <v>12146.74</v>
      </c>
      <c r="J242" s="64">
        <f>-SUM(J240:J241)</f>
        <v>-18005.96</v>
      </c>
      <c r="K242" s="57"/>
      <c r="L242" s="88"/>
      <c r="M242" s="62"/>
      <c r="N242" s="57"/>
      <c r="O242" s="88"/>
      <c r="P242" s="62"/>
      <c r="Q242" s="39"/>
      <c r="R242" s="39"/>
      <c r="S242" s="39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22"/>
      <c r="AO242" s="43">
        <f>A213</f>
        <v>0</v>
      </c>
      <c r="AP242" s="12" t="e">
        <f>#REF!</f>
        <v>#REF!</v>
      </c>
      <c r="AT242" s="2"/>
    </row>
    <row r="243" spans="1:46" s="4" customFormat="1" ht="17.25" customHeight="1" x14ac:dyDescent="0.25">
      <c r="A243" s="23"/>
      <c r="B243" s="201" t="s">
        <v>93</v>
      </c>
      <c r="C243" s="202"/>
      <c r="D243" s="64"/>
      <c r="E243" s="64"/>
      <c r="F243" s="64"/>
      <c r="G243" s="64"/>
      <c r="H243" s="64"/>
      <c r="I243" s="64"/>
      <c r="J243" s="64"/>
      <c r="K243" s="57">
        <v>-17</v>
      </c>
      <c r="L243" s="88"/>
      <c r="M243" s="62">
        <f>(K246*(M230)/(K230))-M230-M240</f>
        <v>1232.0574472168864</v>
      </c>
      <c r="N243" s="57">
        <v>-76</v>
      </c>
      <c r="O243" s="88"/>
      <c r="P243" s="62">
        <f>(N246*(P230)/(N230))-P230-P241</f>
        <v>246.9411746950118</v>
      </c>
      <c r="Q243" s="39"/>
      <c r="R243" s="39"/>
      <c r="S243" s="39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22"/>
      <c r="AO243" s="43">
        <f>A224</f>
        <v>0</v>
      </c>
      <c r="AP243" s="12" t="e">
        <f>#REF!</f>
        <v>#REF!</v>
      </c>
      <c r="AT243" s="2"/>
    </row>
    <row r="244" spans="1:46" s="2" customFormat="1" ht="17.25" customHeight="1" x14ac:dyDescent="0.2">
      <c r="A244" s="24"/>
      <c r="B244" s="201"/>
      <c r="C244" s="204"/>
      <c r="D244" s="63"/>
      <c r="E244" s="64"/>
      <c r="F244" s="64"/>
      <c r="G244" s="64"/>
      <c r="H244" s="64"/>
      <c r="I244" s="64"/>
      <c r="J244" s="64"/>
      <c r="K244" s="16"/>
      <c r="L244" s="16"/>
      <c r="M244" s="64"/>
      <c r="N244" s="16"/>
      <c r="O244" s="16"/>
      <c r="P244" s="64"/>
      <c r="Q244" s="46"/>
      <c r="R244" s="46"/>
      <c r="S244" s="39"/>
      <c r="T244" s="16"/>
      <c r="U244" s="16"/>
      <c r="V244" s="16"/>
      <c r="W244" s="16"/>
      <c r="X244" s="16"/>
      <c r="Y244" s="19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43">
        <f>A231</f>
        <v>46007</v>
      </c>
      <c r="AQ244" s="10"/>
      <c r="AR244" s="11"/>
    </row>
    <row r="245" spans="1:46" s="2" customFormat="1" ht="17.25" customHeight="1" thickBot="1" x14ac:dyDescent="0.3">
      <c r="A245" s="56"/>
      <c r="B245" s="101" t="s">
        <v>102</v>
      </c>
      <c r="C245" s="102">
        <f>D246+E246+F246+G246+H246+I246+J246+M246+P246</f>
        <v>177266.91954</v>
      </c>
      <c r="D245" s="84"/>
      <c r="E245" s="85"/>
      <c r="F245" s="85"/>
      <c r="G245" s="85"/>
      <c r="H245" s="85"/>
      <c r="I245" s="85"/>
      <c r="J245" s="85"/>
      <c r="K245" s="28"/>
      <c r="L245" s="28"/>
      <c r="M245" s="85"/>
      <c r="N245" s="28"/>
      <c r="O245" s="28"/>
      <c r="P245" s="85"/>
      <c r="Q245" s="48"/>
      <c r="R245" s="48"/>
      <c r="S245" s="51"/>
      <c r="T245" s="28"/>
      <c r="U245" s="28"/>
      <c r="V245" s="28"/>
      <c r="W245" s="28"/>
      <c r="X245" s="28"/>
      <c r="Y245" s="36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42">
        <f>SUM($Q230:AN245)</f>
        <v>-476985.31000000006</v>
      </c>
      <c r="AQ245" s="10"/>
      <c r="AR245" s="11"/>
      <c r="AS245" s="2" t="s">
        <v>5</v>
      </c>
    </row>
    <row r="246" spans="1:46" s="2" customFormat="1" ht="17.25" customHeight="1" thickTop="1" thickBot="1" x14ac:dyDescent="0.3">
      <c r="A246" s="103"/>
      <c r="B246" s="104" t="s">
        <v>103</v>
      </c>
      <c r="C246" s="105">
        <f>AO246</f>
        <v>-299718.39046000002</v>
      </c>
      <c r="D246" s="106">
        <f t="shared" ref="D246:K246" si="30">SUM(D230:D245)</f>
        <v>30.507040000022243</v>
      </c>
      <c r="E246" s="107">
        <f t="shared" si="30"/>
        <v>-19305.320000000003</v>
      </c>
      <c r="F246" s="107">
        <f t="shared" si="30"/>
        <v>53245.5</v>
      </c>
      <c r="G246" s="107">
        <f t="shared" si="30"/>
        <v>0</v>
      </c>
      <c r="H246" s="107">
        <f t="shared" si="30"/>
        <v>57825.01249999999</v>
      </c>
      <c r="I246" s="107">
        <f t="shared" si="30"/>
        <v>12146.74</v>
      </c>
      <c r="J246" s="107">
        <f t="shared" si="30"/>
        <v>0</v>
      </c>
      <c r="K246" s="108">
        <f t="shared" si="30"/>
        <v>4568</v>
      </c>
      <c r="L246" s="109">
        <f>M246/K246</f>
        <v>5.0593191768826626</v>
      </c>
      <c r="M246" s="107">
        <f>ROUND(SUM(M230:M245),2)</f>
        <v>23110.97</v>
      </c>
      <c r="N246" s="108">
        <f>SUM(N230:N245)</f>
        <v>13715</v>
      </c>
      <c r="O246" s="109">
        <f>P246/N246</f>
        <v>3.6612110827561066</v>
      </c>
      <c r="P246" s="107">
        <f>ROUND(SUM(P230:P245),2)</f>
        <v>50213.51</v>
      </c>
      <c r="Q246" s="110">
        <f t="shared" ref="Q246:AN246" si="31">SUM(Q230:Q245)</f>
        <v>-520785.23000000004</v>
      </c>
      <c r="R246" s="107">
        <f t="shared" si="31"/>
        <v>50229.299999999996</v>
      </c>
      <c r="S246" s="107">
        <f t="shared" si="31"/>
        <v>0</v>
      </c>
      <c r="T246" s="107">
        <f t="shared" si="31"/>
        <v>-6429.38</v>
      </c>
      <c r="U246" s="107">
        <f t="shared" si="31"/>
        <v>0</v>
      </c>
      <c r="V246" s="107">
        <f t="shared" si="31"/>
        <v>0</v>
      </c>
      <c r="W246" s="107">
        <f t="shared" si="31"/>
        <v>0</v>
      </c>
      <c r="X246" s="107">
        <f t="shared" si="31"/>
        <v>0</v>
      </c>
      <c r="Y246" s="107">
        <f t="shared" si="31"/>
        <v>0</v>
      </c>
      <c r="Z246" s="107">
        <f t="shared" si="31"/>
        <v>0</v>
      </c>
      <c r="AA246" s="107">
        <f t="shared" si="31"/>
        <v>0</v>
      </c>
      <c r="AB246" s="107">
        <f t="shared" si="31"/>
        <v>0</v>
      </c>
      <c r="AC246" s="107">
        <f t="shared" si="31"/>
        <v>0</v>
      </c>
      <c r="AD246" s="107">
        <f t="shared" si="31"/>
        <v>0</v>
      </c>
      <c r="AE246" s="107">
        <f t="shared" si="31"/>
        <v>0</v>
      </c>
      <c r="AF246" s="107">
        <f t="shared" si="31"/>
        <v>0</v>
      </c>
      <c r="AG246" s="107">
        <f t="shared" si="31"/>
        <v>0</v>
      </c>
      <c r="AH246" s="107">
        <f t="shared" si="31"/>
        <v>0</v>
      </c>
      <c r="AI246" s="107">
        <f t="shared" si="31"/>
        <v>0</v>
      </c>
      <c r="AJ246" s="107">
        <f t="shared" si="31"/>
        <v>0</v>
      </c>
      <c r="AK246" s="107">
        <f t="shared" si="31"/>
        <v>0</v>
      </c>
      <c r="AL246" s="107">
        <f t="shared" si="31"/>
        <v>0</v>
      </c>
      <c r="AM246" s="107">
        <f t="shared" si="31"/>
        <v>0</v>
      </c>
      <c r="AN246" s="107">
        <f t="shared" si="31"/>
        <v>0</v>
      </c>
      <c r="AO246" s="111">
        <f>D246+E246+F246+G246+H246+I246+J246+M246+P246+SUM(Q246:AN246)</f>
        <v>-299718.39046000002</v>
      </c>
      <c r="AP246" s="4"/>
      <c r="AQ246" s="5"/>
      <c r="AR246" s="5"/>
      <c r="AS246" s="2" t="s">
        <v>6</v>
      </c>
    </row>
    <row r="247" spans="1:46" s="2" customFormat="1" ht="17.25" customHeight="1" thickTop="1" x14ac:dyDescent="0.25">
      <c r="A247" s="23">
        <f>A231+1</f>
        <v>46008</v>
      </c>
      <c r="B247" s="210" t="s">
        <v>64</v>
      </c>
      <c r="C247" s="203"/>
      <c r="D247" s="63">
        <v>11844.78</v>
      </c>
      <c r="E247" s="66"/>
      <c r="F247" s="66"/>
      <c r="G247" s="66"/>
      <c r="H247" s="66"/>
      <c r="I247" s="66">
        <f>-D247</f>
        <v>-11844.78</v>
      </c>
      <c r="J247" s="66"/>
      <c r="K247" s="18"/>
      <c r="L247" s="18"/>
      <c r="M247" s="66"/>
      <c r="N247" s="18"/>
      <c r="O247" s="18"/>
      <c r="P247" s="66"/>
      <c r="Q247" s="46"/>
      <c r="R247" s="46"/>
      <c r="S247" s="45"/>
      <c r="T247" s="18"/>
      <c r="U247" s="18"/>
      <c r="V247" s="18"/>
      <c r="W247" s="18"/>
      <c r="X247" s="18"/>
      <c r="Y247" s="14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31"/>
      <c r="AQ247" s="10"/>
      <c r="AR247" s="27"/>
    </row>
    <row r="248" spans="1:46" s="4" customFormat="1" ht="17.25" customHeight="1" x14ac:dyDescent="0.25">
      <c r="A248" s="23"/>
      <c r="B248" s="201" t="s">
        <v>96</v>
      </c>
      <c r="C248" s="202"/>
      <c r="D248" s="63"/>
      <c r="E248" s="64"/>
      <c r="F248" s="64"/>
      <c r="G248" s="64"/>
      <c r="H248" s="64"/>
      <c r="I248" s="64">
        <f>-I246-I247</f>
        <v>-301.95999999999913</v>
      </c>
      <c r="J248" s="64"/>
      <c r="K248" s="16"/>
      <c r="L248" s="92"/>
      <c r="M248" s="64"/>
      <c r="N248" s="16"/>
      <c r="O248" s="92"/>
      <c r="P248" s="64"/>
      <c r="Q248" s="40"/>
      <c r="R248" s="46"/>
      <c r="S248" s="39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22"/>
      <c r="AP248" s="30"/>
    </row>
    <row r="249" spans="1:46" s="2" customFormat="1" ht="17.25" customHeight="1" x14ac:dyDescent="0.25">
      <c r="A249" s="29"/>
      <c r="B249" s="201" t="s">
        <v>72</v>
      </c>
      <c r="C249" s="202"/>
      <c r="D249" s="63">
        <v>-11800</v>
      </c>
      <c r="E249" s="64"/>
      <c r="F249" s="64">
        <f>-D249</f>
        <v>11800</v>
      </c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47"/>
      <c r="R249" s="39"/>
      <c r="S249" s="39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22"/>
      <c r="AQ249" s="10" t="s">
        <v>4</v>
      </c>
      <c r="AR249" s="11" t="e">
        <v>#REF!</v>
      </c>
    </row>
    <row r="250" spans="1:46" s="4" customFormat="1" ht="17.25" customHeight="1" x14ac:dyDescent="0.25">
      <c r="A250" s="23"/>
      <c r="B250" s="201" t="s">
        <v>13</v>
      </c>
      <c r="C250" s="202"/>
      <c r="D250" s="63"/>
      <c r="E250" s="64">
        <f>-E246-13787.03</f>
        <v>5518.2900000000027</v>
      </c>
      <c r="F250" s="64"/>
      <c r="G250" s="64"/>
      <c r="H250" s="64">
        <f>-E250</f>
        <v>-5518.2900000000027</v>
      </c>
      <c r="I250" s="66"/>
      <c r="J250" s="64"/>
      <c r="K250" s="16"/>
      <c r="L250" s="92"/>
      <c r="M250" s="64"/>
      <c r="N250" s="16"/>
      <c r="O250" s="92"/>
      <c r="P250" s="64"/>
      <c r="Q250" s="40"/>
      <c r="R250" s="46">
        <f>-D250</f>
        <v>0</v>
      </c>
      <c r="S250" s="39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22"/>
      <c r="AP250" s="30"/>
    </row>
    <row r="251" spans="1:46" s="2" customFormat="1" ht="17.25" customHeight="1" thickBot="1" x14ac:dyDescent="0.25">
      <c r="A251" s="24"/>
      <c r="B251" s="216"/>
      <c r="C251" s="217"/>
      <c r="D251" s="83"/>
      <c r="E251" s="81"/>
      <c r="F251" s="81"/>
      <c r="G251" s="81"/>
      <c r="H251" s="81"/>
      <c r="I251" s="81"/>
      <c r="J251" s="81"/>
      <c r="K251" s="37"/>
      <c r="L251" s="93"/>
      <c r="M251" s="81"/>
      <c r="N251" s="37"/>
      <c r="O251" s="93"/>
      <c r="P251" s="81"/>
      <c r="Q251" s="40"/>
      <c r="R251" s="40"/>
      <c r="S251" s="39"/>
      <c r="T251" s="16"/>
      <c r="U251" s="16"/>
      <c r="V251" s="16"/>
      <c r="W251" s="16"/>
      <c r="X251" s="16"/>
      <c r="Y251" s="19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41"/>
      <c r="AQ251" s="10"/>
      <c r="AR251" s="11"/>
    </row>
    <row r="252" spans="1:46" s="4" customFormat="1" ht="17.25" customHeight="1" x14ac:dyDescent="0.25">
      <c r="A252" s="23"/>
      <c r="B252" s="210" t="s">
        <v>94</v>
      </c>
      <c r="C252" s="203"/>
      <c r="D252" s="66"/>
      <c r="E252" s="66"/>
      <c r="F252" s="117"/>
      <c r="G252" s="117"/>
      <c r="H252" s="66"/>
      <c r="I252" s="66"/>
      <c r="J252" s="66">
        <f>-M252</f>
        <v>7166.25</v>
      </c>
      <c r="K252" s="58">
        <v>-1225</v>
      </c>
      <c r="L252" s="89">
        <v>5.85</v>
      </c>
      <c r="M252" s="73">
        <f>K252*L252</f>
        <v>-7166.25</v>
      </c>
      <c r="N252" s="58"/>
      <c r="O252" s="89"/>
      <c r="P252" s="73"/>
      <c r="Q252" s="39"/>
      <c r="R252" s="39"/>
      <c r="S252" s="8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35"/>
      <c r="AP252" s="12" t="e">
        <f>#REF!</f>
        <v>#REF!</v>
      </c>
    </row>
    <row r="253" spans="1:46" s="4" customFormat="1" ht="17.25" customHeight="1" x14ac:dyDescent="0.25">
      <c r="A253" s="23"/>
      <c r="B253" s="201" t="s">
        <v>95</v>
      </c>
      <c r="C253" s="202"/>
      <c r="D253" s="64"/>
      <c r="E253" s="64"/>
      <c r="F253" s="117"/>
      <c r="G253" s="117"/>
      <c r="H253" s="64"/>
      <c r="I253" s="64"/>
      <c r="J253" s="64">
        <f>-P253</f>
        <v>7554.12</v>
      </c>
      <c r="K253" s="57"/>
      <c r="L253" s="88"/>
      <c r="M253" s="62"/>
      <c r="N253" s="57">
        <v>-1932</v>
      </c>
      <c r="O253" s="88">
        <v>3.91</v>
      </c>
      <c r="P253" s="62">
        <f>N253*O253</f>
        <v>-7554.12</v>
      </c>
      <c r="Q253" s="39"/>
      <c r="R253" s="39"/>
      <c r="S253" s="8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35"/>
      <c r="AP253" s="12" t="e">
        <f>#REF!</f>
        <v>#REF!</v>
      </c>
    </row>
    <row r="254" spans="1:46" s="4" customFormat="1" ht="17.25" customHeight="1" x14ac:dyDescent="0.25">
      <c r="A254" s="23"/>
      <c r="B254" s="201" t="s">
        <v>97</v>
      </c>
      <c r="C254" s="203"/>
      <c r="D254" s="64"/>
      <c r="E254" s="64"/>
      <c r="F254" s="64"/>
      <c r="G254" s="64"/>
      <c r="H254" s="64">
        <f>-J254-I254</f>
        <v>5285.6699999999983</v>
      </c>
      <c r="I254" s="64">
        <v>9434.7000000000007</v>
      </c>
      <c r="J254" s="64">
        <f>-SUM(J252:J253)</f>
        <v>-14720.369999999999</v>
      </c>
      <c r="K254" s="57"/>
      <c r="L254" s="88"/>
      <c r="M254" s="62"/>
      <c r="N254" s="57"/>
      <c r="O254" s="88"/>
      <c r="P254" s="62"/>
      <c r="Q254" s="39"/>
      <c r="R254" s="39"/>
      <c r="S254" s="39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22"/>
      <c r="AO254" s="43">
        <f>A227</f>
        <v>0</v>
      </c>
      <c r="AP254" s="12" t="e">
        <f>#REF!</f>
        <v>#REF!</v>
      </c>
      <c r="AT254" s="2"/>
    </row>
    <row r="255" spans="1:46" s="4" customFormat="1" ht="17.25" customHeight="1" x14ac:dyDescent="0.25">
      <c r="A255" s="23"/>
      <c r="B255" s="201" t="s">
        <v>93</v>
      </c>
      <c r="C255" s="202"/>
      <c r="D255" s="64"/>
      <c r="E255" s="64"/>
      <c r="F255" s="64"/>
      <c r="G255" s="64"/>
      <c r="H255" s="64"/>
      <c r="I255" s="64"/>
      <c r="J255" s="64"/>
      <c r="K255" s="57">
        <v>-43</v>
      </c>
      <c r="L255" s="88"/>
      <c r="M255" s="62">
        <f>(K258*(M246)/(K246))-M246-M252</f>
        <v>751.03328371278258</v>
      </c>
      <c r="N255" s="57">
        <v>-78</v>
      </c>
      <c r="O255" s="88"/>
      <c r="P255" s="62">
        <f>(N258*(P246)/(N246))-P246-P253</f>
        <v>195.08572366022872</v>
      </c>
      <c r="Q255" s="39"/>
      <c r="R255" s="39"/>
      <c r="S255" s="39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22"/>
      <c r="AO255" s="43">
        <f>A240</f>
        <v>0</v>
      </c>
      <c r="AP255" s="12" t="e">
        <f>#REF!</f>
        <v>#REF!</v>
      </c>
      <c r="AT255" s="2"/>
    </row>
    <row r="256" spans="1:46" s="2" customFormat="1" ht="17.25" customHeight="1" x14ac:dyDescent="0.2">
      <c r="A256" s="24"/>
      <c r="B256" s="201"/>
      <c r="C256" s="204"/>
      <c r="D256" s="63"/>
      <c r="E256" s="64"/>
      <c r="F256" s="64"/>
      <c r="G256" s="64"/>
      <c r="H256" s="64"/>
      <c r="I256" s="64"/>
      <c r="J256" s="64"/>
      <c r="K256" s="16"/>
      <c r="L256" s="16"/>
      <c r="M256" s="64"/>
      <c r="N256" s="16"/>
      <c r="O256" s="16"/>
      <c r="P256" s="64"/>
      <c r="Q256" s="46"/>
      <c r="R256" s="46"/>
      <c r="S256" s="39"/>
      <c r="T256" s="16"/>
      <c r="U256" s="16"/>
      <c r="V256" s="16"/>
      <c r="W256" s="16"/>
      <c r="X256" s="16"/>
      <c r="Y256" s="19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43">
        <f>A247</f>
        <v>46008</v>
      </c>
      <c r="AQ256" s="10"/>
      <c r="AR256" s="11"/>
    </row>
    <row r="257" spans="1:46" s="2" customFormat="1" ht="17.25" customHeight="1" thickBot="1" x14ac:dyDescent="0.3">
      <c r="A257" s="56"/>
      <c r="B257" s="101" t="s">
        <v>102</v>
      </c>
      <c r="C257" s="102">
        <f>D258+E258+F258+G258+H258+I258+J258+M258+P258</f>
        <v>177911.07954000004</v>
      </c>
      <c r="D257" s="84"/>
      <c r="E257" s="85"/>
      <c r="F257" s="85"/>
      <c r="G257" s="85"/>
      <c r="H257" s="85"/>
      <c r="I257" s="85"/>
      <c r="J257" s="85"/>
      <c r="K257" s="28"/>
      <c r="L257" s="28"/>
      <c r="M257" s="85"/>
      <c r="N257" s="28"/>
      <c r="O257" s="28"/>
      <c r="P257" s="85"/>
      <c r="Q257" s="48"/>
      <c r="R257" s="48"/>
      <c r="S257" s="51"/>
      <c r="T257" s="28"/>
      <c r="U257" s="28"/>
      <c r="V257" s="28"/>
      <c r="W257" s="28"/>
      <c r="X257" s="28"/>
      <c r="Y257" s="36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42">
        <f>SUM($Q246:AN257)</f>
        <v>-476985.31000000006</v>
      </c>
      <c r="AQ257" s="10"/>
      <c r="AR257" s="11"/>
      <c r="AS257" s="2" t="s">
        <v>5</v>
      </c>
    </row>
    <row r="258" spans="1:46" s="2" customFormat="1" ht="17.25" customHeight="1" thickTop="1" thickBot="1" x14ac:dyDescent="0.3">
      <c r="A258" s="103"/>
      <c r="B258" s="104" t="s">
        <v>103</v>
      </c>
      <c r="C258" s="105">
        <f>AO258</f>
        <v>-299074.23045999999</v>
      </c>
      <c r="D258" s="106">
        <f t="shared" ref="D258:K258" si="32">SUM(D246:D257)</f>
        <v>75.287040000022898</v>
      </c>
      <c r="E258" s="107">
        <f t="shared" si="32"/>
        <v>-13787.03</v>
      </c>
      <c r="F258" s="107">
        <f t="shared" si="32"/>
        <v>65045.5</v>
      </c>
      <c r="G258" s="107">
        <f t="shared" si="32"/>
        <v>0</v>
      </c>
      <c r="H258" s="107">
        <f t="shared" si="32"/>
        <v>57592.392499999987</v>
      </c>
      <c r="I258" s="107">
        <f t="shared" si="32"/>
        <v>9434.7000000000007</v>
      </c>
      <c r="J258" s="107">
        <f t="shared" si="32"/>
        <v>0</v>
      </c>
      <c r="K258" s="108">
        <f t="shared" si="32"/>
        <v>3300</v>
      </c>
      <c r="L258" s="109">
        <f>M258/K258</f>
        <v>5.059318181818182</v>
      </c>
      <c r="M258" s="107">
        <f>ROUND(SUM(M246:M257),2)</f>
        <v>16695.75</v>
      </c>
      <c r="N258" s="108">
        <f>SUM(N246:N257)</f>
        <v>11705</v>
      </c>
      <c r="O258" s="109">
        <f>P258/N258</f>
        <v>3.6612114480991034</v>
      </c>
      <c r="P258" s="107">
        <f>ROUND(SUM(P246:P257),2)</f>
        <v>42854.48</v>
      </c>
      <c r="Q258" s="110">
        <f t="shared" ref="Q258:AN258" si="33">SUM(Q246:Q257)</f>
        <v>-520785.23000000004</v>
      </c>
      <c r="R258" s="107">
        <f t="shared" si="33"/>
        <v>50229.299999999996</v>
      </c>
      <c r="S258" s="107">
        <f t="shared" si="33"/>
        <v>0</v>
      </c>
      <c r="T258" s="107">
        <f t="shared" si="33"/>
        <v>-6429.38</v>
      </c>
      <c r="U258" s="107">
        <f t="shared" si="33"/>
        <v>0</v>
      </c>
      <c r="V258" s="107">
        <f t="shared" si="33"/>
        <v>0</v>
      </c>
      <c r="W258" s="107">
        <f t="shared" si="33"/>
        <v>0</v>
      </c>
      <c r="X258" s="107">
        <f t="shared" si="33"/>
        <v>0</v>
      </c>
      <c r="Y258" s="107">
        <f t="shared" si="33"/>
        <v>0</v>
      </c>
      <c r="Z258" s="107">
        <f t="shared" si="33"/>
        <v>0</v>
      </c>
      <c r="AA258" s="107">
        <f t="shared" si="33"/>
        <v>0</v>
      </c>
      <c r="AB258" s="107">
        <f t="shared" si="33"/>
        <v>0</v>
      </c>
      <c r="AC258" s="107">
        <f t="shared" si="33"/>
        <v>0</v>
      </c>
      <c r="AD258" s="107">
        <f t="shared" si="33"/>
        <v>0</v>
      </c>
      <c r="AE258" s="107">
        <f t="shared" si="33"/>
        <v>0</v>
      </c>
      <c r="AF258" s="107">
        <f t="shared" si="33"/>
        <v>0</v>
      </c>
      <c r="AG258" s="107">
        <f t="shared" si="33"/>
        <v>0</v>
      </c>
      <c r="AH258" s="107">
        <f t="shared" si="33"/>
        <v>0</v>
      </c>
      <c r="AI258" s="107">
        <f t="shared" si="33"/>
        <v>0</v>
      </c>
      <c r="AJ258" s="107">
        <f t="shared" si="33"/>
        <v>0</v>
      </c>
      <c r="AK258" s="107">
        <f t="shared" si="33"/>
        <v>0</v>
      </c>
      <c r="AL258" s="107">
        <f t="shared" si="33"/>
        <v>0</v>
      </c>
      <c r="AM258" s="107">
        <f t="shared" si="33"/>
        <v>0</v>
      </c>
      <c r="AN258" s="107">
        <f t="shared" si="33"/>
        <v>0</v>
      </c>
      <c r="AO258" s="111">
        <f>D258+E258+F258+G258+H258+I258+J258+M258+P258+SUM(Q258:AN258)</f>
        <v>-299074.23045999999</v>
      </c>
      <c r="AP258" s="4"/>
      <c r="AQ258" s="5"/>
      <c r="AR258" s="5"/>
      <c r="AS258" s="2" t="s">
        <v>6</v>
      </c>
    </row>
    <row r="259" spans="1:46" s="2" customFormat="1" ht="17.25" customHeight="1" thickTop="1" x14ac:dyDescent="0.25">
      <c r="A259" s="23">
        <f>A247+1</f>
        <v>46009</v>
      </c>
      <c r="B259" s="210" t="s">
        <v>64</v>
      </c>
      <c r="C259" s="203"/>
      <c r="D259" s="63">
        <v>9223.56</v>
      </c>
      <c r="E259" s="66"/>
      <c r="F259" s="66"/>
      <c r="G259" s="66"/>
      <c r="H259" s="66"/>
      <c r="I259" s="66">
        <f>-D259</f>
        <v>-9223.56</v>
      </c>
      <c r="J259" s="66"/>
      <c r="K259" s="18"/>
      <c r="L259" s="18"/>
      <c r="M259" s="66"/>
      <c r="N259" s="18"/>
      <c r="O259" s="18"/>
      <c r="P259" s="66"/>
      <c r="Q259" s="46"/>
      <c r="R259" s="46"/>
      <c r="S259" s="45"/>
      <c r="T259" s="18"/>
      <c r="U259" s="18"/>
      <c r="V259" s="18"/>
      <c r="W259" s="18"/>
      <c r="X259" s="18"/>
      <c r="Y259" s="14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31"/>
      <c r="AQ259" s="10"/>
      <c r="AR259" s="27"/>
    </row>
    <row r="260" spans="1:46" s="4" customFormat="1" ht="17.25" customHeight="1" x14ac:dyDescent="0.25">
      <c r="A260" s="23"/>
      <c r="B260" s="201" t="s">
        <v>96</v>
      </c>
      <c r="C260" s="202"/>
      <c r="D260" s="63"/>
      <c r="E260" s="64"/>
      <c r="F260" s="64"/>
      <c r="G260" s="64"/>
      <c r="H260" s="64"/>
      <c r="I260" s="64">
        <f>-I258-I259</f>
        <v>-211.14000000000124</v>
      </c>
      <c r="J260" s="64"/>
      <c r="K260" s="16"/>
      <c r="L260" s="92"/>
      <c r="M260" s="64"/>
      <c r="N260" s="16"/>
      <c r="O260" s="92"/>
      <c r="P260" s="64"/>
      <c r="Q260" s="40"/>
      <c r="R260" s="46"/>
      <c r="S260" s="39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22"/>
      <c r="AP260" s="30"/>
    </row>
    <row r="261" spans="1:46" s="2" customFormat="1" ht="17.25" customHeight="1" x14ac:dyDescent="0.25">
      <c r="A261" s="29"/>
      <c r="B261" s="201" t="s">
        <v>72</v>
      </c>
      <c r="C261" s="202"/>
      <c r="D261" s="63">
        <v>51000</v>
      </c>
      <c r="E261" s="64"/>
      <c r="F261" s="64">
        <f>-D261</f>
        <v>-51000</v>
      </c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47"/>
      <c r="R261" s="39"/>
      <c r="S261" s="39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22"/>
      <c r="AQ261" s="10" t="s">
        <v>4</v>
      </c>
      <c r="AR261" s="11" t="e">
        <v>#REF!</v>
      </c>
    </row>
    <row r="262" spans="1:46" s="2" customFormat="1" ht="17.25" customHeight="1" x14ac:dyDescent="0.25">
      <c r="A262" s="29"/>
      <c r="B262" s="201" t="s">
        <v>72</v>
      </c>
      <c r="C262" s="202"/>
      <c r="D262" s="63">
        <v>-9200</v>
      </c>
      <c r="E262" s="64"/>
      <c r="F262" s="64">
        <f>-D262</f>
        <v>9200</v>
      </c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47"/>
      <c r="R262" s="39"/>
      <c r="S262" s="39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22"/>
      <c r="AQ262" s="10" t="s">
        <v>4</v>
      </c>
      <c r="AR262" s="11" t="e">
        <v>#REF!</v>
      </c>
    </row>
    <row r="263" spans="1:46" s="2" customFormat="1" ht="17.25" customHeight="1" x14ac:dyDescent="0.25">
      <c r="A263" s="24"/>
      <c r="B263" s="205" t="s">
        <v>352</v>
      </c>
      <c r="C263" s="206"/>
      <c r="D263" s="64">
        <f>-M263</f>
        <v>-50599.999999999993</v>
      </c>
      <c r="E263" s="64"/>
      <c r="F263" s="64"/>
      <c r="G263" s="64"/>
      <c r="H263" s="64"/>
      <c r="I263" s="64"/>
      <c r="J263" s="64"/>
      <c r="K263" s="57">
        <v>10000</v>
      </c>
      <c r="L263" s="88">
        <v>5.0599999999999996</v>
      </c>
      <c r="M263" s="62">
        <f>K263*L263</f>
        <v>50599.999999999993</v>
      </c>
      <c r="N263" s="57"/>
      <c r="O263" s="88"/>
      <c r="P263" s="62"/>
      <c r="Q263" s="39"/>
      <c r="R263" s="39"/>
      <c r="S263" s="39"/>
      <c r="T263" s="16"/>
      <c r="U263" s="16">
        <f>-P263</f>
        <v>0</v>
      </c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22"/>
      <c r="AQ263" s="10"/>
      <c r="AR263" s="11"/>
    </row>
    <row r="264" spans="1:46" s="2" customFormat="1" ht="17.25" customHeight="1" x14ac:dyDescent="0.25">
      <c r="A264" s="29"/>
      <c r="B264" s="201" t="s">
        <v>276</v>
      </c>
      <c r="C264" s="202"/>
      <c r="D264" s="63">
        <v>-4.9000000000000004</v>
      </c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47"/>
      <c r="R264" s="39"/>
      <c r="S264" s="39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22"/>
      <c r="AQ264" s="10" t="s">
        <v>4</v>
      </c>
      <c r="AR264" s="11" t="e">
        <v>#REF!</v>
      </c>
    </row>
    <row r="265" spans="1:46" s="4" customFormat="1" ht="17.25" customHeight="1" x14ac:dyDescent="0.25">
      <c r="A265" s="23"/>
      <c r="B265" s="201" t="s">
        <v>13</v>
      </c>
      <c r="C265" s="202"/>
      <c r="D265" s="63"/>
      <c r="E265" s="64">
        <f>-E258-11415.04</f>
        <v>2371.9899999999998</v>
      </c>
      <c r="F265" s="64"/>
      <c r="G265" s="64"/>
      <c r="H265" s="64">
        <f>-E265</f>
        <v>-2371.9899999999998</v>
      </c>
      <c r="I265" s="66"/>
      <c r="J265" s="64"/>
      <c r="K265" s="16"/>
      <c r="L265" s="92"/>
      <c r="M265" s="64"/>
      <c r="N265" s="16"/>
      <c r="O265" s="92"/>
      <c r="P265" s="64"/>
      <c r="Q265" s="40"/>
      <c r="R265" s="46">
        <f>-D265</f>
        <v>0</v>
      </c>
      <c r="S265" s="39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22"/>
      <c r="AP265" s="30"/>
    </row>
    <row r="266" spans="1:46" s="2" customFormat="1" ht="17.25" customHeight="1" thickBot="1" x14ac:dyDescent="0.25">
      <c r="A266" s="24"/>
      <c r="B266" s="216"/>
      <c r="C266" s="217"/>
      <c r="D266" s="83"/>
      <c r="E266" s="81"/>
      <c r="F266" s="81"/>
      <c r="G266" s="81"/>
      <c r="H266" s="81"/>
      <c r="I266" s="81"/>
      <c r="J266" s="81"/>
      <c r="K266" s="37"/>
      <c r="L266" s="93"/>
      <c r="M266" s="81"/>
      <c r="N266" s="37"/>
      <c r="O266" s="93"/>
      <c r="P266" s="81"/>
      <c r="Q266" s="40"/>
      <c r="R266" s="40"/>
      <c r="S266" s="39"/>
      <c r="T266" s="16"/>
      <c r="U266" s="16"/>
      <c r="V266" s="16"/>
      <c r="W266" s="16"/>
      <c r="X266" s="16"/>
      <c r="Y266" s="19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41"/>
      <c r="AQ266" s="10"/>
      <c r="AR266" s="11"/>
    </row>
    <row r="267" spans="1:46" s="4" customFormat="1" ht="17.25" customHeight="1" x14ac:dyDescent="0.25">
      <c r="A267" s="23"/>
      <c r="B267" s="210" t="s">
        <v>94</v>
      </c>
      <c r="C267" s="203"/>
      <c r="D267" s="66"/>
      <c r="E267" s="66"/>
      <c r="F267" s="117"/>
      <c r="G267" s="117"/>
      <c r="H267" s="66"/>
      <c r="I267" s="66"/>
      <c r="J267" s="66">
        <f>-M267</f>
        <v>9412.65</v>
      </c>
      <c r="K267" s="58">
        <v>-1609</v>
      </c>
      <c r="L267" s="89">
        <v>5.85</v>
      </c>
      <c r="M267" s="73">
        <f>K267*L267</f>
        <v>-9412.65</v>
      </c>
      <c r="N267" s="58"/>
      <c r="O267" s="89"/>
      <c r="P267" s="73"/>
      <c r="Q267" s="39"/>
      <c r="R267" s="39"/>
      <c r="S267" s="8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35"/>
      <c r="AP267" s="12" t="e">
        <f>#REF!</f>
        <v>#REF!</v>
      </c>
    </row>
    <row r="268" spans="1:46" s="4" customFormat="1" ht="17.25" customHeight="1" x14ac:dyDescent="0.25">
      <c r="A268" s="23"/>
      <c r="B268" s="201" t="s">
        <v>95</v>
      </c>
      <c r="C268" s="202"/>
      <c r="D268" s="64"/>
      <c r="E268" s="64"/>
      <c r="F268" s="117"/>
      <c r="G268" s="117"/>
      <c r="H268" s="64"/>
      <c r="I268" s="64"/>
      <c r="J268" s="64">
        <f>-P268</f>
        <v>6928.52</v>
      </c>
      <c r="K268" s="57"/>
      <c r="L268" s="88"/>
      <c r="M268" s="62"/>
      <c r="N268" s="57">
        <v>-1772</v>
      </c>
      <c r="O268" s="88">
        <v>3.91</v>
      </c>
      <c r="P268" s="62">
        <f>N268*O268</f>
        <v>-6928.52</v>
      </c>
      <c r="Q268" s="39"/>
      <c r="R268" s="39"/>
      <c r="S268" s="8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35"/>
      <c r="AP268" s="12" t="e">
        <f>#REF!</f>
        <v>#REF!</v>
      </c>
    </row>
    <row r="269" spans="1:46" s="4" customFormat="1" ht="17.25" customHeight="1" x14ac:dyDescent="0.25">
      <c r="A269" s="23"/>
      <c r="B269" s="201" t="s">
        <v>97</v>
      </c>
      <c r="C269" s="203"/>
      <c r="D269" s="64"/>
      <c r="E269" s="64"/>
      <c r="F269" s="64"/>
      <c r="G269" s="64"/>
      <c r="H269" s="64">
        <f>-J269-I269</f>
        <v>5087.92</v>
      </c>
      <c r="I269" s="64">
        <v>11253.25</v>
      </c>
      <c r="J269" s="64">
        <f>-SUM(J267:J268)</f>
        <v>-16341.17</v>
      </c>
      <c r="K269" s="57"/>
      <c r="L269" s="88"/>
      <c r="M269" s="62"/>
      <c r="N269" s="57"/>
      <c r="O269" s="88"/>
      <c r="P269" s="62"/>
      <c r="Q269" s="39"/>
      <c r="R269" s="39"/>
      <c r="S269" s="39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22"/>
      <c r="AO269" s="43">
        <f>A243</f>
        <v>0</v>
      </c>
      <c r="AP269" s="12" t="e">
        <f>#REF!</f>
        <v>#REF!</v>
      </c>
      <c r="AT269" s="2"/>
    </row>
    <row r="270" spans="1:46" s="4" customFormat="1" ht="17.25" customHeight="1" x14ac:dyDescent="0.25">
      <c r="A270" s="23"/>
      <c r="B270" s="201" t="s">
        <v>93</v>
      </c>
      <c r="C270" s="202"/>
      <c r="D270" s="64"/>
      <c r="E270" s="64"/>
      <c r="F270" s="64"/>
      <c r="G270" s="64"/>
      <c r="H270" s="64"/>
      <c r="I270" s="64"/>
      <c r="J270" s="64"/>
      <c r="K270" s="57">
        <v>93</v>
      </c>
      <c r="L270" s="88"/>
      <c r="M270" s="62">
        <f>(K273*(M258+M263)/(K258+K263))-M258-M267-M263</f>
        <v>1741.9464661654201</v>
      </c>
      <c r="N270" s="57">
        <v>-47</v>
      </c>
      <c r="O270" s="88"/>
      <c r="P270" s="62">
        <f>(N273*(P258)/(N258))-P258-P268</f>
        <v>268.77637590773156</v>
      </c>
      <c r="Q270" s="39"/>
      <c r="R270" s="39"/>
      <c r="S270" s="39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22"/>
      <c r="AO270" s="43">
        <f>A252</f>
        <v>0</v>
      </c>
      <c r="AP270" s="12" t="e">
        <f>#REF!</f>
        <v>#REF!</v>
      </c>
      <c r="AT270" s="2"/>
    </row>
    <row r="271" spans="1:46" s="2" customFormat="1" ht="17.25" customHeight="1" x14ac:dyDescent="0.2">
      <c r="A271" s="24"/>
      <c r="B271" s="201"/>
      <c r="C271" s="204"/>
      <c r="D271" s="63"/>
      <c r="E271" s="64"/>
      <c r="F271" s="64"/>
      <c r="G271" s="64"/>
      <c r="H271" s="64"/>
      <c r="I271" s="64"/>
      <c r="J271" s="64"/>
      <c r="K271" s="16"/>
      <c r="L271" s="16"/>
      <c r="M271" s="64"/>
      <c r="N271" s="16"/>
      <c r="O271" s="16"/>
      <c r="P271" s="64"/>
      <c r="Q271" s="46"/>
      <c r="R271" s="46"/>
      <c r="S271" s="39"/>
      <c r="T271" s="16"/>
      <c r="U271" s="16"/>
      <c r="V271" s="16"/>
      <c r="W271" s="16"/>
      <c r="X271" s="16"/>
      <c r="Y271" s="19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43">
        <f>A259</f>
        <v>46009</v>
      </c>
      <c r="AQ271" s="10"/>
      <c r="AR271" s="11"/>
    </row>
    <row r="272" spans="1:46" s="2" customFormat="1" ht="17.25" customHeight="1" thickBot="1" x14ac:dyDescent="0.3">
      <c r="A272" s="56"/>
      <c r="B272" s="101" t="s">
        <v>102</v>
      </c>
      <c r="C272" s="102">
        <f>D273+E273+F273+G273+H273+I273+J273+M273+P273</f>
        <v>179705.76954000001</v>
      </c>
      <c r="D272" s="84"/>
      <c r="E272" s="85"/>
      <c r="F272" s="85"/>
      <c r="G272" s="85"/>
      <c r="H272" s="85"/>
      <c r="I272" s="85"/>
      <c r="J272" s="85"/>
      <c r="K272" s="28"/>
      <c r="L272" s="28"/>
      <c r="M272" s="85"/>
      <c r="N272" s="28"/>
      <c r="O272" s="28"/>
      <c r="P272" s="85"/>
      <c r="Q272" s="48"/>
      <c r="R272" s="48"/>
      <c r="S272" s="51"/>
      <c r="T272" s="28"/>
      <c r="U272" s="28"/>
      <c r="V272" s="28"/>
      <c r="W272" s="28"/>
      <c r="X272" s="28"/>
      <c r="Y272" s="36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42">
        <f>SUM($Q258:AN272)</f>
        <v>-476985.31000000006</v>
      </c>
      <c r="AQ272" s="10"/>
      <c r="AR272" s="11"/>
      <c r="AS272" s="2" t="s">
        <v>5</v>
      </c>
    </row>
    <row r="273" spans="1:46" s="2" customFormat="1" ht="17.25" customHeight="1" thickTop="1" thickBot="1" x14ac:dyDescent="0.3">
      <c r="A273" s="103"/>
      <c r="B273" s="104" t="s">
        <v>103</v>
      </c>
      <c r="C273" s="105">
        <f>AO273</f>
        <v>-297279.54046000005</v>
      </c>
      <c r="D273" s="106">
        <f t="shared" ref="D273:K273" si="34">SUM(D258:D272)</f>
        <v>493.94704000002969</v>
      </c>
      <c r="E273" s="107">
        <f t="shared" si="34"/>
        <v>-11415.04</v>
      </c>
      <c r="F273" s="107">
        <f t="shared" si="34"/>
        <v>23245.5</v>
      </c>
      <c r="G273" s="107">
        <f t="shared" si="34"/>
        <v>0</v>
      </c>
      <c r="H273" s="107">
        <f t="shared" si="34"/>
        <v>60308.322499999987</v>
      </c>
      <c r="I273" s="107">
        <f t="shared" si="34"/>
        <v>11253.25</v>
      </c>
      <c r="J273" s="107">
        <f t="shared" si="34"/>
        <v>0</v>
      </c>
      <c r="K273" s="108">
        <f t="shared" si="34"/>
        <v>11784</v>
      </c>
      <c r="L273" s="109">
        <f>M273/K273</f>
        <v>5.0598311269517993</v>
      </c>
      <c r="M273" s="107">
        <f>ROUND(SUM(M258:M272),2)</f>
        <v>59625.05</v>
      </c>
      <c r="N273" s="108">
        <f>SUM(N258:N272)</f>
        <v>9886</v>
      </c>
      <c r="O273" s="109">
        <f>P273/N273</f>
        <v>3.6612118146874364</v>
      </c>
      <c r="P273" s="107">
        <f>ROUND(SUM(P258:P272),2)</f>
        <v>36194.74</v>
      </c>
      <c r="Q273" s="110">
        <f t="shared" ref="Q273:AN273" si="35">SUM(Q258:Q272)</f>
        <v>-520785.23000000004</v>
      </c>
      <c r="R273" s="107">
        <f t="shared" si="35"/>
        <v>50229.299999999996</v>
      </c>
      <c r="S273" s="107">
        <f t="shared" si="35"/>
        <v>0</v>
      </c>
      <c r="T273" s="107">
        <f t="shared" si="35"/>
        <v>-6429.38</v>
      </c>
      <c r="U273" s="107">
        <f t="shared" si="35"/>
        <v>0</v>
      </c>
      <c r="V273" s="107">
        <f t="shared" si="35"/>
        <v>0</v>
      </c>
      <c r="W273" s="107">
        <f t="shared" si="35"/>
        <v>0</v>
      </c>
      <c r="X273" s="107">
        <f t="shared" si="35"/>
        <v>0</v>
      </c>
      <c r="Y273" s="107">
        <f t="shared" si="35"/>
        <v>0</v>
      </c>
      <c r="Z273" s="107">
        <f t="shared" si="35"/>
        <v>0</v>
      </c>
      <c r="AA273" s="107">
        <f t="shared" si="35"/>
        <v>0</v>
      </c>
      <c r="AB273" s="107">
        <f t="shared" si="35"/>
        <v>0</v>
      </c>
      <c r="AC273" s="107">
        <f t="shared" si="35"/>
        <v>0</v>
      </c>
      <c r="AD273" s="107">
        <f t="shared" si="35"/>
        <v>0</v>
      </c>
      <c r="AE273" s="107">
        <f t="shared" si="35"/>
        <v>0</v>
      </c>
      <c r="AF273" s="107">
        <f t="shared" si="35"/>
        <v>0</v>
      </c>
      <c r="AG273" s="107">
        <f t="shared" si="35"/>
        <v>0</v>
      </c>
      <c r="AH273" s="107">
        <f t="shared" si="35"/>
        <v>0</v>
      </c>
      <c r="AI273" s="107">
        <f t="shared" si="35"/>
        <v>0</v>
      </c>
      <c r="AJ273" s="107">
        <f t="shared" si="35"/>
        <v>0</v>
      </c>
      <c r="AK273" s="107">
        <f t="shared" si="35"/>
        <v>0</v>
      </c>
      <c r="AL273" s="107">
        <f t="shared" si="35"/>
        <v>0</v>
      </c>
      <c r="AM273" s="107">
        <f t="shared" si="35"/>
        <v>0</v>
      </c>
      <c r="AN273" s="107">
        <f t="shared" si="35"/>
        <v>0</v>
      </c>
      <c r="AO273" s="111">
        <f>D273+E273+F273+G273+H273+I273+J273+M273+P273+SUM(Q273:AN273)</f>
        <v>-297279.54046000005</v>
      </c>
      <c r="AP273" s="4"/>
      <c r="AQ273" s="5"/>
      <c r="AR273" s="5"/>
      <c r="AS273" s="2" t="s">
        <v>6</v>
      </c>
    </row>
    <row r="274" spans="1:46" s="2" customFormat="1" ht="17.25" customHeight="1" thickTop="1" x14ac:dyDescent="0.25">
      <c r="A274" s="23">
        <f>A259+1</f>
        <v>46010</v>
      </c>
      <c r="B274" s="210" t="s">
        <v>64</v>
      </c>
      <c r="C274" s="203"/>
      <c r="D274" s="63">
        <v>11006.45</v>
      </c>
      <c r="E274" s="66"/>
      <c r="F274" s="66"/>
      <c r="G274" s="66"/>
      <c r="H274" s="66"/>
      <c r="I274" s="66">
        <f>-D274</f>
        <v>-11006.45</v>
      </c>
      <c r="J274" s="66"/>
      <c r="K274" s="18"/>
      <c r="L274" s="18"/>
      <c r="M274" s="66"/>
      <c r="N274" s="18"/>
      <c r="O274" s="18"/>
      <c r="P274" s="66"/>
      <c r="Q274" s="46"/>
      <c r="R274" s="46"/>
      <c r="S274" s="45"/>
      <c r="T274" s="18"/>
      <c r="U274" s="18"/>
      <c r="V274" s="18"/>
      <c r="W274" s="18"/>
      <c r="X274" s="18"/>
      <c r="Y274" s="14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31"/>
      <c r="AQ274" s="10"/>
      <c r="AR274" s="27"/>
    </row>
    <row r="275" spans="1:46" s="4" customFormat="1" ht="17.25" customHeight="1" x14ac:dyDescent="0.25">
      <c r="A275" s="23"/>
      <c r="B275" s="201" t="s">
        <v>96</v>
      </c>
      <c r="C275" s="202"/>
      <c r="D275" s="63"/>
      <c r="E275" s="64"/>
      <c r="F275" s="64"/>
      <c r="G275" s="64"/>
      <c r="H275" s="64"/>
      <c r="I275" s="64">
        <f>-I273-I274</f>
        <v>-246.79999999999927</v>
      </c>
      <c r="J275" s="64"/>
      <c r="K275" s="16"/>
      <c r="L275" s="92"/>
      <c r="M275" s="64"/>
      <c r="N275" s="16"/>
      <c r="O275" s="92"/>
      <c r="P275" s="64"/>
      <c r="Q275" s="40"/>
      <c r="R275" s="46"/>
      <c r="S275" s="39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22"/>
      <c r="AP275" s="30"/>
    </row>
    <row r="276" spans="1:46" s="2" customFormat="1" ht="17.25" customHeight="1" x14ac:dyDescent="0.25">
      <c r="A276" s="29"/>
      <c r="B276" s="201" t="s">
        <v>72</v>
      </c>
      <c r="C276" s="202"/>
      <c r="D276" s="63">
        <v>-11500</v>
      </c>
      <c r="E276" s="64"/>
      <c r="F276" s="64">
        <f>-D276</f>
        <v>11500</v>
      </c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47"/>
      <c r="R276" s="39"/>
      <c r="S276" s="39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22"/>
      <c r="AQ276" s="10" t="s">
        <v>4</v>
      </c>
      <c r="AR276" s="11" t="e">
        <v>#REF!</v>
      </c>
    </row>
    <row r="277" spans="1:46" s="2" customFormat="1" ht="17.25" customHeight="1" x14ac:dyDescent="0.25">
      <c r="A277" s="29"/>
      <c r="B277" s="201" t="s">
        <v>264</v>
      </c>
      <c r="C277" s="202"/>
      <c r="D277" s="63">
        <v>150</v>
      </c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47"/>
      <c r="R277" s="39"/>
      <c r="S277" s="39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22"/>
      <c r="AQ277" s="10" t="s">
        <v>4</v>
      </c>
      <c r="AR277" s="11" t="e">
        <v>#REF!</v>
      </c>
    </row>
    <row r="278" spans="1:46" s="2" customFormat="1" ht="17.25" customHeight="1" x14ac:dyDescent="0.25">
      <c r="A278" s="29"/>
      <c r="B278" s="201" t="s">
        <v>309</v>
      </c>
      <c r="C278" s="202"/>
      <c r="D278" s="63">
        <f>-D277*0.008</f>
        <v>-1.2</v>
      </c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47"/>
      <c r="R278" s="39"/>
      <c r="S278" s="39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22"/>
      <c r="AQ278" s="10" t="s">
        <v>4</v>
      </c>
      <c r="AR278" s="11" t="e">
        <v>#REF!</v>
      </c>
    </row>
    <row r="279" spans="1:46" s="4" customFormat="1" ht="17.25" customHeight="1" x14ac:dyDescent="0.25">
      <c r="A279" s="23"/>
      <c r="B279" s="201" t="s">
        <v>13</v>
      </c>
      <c r="C279" s="202"/>
      <c r="D279" s="63"/>
      <c r="E279" s="64">
        <f>-E273-11997.9+1545.54+1634.63+364.68+168.3</f>
        <v>3130.2900000000013</v>
      </c>
      <c r="F279" s="64"/>
      <c r="G279" s="64"/>
      <c r="H279" s="64">
        <f>-E279</f>
        <v>-3130.2900000000013</v>
      </c>
      <c r="I279" s="66"/>
      <c r="J279" s="64"/>
      <c r="K279" s="16"/>
      <c r="L279" s="92"/>
      <c r="M279" s="64"/>
      <c r="N279" s="16"/>
      <c r="O279" s="92"/>
      <c r="P279" s="64"/>
      <c r="Q279" s="40"/>
      <c r="R279" s="46">
        <f>-D279</f>
        <v>0</v>
      </c>
      <c r="S279" s="39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22"/>
      <c r="AP279" s="30"/>
    </row>
    <row r="280" spans="1:46" s="2" customFormat="1" ht="17.25" customHeight="1" x14ac:dyDescent="0.25">
      <c r="A280" s="29"/>
      <c r="B280" s="201" t="s">
        <v>53</v>
      </c>
      <c r="C280" s="202"/>
      <c r="D280" s="63"/>
      <c r="E280" s="64">
        <v>-1545.54</v>
      </c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47"/>
      <c r="R280" s="39"/>
      <c r="S280" s="39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22"/>
      <c r="AQ280" s="10" t="s">
        <v>4</v>
      </c>
      <c r="AR280" s="11" t="e">
        <v>#REF!</v>
      </c>
    </row>
    <row r="281" spans="1:46" s="2" customFormat="1" ht="17.25" customHeight="1" x14ac:dyDescent="0.25">
      <c r="A281" s="29"/>
      <c r="B281" s="201" t="s">
        <v>53</v>
      </c>
      <c r="C281" s="202"/>
      <c r="D281" s="63"/>
      <c r="E281" s="64">
        <v>-1634.63</v>
      </c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47"/>
      <c r="R281" s="39"/>
      <c r="S281" s="39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22"/>
      <c r="AQ281" s="10" t="s">
        <v>4</v>
      </c>
      <c r="AR281" s="11" t="e">
        <v>#REF!</v>
      </c>
    </row>
    <row r="282" spans="1:46" s="2" customFormat="1" ht="17.25" customHeight="1" x14ac:dyDescent="0.25">
      <c r="A282" s="29"/>
      <c r="B282" s="201" t="s">
        <v>341</v>
      </c>
      <c r="C282" s="202"/>
      <c r="D282" s="63"/>
      <c r="E282" s="64">
        <v>-364.68</v>
      </c>
      <c r="F282" s="64"/>
      <c r="G282" s="64"/>
      <c r="H282" s="64"/>
      <c r="I282" s="64"/>
      <c r="J282" s="64"/>
      <c r="K282" s="57"/>
      <c r="L282" s="88"/>
      <c r="M282" s="62"/>
      <c r="N282" s="57"/>
      <c r="O282" s="88"/>
      <c r="P282" s="62"/>
      <c r="Q282" s="47"/>
      <c r="R282" s="39"/>
      <c r="S282" s="39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22"/>
      <c r="AQ282" s="10" t="s">
        <v>4</v>
      </c>
      <c r="AR282" s="11" t="e">
        <v>#REF!</v>
      </c>
    </row>
    <row r="283" spans="1:46" s="2" customFormat="1" ht="17.25" customHeight="1" x14ac:dyDescent="0.25">
      <c r="A283" s="29"/>
      <c r="B283" s="201" t="s">
        <v>29</v>
      </c>
      <c r="C283" s="202"/>
      <c r="D283" s="63"/>
      <c r="E283" s="64">
        <v>-168.3</v>
      </c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47"/>
      <c r="R283" s="39"/>
      <c r="S283" s="39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22"/>
      <c r="AQ283" s="10" t="s">
        <v>4</v>
      </c>
      <c r="AR283" s="11" t="e">
        <v>#REF!</v>
      </c>
    </row>
    <row r="284" spans="1:46" s="2" customFormat="1" ht="17.25" customHeight="1" thickBot="1" x14ac:dyDescent="0.25">
      <c r="A284" s="24"/>
      <c r="B284" s="216"/>
      <c r="C284" s="217"/>
      <c r="D284" s="83"/>
      <c r="E284" s="81"/>
      <c r="F284" s="81"/>
      <c r="G284" s="81"/>
      <c r="H284" s="81"/>
      <c r="I284" s="81"/>
      <c r="J284" s="81"/>
      <c r="K284" s="37"/>
      <c r="L284" s="93"/>
      <c r="M284" s="81"/>
      <c r="N284" s="37"/>
      <c r="O284" s="93"/>
      <c r="P284" s="81"/>
      <c r="Q284" s="40"/>
      <c r="R284" s="40"/>
      <c r="S284" s="39"/>
      <c r="T284" s="16"/>
      <c r="U284" s="16"/>
      <c r="V284" s="16"/>
      <c r="W284" s="16"/>
      <c r="X284" s="16"/>
      <c r="Y284" s="19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41"/>
      <c r="AQ284" s="10"/>
      <c r="AR284" s="11"/>
    </row>
    <row r="285" spans="1:46" s="4" customFormat="1" ht="17.25" customHeight="1" x14ac:dyDescent="0.25">
      <c r="A285" s="23"/>
      <c r="B285" s="210" t="s">
        <v>94</v>
      </c>
      <c r="C285" s="203"/>
      <c r="D285" s="66"/>
      <c r="E285" s="66"/>
      <c r="F285" s="117"/>
      <c r="G285" s="117"/>
      <c r="H285" s="66"/>
      <c r="I285" s="66"/>
      <c r="J285" s="66">
        <f>-M285</f>
        <v>8400.6</v>
      </c>
      <c r="K285" s="58">
        <v>-1436</v>
      </c>
      <c r="L285" s="89">
        <v>5.85</v>
      </c>
      <c r="M285" s="73">
        <f>K285*L285</f>
        <v>-8400.6</v>
      </c>
      <c r="N285" s="58"/>
      <c r="O285" s="89"/>
      <c r="P285" s="73"/>
      <c r="Q285" s="39"/>
      <c r="R285" s="39"/>
      <c r="S285" s="8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35"/>
      <c r="AP285" s="12" t="e">
        <f>#REF!</f>
        <v>#REF!</v>
      </c>
    </row>
    <row r="286" spans="1:46" s="4" customFormat="1" ht="17.25" customHeight="1" x14ac:dyDescent="0.25">
      <c r="A286" s="23"/>
      <c r="B286" s="201" t="s">
        <v>95</v>
      </c>
      <c r="C286" s="202"/>
      <c r="D286" s="64"/>
      <c r="E286" s="64"/>
      <c r="F286" s="117"/>
      <c r="G286" s="117"/>
      <c r="H286" s="64"/>
      <c r="I286" s="64"/>
      <c r="J286" s="64">
        <f>-P286</f>
        <v>10846.34</v>
      </c>
      <c r="K286" s="57"/>
      <c r="L286" s="88"/>
      <c r="M286" s="62"/>
      <c r="N286" s="57">
        <v>-2774</v>
      </c>
      <c r="O286" s="88">
        <v>3.91</v>
      </c>
      <c r="P286" s="62">
        <f>N286*O286</f>
        <v>-10846.34</v>
      </c>
      <c r="Q286" s="39"/>
      <c r="R286" s="39"/>
      <c r="S286" s="8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35"/>
      <c r="AP286" s="12" t="e">
        <f>#REF!</f>
        <v>#REF!</v>
      </c>
    </row>
    <row r="287" spans="1:46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>
        <f>-J287-I287</f>
        <v>6586.6600000000017</v>
      </c>
      <c r="I287" s="64">
        <v>12660.28</v>
      </c>
      <c r="J287" s="64">
        <f>-SUM(J285:J286)</f>
        <v>-19246.940000000002</v>
      </c>
      <c r="K287" s="57"/>
      <c r="L287" s="88"/>
      <c r="M287" s="62"/>
      <c r="N287" s="57"/>
      <c r="O287" s="88"/>
      <c r="P287" s="62"/>
      <c r="Q287" s="39"/>
      <c r="R287" s="39"/>
      <c r="S287" s="39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22"/>
      <c r="AO287" s="43">
        <f>A255</f>
        <v>0</v>
      </c>
      <c r="AP287" s="12" t="e">
        <f>#REF!</f>
        <v>#REF!</v>
      </c>
      <c r="AT287" s="2"/>
    </row>
    <row r="288" spans="1:46" s="4" customFormat="1" ht="17.25" customHeight="1" x14ac:dyDescent="0.25">
      <c r="A288" s="23"/>
      <c r="B288" s="201" t="s">
        <v>93</v>
      </c>
      <c r="C288" s="202"/>
      <c r="D288" s="64"/>
      <c r="E288" s="64"/>
      <c r="F288" s="64"/>
      <c r="G288" s="64"/>
      <c r="H288" s="64"/>
      <c r="I288" s="64"/>
      <c r="J288" s="64"/>
      <c r="K288" s="57">
        <v>-16</v>
      </c>
      <c r="L288" s="88"/>
      <c r="M288" s="62">
        <f>(K291*M273/K273)-M273-M285</f>
        <v>1053.7252036659866</v>
      </c>
      <c r="N288" s="57">
        <v>15</v>
      </c>
      <c r="O288" s="88"/>
      <c r="P288" s="62">
        <f>(N291*P273/N273)-P273-P286</f>
        <v>745.05660327736405</v>
      </c>
      <c r="Q288" s="39"/>
      <c r="R288" s="39"/>
      <c r="S288" s="39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22"/>
      <c r="AO288" s="43">
        <f>A267</f>
        <v>0</v>
      </c>
      <c r="AP288" s="12" t="e">
        <f>#REF!</f>
        <v>#REF!</v>
      </c>
      <c r="AT288" s="2"/>
    </row>
    <row r="289" spans="1:46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46"/>
      <c r="R289" s="46"/>
      <c r="S289" s="39"/>
      <c r="T289" s="16"/>
      <c r="U289" s="16"/>
      <c r="V289" s="16"/>
      <c r="W289" s="16"/>
      <c r="X289" s="16"/>
      <c r="Y289" s="19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43">
        <f>A274</f>
        <v>46010</v>
      </c>
      <c r="AQ289" s="10"/>
      <c r="AR289" s="11"/>
    </row>
    <row r="290" spans="1:46" s="2" customFormat="1" ht="17.25" customHeight="1" thickBot="1" x14ac:dyDescent="0.3">
      <c r="A290" s="56"/>
      <c r="B290" s="101" t="s">
        <v>102</v>
      </c>
      <c r="C290" s="102">
        <f>D291+E291+F291+G291+H291+I291+J291+M291+P291</f>
        <v>177693.40953999999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48"/>
      <c r="R290" s="48"/>
      <c r="S290" s="51"/>
      <c r="T290" s="28"/>
      <c r="U290" s="28"/>
      <c r="V290" s="28"/>
      <c r="W290" s="28"/>
      <c r="X290" s="28"/>
      <c r="Y290" s="36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42">
        <f>SUM($Q273:AN290)</f>
        <v>-476985.31000000006</v>
      </c>
      <c r="AQ290" s="10"/>
      <c r="AR290" s="11"/>
      <c r="AS290" s="2" t="s">
        <v>5</v>
      </c>
    </row>
    <row r="291" spans="1:46" s="2" customFormat="1" ht="17.25" customHeight="1" thickTop="1" thickBot="1" x14ac:dyDescent="0.3">
      <c r="A291" s="103"/>
      <c r="B291" s="104" t="s">
        <v>103</v>
      </c>
      <c r="C291" s="105">
        <f>AO291</f>
        <v>-299291.90046000003</v>
      </c>
      <c r="D291" s="106">
        <f t="shared" ref="D291:K291" si="36">SUM(D273:D290)</f>
        <v>149.19704000003077</v>
      </c>
      <c r="E291" s="107">
        <f t="shared" si="36"/>
        <v>-11997.900000000001</v>
      </c>
      <c r="F291" s="107">
        <f t="shared" si="36"/>
        <v>34745.5</v>
      </c>
      <c r="G291" s="107">
        <f t="shared" si="36"/>
        <v>0</v>
      </c>
      <c r="H291" s="107">
        <f t="shared" si="36"/>
        <v>63764.69249999999</v>
      </c>
      <c r="I291" s="107">
        <f t="shared" si="36"/>
        <v>12660.28</v>
      </c>
      <c r="J291" s="107">
        <f t="shared" si="36"/>
        <v>0</v>
      </c>
      <c r="K291" s="108">
        <f t="shared" si="36"/>
        <v>10332</v>
      </c>
      <c r="L291" s="109">
        <f>M291/K291</f>
        <v>5.0598315911730545</v>
      </c>
      <c r="M291" s="107">
        <f>ROUND(SUM(M273:M290),2)</f>
        <v>52278.18</v>
      </c>
      <c r="N291" s="108">
        <f>SUM(N273:N290)</f>
        <v>7127</v>
      </c>
      <c r="O291" s="109">
        <f>P291/N291</f>
        <v>3.661212291286656</v>
      </c>
      <c r="P291" s="107">
        <f>ROUND(SUM(P273:P290),2)</f>
        <v>26093.46</v>
      </c>
      <c r="Q291" s="110">
        <f t="shared" ref="Q291:AN291" si="37">SUM(Q273:Q290)</f>
        <v>-520785.23000000004</v>
      </c>
      <c r="R291" s="107">
        <f t="shared" si="37"/>
        <v>50229.299999999996</v>
      </c>
      <c r="S291" s="107">
        <f t="shared" si="37"/>
        <v>0</v>
      </c>
      <c r="T291" s="107">
        <f t="shared" si="37"/>
        <v>-6429.38</v>
      </c>
      <c r="U291" s="107">
        <f t="shared" si="37"/>
        <v>0</v>
      </c>
      <c r="V291" s="107">
        <f t="shared" si="37"/>
        <v>0</v>
      </c>
      <c r="W291" s="107">
        <f t="shared" si="37"/>
        <v>0</v>
      </c>
      <c r="X291" s="107">
        <f t="shared" si="37"/>
        <v>0</v>
      </c>
      <c r="Y291" s="107">
        <f t="shared" si="37"/>
        <v>0</v>
      </c>
      <c r="Z291" s="107">
        <f t="shared" si="37"/>
        <v>0</v>
      </c>
      <c r="AA291" s="107">
        <f t="shared" si="37"/>
        <v>0</v>
      </c>
      <c r="AB291" s="107">
        <f t="shared" si="37"/>
        <v>0</v>
      </c>
      <c r="AC291" s="107">
        <f t="shared" si="37"/>
        <v>0</v>
      </c>
      <c r="AD291" s="107">
        <f t="shared" si="37"/>
        <v>0</v>
      </c>
      <c r="AE291" s="107">
        <f t="shared" si="37"/>
        <v>0</v>
      </c>
      <c r="AF291" s="107">
        <f t="shared" si="37"/>
        <v>0</v>
      </c>
      <c r="AG291" s="107">
        <f t="shared" si="37"/>
        <v>0</v>
      </c>
      <c r="AH291" s="107">
        <f t="shared" si="37"/>
        <v>0</v>
      </c>
      <c r="AI291" s="107">
        <f t="shared" si="37"/>
        <v>0</v>
      </c>
      <c r="AJ291" s="107">
        <f t="shared" si="37"/>
        <v>0</v>
      </c>
      <c r="AK291" s="107">
        <f t="shared" si="37"/>
        <v>0</v>
      </c>
      <c r="AL291" s="107">
        <f t="shared" si="37"/>
        <v>0</v>
      </c>
      <c r="AM291" s="107">
        <f t="shared" si="37"/>
        <v>0</v>
      </c>
      <c r="AN291" s="107">
        <f t="shared" si="37"/>
        <v>0</v>
      </c>
      <c r="AO291" s="111">
        <f>D291+E291+F291+G291+H291+I291+J291+M291+P291+SUM(Q291:AN291)</f>
        <v>-299291.90046000003</v>
      </c>
      <c r="AP291" s="4"/>
      <c r="AQ291" s="5"/>
      <c r="AR291" s="5"/>
      <c r="AS291" s="2" t="s">
        <v>6</v>
      </c>
    </row>
    <row r="292" spans="1:46" s="2" customFormat="1" ht="17.25" customHeight="1" thickTop="1" x14ac:dyDescent="0.25">
      <c r="A292" s="23">
        <f>A274+1</f>
        <v>46011</v>
      </c>
      <c r="B292" s="210" t="s">
        <v>64</v>
      </c>
      <c r="C292" s="203"/>
      <c r="D292" s="63">
        <v>12374.72</v>
      </c>
      <c r="E292" s="66"/>
      <c r="F292" s="66"/>
      <c r="G292" s="66"/>
      <c r="H292" s="66"/>
      <c r="I292" s="66">
        <f>-D292</f>
        <v>-12374.72</v>
      </c>
      <c r="J292" s="66"/>
      <c r="K292" s="18"/>
      <c r="L292" s="18"/>
      <c r="M292" s="66"/>
      <c r="N292" s="18"/>
      <c r="O292" s="18"/>
      <c r="P292" s="66"/>
      <c r="Q292" s="46"/>
      <c r="R292" s="46"/>
      <c r="S292" s="45"/>
      <c r="T292" s="18"/>
      <c r="U292" s="18"/>
      <c r="V292" s="18"/>
      <c r="W292" s="18"/>
      <c r="X292" s="18"/>
      <c r="Y292" s="14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31"/>
      <c r="AQ292" s="10"/>
      <c r="AR292" s="27"/>
    </row>
    <row r="293" spans="1:46" s="4" customFormat="1" ht="17.25" customHeight="1" x14ac:dyDescent="0.25">
      <c r="A293" s="23"/>
      <c r="B293" s="201" t="s">
        <v>96</v>
      </c>
      <c r="C293" s="202"/>
      <c r="D293" s="63"/>
      <c r="E293" s="64"/>
      <c r="F293" s="64"/>
      <c r="G293" s="64"/>
      <c r="H293" s="64"/>
      <c r="I293" s="64">
        <f>-I291-I292</f>
        <v>-285.56000000000131</v>
      </c>
      <c r="J293" s="64"/>
      <c r="K293" s="16"/>
      <c r="L293" s="92"/>
      <c r="M293" s="64"/>
      <c r="N293" s="16"/>
      <c r="O293" s="92"/>
      <c r="P293" s="64"/>
      <c r="Q293" s="40"/>
      <c r="R293" s="46"/>
      <c r="S293" s="39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22"/>
      <c r="AP293" s="30"/>
    </row>
    <row r="294" spans="1:46" s="2" customFormat="1" ht="17.25" customHeight="1" x14ac:dyDescent="0.25">
      <c r="A294" s="29"/>
      <c r="B294" s="201" t="s">
        <v>72</v>
      </c>
      <c r="C294" s="202"/>
      <c r="D294" s="63">
        <v>-12500</v>
      </c>
      <c r="E294" s="64"/>
      <c r="F294" s="64">
        <f>-D294</f>
        <v>12500</v>
      </c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47"/>
      <c r="R294" s="39"/>
      <c r="S294" s="39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22"/>
      <c r="AQ294" s="10" t="s">
        <v>4</v>
      </c>
      <c r="AR294" s="11" t="e">
        <v>#REF!</v>
      </c>
    </row>
    <row r="295" spans="1:46" s="2" customFormat="1" ht="17.25" customHeight="1" x14ac:dyDescent="0.2">
      <c r="A295" s="23"/>
      <c r="B295" s="201"/>
      <c r="C295" s="203"/>
      <c r="D295" s="63"/>
      <c r="E295" s="64"/>
      <c r="F295" s="74"/>
      <c r="G295" s="74"/>
      <c r="H295" s="64"/>
      <c r="I295" s="64"/>
      <c r="J295" s="64"/>
      <c r="K295" s="16"/>
      <c r="L295" s="16"/>
      <c r="M295" s="64"/>
      <c r="N295" s="16"/>
      <c r="O295" s="16"/>
      <c r="P295" s="64"/>
      <c r="Q295" s="46"/>
      <c r="R295" s="39"/>
      <c r="S295" s="40"/>
      <c r="T295" s="16"/>
      <c r="U295" s="16"/>
      <c r="V295" s="16"/>
      <c r="W295" s="16"/>
      <c r="X295" s="16"/>
      <c r="Y295" s="19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35"/>
      <c r="AQ295" s="10"/>
      <c r="AR295" s="27"/>
    </row>
    <row r="296" spans="1:46" s="2" customFormat="1" ht="17.25" customHeight="1" thickBot="1" x14ac:dyDescent="0.25">
      <c r="A296" s="24"/>
      <c r="B296" s="216"/>
      <c r="C296" s="217"/>
      <c r="D296" s="83"/>
      <c r="E296" s="81"/>
      <c r="F296" s="81"/>
      <c r="G296" s="81"/>
      <c r="H296" s="81"/>
      <c r="I296" s="81"/>
      <c r="J296" s="81"/>
      <c r="K296" s="37"/>
      <c r="L296" s="93"/>
      <c r="M296" s="81"/>
      <c r="N296" s="37"/>
      <c r="O296" s="93"/>
      <c r="P296" s="81"/>
      <c r="Q296" s="40"/>
      <c r="R296" s="40"/>
      <c r="S296" s="39"/>
      <c r="T296" s="16"/>
      <c r="U296" s="16"/>
      <c r="V296" s="16"/>
      <c r="W296" s="16"/>
      <c r="X296" s="16"/>
      <c r="Y296" s="19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41"/>
      <c r="AQ296" s="10"/>
      <c r="AR296" s="11"/>
    </row>
    <row r="297" spans="1:46" s="4" customFormat="1" ht="17.25" customHeight="1" x14ac:dyDescent="0.25">
      <c r="A297" s="23"/>
      <c r="B297" s="210" t="s">
        <v>94</v>
      </c>
      <c r="C297" s="203"/>
      <c r="D297" s="66"/>
      <c r="E297" s="66"/>
      <c r="F297" s="117"/>
      <c r="G297" s="117"/>
      <c r="H297" s="66"/>
      <c r="I297" s="66"/>
      <c r="J297" s="66">
        <f>-M297</f>
        <v>8564.4</v>
      </c>
      <c r="K297" s="58">
        <v>-1464</v>
      </c>
      <c r="L297" s="89">
        <v>5.85</v>
      </c>
      <c r="M297" s="73">
        <f>K297*L297</f>
        <v>-8564.4</v>
      </c>
      <c r="N297" s="58"/>
      <c r="O297" s="89"/>
      <c r="P297" s="73"/>
      <c r="Q297" s="39"/>
      <c r="R297" s="39"/>
      <c r="S297" s="8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35"/>
      <c r="AP297" s="12" t="e">
        <f>#REF!</f>
        <v>#REF!</v>
      </c>
    </row>
    <row r="298" spans="1:46" s="4" customFormat="1" ht="17.25" customHeight="1" x14ac:dyDescent="0.25">
      <c r="A298" s="23"/>
      <c r="B298" s="201" t="s">
        <v>95</v>
      </c>
      <c r="C298" s="202"/>
      <c r="D298" s="64"/>
      <c r="E298" s="64"/>
      <c r="F298" s="117"/>
      <c r="G298" s="117"/>
      <c r="H298" s="64"/>
      <c r="I298" s="64"/>
      <c r="J298" s="64">
        <f>-P298</f>
        <v>9090.75</v>
      </c>
      <c r="K298" s="57"/>
      <c r="L298" s="88"/>
      <c r="M298" s="62"/>
      <c r="N298" s="57">
        <v>-2325</v>
      </c>
      <c r="O298" s="88">
        <v>3.91</v>
      </c>
      <c r="P298" s="62">
        <f>N298*O298</f>
        <v>-9090.75</v>
      </c>
      <c r="Q298" s="39"/>
      <c r="R298" s="39"/>
      <c r="S298" s="8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35"/>
      <c r="AP298" s="12" t="e">
        <f>#REF!</f>
        <v>#REF!</v>
      </c>
    </row>
    <row r="299" spans="1:46" s="4" customFormat="1" ht="17.25" customHeight="1" x14ac:dyDescent="0.25">
      <c r="A299" s="23"/>
      <c r="B299" s="201" t="s">
        <v>97</v>
      </c>
      <c r="C299" s="203"/>
      <c r="D299" s="64"/>
      <c r="E299" s="64"/>
      <c r="F299" s="64"/>
      <c r="G299" s="64"/>
      <c r="H299" s="64">
        <f>-J299-I299</f>
        <v>4913.6800000000021</v>
      </c>
      <c r="I299" s="64">
        <v>12741.47</v>
      </c>
      <c r="J299" s="64">
        <f>-SUM(J297:J298)</f>
        <v>-17655.150000000001</v>
      </c>
      <c r="K299" s="57"/>
      <c r="L299" s="88"/>
      <c r="M299" s="62"/>
      <c r="N299" s="57"/>
      <c r="O299" s="88"/>
      <c r="P299" s="62"/>
      <c r="Q299" s="39"/>
      <c r="R299" s="39"/>
      <c r="S299" s="39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22"/>
      <c r="AO299" s="43">
        <f>A270</f>
        <v>0</v>
      </c>
      <c r="AP299" s="12" t="e">
        <f>#REF!</f>
        <v>#REF!</v>
      </c>
      <c r="AT299" s="2"/>
    </row>
    <row r="300" spans="1:46" s="4" customFormat="1" ht="17.25" customHeight="1" x14ac:dyDescent="0.25">
      <c r="A300" s="23"/>
      <c r="B300" s="201" t="s">
        <v>93</v>
      </c>
      <c r="C300" s="202"/>
      <c r="D300" s="64"/>
      <c r="E300" s="64"/>
      <c r="F300" s="64"/>
      <c r="G300" s="64"/>
      <c r="H300" s="64"/>
      <c r="I300" s="64"/>
      <c r="J300" s="64"/>
      <c r="K300" s="57">
        <v>-73</v>
      </c>
      <c r="L300" s="88"/>
      <c r="M300" s="62">
        <f>(K303*M291/K291)-M291-M297</f>
        <v>787.43884436701592</v>
      </c>
      <c r="N300" s="57">
        <v>48</v>
      </c>
      <c r="O300" s="88"/>
      <c r="P300" s="62">
        <f>(N303*P291/N291)-P291-P298</f>
        <v>754.1696127402829</v>
      </c>
      <c r="Q300" s="39"/>
      <c r="R300" s="39"/>
      <c r="S300" s="39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22"/>
      <c r="AO300" s="43">
        <f>A285</f>
        <v>0</v>
      </c>
      <c r="AP300" s="12" t="e">
        <f>#REF!</f>
        <v>#REF!</v>
      </c>
      <c r="AT300" s="2"/>
    </row>
    <row r="301" spans="1:46" s="2" customFormat="1" ht="17.25" customHeight="1" x14ac:dyDescent="0.2">
      <c r="A301" s="24"/>
      <c r="B301" s="201"/>
      <c r="C301" s="204"/>
      <c r="D301" s="63"/>
      <c r="E301" s="64"/>
      <c r="F301" s="64"/>
      <c r="G301" s="64"/>
      <c r="H301" s="64"/>
      <c r="I301" s="64"/>
      <c r="J301" s="64"/>
      <c r="K301" s="16"/>
      <c r="L301" s="16"/>
      <c r="M301" s="64"/>
      <c r="N301" s="16"/>
      <c r="O301" s="16"/>
      <c r="P301" s="64"/>
      <c r="Q301" s="46"/>
      <c r="R301" s="46"/>
      <c r="S301" s="39"/>
      <c r="T301" s="16"/>
      <c r="U301" s="16"/>
      <c r="V301" s="16"/>
      <c r="W301" s="16"/>
      <c r="X301" s="16"/>
      <c r="Y301" s="19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43">
        <f>A292</f>
        <v>46011</v>
      </c>
      <c r="AQ301" s="10"/>
      <c r="AR301" s="11"/>
    </row>
    <row r="302" spans="1:46" s="2" customFormat="1" ht="17.25" customHeight="1" thickBot="1" x14ac:dyDescent="0.3">
      <c r="A302" s="56"/>
      <c r="B302" s="101" t="s">
        <v>102</v>
      </c>
      <c r="C302" s="102">
        <f>D303+E303+F303+G303+H303+I303+J303+M303+P303</f>
        <v>178949.45954000004</v>
      </c>
      <c r="D302" s="84"/>
      <c r="E302" s="85"/>
      <c r="F302" s="85"/>
      <c r="G302" s="85"/>
      <c r="H302" s="85"/>
      <c r="I302" s="85"/>
      <c r="J302" s="85"/>
      <c r="K302" s="28"/>
      <c r="L302" s="28"/>
      <c r="M302" s="85"/>
      <c r="N302" s="28"/>
      <c r="O302" s="28"/>
      <c r="P302" s="85"/>
      <c r="Q302" s="48"/>
      <c r="R302" s="48"/>
      <c r="S302" s="51"/>
      <c r="T302" s="28"/>
      <c r="U302" s="28"/>
      <c r="V302" s="28"/>
      <c r="W302" s="28"/>
      <c r="X302" s="28"/>
      <c r="Y302" s="36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42">
        <f>SUM($Q291:AN302)</f>
        <v>-476985.31000000006</v>
      </c>
      <c r="AQ302" s="10"/>
      <c r="AR302" s="11"/>
      <c r="AS302" s="2" t="s">
        <v>5</v>
      </c>
    </row>
    <row r="303" spans="1:46" s="2" customFormat="1" ht="17.25" customHeight="1" thickTop="1" thickBot="1" x14ac:dyDescent="0.3">
      <c r="A303" s="103"/>
      <c r="B303" s="104" t="s">
        <v>103</v>
      </c>
      <c r="C303" s="105">
        <f>AO303</f>
        <v>-298035.85045999999</v>
      </c>
      <c r="D303" s="106">
        <f t="shared" ref="D303:K303" si="38">SUM(D291:D302)</f>
        <v>23.917040000029374</v>
      </c>
      <c r="E303" s="107">
        <f t="shared" si="38"/>
        <v>-11997.900000000001</v>
      </c>
      <c r="F303" s="107">
        <f t="shared" si="38"/>
        <v>47245.5</v>
      </c>
      <c r="G303" s="107">
        <f t="shared" si="38"/>
        <v>0</v>
      </c>
      <c r="H303" s="107">
        <f t="shared" si="38"/>
        <v>68678.372499999998</v>
      </c>
      <c r="I303" s="107">
        <f t="shared" si="38"/>
        <v>12741.47</v>
      </c>
      <c r="J303" s="107">
        <f t="shared" si="38"/>
        <v>0</v>
      </c>
      <c r="K303" s="108">
        <f t="shared" si="38"/>
        <v>8795</v>
      </c>
      <c r="L303" s="109">
        <f>M303/K303</f>
        <v>5.0598317225696423</v>
      </c>
      <c r="M303" s="107">
        <f>ROUND(SUM(M291:M302),2)</f>
        <v>44501.22</v>
      </c>
      <c r="N303" s="108">
        <f>SUM(N291:N302)</f>
        <v>4850</v>
      </c>
      <c r="O303" s="109">
        <f>P303/N303</f>
        <v>3.6612123711340208</v>
      </c>
      <c r="P303" s="107">
        <f>ROUND(SUM(P291:P302),2)</f>
        <v>17756.88</v>
      </c>
      <c r="Q303" s="110">
        <f t="shared" ref="Q303:AN303" si="39">SUM(Q291:Q302)</f>
        <v>-520785.23000000004</v>
      </c>
      <c r="R303" s="107">
        <f t="shared" si="39"/>
        <v>50229.299999999996</v>
      </c>
      <c r="S303" s="107">
        <f t="shared" si="39"/>
        <v>0</v>
      </c>
      <c r="T303" s="107">
        <f t="shared" si="39"/>
        <v>-6429.38</v>
      </c>
      <c r="U303" s="107">
        <f t="shared" si="39"/>
        <v>0</v>
      </c>
      <c r="V303" s="107">
        <f t="shared" si="39"/>
        <v>0</v>
      </c>
      <c r="W303" s="107">
        <f t="shared" si="39"/>
        <v>0</v>
      </c>
      <c r="X303" s="107">
        <f t="shared" si="39"/>
        <v>0</v>
      </c>
      <c r="Y303" s="107">
        <f t="shared" si="39"/>
        <v>0</v>
      </c>
      <c r="Z303" s="107">
        <f t="shared" si="39"/>
        <v>0</v>
      </c>
      <c r="AA303" s="107">
        <f t="shared" si="39"/>
        <v>0</v>
      </c>
      <c r="AB303" s="107">
        <f t="shared" si="39"/>
        <v>0</v>
      </c>
      <c r="AC303" s="107">
        <f t="shared" si="39"/>
        <v>0</v>
      </c>
      <c r="AD303" s="107">
        <f t="shared" si="39"/>
        <v>0</v>
      </c>
      <c r="AE303" s="107">
        <f t="shared" si="39"/>
        <v>0</v>
      </c>
      <c r="AF303" s="107">
        <f t="shared" si="39"/>
        <v>0</v>
      </c>
      <c r="AG303" s="107">
        <f t="shared" si="39"/>
        <v>0</v>
      </c>
      <c r="AH303" s="107">
        <f t="shared" si="39"/>
        <v>0</v>
      </c>
      <c r="AI303" s="107">
        <f t="shared" si="39"/>
        <v>0</v>
      </c>
      <c r="AJ303" s="107">
        <f t="shared" si="39"/>
        <v>0</v>
      </c>
      <c r="AK303" s="107">
        <f t="shared" si="39"/>
        <v>0</v>
      </c>
      <c r="AL303" s="107">
        <f t="shared" si="39"/>
        <v>0</v>
      </c>
      <c r="AM303" s="107">
        <f t="shared" si="39"/>
        <v>0</v>
      </c>
      <c r="AN303" s="107">
        <f t="shared" si="39"/>
        <v>0</v>
      </c>
      <c r="AO303" s="111">
        <f>D303+E303+F303+G303+H303+I303+J303+M303+P303+SUM(Q303:AN303)</f>
        <v>-298035.85045999999</v>
      </c>
      <c r="AP303" s="4"/>
      <c r="AQ303" s="5"/>
      <c r="AR303" s="5"/>
      <c r="AS303" s="2" t="s">
        <v>6</v>
      </c>
    </row>
    <row r="304" spans="1:46" s="2" customFormat="1" ht="17.25" customHeight="1" thickTop="1" x14ac:dyDescent="0.25">
      <c r="A304" s="23">
        <f>A292+1</f>
        <v>46012</v>
      </c>
      <c r="B304" s="210" t="s">
        <v>64</v>
      </c>
      <c r="C304" s="203"/>
      <c r="D304" s="63">
        <v>12436.69</v>
      </c>
      <c r="E304" s="66"/>
      <c r="F304" s="66"/>
      <c r="G304" s="66"/>
      <c r="H304" s="66"/>
      <c r="I304" s="66">
        <f>-D304</f>
        <v>-12436.69</v>
      </c>
      <c r="J304" s="66"/>
      <c r="K304" s="18"/>
      <c r="L304" s="18"/>
      <c r="M304" s="66"/>
      <c r="N304" s="18"/>
      <c r="O304" s="18"/>
      <c r="P304" s="66"/>
      <c r="Q304" s="46"/>
      <c r="R304" s="46"/>
      <c r="S304" s="45"/>
      <c r="T304" s="18"/>
      <c r="U304" s="18"/>
      <c r="V304" s="18"/>
      <c r="W304" s="18"/>
      <c r="X304" s="18"/>
      <c r="Y304" s="14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31"/>
      <c r="AQ304" s="10"/>
      <c r="AR304" s="27"/>
    </row>
    <row r="305" spans="1:46" s="4" customFormat="1" ht="17.25" customHeight="1" x14ac:dyDescent="0.25">
      <c r="A305" s="23"/>
      <c r="B305" s="201" t="s">
        <v>96</v>
      </c>
      <c r="C305" s="202"/>
      <c r="D305" s="63"/>
      <c r="E305" s="64"/>
      <c r="F305" s="64"/>
      <c r="G305" s="64"/>
      <c r="H305" s="64"/>
      <c r="I305" s="64">
        <f>-I303-I304</f>
        <v>-304.77999999999884</v>
      </c>
      <c r="J305" s="64"/>
      <c r="K305" s="16"/>
      <c r="L305" s="92"/>
      <c r="M305" s="64"/>
      <c r="N305" s="16"/>
      <c r="O305" s="92"/>
      <c r="P305" s="64"/>
      <c r="Q305" s="40"/>
      <c r="R305" s="46"/>
      <c r="S305" s="39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22"/>
      <c r="AP305" s="30"/>
    </row>
    <row r="306" spans="1:46" s="2" customFormat="1" ht="17.25" customHeight="1" x14ac:dyDescent="0.2">
      <c r="A306" s="23"/>
      <c r="B306" s="201" t="s">
        <v>72</v>
      </c>
      <c r="C306" s="202"/>
      <c r="D306" s="63">
        <v>-12400</v>
      </c>
      <c r="E306" s="64"/>
      <c r="F306" s="74">
        <f>-D306</f>
        <v>12400</v>
      </c>
      <c r="G306" s="74"/>
      <c r="H306" s="64"/>
      <c r="I306" s="64"/>
      <c r="J306" s="64"/>
      <c r="K306" s="16"/>
      <c r="L306" s="16"/>
      <c r="M306" s="64"/>
      <c r="N306" s="16"/>
      <c r="O306" s="16"/>
      <c r="P306" s="64"/>
      <c r="Q306" s="46"/>
      <c r="R306" s="39"/>
      <c r="S306" s="40"/>
      <c r="T306" s="16"/>
      <c r="U306" s="16"/>
      <c r="V306" s="16"/>
      <c r="W306" s="16"/>
      <c r="X306" s="16"/>
      <c r="Y306" s="19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35"/>
      <c r="AQ306" s="10"/>
      <c r="AR306" s="27"/>
    </row>
    <row r="307" spans="1:46" s="2" customFormat="1" ht="17.25" customHeight="1" thickBot="1" x14ac:dyDescent="0.25">
      <c r="A307" s="24"/>
      <c r="B307" s="216"/>
      <c r="C307" s="217"/>
      <c r="D307" s="83"/>
      <c r="E307" s="81"/>
      <c r="F307" s="81"/>
      <c r="G307" s="81"/>
      <c r="H307" s="81"/>
      <c r="I307" s="81"/>
      <c r="J307" s="81"/>
      <c r="K307" s="37"/>
      <c r="L307" s="93"/>
      <c r="M307" s="81"/>
      <c r="N307" s="37"/>
      <c r="O307" s="93"/>
      <c r="P307" s="81"/>
      <c r="Q307" s="40"/>
      <c r="R307" s="40"/>
      <c r="S307" s="39"/>
      <c r="T307" s="16"/>
      <c r="U307" s="16"/>
      <c r="V307" s="16"/>
      <c r="W307" s="16"/>
      <c r="X307" s="16"/>
      <c r="Y307" s="19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41"/>
      <c r="AQ307" s="10"/>
      <c r="AR307" s="11"/>
    </row>
    <row r="308" spans="1:46" s="4" customFormat="1" ht="17.25" customHeight="1" x14ac:dyDescent="0.25">
      <c r="A308" s="23"/>
      <c r="B308" s="210" t="s">
        <v>94</v>
      </c>
      <c r="C308" s="203"/>
      <c r="D308" s="66"/>
      <c r="E308" s="66"/>
      <c r="F308" s="117"/>
      <c r="G308" s="117"/>
      <c r="H308" s="66"/>
      <c r="I308" s="66"/>
      <c r="J308" s="66">
        <f>-M308</f>
        <v>6364.7999999999993</v>
      </c>
      <c r="K308" s="58">
        <v>-1088</v>
      </c>
      <c r="L308" s="89">
        <v>5.85</v>
      </c>
      <c r="M308" s="73">
        <f>K308*L308</f>
        <v>-6364.7999999999993</v>
      </c>
      <c r="N308" s="58"/>
      <c r="O308" s="89"/>
      <c r="P308" s="73"/>
      <c r="Q308" s="39"/>
      <c r="R308" s="39"/>
      <c r="S308" s="8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35"/>
      <c r="AP308" s="12" t="e">
        <f>#REF!</f>
        <v>#REF!</v>
      </c>
    </row>
    <row r="309" spans="1:46" s="4" customFormat="1" ht="17.25" customHeight="1" x14ac:dyDescent="0.25">
      <c r="A309" s="23"/>
      <c r="B309" s="201" t="s">
        <v>95</v>
      </c>
      <c r="C309" s="202"/>
      <c r="D309" s="64"/>
      <c r="E309" s="64"/>
      <c r="F309" s="117"/>
      <c r="G309" s="117"/>
      <c r="H309" s="64"/>
      <c r="I309" s="64"/>
      <c r="J309" s="64">
        <f>-P309</f>
        <v>5407.53</v>
      </c>
      <c r="K309" s="57"/>
      <c r="L309" s="88"/>
      <c r="M309" s="62"/>
      <c r="N309" s="57">
        <v>-1383</v>
      </c>
      <c r="O309" s="88">
        <v>3.91</v>
      </c>
      <c r="P309" s="62">
        <f>N309*O309</f>
        <v>-5407.53</v>
      </c>
      <c r="Q309" s="39"/>
      <c r="R309" s="39"/>
      <c r="S309" s="8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35"/>
      <c r="AP309" s="12" t="e">
        <f>#REF!</f>
        <v>#REF!</v>
      </c>
    </row>
    <row r="310" spans="1:46" s="4" customFormat="1" ht="17.25" customHeight="1" x14ac:dyDescent="0.25">
      <c r="A310" s="23"/>
      <c r="B310" s="201" t="s">
        <v>97</v>
      </c>
      <c r="C310" s="203"/>
      <c r="D310" s="64"/>
      <c r="E310" s="64"/>
      <c r="F310" s="64"/>
      <c r="G310" s="64"/>
      <c r="H310" s="64">
        <f>-J310-I310</f>
        <v>3491.239999999998</v>
      </c>
      <c r="I310" s="64">
        <v>8281.09</v>
      </c>
      <c r="J310" s="64">
        <f>-SUM(J308:J309)</f>
        <v>-11772.329999999998</v>
      </c>
      <c r="K310" s="57"/>
      <c r="L310" s="88"/>
      <c r="M310" s="62"/>
      <c r="N310" s="57"/>
      <c r="O310" s="88"/>
      <c r="P310" s="62"/>
      <c r="Q310" s="39"/>
      <c r="R310" s="39"/>
      <c r="S310" s="39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22"/>
      <c r="AO310" s="43">
        <f>A288</f>
        <v>0</v>
      </c>
      <c r="AP310" s="12" t="e">
        <f>#REF!</f>
        <v>#REF!</v>
      </c>
      <c r="AT310" s="2"/>
    </row>
    <row r="311" spans="1:46" s="4" customFormat="1" ht="17.25" customHeight="1" x14ac:dyDescent="0.25">
      <c r="A311" s="23"/>
      <c r="B311" s="201" t="s">
        <v>93</v>
      </c>
      <c r="C311" s="202"/>
      <c r="D311" s="64"/>
      <c r="E311" s="64"/>
      <c r="F311" s="64"/>
      <c r="G311" s="64"/>
      <c r="H311" s="64"/>
      <c r="I311" s="64"/>
      <c r="J311" s="64"/>
      <c r="K311" s="57">
        <v>-53</v>
      </c>
      <c r="L311" s="88"/>
      <c r="M311" s="62">
        <f>(K314*(M303)/(K303))-M303-M308</f>
        <v>591.53200454803664</v>
      </c>
      <c r="N311" s="57">
        <v>24</v>
      </c>
      <c r="O311" s="88"/>
      <c r="P311" s="62">
        <f>(N314*(P303)/(N303))-P303-P309</f>
        <v>431.94238762886653</v>
      </c>
      <c r="Q311" s="39"/>
      <c r="R311" s="39"/>
      <c r="S311" s="39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22"/>
      <c r="AO311" s="43">
        <f>A297</f>
        <v>0</v>
      </c>
      <c r="AP311" s="12" t="e">
        <f>#REF!</f>
        <v>#REF!</v>
      </c>
      <c r="AT311" s="2"/>
    </row>
    <row r="312" spans="1:46" s="2" customFormat="1" ht="17.25" customHeight="1" x14ac:dyDescent="0.2">
      <c r="A312" s="24"/>
      <c r="B312" s="201"/>
      <c r="C312" s="204"/>
      <c r="D312" s="63"/>
      <c r="E312" s="64"/>
      <c r="F312" s="64"/>
      <c r="G312" s="64"/>
      <c r="H312" s="64"/>
      <c r="I312" s="64"/>
      <c r="J312" s="64"/>
      <c r="K312" s="16"/>
      <c r="L312" s="16"/>
      <c r="M312" s="64"/>
      <c r="N312" s="16"/>
      <c r="O312" s="16"/>
      <c r="P312" s="64"/>
      <c r="Q312" s="46"/>
      <c r="R312" s="46"/>
      <c r="S312" s="39"/>
      <c r="T312" s="16"/>
      <c r="U312" s="16"/>
      <c r="V312" s="16"/>
      <c r="W312" s="16"/>
      <c r="X312" s="16"/>
      <c r="Y312" s="19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43">
        <f>A294</f>
        <v>0</v>
      </c>
      <c r="AQ312" s="10"/>
      <c r="AR312" s="11"/>
    </row>
    <row r="313" spans="1:46" s="2" customFormat="1" ht="17.25" customHeight="1" thickBot="1" x14ac:dyDescent="0.3">
      <c r="A313" s="56"/>
      <c r="B313" s="101" t="s">
        <v>102</v>
      </c>
      <c r="C313" s="102">
        <f>D314+E314+F314+G314+H314+I314+J314+M314+P314</f>
        <v>179668.14954000004</v>
      </c>
      <c r="D313" s="84"/>
      <c r="E313" s="85"/>
      <c r="F313" s="85"/>
      <c r="G313" s="85"/>
      <c r="H313" s="85"/>
      <c r="I313" s="85"/>
      <c r="J313" s="85"/>
      <c r="K313" s="28"/>
      <c r="L313" s="28"/>
      <c r="M313" s="85"/>
      <c r="N313" s="28"/>
      <c r="O313" s="28"/>
      <c r="P313" s="85"/>
      <c r="Q313" s="48"/>
      <c r="R313" s="48"/>
      <c r="S313" s="51"/>
      <c r="T313" s="28"/>
      <c r="U313" s="28"/>
      <c r="V313" s="28"/>
      <c r="W313" s="28"/>
      <c r="X313" s="28"/>
      <c r="Y313" s="36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42">
        <f>SUM($Q303:AN313)</f>
        <v>-476985.31000000006</v>
      </c>
      <c r="AQ313" s="10"/>
      <c r="AR313" s="11"/>
      <c r="AS313" s="2" t="s">
        <v>5</v>
      </c>
    </row>
    <row r="314" spans="1:46" s="2" customFormat="1" ht="17.25" customHeight="1" thickTop="1" thickBot="1" x14ac:dyDescent="0.3">
      <c r="A314" s="103"/>
      <c r="B314" s="104" t="s">
        <v>103</v>
      </c>
      <c r="C314" s="105">
        <f>AO314</f>
        <v>-297317.16046000004</v>
      </c>
      <c r="D314" s="106">
        <f t="shared" ref="D314:K314" si="40">SUM(D303:D313)</f>
        <v>60.607040000029883</v>
      </c>
      <c r="E314" s="107">
        <f t="shared" si="40"/>
        <v>-11997.900000000001</v>
      </c>
      <c r="F314" s="107">
        <f t="shared" si="40"/>
        <v>59645.5</v>
      </c>
      <c r="G314" s="107">
        <f t="shared" si="40"/>
        <v>0</v>
      </c>
      <c r="H314" s="107">
        <f t="shared" si="40"/>
        <v>72169.612499999988</v>
      </c>
      <c r="I314" s="107">
        <f t="shared" si="40"/>
        <v>8281.09</v>
      </c>
      <c r="J314" s="107">
        <f t="shared" si="40"/>
        <v>0</v>
      </c>
      <c r="K314" s="108">
        <f t="shared" si="40"/>
        <v>7654</v>
      </c>
      <c r="L314" s="109">
        <f>M314/K314</f>
        <v>5.0598314606741566</v>
      </c>
      <c r="M314" s="107">
        <f>ROUND(SUM(M303:M313),2)</f>
        <v>38727.949999999997</v>
      </c>
      <c r="N314" s="108">
        <f>SUM(N303:N313)</f>
        <v>3491</v>
      </c>
      <c r="O314" s="109">
        <f>P314/N314</f>
        <v>3.6612116871956464</v>
      </c>
      <c r="P314" s="107">
        <f>ROUND(SUM(P303:P313),2)</f>
        <v>12781.29</v>
      </c>
      <c r="Q314" s="110">
        <f t="shared" ref="Q314:AN314" si="41">SUM(Q303:Q313)</f>
        <v>-520785.23000000004</v>
      </c>
      <c r="R314" s="107">
        <f t="shared" si="41"/>
        <v>50229.299999999996</v>
      </c>
      <c r="S314" s="107">
        <f t="shared" si="41"/>
        <v>0</v>
      </c>
      <c r="T314" s="107">
        <f t="shared" si="41"/>
        <v>-6429.38</v>
      </c>
      <c r="U314" s="107">
        <f t="shared" si="41"/>
        <v>0</v>
      </c>
      <c r="V314" s="107">
        <f t="shared" si="41"/>
        <v>0</v>
      </c>
      <c r="W314" s="107">
        <f t="shared" si="41"/>
        <v>0</v>
      </c>
      <c r="X314" s="107">
        <f t="shared" si="41"/>
        <v>0</v>
      </c>
      <c r="Y314" s="107">
        <f t="shared" si="41"/>
        <v>0</v>
      </c>
      <c r="Z314" s="107">
        <f t="shared" si="41"/>
        <v>0</v>
      </c>
      <c r="AA314" s="107">
        <f t="shared" si="41"/>
        <v>0</v>
      </c>
      <c r="AB314" s="107">
        <f t="shared" si="41"/>
        <v>0</v>
      </c>
      <c r="AC314" s="107">
        <f t="shared" si="41"/>
        <v>0</v>
      </c>
      <c r="AD314" s="107">
        <f t="shared" si="41"/>
        <v>0</v>
      </c>
      <c r="AE314" s="107">
        <f t="shared" si="41"/>
        <v>0</v>
      </c>
      <c r="AF314" s="107">
        <f t="shared" si="41"/>
        <v>0</v>
      </c>
      <c r="AG314" s="107">
        <f t="shared" si="41"/>
        <v>0</v>
      </c>
      <c r="AH314" s="107">
        <f t="shared" si="41"/>
        <v>0</v>
      </c>
      <c r="AI314" s="107">
        <f t="shared" si="41"/>
        <v>0</v>
      </c>
      <c r="AJ314" s="107">
        <f t="shared" si="41"/>
        <v>0</v>
      </c>
      <c r="AK314" s="107">
        <f t="shared" si="41"/>
        <v>0</v>
      </c>
      <c r="AL314" s="107">
        <f t="shared" si="41"/>
        <v>0</v>
      </c>
      <c r="AM314" s="107">
        <f t="shared" si="41"/>
        <v>0</v>
      </c>
      <c r="AN314" s="107">
        <f t="shared" si="41"/>
        <v>0</v>
      </c>
      <c r="AO314" s="111">
        <f>D314+E314+F314+G314+H314+I314+J314+M314+P314+SUM(Q314:AN314)</f>
        <v>-297317.16046000004</v>
      </c>
      <c r="AP314" s="4"/>
      <c r="AQ314" s="5"/>
      <c r="AR314" s="5"/>
      <c r="AS314" s="2" t="s">
        <v>6</v>
      </c>
    </row>
    <row r="315" spans="1:46" s="2" customFormat="1" ht="17.25" customHeight="1" thickTop="1" x14ac:dyDescent="0.25">
      <c r="A315" s="23">
        <f>A304+1</f>
        <v>46013</v>
      </c>
      <c r="B315" s="210" t="s">
        <v>64</v>
      </c>
      <c r="C315" s="203"/>
      <c r="D315" s="63">
        <v>8113.84</v>
      </c>
      <c r="E315" s="66"/>
      <c r="F315" s="66"/>
      <c r="G315" s="66"/>
      <c r="H315" s="66"/>
      <c r="I315" s="66">
        <f>-D315</f>
        <v>-8113.84</v>
      </c>
      <c r="J315" s="66"/>
      <c r="K315" s="18"/>
      <c r="L315" s="18"/>
      <c r="M315" s="66"/>
      <c r="N315" s="18"/>
      <c r="O315" s="18"/>
      <c r="P315" s="66"/>
      <c r="Q315" s="46"/>
      <c r="R315" s="46"/>
      <c r="S315" s="45"/>
      <c r="T315" s="18"/>
      <c r="U315" s="18"/>
      <c r="V315" s="18"/>
      <c r="W315" s="18"/>
      <c r="X315" s="18"/>
      <c r="Y315" s="14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31"/>
      <c r="AQ315" s="10"/>
      <c r="AR315" s="27"/>
    </row>
    <row r="316" spans="1:46" s="4" customFormat="1" ht="17.25" customHeight="1" x14ac:dyDescent="0.25">
      <c r="A316" s="23"/>
      <c r="B316" s="201" t="s">
        <v>96</v>
      </c>
      <c r="C316" s="202"/>
      <c r="D316" s="63"/>
      <c r="E316" s="64"/>
      <c r="F316" s="64"/>
      <c r="G316" s="64"/>
      <c r="H316" s="64"/>
      <c r="I316" s="64">
        <f>-I314-I315</f>
        <v>-167.25</v>
      </c>
      <c r="J316" s="64"/>
      <c r="K316" s="16"/>
      <c r="L316" s="92"/>
      <c r="M316" s="64"/>
      <c r="N316" s="16"/>
      <c r="O316" s="92"/>
      <c r="P316" s="64"/>
      <c r="Q316" s="40"/>
      <c r="R316" s="46"/>
      <c r="S316" s="39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22"/>
      <c r="AP316" s="30"/>
    </row>
    <row r="317" spans="1:46" s="2" customFormat="1" ht="17.25" customHeight="1" x14ac:dyDescent="0.2">
      <c r="A317" s="23"/>
      <c r="B317" s="201" t="s">
        <v>72</v>
      </c>
      <c r="C317" s="202"/>
      <c r="D317" s="63">
        <v>-8100</v>
      </c>
      <c r="E317" s="64"/>
      <c r="F317" s="74">
        <f>-D317</f>
        <v>8100</v>
      </c>
      <c r="G317" s="74"/>
      <c r="H317" s="64"/>
      <c r="I317" s="64"/>
      <c r="J317" s="64"/>
      <c r="K317" s="16"/>
      <c r="L317" s="16"/>
      <c r="M317" s="64"/>
      <c r="N317" s="16"/>
      <c r="O317" s="16"/>
      <c r="P317" s="64"/>
      <c r="Q317" s="46"/>
      <c r="R317" s="39"/>
      <c r="S317" s="40"/>
      <c r="T317" s="16"/>
      <c r="U317" s="16"/>
      <c r="V317" s="16"/>
      <c r="W317" s="16"/>
      <c r="X317" s="16"/>
      <c r="Y317" s="19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35"/>
      <c r="AQ317" s="10"/>
      <c r="AR317" s="27"/>
    </row>
    <row r="318" spans="1:46" s="2" customFormat="1" ht="17.25" customHeight="1" x14ac:dyDescent="0.2">
      <c r="A318" s="23"/>
      <c r="B318" s="201" t="s">
        <v>72</v>
      </c>
      <c r="C318" s="202"/>
      <c r="D318" s="63">
        <v>41000</v>
      </c>
      <c r="E318" s="64"/>
      <c r="F318" s="74">
        <f>-D318</f>
        <v>-41000</v>
      </c>
      <c r="G318" s="74"/>
      <c r="H318" s="64"/>
      <c r="I318" s="64"/>
      <c r="J318" s="64"/>
      <c r="K318" s="16"/>
      <c r="L318" s="16"/>
      <c r="M318" s="64"/>
      <c r="N318" s="16"/>
      <c r="O318" s="16"/>
      <c r="P318" s="64"/>
      <c r="Q318" s="46"/>
      <c r="R318" s="39"/>
      <c r="S318" s="40"/>
      <c r="T318" s="16"/>
      <c r="U318" s="16"/>
      <c r="V318" s="16"/>
      <c r="W318" s="16"/>
      <c r="X318" s="16"/>
      <c r="Y318" s="19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35"/>
      <c r="AQ318" s="10"/>
      <c r="AR318" s="27"/>
    </row>
    <row r="319" spans="1:46" s="2" customFormat="1" ht="17.25" customHeight="1" x14ac:dyDescent="0.2">
      <c r="A319" s="23"/>
      <c r="B319" s="201" t="s">
        <v>72</v>
      </c>
      <c r="C319" s="202"/>
      <c r="D319" s="63">
        <v>24200</v>
      </c>
      <c r="E319" s="64"/>
      <c r="F319" s="74">
        <f>-D319</f>
        <v>-24200</v>
      </c>
      <c r="G319" s="74"/>
      <c r="H319" s="64"/>
      <c r="I319" s="64"/>
      <c r="J319" s="64"/>
      <c r="K319" s="16"/>
      <c r="L319" s="16"/>
      <c r="M319" s="64"/>
      <c r="N319" s="16"/>
      <c r="O319" s="16"/>
      <c r="P319" s="64"/>
      <c r="Q319" s="46"/>
      <c r="R319" s="39"/>
      <c r="S319" s="40"/>
      <c r="T319" s="16"/>
      <c r="U319" s="16"/>
      <c r="V319" s="16"/>
      <c r="W319" s="16"/>
      <c r="X319" s="16"/>
      <c r="Y319" s="19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35"/>
      <c r="AQ319" s="10"/>
      <c r="AR319" s="27"/>
    </row>
    <row r="320" spans="1:46" s="2" customFormat="1" ht="17.25" customHeight="1" x14ac:dyDescent="0.2">
      <c r="A320" s="23"/>
      <c r="B320" s="205" t="s">
        <v>433</v>
      </c>
      <c r="C320" s="250"/>
      <c r="D320" s="63">
        <v>-40600</v>
      </c>
      <c r="E320" s="64"/>
      <c r="F320" s="74"/>
      <c r="G320" s="74"/>
      <c r="H320" s="64"/>
      <c r="I320" s="64"/>
      <c r="J320" s="64"/>
      <c r="K320" s="16"/>
      <c r="L320" s="16"/>
      <c r="M320" s="64"/>
      <c r="N320" s="16"/>
      <c r="O320" s="16"/>
      <c r="P320" s="64"/>
      <c r="Q320" s="46">
        <f>-D320</f>
        <v>40600</v>
      </c>
      <c r="R320" s="39"/>
      <c r="S320" s="40"/>
      <c r="T320" s="16"/>
      <c r="U320" s="16"/>
      <c r="V320" s="16"/>
      <c r="W320" s="16"/>
      <c r="X320" s="16"/>
      <c r="Y320" s="19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35"/>
      <c r="AQ320" s="10"/>
      <c r="AR320" s="27"/>
    </row>
    <row r="321" spans="1:46" s="2" customFormat="1" ht="17.25" customHeight="1" x14ac:dyDescent="0.2">
      <c r="A321" s="23"/>
      <c r="B321" s="205" t="s">
        <v>321</v>
      </c>
      <c r="C321" s="250"/>
      <c r="D321" s="63">
        <v>-24200</v>
      </c>
      <c r="E321" s="64"/>
      <c r="F321" s="74"/>
      <c r="G321" s="74"/>
      <c r="H321" s="64"/>
      <c r="I321" s="64"/>
      <c r="J321" s="64"/>
      <c r="K321" s="16"/>
      <c r="L321" s="16"/>
      <c r="M321" s="64"/>
      <c r="N321" s="16"/>
      <c r="O321" s="16"/>
      <c r="P321" s="64"/>
      <c r="Q321" s="46">
        <f>-D321</f>
        <v>24200</v>
      </c>
      <c r="R321" s="39"/>
      <c r="S321" s="40"/>
      <c r="T321" s="16"/>
      <c r="U321" s="16"/>
      <c r="V321" s="16"/>
      <c r="W321" s="16"/>
      <c r="X321" s="16"/>
      <c r="Y321" s="19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35"/>
      <c r="AQ321" s="10"/>
      <c r="AR321" s="27"/>
    </row>
    <row r="322" spans="1:46" s="2" customFormat="1" ht="17.25" customHeight="1" x14ac:dyDescent="0.25">
      <c r="A322" s="29"/>
      <c r="B322" s="201" t="s">
        <v>276</v>
      </c>
      <c r="C322" s="202"/>
      <c r="D322" s="63">
        <f>-4.9-4.9</f>
        <v>-9.8000000000000007</v>
      </c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47"/>
      <c r="R322" s="39"/>
      <c r="S322" s="39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22"/>
      <c r="AQ322" s="10" t="s">
        <v>4</v>
      </c>
      <c r="AR322" s="11" t="e">
        <v>#REF!</v>
      </c>
    </row>
    <row r="323" spans="1:46" s="4" customFormat="1" ht="17.25" customHeight="1" x14ac:dyDescent="0.25">
      <c r="A323" s="23"/>
      <c r="B323" s="201" t="s">
        <v>13</v>
      </c>
      <c r="C323" s="202"/>
      <c r="D323" s="63"/>
      <c r="E323" s="64">
        <f>-E314-254.86</f>
        <v>11743.04</v>
      </c>
      <c r="F323" s="64"/>
      <c r="G323" s="64"/>
      <c r="H323" s="64">
        <f>-E323</f>
        <v>-11743.04</v>
      </c>
      <c r="I323" s="66"/>
      <c r="J323" s="64"/>
      <c r="K323" s="16"/>
      <c r="L323" s="92"/>
      <c r="M323" s="64"/>
      <c r="N323" s="16"/>
      <c r="O323" s="92"/>
      <c r="P323" s="64"/>
      <c r="Q323" s="40"/>
      <c r="R323" s="46">
        <f>-D323</f>
        <v>0</v>
      </c>
      <c r="S323" s="39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22"/>
      <c r="AP323" s="30"/>
    </row>
    <row r="324" spans="1:46" s="2" customFormat="1" ht="17.25" customHeight="1" x14ac:dyDescent="0.25">
      <c r="A324" s="24"/>
      <c r="B324" s="205" t="s">
        <v>353</v>
      </c>
      <c r="C324" s="206"/>
      <c r="D324" s="64">
        <f>-M324</f>
        <v>0</v>
      </c>
      <c r="E324" s="64"/>
      <c r="F324" s="64"/>
      <c r="G324" s="64"/>
      <c r="H324" s="64"/>
      <c r="I324" s="64"/>
      <c r="J324" s="64"/>
      <c r="K324" s="57"/>
      <c r="L324" s="88"/>
      <c r="M324" s="62"/>
      <c r="N324" s="57">
        <v>5000</v>
      </c>
      <c r="O324" s="88">
        <v>3.71</v>
      </c>
      <c r="P324" s="62">
        <f>N324*O324</f>
        <v>18550</v>
      </c>
      <c r="Q324" s="39">
        <f>-P324</f>
        <v>-18550</v>
      </c>
      <c r="R324" s="39"/>
      <c r="S324" s="39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22"/>
      <c r="AQ324" s="10"/>
      <c r="AR324" s="11"/>
    </row>
    <row r="325" spans="1:46" s="2" customFormat="1" ht="17.25" customHeight="1" thickBot="1" x14ac:dyDescent="0.25">
      <c r="A325" s="24"/>
      <c r="B325" s="216"/>
      <c r="C325" s="217"/>
      <c r="D325" s="83"/>
      <c r="E325" s="81"/>
      <c r="F325" s="81"/>
      <c r="G325" s="81"/>
      <c r="H325" s="81"/>
      <c r="I325" s="81"/>
      <c r="J325" s="81"/>
      <c r="K325" s="37"/>
      <c r="L325" s="93"/>
      <c r="M325" s="81"/>
      <c r="N325" s="37"/>
      <c r="O325" s="93"/>
      <c r="P325" s="81"/>
      <c r="Q325" s="40"/>
      <c r="R325" s="40"/>
      <c r="S325" s="39"/>
      <c r="T325" s="16"/>
      <c r="U325" s="16"/>
      <c r="V325" s="16"/>
      <c r="W325" s="16"/>
      <c r="X325" s="16"/>
      <c r="Y325" s="19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41"/>
      <c r="AQ325" s="10"/>
      <c r="AR325" s="11"/>
    </row>
    <row r="326" spans="1:46" s="4" customFormat="1" ht="17.25" customHeight="1" x14ac:dyDescent="0.25">
      <c r="A326" s="23"/>
      <c r="B326" s="210" t="s">
        <v>94</v>
      </c>
      <c r="C326" s="203"/>
      <c r="D326" s="66"/>
      <c r="E326" s="66"/>
      <c r="F326" s="117"/>
      <c r="G326" s="117"/>
      <c r="H326" s="66"/>
      <c r="I326" s="66"/>
      <c r="J326" s="66">
        <f>-M326</f>
        <v>8985.5999999999985</v>
      </c>
      <c r="K326" s="58">
        <v>-1536</v>
      </c>
      <c r="L326" s="89">
        <v>5.85</v>
      </c>
      <c r="M326" s="73">
        <f>K326*L326</f>
        <v>-8985.5999999999985</v>
      </c>
      <c r="N326" s="58"/>
      <c r="O326" s="89"/>
      <c r="P326" s="73"/>
      <c r="Q326" s="39"/>
      <c r="R326" s="39"/>
      <c r="S326" s="8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35"/>
      <c r="AP326" s="12" t="e">
        <f>#REF!</f>
        <v>#REF!</v>
      </c>
    </row>
    <row r="327" spans="1:46" s="4" customFormat="1" ht="17.25" customHeight="1" x14ac:dyDescent="0.25">
      <c r="A327" s="23"/>
      <c r="B327" s="201" t="s">
        <v>95</v>
      </c>
      <c r="C327" s="202"/>
      <c r="D327" s="64"/>
      <c r="E327" s="64"/>
      <c r="F327" s="117"/>
      <c r="G327" s="117"/>
      <c r="H327" s="64"/>
      <c r="I327" s="64"/>
      <c r="J327" s="64">
        <f>-P327</f>
        <v>8414.32</v>
      </c>
      <c r="K327" s="57"/>
      <c r="L327" s="88"/>
      <c r="M327" s="62"/>
      <c r="N327" s="57">
        <v>-2152</v>
      </c>
      <c r="O327" s="88">
        <v>3.91</v>
      </c>
      <c r="P327" s="62">
        <f>N327*O327</f>
        <v>-8414.32</v>
      </c>
      <c r="Q327" s="39"/>
      <c r="R327" s="39"/>
      <c r="S327" s="8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35"/>
      <c r="AP327" s="12" t="e">
        <f>#REF!</f>
        <v>#REF!</v>
      </c>
    </row>
    <row r="328" spans="1:46" s="4" customFormat="1" ht="17.25" customHeight="1" x14ac:dyDescent="0.25">
      <c r="A328" s="23"/>
      <c r="B328" s="201" t="s">
        <v>97</v>
      </c>
      <c r="C328" s="203"/>
      <c r="D328" s="64"/>
      <c r="E328" s="64"/>
      <c r="F328" s="64"/>
      <c r="G328" s="64"/>
      <c r="H328" s="64">
        <f>-J328-I328</f>
        <v>6519.0899999999983</v>
      </c>
      <c r="I328" s="64">
        <v>10880.83</v>
      </c>
      <c r="J328" s="64">
        <f>-SUM(J326:J327)</f>
        <v>-17399.919999999998</v>
      </c>
      <c r="K328" s="57"/>
      <c r="L328" s="88"/>
      <c r="M328" s="62"/>
      <c r="N328" s="57"/>
      <c r="O328" s="88"/>
      <c r="P328" s="62"/>
      <c r="Q328" s="39"/>
      <c r="R328" s="39"/>
      <c r="S328" s="39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22"/>
      <c r="AO328" s="43">
        <f>A300</f>
        <v>0</v>
      </c>
      <c r="AP328" s="12" t="e">
        <f>#REF!</f>
        <v>#REF!</v>
      </c>
      <c r="AT328" s="2"/>
    </row>
    <row r="329" spans="1:46" s="4" customFormat="1" ht="17.25" customHeight="1" x14ac:dyDescent="0.25">
      <c r="A329" s="23"/>
      <c r="B329" s="201" t="s">
        <v>93</v>
      </c>
      <c r="C329" s="202"/>
      <c r="D329" s="64"/>
      <c r="E329" s="64"/>
      <c r="F329" s="64"/>
      <c r="G329" s="64"/>
      <c r="H329" s="64"/>
      <c r="I329" s="64"/>
      <c r="J329" s="64"/>
      <c r="K329" s="57">
        <v>34</v>
      </c>
      <c r="L329" s="88"/>
      <c r="M329" s="62">
        <f>(K332*(M314)/(K314))-M314-M326</f>
        <v>1385.7331460674141</v>
      </c>
      <c r="N329" s="57">
        <v>94</v>
      </c>
      <c r="O329" s="88"/>
      <c r="P329" s="62">
        <f>(N332*(P314+P324)/(N314+N324))-P314-P327-P324</f>
        <v>820.42118713932359</v>
      </c>
      <c r="Q329" s="39"/>
      <c r="R329" s="39"/>
      <c r="S329" s="39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22"/>
      <c r="AO329" s="43">
        <f>A308</f>
        <v>0</v>
      </c>
      <c r="AP329" s="12" t="e">
        <f>#REF!</f>
        <v>#REF!</v>
      </c>
      <c r="AT329" s="2"/>
    </row>
    <row r="330" spans="1:46" s="2" customFormat="1" ht="17.25" customHeight="1" x14ac:dyDescent="0.2">
      <c r="A330" s="24"/>
      <c r="B330" s="201"/>
      <c r="C330" s="204"/>
      <c r="D330" s="63"/>
      <c r="E330" s="64"/>
      <c r="F330" s="64"/>
      <c r="G330" s="64"/>
      <c r="H330" s="64"/>
      <c r="I330" s="64"/>
      <c r="J330" s="64"/>
      <c r="K330" s="16"/>
      <c r="L330" s="16"/>
      <c r="M330" s="64"/>
      <c r="N330" s="16"/>
      <c r="O330" s="16"/>
      <c r="P330" s="64"/>
      <c r="Q330" s="46"/>
      <c r="R330" s="46"/>
      <c r="S330" s="39"/>
      <c r="T330" s="16"/>
      <c r="U330" s="16"/>
      <c r="V330" s="16"/>
      <c r="W330" s="16"/>
      <c r="X330" s="16"/>
      <c r="Y330" s="19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43">
        <f>A315</f>
        <v>46013</v>
      </c>
      <c r="AQ330" s="10"/>
      <c r="AR330" s="11"/>
    </row>
    <row r="331" spans="1:46" s="2" customFormat="1" ht="17.25" customHeight="1" thickBot="1" x14ac:dyDescent="0.3">
      <c r="A331" s="56"/>
      <c r="B331" s="101" t="s">
        <v>102</v>
      </c>
      <c r="C331" s="102">
        <f>D332+E332+F332+G332+H332+I332+J332+M332+P332</f>
        <v>135447.24954000002</v>
      </c>
      <c r="D331" s="84"/>
      <c r="E331" s="85"/>
      <c r="F331" s="85"/>
      <c r="G331" s="85"/>
      <c r="H331" s="85"/>
      <c r="I331" s="85"/>
      <c r="J331" s="85"/>
      <c r="K331" s="28"/>
      <c r="L331" s="28"/>
      <c r="M331" s="85"/>
      <c r="N331" s="28"/>
      <c r="O331" s="28"/>
      <c r="P331" s="85"/>
      <c r="Q331" s="48"/>
      <c r="R331" s="48"/>
      <c r="S331" s="51"/>
      <c r="T331" s="28"/>
      <c r="U331" s="28"/>
      <c r="V331" s="28"/>
      <c r="W331" s="28"/>
      <c r="X331" s="28"/>
      <c r="Y331" s="36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42">
        <f>SUM($Q314:AN331)</f>
        <v>-430735.31000000006</v>
      </c>
      <c r="AQ331" s="10"/>
      <c r="AR331" s="11"/>
      <c r="AS331" s="2" t="s">
        <v>5</v>
      </c>
    </row>
    <row r="332" spans="1:46" s="2" customFormat="1" ht="17.25" customHeight="1" thickTop="1" thickBot="1" x14ac:dyDescent="0.3">
      <c r="A332" s="103"/>
      <c r="B332" s="104" t="s">
        <v>103</v>
      </c>
      <c r="C332" s="105">
        <f>AO332</f>
        <v>-295288.06046000007</v>
      </c>
      <c r="D332" s="106">
        <f t="shared" ref="D332:K332" si="42">SUM(D314:D331)</f>
        <v>464.6470400000282</v>
      </c>
      <c r="E332" s="107">
        <f t="shared" si="42"/>
        <v>-254.86000000000058</v>
      </c>
      <c r="F332" s="107">
        <f t="shared" si="42"/>
        <v>2545.5</v>
      </c>
      <c r="G332" s="107">
        <f t="shared" si="42"/>
        <v>0</v>
      </c>
      <c r="H332" s="107">
        <f t="shared" si="42"/>
        <v>66945.662499999991</v>
      </c>
      <c r="I332" s="107">
        <f t="shared" si="42"/>
        <v>10880.83</v>
      </c>
      <c r="J332" s="107">
        <f t="shared" si="42"/>
        <v>0</v>
      </c>
      <c r="K332" s="108">
        <f t="shared" si="42"/>
        <v>6152</v>
      </c>
      <c r="L332" s="109">
        <f>M332/K332</f>
        <v>5.0598309492847857</v>
      </c>
      <c r="M332" s="107">
        <f>ROUND(SUM(M314:M331),2)</f>
        <v>31128.080000000002</v>
      </c>
      <c r="N332" s="108">
        <f>SUM(N314:N331)</f>
        <v>6433</v>
      </c>
      <c r="O332" s="109">
        <f>P332/N332</f>
        <v>3.6899409295818435</v>
      </c>
      <c r="P332" s="107">
        <f>ROUND(SUM(P314:P331),2)</f>
        <v>23737.39</v>
      </c>
      <c r="Q332" s="110">
        <f t="shared" ref="Q332:AN332" si="43">SUM(Q314:Q331)</f>
        <v>-474535.23000000004</v>
      </c>
      <c r="R332" s="107">
        <f t="shared" si="43"/>
        <v>50229.299999999996</v>
      </c>
      <c r="S332" s="107">
        <f t="shared" si="43"/>
        <v>0</v>
      </c>
      <c r="T332" s="107">
        <f t="shared" si="43"/>
        <v>-6429.38</v>
      </c>
      <c r="U332" s="107">
        <f t="shared" si="43"/>
        <v>0</v>
      </c>
      <c r="V332" s="107">
        <f t="shared" si="43"/>
        <v>0</v>
      </c>
      <c r="W332" s="107">
        <f t="shared" si="43"/>
        <v>0</v>
      </c>
      <c r="X332" s="107">
        <f t="shared" si="43"/>
        <v>0</v>
      </c>
      <c r="Y332" s="107">
        <f t="shared" si="43"/>
        <v>0</v>
      </c>
      <c r="Z332" s="107">
        <f t="shared" si="43"/>
        <v>0</v>
      </c>
      <c r="AA332" s="107">
        <f t="shared" si="43"/>
        <v>0</v>
      </c>
      <c r="AB332" s="107">
        <f t="shared" si="43"/>
        <v>0</v>
      </c>
      <c r="AC332" s="107">
        <f t="shared" si="43"/>
        <v>0</v>
      </c>
      <c r="AD332" s="107">
        <f t="shared" si="43"/>
        <v>0</v>
      </c>
      <c r="AE332" s="107">
        <f t="shared" si="43"/>
        <v>0</v>
      </c>
      <c r="AF332" s="107">
        <f t="shared" si="43"/>
        <v>0</v>
      </c>
      <c r="AG332" s="107">
        <f t="shared" si="43"/>
        <v>0</v>
      </c>
      <c r="AH332" s="107">
        <f t="shared" si="43"/>
        <v>0</v>
      </c>
      <c r="AI332" s="107">
        <f t="shared" si="43"/>
        <v>0</v>
      </c>
      <c r="AJ332" s="107">
        <f t="shared" si="43"/>
        <v>0</v>
      </c>
      <c r="AK332" s="107">
        <f t="shared" si="43"/>
        <v>0</v>
      </c>
      <c r="AL332" s="107">
        <f t="shared" si="43"/>
        <v>0</v>
      </c>
      <c r="AM332" s="107">
        <f t="shared" si="43"/>
        <v>0</v>
      </c>
      <c r="AN332" s="107">
        <f t="shared" si="43"/>
        <v>0</v>
      </c>
      <c r="AO332" s="111">
        <f>D332+E332+F332+G332+H332+I332+J332+M332+P332+SUM(Q332:AN332)</f>
        <v>-295288.06046000007</v>
      </c>
      <c r="AP332" s="4"/>
      <c r="AQ332" s="5"/>
      <c r="AR332" s="5"/>
      <c r="AS332" s="2" t="s">
        <v>6</v>
      </c>
    </row>
    <row r="333" spans="1:46" s="2" customFormat="1" ht="17.25" customHeight="1" thickTop="1" x14ac:dyDescent="0.25">
      <c r="A333" s="23">
        <f>A315+1</f>
        <v>46014</v>
      </c>
      <c r="B333" s="210" t="s">
        <v>64</v>
      </c>
      <c r="C333" s="203"/>
      <c r="D333" s="63">
        <v>10640.05</v>
      </c>
      <c r="E333" s="66"/>
      <c r="F333" s="66"/>
      <c r="G333" s="66"/>
      <c r="H333" s="66"/>
      <c r="I333" s="66">
        <f>-D333</f>
        <v>-10640.05</v>
      </c>
      <c r="J333" s="66"/>
      <c r="K333" s="18"/>
      <c r="L333" s="18"/>
      <c r="M333" s="66"/>
      <c r="N333" s="18"/>
      <c r="O333" s="18"/>
      <c r="P333" s="66"/>
      <c r="Q333" s="46"/>
      <c r="R333" s="46"/>
      <c r="S333" s="45"/>
      <c r="T333" s="18"/>
      <c r="U333" s="18"/>
      <c r="V333" s="18"/>
      <c r="W333" s="18"/>
      <c r="X333" s="18"/>
      <c r="Y333" s="14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31"/>
      <c r="AQ333" s="10"/>
      <c r="AR333" s="27"/>
    </row>
    <row r="334" spans="1:46" s="4" customFormat="1" ht="17.25" customHeight="1" x14ac:dyDescent="0.25">
      <c r="A334" s="23"/>
      <c r="B334" s="201" t="s">
        <v>96</v>
      </c>
      <c r="C334" s="202"/>
      <c r="D334" s="63"/>
      <c r="E334" s="64"/>
      <c r="F334" s="64"/>
      <c r="G334" s="64"/>
      <c r="H334" s="64"/>
      <c r="I334" s="64">
        <f>-I332-I333</f>
        <v>-240.78000000000065</v>
      </c>
      <c r="J334" s="64"/>
      <c r="K334" s="16"/>
      <c r="L334" s="92"/>
      <c r="M334" s="64"/>
      <c r="N334" s="16"/>
      <c r="O334" s="92"/>
      <c r="P334" s="64"/>
      <c r="Q334" s="40"/>
      <c r="R334" s="46"/>
      <c r="S334" s="39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22"/>
      <c r="AP334" s="30"/>
    </row>
    <row r="335" spans="1:46" s="4" customFormat="1" ht="17.25" customHeight="1" x14ac:dyDescent="0.25">
      <c r="A335" s="23"/>
      <c r="B335" s="201" t="s">
        <v>13</v>
      </c>
      <c r="C335" s="202"/>
      <c r="D335" s="63"/>
      <c r="E335" s="64">
        <f>-E332-34727.86+38500</f>
        <v>4027</v>
      </c>
      <c r="F335" s="64"/>
      <c r="G335" s="64"/>
      <c r="H335" s="64">
        <f>-E335</f>
        <v>-4027</v>
      </c>
      <c r="I335" s="66"/>
      <c r="J335" s="64"/>
      <c r="K335" s="16"/>
      <c r="L335" s="92"/>
      <c r="M335" s="64"/>
      <c r="N335" s="16"/>
      <c r="O335" s="92"/>
      <c r="P335" s="64"/>
      <c r="Q335" s="40"/>
      <c r="R335" s="46">
        <f>-D335</f>
        <v>0</v>
      </c>
      <c r="S335" s="39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22"/>
      <c r="AP335" s="30"/>
    </row>
    <row r="336" spans="1:46" s="2" customFormat="1" ht="17.25" customHeight="1" x14ac:dyDescent="0.25">
      <c r="A336" s="29"/>
      <c r="B336" s="201" t="s">
        <v>72</v>
      </c>
      <c r="C336" s="202"/>
      <c r="D336" s="63">
        <v>-11100</v>
      </c>
      <c r="E336" s="64"/>
      <c r="F336" s="64">
        <f>-D336</f>
        <v>11100</v>
      </c>
      <c r="G336" s="64"/>
      <c r="H336" s="64"/>
      <c r="I336" s="64"/>
      <c r="J336" s="64"/>
      <c r="K336" s="57"/>
      <c r="L336" s="88"/>
      <c r="M336" s="62"/>
      <c r="N336" s="57"/>
      <c r="O336" s="88"/>
      <c r="P336" s="62"/>
      <c r="Q336" s="47"/>
      <c r="R336" s="39"/>
      <c r="S336" s="39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22"/>
      <c r="AQ336" s="10" t="s">
        <v>4</v>
      </c>
      <c r="AR336" s="11" t="e">
        <v>#REF!</v>
      </c>
    </row>
    <row r="337" spans="1:46" s="2" customFormat="1" ht="17.25" customHeight="1" x14ac:dyDescent="0.25">
      <c r="A337" s="29"/>
      <c r="B337" s="201" t="s">
        <v>72</v>
      </c>
      <c r="C337" s="202"/>
      <c r="D337" s="63">
        <v>13645</v>
      </c>
      <c r="E337" s="64"/>
      <c r="F337" s="64">
        <f>-D337</f>
        <v>-13645</v>
      </c>
      <c r="G337" s="64"/>
      <c r="H337" s="64"/>
      <c r="I337" s="64"/>
      <c r="J337" s="64"/>
      <c r="K337" s="57"/>
      <c r="L337" s="88"/>
      <c r="M337" s="62"/>
      <c r="N337" s="57"/>
      <c r="O337" s="88"/>
      <c r="P337" s="62"/>
      <c r="Q337" s="47"/>
      <c r="R337" s="39"/>
      <c r="S337" s="39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22"/>
      <c r="AQ337" s="10" t="s">
        <v>4</v>
      </c>
      <c r="AR337" s="11" t="e">
        <v>#REF!</v>
      </c>
    </row>
    <row r="338" spans="1:46" s="2" customFormat="1" ht="17.25" customHeight="1" x14ac:dyDescent="0.25">
      <c r="A338" s="29"/>
      <c r="B338" s="201" t="s">
        <v>358</v>
      </c>
      <c r="C338" s="202"/>
      <c r="D338" s="63">
        <v>38500</v>
      </c>
      <c r="E338" s="64">
        <f>-D338</f>
        <v>-38500</v>
      </c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47"/>
      <c r="R338" s="39"/>
      <c r="S338" s="39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22"/>
      <c r="AQ338" s="10" t="s">
        <v>4</v>
      </c>
      <c r="AR338" s="11" t="e">
        <v>#REF!</v>
      </c>
    </row>
    <row r="339" spans="1:46" s="2" customFormat="1" ht="17.25" customHeight="1" x14ac:dyDescent="0.25">
      <c r="A339" s="29"/>
      <c r="B339" s="201" t="s">
        <v>309</v>
      </c>
      <c r="C339" s="202"/>
      <c r="D339" s="63">
        <f>-D338*0.008</f>
        <v>-308</v>
      </c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47"/>
      <c r="R339" s="39"/>
      <c r="S339" s="39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22"/>
      <c r="AQ339" s="10" t="s">
        <v>4</v>
      </c>
      <c r="AR339" s="11" t="e">
        <v>#REF!</v>
      </c>
    </row>
    <row r="340" spans="1:46" s="2" customFormat="1" ht="17.25" customHeight="1" x14ac:dyDescent="0.25">
      <c r="A340" s="24"/>
      <c r="B340" s="205" t="s">
        <v>356</v>
      </c>
      <c r="C340" s="206"/>
      <c r="D340" s="64">
        <f>-M340</f>
        <v>-51000</v>
      </c>
      <c r="E340" s="64"/>
      <c r="F340" s="64"/>
      <c r="G340" s="64"/>
      <c r="H340" s="64"/>
      <c r="I340" s="64"/>
      <c r="J340" s="64"/>
      <c r="K340" s="57">
        <v>10000</v>
      </c>
      <c r="L340" s="88">
        <v>5.0999999999999996</v>
      </c>
      <c r="M340" s="62">
        <f>K340*L340</f>
        <v>51000</v>
      </c>
      <c r="N340" s="57"/>
      <c r="O340" s="88"/>
      <c r="P340" s="62"/>
      <c r="Q340" s="39"/>
      <c r="R340" s="39"/>
      <c r="S340" s="39"/>
      <c r="T340" s="16"/>
      <c r="U340" s="16">
        <f>-P340</f>
        <v>0</v>
      </c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22"/>
      <c r="AQ340" s="10"/>
      <c r="AR340" s="11"/>
    </row>
    <row r="341" spans="1:46" s="2" customFormat="1" ht="17.25" customHeight="1" x14ac:dyDescent="0.25">
      <c r="A341" s="29"/>
      <c r="B341" s="201" t="s">
        <v>276</v>
      </c>
      <c r="C341" s="202"/>
      <c r="D341" s="63">
        <v>-4.9000000000000004</v>
      </c>
      <c r="E341" s="64"/>
      <c r="F341" s="64"/>
      <c r="G341" s="64"/>
      <c r="H341" s="64"/>
      <c r="I341" s="64"/>
      <c r="J341" s="64"/>
      <c r="K341" s="57"/>
      <c r="L341" s="88"/>
      <c r="M341" s="62"/>
      <c r="N341" s="57"/>
      <c r="O341" s="88"/>
      <c r="P341" s="62"/>
      <c r="Q341" s="47"/>
      <c r="R341" s="39"/>
      <c r="S341" s="39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22"/>
      <c r="AQ341" s="10" t="s">
        <v>4</v>
      </c>
      <c r="AR341" s="11" t="e">
        <v>#REF!</v>
      </c>
    </row>
    <row r="342" spans="1:46" s="2" customFormat="1" ht="17.25" customHeight="1" x14ac:dyDescent="0.25">
      <c r="A342" s="24"/>
      <c r="B342" s="205" t="s">
        <v>354</v>
      </c>
      <c r="C342" s="206"/>
      <c r="D342" s="64">
        <f>-M342</f>
        <v>0</v>
      </c>
      <c r="E342" s="64"/>
      <c r="F342" s="64"/>
      <c r="G342" s="64"/>
      <c r="H342" s="64"/>
      <c r="I342" s="64"/>
      <c r="J342" s="64"/>
      <c r="K342" s="57"/>
      <c r="L342" s="88"/>
      <c r="M342" s="62"/>
      <c r="N342" s="57">
        <v>5000</v>
      </c>
      <c r="O342" s="88">
        <v>3.71</v>
      </c>
      <c r="P342" s="62">
        <f>N342*O342</f>
        <v>18550</v>
      </c>
      <c r="Q342" s="39">
        <f>-P342</f>
        <v>-18550</v>
      </c>
      <c r="R342" s="39"/>
      <c r="S342" s="39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22"/>
      <c r="AQ342" s="10"/>
      <c r="AR342" s="11"/>
    </row>
    <row r="343" spans="1:46" s="2" customFormat="1" ht="17.25" customHeight="1" x14ac:dyDescent="0.25">
      <c r="A343" s="24"/>
      <c r="B343" s="205" t="s">
        <v>355</v>
      </c>
      <c r="C343" s="206"/>
      <c r="D343" s="64">
        <f>-M343</f>
        <v>0</v>
      </c>
      <c r="E343" s="64"/>
      <c r="F343" s="64"/>
      <c r="G343" s="64"/>
      <c r="H343" s="64"/>
      <c r="I343" s="64"/>
      <c r="J343" s="64"/>
      <c r="K343" s="57"/>
      <c r="L343" s="88"/>
      <c r="M343" s="62"/>
      <c r="N343" s="57">
        <v>10000</v>
      </c>
      <c r="O343" s="88">
        <v>3.71</v>
      </c>
      <c r="P343" s="62">
        <f>N343*O343</f>
        <v>37100</v>
      </c>
      <c r="Q343" s="39">
        <f>-P343</f>
        <v>-37100</v>
      </c>
      <c r="R343" s="39"/>
      <c r="S343" s="39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22"/>
      <c r="AQ343" s="10"/>
      <c r="AR343" s="11"/>
    </row>
    <row r="344" spans="1:46" s="2" customFormat="1" ht="17.25" customHeight="1" thickBot="1" x14ac:dyDescent="0.25">
      <c r="A344" s="24"/>
      <c r="B344" s="216"/>
      <c r="C344" s="217"/>
      <c r="D344" s="83"/>
      <c r="E344" s="81"/>
      <c r="F344" s="81"/>
      <c r="G344" s="81"/>
      <c r="H344" s="81"/>
      <c r="I344" s="81"/>
      <c r="J344" s="81"/>
      <c r="K344" s="37"/>
      <c r="L344" s="93"/>
      <c r="M344" s="81"/>
      <c r="N344" s="37"/>
      <c r="O344" s="93"/>
      <c r="P344" s="81"/>
      <c r="Q344" s="40"/>
      <c r="R344" s="40"/>
      <c r="S344" s="39"/>
      <c r="T344" s="16"/>
      <c r="U344" s="16"/>
      <c r="V344" s="16"/>
      <c r="W344" s="16"/>
      <c r="X344" s="16"/>
      <c r="Y344" s="19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41"/>
      <c r="AQ344" s="10"/>
      <c r="AR344" s="11"/>
    </row>
    <row r="345" spans="1:46" s="4" customFormat="1" ht="17.25" customHeight="1" x14ac:dyDescent="0.25">
      <c r="A345" s="23"/>
      <c r="B345" s="210" t="s">
        <v>94</v>
      </c>
      <c r="C345" s="203"/>
      <c r="D345" s="66"/>
      <c r="E345" s="66"/>
      <c r="F345" s="117"/>
      <c r="G345" s="117"/>
      <c r="H345" s="66"/>
      <c r="I345" s="66"/>
      <c r="J345" s="66">
        <f>-M345</f>
        <v>6592.95</v>
      </c>
      <c r="K345" s="58">
        <v>-1127</v>
      </c>
      <c r="L345" s="89">
        <v>5.85</v>
      </c>
      <c r="M345" s="73">
        <f>K345*L345</f>
        <v>-6592.95</v>
      </c>
      <c r="N345" s="58"/>
      <c r="O345" s="89"/>
      <c r="P345" s="73"/>
      <c r="Q345" s="39"/>
      <c r="R345" s="39"/>
      <c r="S345" s="8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35"/>
      <c r="AP345" s="12" t="e">
        <f>#REF!</f>
        <v>#REF!</v>
      </c>
    </row>
    <row r="346" spans="1:46" s="4" customFormat="1" ht="17.25" customHeight="1" x14ac:dyDescent="0.25">
      <c r="A346" s="23"/>
      <c r="B346" s="201" t="s">
        <v>95</v>
      </c>
      <c r="C346" s="202"/>
      <c r="D346" s="64"/>
      <c r="E346" s="64"/>
      <c r="F346" s="117"/>
      <c r="G346" s="117"/>
      <c r="H346" s="64"/>
      <c r="I346" s="64"/>
      <c r="J346" s="64">
        <f>-P346</f>
        <v>10099.530000000001</v>
      </c>
      <c r="K346" s="57"/>
      <c r="L346" s="88"/>
      <c r="M346" s="62"/>
      <c r="N346" s="57">
        <v>-2583</v>
      </c>
      <c r="O346" s="88">
        <v>3.91</v>
      </c>
      <c r="P346" s="62">
        <f>N346*O346</f>
        <v>-10099.530000000001</v>
      </c>
      <c r="Q346" s="39"/>
      <c r="R346" s="39"/>
      <c r="S346" s="8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35"/>
      <c r="AP346" s="12" t="e">
        <f>#REF!</f>
        <v>#REF!</v>
      </c>
    </row>
    <row r="347" spans="1:46" s="4" customFormat="1" ht="17.25" customHeight="1" x14ac:dyDescent="0.25">
      <c r="A347" s="23"/>
      <c r="B347" s="201" t="s">
        <v>97</v>
      </c>
      <c r="C347" s="203"/>
      <c r="D347" s="64"/>
      <c r="E347" s="64"/>
      <c r="F347" s="64"/>
      <c r="G347" s="64"/>
      <c r="H347" s="64">
        <f>-J347-I347</f>
        <v>4372.1000000000004</v>
      </c>
      <c r="I347" s="64">
        <v>12320.38</v>
      </c>
      <c r="J347" s="64">
        <f>-SUM(J345:J346)</f>
        <v>-16692.48</v>
      </c>
      <c r="K347" s="57"/>
      <c r="L347" s="88"/>
      <c r="M347" s="62"/>
      <c r="N347" s="57"/>
      <c r="O347" s="88"/>
      <c r="P347" s="62"/>
      <c r="Q347" s="39"/>
      <c r="R347" s="39"/>
      <c r="S347" s="39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22"/>
      <c r="AO347" s="43">
        <f>A311</f>
        <v>0</v>
      </c>
      <c r="AP347" s="12" t="e">
        <f>#REF!</f>
        <v>#REF!</v>
      </c>
      <c r="AT347" s="2"/>
    </row>
    <row r="348" spans="1:46" s="4" customFormat="1" ht="17.25" customHeight="1" x14ac:dyDescent="0.25">
      <c r="A348" s="23"/>
      <c r="B348" s="201" t="s">
        <v>93</v>
      </c>
      <c r="C348" s="202"/>
      <c r="D348" s="64"/>
      <c r="E348" s="64"/>
      <c r="F348" s="64"/>
      <c r="G348" s="64"/>
      <c r="H348" s="64"/>
      <c r="I348" s="64"/>
      <c r="J348" s="64"/>
      <c r="K348" s="57">
        <v>89</v>
      </c>
      <c r="L348" s="88"/>
      <c r="M348" s="62">
        <f>(K351*(M332+M340)/(K332+K340))-M332-M345-M340</f>
        <v>1315.0310401188763</v>
      </c>
      <c r="N348" s="57">
        <v>165</v>
      </c>
      <c r="O348" s="88"/>
      <c r="P348" s="62">
        <f>(N351*(P332+P342+P343)/(N332+N342+N343))-P332-P346-P342-P343</f>
        <v>1143.307864974573</v>
      </c>
      <c r="Q348" s="39"/>
      <c r="R348" s="39"/>
      <c r="S348" s="39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22"/>
      <c r="AO348" s="43">
        <f>A326</f>
        <v>0</v>
      </c>
      <c r="AP348" s="12" t="e">
        <f>#REF!</f>
        <v>#REF!</v>
      </c>
      <c r="AT348" s="2"/>
    </row>
    <row r="349" spans="1:46" s="2" customFormat="1" ht="17.25" customHeight="1" x14ac:dyDescent="0.2">
      <c r="A349" s="24"/>
      <c r="B349" s="201"/>
      <c r="C349" s="204"/>
      <c r="D349" s="63"/>
      <c r="E349" s="64"/>
      <c r="F349" s="64"/>
      <c r="G349" s="64"/>
      <c r="H349" s="64"/>
      <c r="I349" s="64"/>
      <c r="J349" s="64"/>
      <c r="K349" s="16"/>
      <c r="L349" s="16"/>
      <c r="M349" s="64"/>
      <c r="N349" s="16"/>
      <c r="O349" s="16"/>
      <c r="P349" s="64"/>
      <c r="Q349" s="46"/>
      <c r="R349" s="46"/>
      <c r="S349" s="39"/>
      <c r="T349" s="16"/>
      <c r="U349" s="16"/>
      <c r="V349" s="16"/>
      <c r="W349" s="16"/>
      <c r="X349" s="16"/>
      <c r="Y349" s="19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43">
        <f>A333</f>
        <v>46014</v>
      </c>
      <c r="AQ349" s="10"/>
      <c r="AR349" s="11"/>
    </row>
    <row r="350" spans="1:46" s="2" customFormat="1" ht="17.25" customHeight="1" thickBot="1" x14ac:dyDescent="0.3">
      <c r="A350" s="56"/>
      <c r="B350" s="101" t="s">
        <v>102</v>
      </c>
      <c r="C350" s="102">
        <f>D351+E351+F351+G351+H351+I351+J351+M351+P351</f>
        <v>193001.90954000002</v>
      </c>
      <c r="D350" s="84"/>
      <c r="E350" s="85"/>
      <c r="F350" s="85"/>
      <c r="G350" s="85"/>
      <c r="H350" s="85"/>
      <c r="I350" s="85"/>
      <c r="J350" s="85"/>
      <c r="K350" s="28"/>
      <c r="L350" s="28"/>
      <c r="M350" s="85"/>
      <c r="N350" s="28"/>
      <c r="O350" s="28"/>
      <c r="P350" s="85"/>
      <c r="Q350" s="48"/>
      <c r="R350" s="48"/>
      <c r="S350" s="51"/>
      <c r="T350" s="28"/>
      <c r="U350" s="28"/>
      <c r="V350" s="28"/>
      <c r="W350" s="28"/>
      <c r="X350" s="28"/>
      <c r="Y350" s="36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42">
        <f>SUM($Q332:AN350)</f>
        <v>-486385.31000000006</v>
      </c>
      <c r="AQ350" s="10"/>
      <c r="AR350" s="11"/>
      <c r="AS350" s="2" t="s">
        <v>5</v>
      </c>
    </row>
    <row r="351" spans="1:46" s="2" customFormat="1" ht="17.25" customHeight="1" thickTop="1" thickBot="1" x14ac:dyDescent="0.3">
      <c r="A351" s="103"/>
      <c r="B351" s="104" t="s">
        <v>103</v>
      </c>
      <c r="C351" s="105">
        <f>AO351</f>
        <v>-293383.40045999998</v>
      </c>
      <c r="D351" s="106">
        <f t="shared" ref="D351:K351" si="44">SUM(D332:D350)</f>
        <v>836.79704000002823</v>
      </c>
      <c r="E351" s="107">
        <f t="shared" si="44"/>
        <v>-34727.86</v>
      </c>
      <c r="F351" s="107">
        <f t="shared" si="44"/>
        <v>0.5</v>
      </c>
      <c r="G351" s="107">
        <f t="shared" si="44"/>
        <v>0</v>
      </c>
      <c r="H351" s="107">
        <f t="shared" si="44"/>
        <v>67290.762499999997</v>
      </c>
      <c r="I351" s="107">
        <f t="shared" si="44"/>
        <v>12320.38</v>
      </c>
      <c r="J351" s="107">
        <f t="shared" si="44"/>
        <v>0</v>
      </c>
      <c r="K351" s="108">
        <f t="shared" si="44"/>
        <v>15114</v>
      </c>
      <c r="L351" s="109">
        <f>M351/K351</f>
        <v>5.084700277888051</v>
      </c>
      <c r="M351" s="107">
        <f>ROUND(SUM(M332:M350),2)</f>
        <v>76850.16</v>
      </c>
      <c r="N351" s="108">
        <f>SUM(N332:N350)</f>
        <v>19015</v>
      </c>
      <c r="O351" s="109">
        <f>P351/N351</f>
        <v>3.7039794898764131</v>
      </c>
      <c r="P351" s="107">
        <f>ROUND(SUM(P332:P350),2)</f>
        <v>70431.17</v>
      </c>
      <c r="Q351" s="110">
        <f t="shared" ref="Q351:AN351" si="45">SUM(Q332:Q350)</f>
        <v>-530185.23</v>
      </c>
      <c r="R351" s="107">
        <f t="shared" si="45"/>
        <v>50229.299999999996</v>
      </c>
      <c r="S351" s="107">
        <f t="shared" si="45"/>
        <v>0</v>
      </c>
      <c r="T351" s="107">
        <f t="shared" si="45"/>
        <v>-6429.38</v>
      </c>
      <c r="U351" s="107">
        <f t="shared" si="45"/>
        <v>0</v>
      </c>
      <c r="V351" s="107">
        <f t="shared" si="45"/>
        <v>0</v>
      </c>
      <c r="W351" s="107">
        <f t="shared" si="45"/>
        <v>0</v>
      </c>
      <c r="X351" s="107">
        <f t="shared" si="45"/>
        <v>0</v>
      </c>
      <c r="Y351" s="107">
        <f t="shared" si="45"/>
        <v>0</v>
      </c>
      <c r="Z351" s="107">
        <f t="shared" si="45"/>
        <v>0</v>
      </c>
      <c r="AA351" s="107">
        <f t="shared" si="45"/>
        <v>0</v>
      </c>
      <c r="AB351" s="107">
        <f t="shared" si="45"/>
        <v>0</v>
      </c>
      <c r="AC351" s="107">
        <f t="shared" si="45"/>
        <v>0</v>
      </c>
      <c r="AD351" s="107">
        <f t="shared" si="45"/>
        <v>0</v>
      </c>
      <c r="AE351" s="107">
        <f t="shared" si="45"/>
        <v>0</v>
      </c>
      <c r="AF351" s="107">
        <f t="shared" si="45"/>
        <v>0</v>
      </c>
      <c r="AG351" s="107">
        <f t="shared" si="45"/>
        <v>0</v>
      </c>
      <c r="AH351" s="107">
        <f t="shared" si="45"/>
        <v>0</v>
      </c>
      <c r="AI351" s="107">
        <f t="shared" si="45"/>
        <v>0</v>
      </c>
      <c r="AJ351" s="107">
        <f t="shared" si="45"/>
        <v>0</v>
      </c>
      <c r="AK351" s="107">
        <f t="shared" si="45"/>
        <v>0</v>
      </c>
      <c r="AL351" s="107">
        <f t="shared" si="45"/>
        <v>0</v>
      </c>
      <c r="AM351" s="107">
        <f t="shared" si="45"/>
        <v>0</v>
      </c>
      <c r="AN351" s="107">
        <f t="shared" si="45"/>
        <v>0</v>
      </c>
      <c r="AO351" s="111">
        <f>D351+E351+F351+G351+H351+I351+J351+M351+P351+SUM(Q351:AN351)</f>
        <v>-293383.40045999998</v>
      </c>
      <c r="AP351" s="4"/>
      <c r="AQ351" s="5"/>
      <c r="AR351" s="5"/>
      <c r="AS351" s="2" t="s">
        <v>6</v>
      </c>
    </row>
    <row r="352" spans="1:46" s="2" customFormat="1" ht="17.25" customHeight="1" thickTop="1" x14ac:dyDescent="0.25">
      <c r="A352" s="23">
        <f>A333+1</f>
        <v>46015</v>
      </c>
      <c r="B352" s="210" t="s">
        <v>64</v>
      </c>
      <c r="C352" s="203"/>
      <c r="D352" s="63">
        <v>12020.25</v>
      </c>
      <c r="E352" s="66"/>
      <c r="F352" s="66"/>
      <c r="G352" s="66"/>
      <c r="H352" s="66"/>
      <c r="I352" s="66">
        <f>-D352</f>
        <v>-12020.25</v>
      </c>
      <c r="J352" s="66"/>
      <c r="K352" s="18"/>
      <c r="L352" s="18"/>
      <c r="M352" s="66"/>
      <c r="N352" s="18"/>
      <c r="O352" s="18"/>
      <c r="P352" s="66"/>
      <c r="Q352" s="46"/>
      <c r="R352" s="46"/>
      <c r="S352" s="45"/>
      <c r="T352" s="18"/>
      <c r="U352" s="18"/>
      <c r="V352" s="18"/>
      <c r="W352" s="18"/>
      <c r="X352" s="18"/>
      <c r="Y352" s="14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31"/>
      <c r="AQ352" s="10"/>
      <c r="AR352" s="27"/>
    </row>
    <row r="353" spans="1:46" s="4" customFormat="1" ht="17.25" customHeight="1" x14ac:dyDescent="0.25">
      <c r="A353" s="23"/>
      <c r="B353" s="201" t="s">
        <v>96</v>
      </c>
      <c r="C353" s="202"/>
      <c r="D353" s="63"/>
      <c r="E353" s="64"/>
      <c r="F353" s="64"/>
      <c r="G353" s="64"/>
      <c r="H353" s="64"/>
      <c r="I353" s="64">
        <f>-I351-I352</f>
        <v>-300.1299999999992</v>
      </c>
      <c r="J353" s="64"/>
      <c r="K353" s="16"/>
      <c r="L353" s="92"/>
      <c r="M353" s="64"/>
      <c r="N353" s="16"/>
      <c r="O353" s="92"/>
      <c r="P353" s="64"/>
      <c r="Q353" s="40"/>
      <c r="R353" s="46"/>
      <c r="S353" s="39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22"/>
      <c r="AP353" s="30"/>
    </row>
    <row r="354" spans="1:46" s="4" customFormat="1" ht="17.25" customHeight="1" x14ac:dyDescent="0.25">
      <c r="A354" s="23"/>
      <c r="B354" s="201" t="s">
        <v>13</v>
      </c>
      <c r="C354" s="202"/>
      <c r="D354" s="63"/>
      <c r="E354" s="64">
        <f>-E351-33216.5+800</f>
        <v>2311.3600000000006</v>
      </c>
      <c r="F354" s="64"/>
      <c r="G354" s="64"/>
      <c r="H354" s="64">
        <f>-E354</f>
        <v>-2311.3600000000006</v>
      </c>
      <c r="I354" s="66"/>
      <c r="J354" s="64"/>
      <c r="K354" s="16"/>
      <c r="L354" s="92"/>
      <c r="M354" s="64"/>
      <c r="N354" s="16"/>
      <c r="O354" s="92"/>
      <c r="P354" s="64"/>
      <c r="Q354" s="40"/>
      <c r="R354" s="46">
        <f>-D354</f>
        <v>0</v>
      </c>
      <c r="S354" s="39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22"/>
      <c r="AP354" s="30"/>
    </row>
    <row r="355" spans="1:46" s="2" customFormat="1" ht="17.25" customHeight="1" x14ac:dyDescent="0.2">
      <c r="A355" s="23"/>
      <c r="B355" s="201" t="s">
        <v>342</v>
      </c>
      <c r="C355" s="203"/>
      <c r="D355" s="63"/>
      <c r="E355" s="64">
        <v>-800</v>
      </c>
      <c r="F355" s="74"/>
      <c r="G355" s="74"/>
      <c r="H355" s="64"/>
      <c r="I355" s="64"/>
      <c r="J355" s="64"/>
      <c r="K355" s="16"/>
      <c r="L355" s="16"/>
      <c r="M355" s="64"/>
      <c r="N355" s="16"/>
      <c r="O355" s="16"/>
      <c r="P355" s="64"/>
      <c r="Q355" s="46"/>
      <c r="R355" s="39"/>
      <c r="S355" s="40"/>
      <c r="T355" s="16"/>
      <c r="U355" s="16"/>
      <c r="V355" s="16"/>
      <c r="W355" s="16"/>
      <c r="X355" s="16"/>
      <c r="Y355" s="19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35"/>
      <c r="AQ355" s="10"/>
      <c r="AR355" s="27"/>
    </row>
    <row r="356" spans="1:46" s="2" customFormat="1" ht="17.25" customHeight="1" thickBot="1" x14ac:dyDescent="0.25">
      <c r="A356" s="24"/>
      <c r="B356" s="216"/>
      <c r="C356" s="217"/>
      <c r="D356" s="83"/>
      <c r="E356" s="81"/>
      <c r="F356" s="81"/>
      <c r="G356" s="81"/>
      <c r="H356" s="81"/>
      <c r="I356" s="81"/>
      <c r="J356" s="81"/>
      <c r="K356" s="37"/>
      <c r="L356" s="93"/>
      <c r="M356" s="81"/>
      <c r="N356" s="37"/>
      <c r="O356" s="93"/>
      <c r="P356" s="81"/>
      <c r="Q356" s="40"/>
      <c r="R356" s="40"/>
      <c r="S356" s="39"/>
      <c r="T356" s="16"/>
      <c r="U356" s="16"/>
      <c r="V356" s="16"/>
      <c r="W356" s="16"/>
      <c r="X356" s="16"/>
      <c r="Y356" s="19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41"/>
      <c r="AQ356" s="10"/>
      <c r="AR356" s="11"/>
    </row>
    <row r="357" spans="1:46" s="4" customFormat="1" ht="17.25" customHeight="1" x14ac:dyDescent="0.25">
      <c r="A357" s="23"/>
      <c r="B357" s="210" t="s">
        <v>94</v>
      </c>
      <c r="C357" s="203"/>
      <c r="D357" s="66"/>
      <c r="E357" s="66"/>
      <c r="F357" s="117"/>
      <c r="G357" s="117"/>
      <c r="H357" s="66"/>
      <c r="I357" s="66"/>
      <c r="J357" s="66">
        <f>-M357</f>
        <v>9335.5500000000011</v>
      </c>
      <c r="K357" s="58">
        <v>-1569</v>
      </c>
      <c r="L357" s="89">
        <v>5.95</v>
      </c>
      <c r="M357" s="73">
        <f>K357*L357</f>
        <v>-9335.5500000000011</v>
      </c>
      <c r="N357" s="58"/>
      <c r="O357" s="89"/>
      <c r="P357" s="73"/>
      <c r="Q357" s="39"/>
      <c r="R357" s="39"/>
      <c r="S357" s="8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35"/>
      <c r="AP357" s="12" t="e">
        <f>#REF!</f>
        <v>#REF!</v>
      </c>
    </row>
    <row r="358" spans="1:46" s="4" customFormat="1" ht="17.25" customHeight="1" x14ac:dyDescent="0.25">
      <c r="A358" s="23"/>
      <c r="B358" s="201" t="s">
        <v>95</v>
      </c>
      <c r="C358" s="202"/>
      <c r="D358" s="64"/>
      <c r="E358" s="64"/>
      <c r="F358" s="117"/>
      <c r="G358" s="117"/>
      <c r="H358" s="64"/>
      <c r="I358" s="64"/>
      <c r="J358" s="64">
        <f>-P358</f>
        <v>8254.52</v>
      </c>
      <c r="K358" s="57"/>
      <c r="L358" s="88"/>
      <c r="M358" s="62"/>
      <c r="N358" s="57">
        <v>-2074</v>
      </c>
      <c r="O358" s="88">
        <v>3.98</v>
      </c>
      <c r="P358" s="62">
        <f>N358*O358</f>
        <v>-8254.52</v>
      </c>
      <c r="Q358" s="39"/>
      <c r="R358" s="39"/>
      <c r="S358" s="8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35"/>
      <c r="AP358" s="12" t="e">
        <f>#REF!</f>
        <v>#REF!</v>
      </c>
    </row>
    <row r="359" spans="1:46" s="4" customFormat="1" ht="17.25" customHeight="1" x14ac:dyDescent="0.25">
      <c r="A359" s="23"/>
      <c r="B359" s="201" t="s">
        <v>97</v>
      </c>
      <c r="C359" s="203"/>
      <c r="D359" s="64"/>
      <c r="E359" s="64"/>
      <c r="F359" s="64"/>
      <c r="G359" s="64"/>
      <c r="H359" s="64">
        <f>-J359-I359</f>
        <v>5300.1900000000005</v>
      </c>
      <c r="I359" s="64">
        <v>12289.88</v>
      </c>
      <c r="J359" s="64">
        <f>-SUM(J357:J358)</f>
        <v>-17590.07</v>
      </c>
      <c r="K359" s="57"/>
      <c r="L359" s="88"/>
      <c r="M359" s="62"/>
      <c r="N359" s="57"/>
      <c r="O359" s="88"/>
      <c r="P359" s="62"/>
      <c r="Q359" s="39"/>
      <c r="R359" s="39"/>
      <c r="S359" s="39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22"/>
      <c r="AO359" s="43">
        <f>A329</f>
        <v>0</v>
      </c>
      <c r="AP359" s="12" t="e">
        <f>#REF!</f>
        <v>#REF!</v>
      </c>
      <c r="AT359" s="2"/>
    </row>
    <row r="360" spans="1:46" s="4" customFormat="1" ht="17.25" customHeight="1" x14ac:dyDescent="0.25">
      <c r="A360" s="23"/>
      <c r="B360" s="201" t="s">
        <v>93</v>
      </c>
      <c r="C360" s="202"/>
      <c r="D360" s="64"/>
      <c r="E360" s="64"/>
      <c r="F360" s="64"/>
      <c r="G360" s="64"/>
      <c r="H360" s="64"/>
      <c r="I360" s="64"/>
      <c r="J360" s="64"/>
      <c r="K360" s="57">
        <v>-18</v>
      </c>
      <c r="L360" s="88"/>
      <c r="M360" s="62">
        <f>(K363*(M351)/(K351))-M351-M357</f>
        <v>1266.1306589916621</v>
      </c>
      <c r="N360" s="57">
        <v>-101</v>
      </c>
      <c r="O360" s="88"/>
      <c r="P360" s="62">
        <f>(N363*(P351)/(N351))-P351-P358</f>
        <v>198.36460951879781</v>
      </c>
      <c r="Q360" s="39"/>
      <c r="R360" s="39"/>
      <c r="S360" s="39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22"/>
      <c r="AO360" s="43">
        <f>A345</f>
        <v>0</v>
      </c>
      <c r="AP360" s="12" t="e">
        <f>#REF!</f>
        <v>#REF!</v>
      </c>
      <c r="AT360" s="2"/>
    </row>
    <row r="361" spans="1:46" s="2" customFormat="1" ht="17.25" customHeight="1" x14ac:dyDescent="0.2">
      <c r="A361" s="24"/>
      <c r="B361" s="201"/>
      <c r="C361" s="204"/>
      <c r="D361" s="63"/>
      <c r="E361" s="64"/>
      <c r="F361" s="64"/>
      <c r="G361" s="64"/>
      <c r="H361" s="64"/>
      <c r="I361" s="64"/>
      <c r="J361" s="64"/>
      <c r="K361" s="16"/>
      <c r="L361" s="16"/>
      <c r="M361" s="64"/>
      <c r="N361" s="16"/>
      <c r="O361" s="16"/>
      <c r="P361" s="64"/>
      <c r="Q361" s="46"/>
      <c r="R361" s="46"/>
      <c r="S361" s="39"/>
      <c r="T361" s="16"/>
      <c r="U361" s="16"/>
      <c r="V361" s="16"/>
      <c r="W361" s="16"/>
      <c r="X361" s="16"/>
      <c r="Y361" s="19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43">
        <f>A352</f>
        <v>46015</v>
      </c>
      <c r="AQ361" s="10"/>
      <c r="AR361" s="11"/>
    </row>
    <row r="362" spans="1:46" s="2" customFormat="1" ht="17.25" customHeight="1" thickBot="1" x14ac:dyDescent="0.3">
      <c r="A362" s="56"/>
      <c r="B362" s="101" t="s">
        <v>102</v>
      </c>
      <c r="C362" s="102">
        <f>D363+E363+F363+G363+H363+I363+J363+M363+P363</f>
        <v>193366.26954000004</v>
      </c>
      <c r="D362" s="84"/>
      <c r="E362" s="85"/>
      <c r="F362" s="85"/>
      <c r="G362" s="85"/>
      <c r="H362" s="85"/>
      <c r="I362" s="85"/>
      <c r="J362" s="85"/>
      <c r="K362" s="28"/>
      <c r="L362" s="28"/>
      <c r="M362" s="85"/>
      <c r="N362" s="28"/>
      <c r="O362" s="28"/>
      <c r="P362" s="85"/>
      <c r="Q362" s="48"/>
      <c r="R362" s="48"/>
      <c r="S362" s="51"/>
      <c r="T362" s="28"/>
      <c r="U362" s="28"/>
      <c r="V362" s="28"/>
      <c r="W362" s="28"/>
      <c r="X362" s="28"/>
      <c r="Y362" s="36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42">
        <f>SUM($Q351:AN362)</f>
        <v>-486385.31</v>
      </c>
      <c r="AQ362" s="10"/>
      <c r="AR362" s="11"/>
      <c r="AS362" s="2" t="s">
        <v>5</v>
      </c>
    </row>
    <row r="363" spans="1:46" s="2" customFormat="1" ht="17.25" customHeight="1" thickTop="1" thickBot="1" x14ac:dyDescent="0.3">
      <c r="A363" s="103"/>
      <c r="B363" s="104" t="s">
        <v>103</v>
      </c>
      <c r="C363" s="105">
        <f>AO363</f>
        <v>-293019.04045999993</v>
      </c>
      <c r="D363" s="106">
        <f t="shared" ref="D363:K363" si="46">SUM(D351:D362)</f>
        <v>12857.047040000029</v>
      </c>
      <c r="E363" s="107">
        <f t="shared" si="46"/>
        <v>-33216.5</v>
      </c>
      <c r="F363" s="107">
        <f t="shared" si="46"/>
        <v>0.5</v>
      </c>
      <c r="G363" s="107">
        <f t="shared" si="46"/>
        <v>0</v>
      </c>
      <c r="H363" s="107">
        <f t="shared" si="46"/>
        <v>70279.592499999999</v>
      </c>
      <c r="I363" s="107">
        <f t="shared" si="46"/>
        <v>12289.88</v>
      </c>
      <c r="J363" s="107">
        <f t="shared" si="46"/>
        <v>0</v>
      </c>
      <c r="K363" s="108">
        <f t="shared" si="46"/>
        <v>13527</v>
      </c>
      <c r="L363" s="109">
        <f>M363/K363</f>
        <v>5.0847002291712871</v>
      </c>
      <c r="M363" s="107">
        <f>ROUND(SUM(M351:M362),2)</f>
        <v>68780.740000000005</v>
      </c>
      <c r="N363" s="108">
        <f>SUM(N351:N362)</f>
        <v>16840</v>
      </c>
      <c r="O363" s="109">
        <f>P363/N363</f>
        <v>3.7039792161520193</v>
      </c>
      <c r="P363" s="107">
        <f>ROUND(SUM(P351:P362),2)</f>
        <v>62375.01</v>
      </c>
      <c r="Q363" s="110">
        <f t="shared" ref="Q363:AN363" si="47">SUM(Q351:Q362)</f>
        <v>-530185.23</v>
      </c>
      <c r="R363" s="107">
        <f t="shared" si="47"/>
        <v>50229.299999999996</v>
      </c>
      <c r="S363" s="107">
        <f t="shared" si="47"/>
        <v>0</v>
      </c>
      <c r="T363" s="107">
        <f t="shared" si="47"/>
        <v>-6429.38</v>
      </c>
      <c r="U363" s="107">
        <f t="shared" si="47"/>
        <v>0</v>
      </c>
      <c r="V363" s="107">
        <f t="shared" si="47"/>
        <v>0</v>
      </c>
      <c r="W363" s="107">
        <f t="shared" si="47"/>
        <v>0</v>
      </c>
      <c r="X363" s="107">
        <f t="shared" si="47"/>
        <v>0</v>
      </c>
      <c r="Y363" s="107">
        <f t="shared" si="47"/>
        <v>0</v>
      </c>
      <c r="Z363" s="107">
        <f t="shared" si="47"/>
        <v>0</v>
      </c>
      <c r="AA363" s="107">
        <f t="shared" si="47"/>
        <v>0</v>
      </c>
      <c r="AB363" s="107">
        <f t="shared" si="47"/>
        <v>0</v>
      </c>
      <c r="AC363" s="107">
        <f t="shared" si="47"/>
        <v>0</v>
      </c>
      <c r="AD363" s="107">
        <f t="shared" si="47"/>
        <v>0</v>
      </c>
      <c r="AE363" s="107">
        <f t="shared" si="47"/>
        <v>0</v>
      </c>
      <c r="AF363" s="107">
        <f t="shared" si="47"/>
        <v>0</v>
      </c>
      <c r="AG363" s="107">
        <f t="shared" si="47"/>
        <v>0</v>
      </c>
      <c r="AH363" s="107">
        <f t="shared" si="47"/>
        <v>0</v>
      </c>
      <c r="AI363" s="107">
        <f t="shared" si="47"/>
        <v>0</v>
      </c>
      <c r="AJ363" s="107">
        <f t="shared" si="47"/>
        <v>0</v>
      </c>
      <c r="AK363" s="107">
        <f t="shared" si="47"/>
        <v>0</v>
      </c>
      <c r="AL363" s="107">
        <f t="shared" si="47"/>
        <v>0</v>
      </c>
      <c r="AM363" s="107">
        <f t="shared" si="47"/>
        <v>0</v>
      </c>
      <c r="AN363" s="107">
        <f t="shared" si="47"/>
        <v>0</v>
      </c>
      <c r="AO363" s="111">
        <f>D363+E363+F363+G363+H363+I363+J363+M363+P363+SUM(Q363:AN363)</f>
        <v>-293019.04045999993</v>
      </c>
      <c r="AP363" s="4"/>
      <c r="AQ363" s="5"/>
      <c r="AR363" s="5"/>
      <c r="AS363" s="2" t="s">
        <v>6</v>
      </c>
    </row>
    <row r="364" spans="1:46" s="2" customFormat="1" ht="17.25" customHeight="1" thickTop="1" x14ac:dyDescent="0.25">
      <c r="A364" s="23">
        <f>A352+1</f>
        <v>46016</v>
      </c>
      <c r="B364" s="210" t="s">
        <v>64</v>
      </c>
      <c r="C364" s="203"/>
      <c r="D364" s="63">
        <v>12014.88</v>
      </c>
      <c r="E364" s="66"/>
      <c r="F364" s="66"/>
      <c r="G364" s="66"/>
      <c r="H364" s="66"/>
      <c r="I364" s="66">
        <f>-D364</f>
        <v>-12014.88</v>
      </c>
      <c r="J364" s="66"/>
      <c r="K364" s="18"/>
      <c r="L364" s="18"/>
      <c r="M364" s="66"/>
      <c r="N364" s="18"/>
      <c r="O364" s="18"/>
      <c r="P364" s="66"/>
      <c r="Q364" s="46"/>
      <c r="R364" s="46"/>
      <c r="S364" s="45"/>
      <c r="T364" s="18"/>
      <c r="U364" s="18"/>
      <c r="V364" s="18"/>
      <c r="W364" s="18"/>
      <c r="X364" s="18"/>
      <c r="Y364" s="14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31"/>
      <c r="AQ364" s="10"/>
      <c r="AR364" s="27"/>
    </row>
    <row r="365" spans="1:46" s="4" customFormat="1" ht="17.25" customHeight="1" x14ac:dyDescent="0.25">
      <c r="A365" s="23"/>
      <c r="B365" s="201" t="s">
        <v>96</v>
      </c>
      <c r="C365" s="202"/>
      <c r="D365" s="63"/>
      <c r="E365" s="64"/>
      <c r="F365" s="64"/>
      <c r="G365" s="64"/>
      <c r="H365" s="64"/>
      <c r="I365" s="64">
        <f>-I363-I364</f>
        <v>-275</v>
      </c>
      <c r="J365" s="64"/>
      <c r="K365" s="16"/>
      <c r="L365" s="92"/>
      <c r="M365" s="64"/>
      <c r="N365" s="16"/>
      <c r="O365" s="92"/>
      <c r="P365" s="64"/>
      <c r="Q365" s="40"/>
      <c r="R365" s="46"/>
      <c r="S365" s="39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22"/>
      <c r="AP365" s="30"/>
    </row>
    <row r="366" spans="1:46" s="2" customFormat="1" ht="17.25" customHeight="1" x14ac:dyDescent="0.25">
      <c r="A366" s="29"/>
      <c r="B366" s="201" t="s">
        <v>357</v>
      </c>
      <c r="C366" s="202"/>
      <c r="D366" s="63">
        <v>-24800</v>
      </c>
      <c r="E366" s="64">
        <f>-D366</f>
        <v>24800</v>
      </c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47"/>
      <c r="R366" s="39"/>
      <c r="S366" s="39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22"/>
      <c r="AQ366" s="10" t="s">
        <v>4</v>
      </c>
      <c r="AR366" s="11" t="e">
        <v>#REF!</v>
      </c>
    </row>
    <row r="367" spans="1:46" s="2" customFormat="1" ht="17.25" customHeight="1" x14ac:dyDescent="0.25">
      <c r="A367" s="29"/>
      <c r="B367" s="201" t="s">
        <v>276</v>
      </c>
      <c r="C367" s="202"/>
      <c r="D367" s="63">
        <v>-4.9000000000000004</v>
      </c>
      <c r="E367" s="64"/>
      <c r="F367" s="64"/>
      <c r="G367" s="64"/>
      <c r="H367" s="64"/>
      <c r="I367" s="64"/>
      <c r="J367" s="64"/>
      <c r="K367" s="57"/>
      <c r="L367" s="88"/>
      <c r="M367" s="62"/>
      <c r="N367" s="57"/>
      <c r="O367" s="88"/>
      <c r="P367" s="62"/>
      <c r="Q367" s="47"/>
      <c r="R367" s="39"/>
      <c r="S367" s="39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22"/>
      <c r="AQ367" s="10" t="s">
        <v>4</v>
      </c>
      <c r="AR367" s="11" t="e">
        <v>#REF!</v>
      </c>
    </row>
    <row r="368" spans="1:46" s="2" customFormat="1" ht="17.25" customHeight="1" thickBot="1" x14ac:dyDescent="0.25">
      <c r="A368" s="24"/>
      <c r="B368" s="216"/>
      <c r="C368" s="217"/>
      <c r="D368" s="83"/>
      <c r="E368" s="81"/>
      <c r="F368" s="81"/>
      <c r="G368" s="81"/>
      <c r="H368" s="81"/>
      <c r="I368" s="81"/>
      <c r="J368" s="81"/>
      <c r="K368" s="37"/>
      <c r="L368" s="93"/>
      <c r="M368" s="81"/>
      <c r="N368" s="37"/>
      <c r="O368" s="93"/>
      <c r="P368" s="81"/>
      <c r="Q368" s="40"/>
      <c r="R368" s="40"/>
      <c r="S368" s="39"/>
      <c r="T368" s="16"/>
      <c r="U368" s="16"/>
      <c r="V368" s="16"/>
      <c r="W368" s="16"/>
      <c r="X368" s="16"/>
      <c r="Y368" s="19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41"/>
      <c r="AQ368" s="10"/>
      <c r="AR368" s="11"/>
    </row>
    <row r="369" spans="1:46" s="4" customFormat="1" ht="17.25" customHeight="1" x14ac:dyDescent="0.25">
      <c r="A369" s="23"/>
      <c r="B369" s="210" t="s">
        <v>94</v>
      </c>
      <c r="C369" s="203"/>
      <c r="D369" s="66"/>
      <c r="E369" s="66"/>
      <c r="F369" s="117"/>
      <c r="G369" s="117"/>
      <c r="H369" s="66"/>
      <c r="I369" s="66"/>
      <c r="J369" s="66">
        <f>-M369</f>
        <v>4510.1000000000004</v>
      </c>
      <c r="K369" s="58">
        <v>-758</v>
      </c>
      <c r="L369" s="89">
        <v>5.95</v>
      </c>
      <c r="M369" s="73">
        <f>K369*L369</f>
        <v>-4510.1000000000004</v>
      </c>
      <c r="N369" s="58"/>
      <c r="O369" s="89"/>
      <c r="P369" s="73"/>
      <c r="Q369" s="39"/>
      <c r="R369" s="39"/>
      <c r="S369" s="8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35"/>
      <c r="AP369" s="12" t="e">
        <f>#REF!</f>
        <v>#REF!</v>
      </c>
    </row>
    <row r="370" spans="1:46" s="4" customFormat="1" ht="17.25" customHeight="1" x14ac:dyDescent="0.25">
      <c r="A370" s="23"/>
      <c r="B370" s="201" t="s">
        <v>95</v>
      </c>
      <c r="C370" s="202"/>
      <c r="D370" s="64"/>
      <c r="E370" s="64"/>
      <c r="F370" s="117"/>
      <c r="G370" s="117"/>
      <c r="H370" s="64"/>
      <c r="I370" s="64"/>
      <c r="J370" s="64">
        <f>-P370</f>
        <v>4990.92</v>
      </c>
      <c r="K370" s="57"/>
      <c r="L370" s="88"/>
      <c r="M370" s="62"/>
      <c r="N370" s="57">
        <v>-1254</v>
      </c>
      <c r="O370" s="88">
        <v>3.98</v>
      </c>
      <c r="P370" s="62">
        <f>N370*O370</f>
        <v>-4990.92</v>
      </c>
      <c r="Q370" s="39"/>
      <c r="R370" s="39"/>
      <c r="S370" s="8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35"/>
      <c r="AP370" s="12" t="e">
        <f>#REF!</f>
        <v>#REF!</v>
      </c>
    </row>
    <row r="371" spans="1:46" s="4" customFormat="1" ht="17.25" customHeight="1" x14ac:dyDescent="0.25">
      <c r="A371" s="23"/>
      <c r="B371" s="201" t="s">
        <v>97</v>
      </c>
      <c r="C371" s="203"/>
      <c r="D371" s="64"/>
      <c r="E371" s="64"/>
      <c r="F371" s="64"/>
      <c r="G371" s="64"/>
      <c r="H371" s="64">
        <f>-J371-I371</f>
        <v>1918.2400000000007</v>
      </c>
      <c r="I371" s="64">
        <v>7582.78</v>
      </c>
      <c r="J371" s="64">
        <f>-SUM(J369:J370)</f>
        <v>-9501.02</v>
      </c>
      <c r="K371" s="57"/>
      <c r="L371" s="88"/>
      <c r="M371" s="62"/>
      <c r="N371" s="57"/>
      <c r="O371" s="88"/>
      <c r="P371" s="62"/>
      <c r="Q371" s="39"/>
      <c r="R371" s="39"/>
      <c r="S371" s="39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22"/>
      <c r="AO371" s="43">
        <f>A348</f>
        <v>0</v>
      </c>
      <c r="AP371" s="12" t="e">
        <f>#REF!</f>
        <v>#REF!</v>
      </c>
      <c r="AT371" s="2"/>
    </row>
    <row r="372" spans="1:46" s="4" customFormat="1" ht="17.25" customHeight="1" x14ac:dyDescent="0.25">
      <c r="A372" s="23"/>
      <c r="B372" s="201" t="s">
        <v>93</v>
      </c>
      <c r="C372" s="202"/>
      <c r="D372" s="64"/>
      <c r="E372" s="64"/>
      <c r="F372" s="64"/>
      <c r="G372" s="64"/>
      <c r="H372" s="64"/>
      <c r="I372" s="64"/>
      <c r="J372" s="64"/>
      <c r="K372" s="57">
        <v>-69</v>
      </c>
      <c r="L372" s="88"/>
      <c r="M372" s="62">
        <f>(K375*(M363)/(K363))-M363-M369</f>
        <v>305.05291047534593</v>
      </c>
      <c r="N372" s="57">
        <v>3</v>
      </c>
      <c r="O372" s="88"/>
      <c r="P372" s="62">
        <f>(N375*(P363)/(N363))-P363-P370</f>
        <v>357.24200059382019</v>
      </c>
      <c r="Q372" s="39"/>
      <c r="R372" s="39"/>
      <c r="S372" s="39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22"/>
      <c r="AO372" s="43">
        <f>A357</f>
        <v>0</v>
      </c>
      <c r="AP372" s="12" t="e">
        <f>#REF!</f>
        <v>#REF!</v>
      </c>
      <c r="AT372" s="2"/>
    </row>
    <row r="373" spans="1:46" s="2" customFormat="1" ht="17.25" customHeight="1" x14ac:dyDescent="0.2">
      <c r="A373" s="24"/>
      <c r="B373" s="201"/>
      <c r="C373" s="204"/>
      <c r="D373" s="63"/>
      <c r="E373" s="64"/>
      <c r="F373" s="64"/>
      <c r="G373" s="64"/>
      <c r="H373" s="64"/>
      <c r="I373" s="64"/>
      <c r="J373" s="64"/>
      <c r="K373" s="16"/>
      <c r="L373" s="16"/>
      <c r="M373" s="64"/>
      <c r="N373" s="16"/>
      <c r="O373" s="16"/>
      <c r="P373" s="64"/>
      <c r="Q373" s="46"/>
      <c r="R373" s="46"/>
      <c r="S373" s="39"/>
      <c r="T373" s="16"/>
      <c r="U373" s="16"/>
      <c r="V373" s="16"/>
      <c r="W373" s="16"/>
      <c r="X373" s="16"/>
      <c r="Y373" s="19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43">
        <f>A364</f>
        <v>46016</v>
      </c>
      <c r="AQ373" s="10"/>
      <c r="AR373" s="11"/>
    </row>
    <row r="374" spans="1:46" s="2" customFormat="1" ht="17.25" customHeight="1" thickBot="1" x14ac:dyDescent="0.3">
      <c r="A374" s="56"/>
      <c r="B374" s="101" t="s">
        <v>102</v>
      </c>
      <c r="C374" s="102">
        <f>D375+E375+F375+G375+H375+I375+J375+M375+P375</f>
        <v>193748.65954000002</v>
      </c>
      <c r="D374" s="84"/>
      <c r="E374" s="85"/>
      <c r="F374" s="85"/>
      <c r="G374" s="85"/>
      <c r="H374" s="85"/>
      <c r="I374" s="85"/>
      <c r="J374" s="85"/>
      <c r="K374" s="28"/>
      <c r="L374" s="28"/>
      <c r="M374" s="85"/>
      <c r="N374" s="28"/>
      <c r="O374" s="28"/>
      <c r="P374" s="85"/>
      <c r="Q374" s="48"/>
      <c r="R374" s="48"/>
      <c r="S374" s="51"/>
      <c r="T374" s="28"/>
      <c r="U374" s="28"/>
      <c r="V374" s="28"/>
      <c r="W374" s="28"/>
      <c r="X374" s="28"/>
      <c r="Y374" s="36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42">
        <f>SUM($Q363:AN374)</f>
        <v>-486385.31</v>
      </c>
      <c r="AQ374" s="10"/>
      <c r="AR374" s="11"/>
      <c r="AS374" s="2" t="s">
        <v>5</v>
      </c>
    </row>
    <row r="375" spans="1:46" s="2" customFormat="1" ht="17.25" customHeight="1" thickTop="1" thickBot="1" x14ac:dyDescent="0.3">
      <c r="A375" s="103"/>
      <c r="B375" s="104" t="s">
        <v>103</v>
      </c>
      <c r="C375" s="105">
        <f>AO375</f>
        <v>-292636.65045999998</v>
      </c>
      <c r="D375" s="106">
        <f t="shared" ref="D375:K375" si="48">SUM(D363:D374)</f>
        <v>67.027040000027768</v>
      </c>
      <c r="E375" s="107">
        <f t="shared" si="48"/>
        <v>-8416.5</v>
      </c>
      <c r="F375" s="107">
        <f t="shared" si="48"/>
        <v>0.5</v>
      </c>
      <c r="G375" s="107">
        <f t="shared" si="48"/>
        <v>0</v>
      </c>
      <c r="H375" s="107">
        <f t="shared" si="48"/>
        <v>72197.832500000004</v>
      </c>
      <c r="I375" s="107">
        <f t="shared" si="48"/>
        <v>7582.78</v>
      </c>
      <c r="J375" s="107">
        <f t="shared" si="48"/>
        <v>0</v>
      </c>
      <c r="K375" s="108">
        <f t="shared" si="48"/>
        <v>12700</v>
      </c>
      <c r="L375" s="109">
        <f>M375/K375</f>
        <v>5.0846999999999998</v>
      </c>
      <c r="M375" s="107">
        <f>ROUND(SUM(M363:M374),2)</f>
        <v>64575.69</v>
      </c>
      <c r="N375" s="108">
        <f>SUM(N363:N374)</f>
        <v>15589</v>
      </c>
      <c r="O375" s="109">
        <f>P375/N375</f>
        <v>3.7039790878183334</v>
      </c>
      <c r="P375" s="107">
        <f>ROUND(SUM(P363:P374),2)</f>
        <v>57741.33</v>
      </c>
      <c r="Q375" s="110">
        <f t="shared" ref="Q375:AN375" si="49">SUM(Q363:Q374)</f>
        <v>-530185.23</v>
      </c>
      <c r="R375" s="107">
        <f t="shared" si="49"/>
        <v>50229.299999999996</v>
      </c>
      <c r="S375" s="107">
        <f t="shared" si="49"/>
        <v>0</v>
      </c>
      <c r="T375" s="107">
        <f t="shared" si="49"/>
        <v>-6429.38</v>
      </c>
      <c r="U375" s="107">
        <f t="shared" si="49"/>
        <v>0</v>
      </c>
      <c r="V375" s="107">
        <f t="shared" si="49"/>
        <v>0</v>
      </c>
      <c r="W375" s="107">
        <f t="shared" si="49"/>
        <v>0</v>
      </c>
      <c r="X375" s="107">
        <f t="shared" si="49"/>
        <v>0</v>
      </c>
      <c r="Y375" s="107">
        <f t="shared" si="49"/>
        <v>0</v>
      </c>
      <c r="Z375" s="107">
        <f t="shared" si="49"/>
        <v>0</v>
      </c>
      <c r="AA375" s="107">
        <f t="shared" si="49"/>
        <v>0</v>
      </c>
      <c r="AB375" s="107">
        <f t="shared" si="49"/>
        <v>0</v>
      </c>
      <c r="AC375" s="107">
        <f t="shared" si="49"/>
        <v>0</v>
      </c>
      <c r="AD375" s="107">
        <f t="shared" si="49"/>
        <v>0</v>
      </c>
      <c r="AE375" s="107">
        <f t="shared" si="49"/>
        <v>0</v>
      </c>
      <c r="AF375" s="107">
        <f t="shared" si="49"/>
        <v>0</v>
      </c>
      <c r="AG375" s="107">
        <f t="shared" si="49"/>
        <v>0</v>
      </c>
      <c r="AH375" s="107">
        <f t="shared" si="49"/>
        <v>0</v>
      </c>
      <c r="AI375" s="107">
        <f t="shared" si="49"/>
        <v>0</v>
      </c>
      <c r="AJ375" s="107">
        <f t="shared" si="49"/>
        <v>0</v>
      </c>
      <c r="AK375" s="107">
        <f t="shared" si="49"/>
        <v>0</v>
      </c>
      <c r="AL375" s="107">
        <f t="shared" si="49"/>
        <v>0</v>
      </c>
      <c r="AM375" s="107">
        <f t="shared" si="49"/>
        <v>0</v>
      </c>
      <c r="AN375" s="107">
        <f t="shared" si="49"/>
        <v>0</v>
      </c>
      <c r="AO375" s="111">
        <f>D375+E375+F375+G375+H375+I375+J375+M375+P375+SUM(Q375:AN375)</f>
        <v>-292636.65045999998</v>
      </c>
      <c r="AP375" s="4"/>
      <c r="AQ375" s="5"/>
      <c r="AR375" s="5"/>
      <c r="AS375" s="2" t="s">
        <v>6</v>
      </c>
    </row>
    <row r="376" spans="1:46" s="2" customFormat="1" ht="17.25" customHeight="1" thickTop="1" x14ac:dyDescent="0.25">
      <c r="A376" s="23">
        <f>A364+1</f>
        <v>46017</v>
      </c>
      <c r="B376" s="210" t="s">
        <v>64</v>
      </c>
      <c r="C376" s="203"/>
      <c r="D376" s="63">
        <v>7408.73</v>
      </c>
      <c r="E376" s="66"/>
      <c r="F376" s="66"/>
      <c r="G376" s="66"/>
      <c r="H376" s="66"/>
      <c r="I376" s="66">
        <f>-D376</f>
        <v>-7408.73</v>
      </c>
      <c r="J376" s="66"/>
      <c r="K376" s="18"/>
      <c r="L376" s="18"/>
      <c r="M376" s="66"/>
      <c r="N376" s="18"/>
      <c r="O376" s="18"/>
      <c r="P376" s="66"/>
      <c r="Q376" s="46"/>
      <c r="R376" s="46"/>
      <c r="S376" s="45"/>
      <c r="T376" s="18"/>
      <c r="U376" s="18"/>
      <c r="V376" s="18"/>
      <c r="W376" s="18"/>
      <c r="X376" s="18"/>
      <c r="Y376" s="14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31"/>
      <c r="AQ376" s="10"/>
      <c r="AR376" s="27"/>
    </row>
    <row r="377" spans="1:46" s="4" customFormat="1" ht="17.25" customHeight="1" x14ac:dyDescent="0.25">
      <c r="A377" s="23"/>
      <c r="B377" s="201" t="s">
        <v>96</v>
      </c>
      <c r="C377" s="202"/>
      <c r="D377" s="63"/>
      <c r="E377" s="64"/>
      <c r="F377" s="64"/>
      <c r="G377" s="64"/>
      <c r="H377" s="64"/>
      <c r="I377" s="64">
        <f>-I375-I376</f>
        <v>-174.05000000000018</v>
      </c>
      <c r="J377" s="64"/>
      <c r="K377" s="16"/>
      <c r="L377" s="92"/>
      <c r="M377" s="64"/>
      <c r="N377" s="16"/>
      <c r="O377" s="92"/>
      <c r="P377" s="64"/>
      <c r="Q377" s="40"/>
      <c r="R377" s="46"/>
      <c r="S377" s="39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22"/>
      <c r="AP377" s="30"/>
    </row>
    <row r="378" spans="1:46" s="2" customFormat="1" ht="17.25" customHeight="1" x14ac:dyDescent="0.25">
      <c r="A378" s="29"/>
      <c r="B378" s="201" t="s">
        <v>464</v>
      </c>
      <c r="C378" s="202"/>
      <c r="D378" s="63">
        <v>-7400</v>
      </c>
      <c r="E378" s="64">
        <f>-D378</f>
        <v>7400</v>
      </c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47"/>
      <c r="R378" s="39"/>
      <c r="S378" s="39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22"/>
      <c r="AQ378" s="10" t="s">
        <v>4</v>
      </c>
      <c r="AR378" s="11" t="e">
        <v>#REF!</v>
      </c>
    </row>
    <row r="379" spans="1:46" s="2" customFormat="1" ht="17.25" customHeight="1" x14ac:dyDescent="0.25">
      <c r="A379" s="29"/>
      <c r="B379" s="201" t="s">
        <v>276</v>
      </c>
      <c r="C379" s="202"/>
      <c r="D379" s="63">
        <v>-4.9000000000000004</v>
      </c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47"/>
      <c r="R379" s="39"/>
      <c r="S379" s="39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22"/>
      <c r="AQ379" s="10" t="s">
        <v>4</v>
      </c>
      <c r="AR379" s="11" t="e">
        <v>#REF!</v>
      </c>
    </row>
    <row r="380" spans="1:46" s="4" customFormat="1" ht="17.25" customHeight="1" x14ac:dyDescent="0.25">
      <c r="A380" s="23"/>
      <c r="B380" s="201" t="s">
        <v>13</v>
      </c>
      <c r="C380" s="202"/>
      <c r="D380" s="63"/>
      <c r="E380" s="64">
        <f>-E375-10970+11900-7400</f>
        <v>1946.5</v>
      </c>
      <c r="F380" s="64"/>
      <c r="G380" s="64"/>
      <c r="H380" s="64">
        <f>-E380</f>
        <v>-1946.5</v>
      </c>
      <c r="I380" s="66"/>
      <c r="J380" s="64"/>
      <c r="K380" s="16"/>
      <c r="L380" s="92"/>
      <c r="M380" s="64"/>
      <c r="N380" s="16"/>
      <c r="O380" s="92"/>
      <c r="P380" s="64"/>
      <c r="Q380" s="40"/>
      <c r="R380" s="46">
        <f>-D380</f>
        <v>0</v>
      </c>
      <c r="S380" s="39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22"/>
      <c r="AP380" s="30"/>
    </row>
    <row r="381" spans="1:46" s="2" customFormat="1" ht="17.25" customHeight="1" x14ac:dyDescent="0.25">
      <c r="A381" s="29"/>
      <c r="B381" s="205" t="s">
        <v>453</v>
      </c>
      <c r="C381" s="250"/>
      <c r="D381" s="63"/>
      <c r="E381" s="64">
        <v>-11900</v>
      </c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47"/>
      <c r="R381" s="39"/>
      <c r="S381" s="39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22"/>
      <c r="AQ381" s="10"/>
      <c r="AR381" s="11"/>
    </row>
    <row r="382" spans="1:46" s="2" customFormat="1" ht="17.25" customHeight="1" thickBot="1" x14ac:dyDescent="0.25">
      <c r="A382" s="24"/>
      <c r="B382" s="216"/>
      <c r="C382" s="217"/>
      <c r="D382" s="83"/>
      <c r="E382" s="81"/>
      <c r="F382" s="81"/>
      <c r="G382" s="81"/>
      <c r="H382" s="81"/>
      <c r="I382" s="81"/>
      <c r="J382" s="81"/>
      <c r="K382" s="37"/>
      <c r="L382" s="93"/>
      <c r="M382" s="81"/>
      <c r="N382" s="37"/>
      <c r="O382" s="93"/>
      <c r="P382" s="81"/>
      <c r="Q382" s="40"/>
      <c r="R382" s="40"/>
      <c r="S382" s="39"/>
      <c r="T382" s="16"/>
      <c r="U382" s="16"/>
      <c r="V382" s="16"/>
      <c r="W382" s="16"/>
      <c r="X382" s="16"/>
      <c r="Y382" s="19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41"/>
      <c r="AQ382" s="10"/>
      <c r="AR382" s="11"/>
    </row>
    <row r="383" spans="1:46" s="4" customFormat="1" ht="17.25" customHeight="1" x14ac:dyDescent="0.25">
      <c r="A383" s="23"/>
      <c r="B383" s="210" t="s">
        <v>94</v>
      </c>
      <c r="C383" s="203"/>
      <c r="D383" s="66"/>
      <c r="E383" s="66"/>
      <c r="F383" s="117"/>
      <c r="G383" s="117"/>
      <c r="H383" s="66"/>
      <c r="I383" s="66"/>
      <c r="J383" s="66">
        <f>-M383</f>
        <v>5723.9000000000005</v>
      </c>
      <c r="K383" s="58">
        <v>-962</v>
      </c>
      <c r="L383" s="89">
        <v>5.95</v>
      </c>
      <c r="M383" s="73">
        <f>K383*L383</f>
        <v>-5723.9000000000005</v>
      </c>
      <c r="N383" s="58"/>
      <c r="O383" s="89"/>
      <c r="P383" s="73"/>
      <c r="Q383" s="39"/>
      <c r="R383" s="39"/>
      <c r="S383" s="8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35"/>
      <c r="AP383" s="12" t="e">
        <f>#REF!</f>
        <v>#REF!</v>
      </c>
    </row>
    <row r="384" spans="1:46" s="4" customFormat="1" ht="17.25" customHeight="1" x14ac:dyDescent="0.25">
      <c r="A384" s="23"/>
      <c r="B384" s="201" t="s">
        <v>95</v>
      </c>
      <c r="C384" s="202"/>
      <c r="D384" s="64"/>
      <c r="E384" s="64"/>
      <c r="F384" s="117"/>
      <c r="G384" s="117"/>
      <c r="H384" s="64"/>
      <c r="I384" s="64"/>
      <c r="J384" s="64">
        <f>-P384</f>
        <v>6475.46</v>
      </c>
      <c r="K384" s="57"/>
      <c r="L384" s="88"/>
      <c r="M384" s="62"/>
      <c r="N384" s="57">
        <v>-1627</v>
      </c>
      <c r="O384" s="88">
        <v>3.98</v>
      </c>
      <c r="P384" s="62">
        <f>N384*O384</f>
        <v>-6475.46</v>
      </c>
      <c r="Q384" s="39"/>
      <c r="R384" s="39"/>
      <c r="S384" s="8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35"/>
      <c r="AP384" s="12" t="e">
        <f>#REF!</f>
        <v>#REF!</v>
      </c>
    </row>
    <row r="385" spans="1:46" s="4" customFormat="1" ht="17.25" customHeight="1" x14ac:dyDescent="0.25">
      <c r="A385" s="23"/>
      <c r="B385" s="201" t="s">
        <v>97</v>
      </c>
      <c r="C385" s="203"/>
      <c r="D385" s="64"/>
      <c r="E385" s="64"/>
      <c r="F385" s="64"/>
      <c r="G385" s="64"/>
      <c r="H385" s="64">
        <f>-J385-I385</f>
        <v>3473.16</v>
      </c>
      <c r="I385" s="64">
        <v>8726.2000000000007</v>
      </c>
      <c r="J385" s="64">
        <f>-SUM(J383:J384)</f>
        <v>-12199.36</v>
      </c>
      <c r="K385" s="57"/>
      <c r="L385" s="88"/>
      <c r="M385" s="62"/>
      <c r="N385" s="57"/>
      <c r="O385" s="88"/>
      <c r="P385" s="62"/>
      <c r="Q385" s="39"/>
      <c r="R385" s="39"/>
      <c r="S385" s="39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22"/>
      <c r="AO385" s="43"/>
      <c r="AP385" s="12" t="e">
        <f>#REF!</f>
        <v>#REF!</v>
      </c>
      <c r="AT385" s="2"/>
    </row>
    <row r="386" spans="1:46" s="4" customFormat="1" ht="17.25" customHeight="1" x14ac:dyDescent="0.25">
      <c r="A386" s="23"/>
      <c r="B386" s="201" t="s">
        <v>93</v>
      </c>
      <c r="C386" s="202"/>
      <c r="D386" s="64"/>
      <c r="E386" s="64"/>
      <c r="F386" s="64"/>
      <c r="G386" s="64"/>
      <c r="H386" s="64"/>
      <c r="I386" s="64"/>
      <c r="J386" s="64"/>
      <c r="K386" s="57">
        <v>46</v>
      </c>
      <c r="L386" s="88"/>
      <c r="M386" s="62">
        <f>(K389*(M375)/(K375))-M375-M383</f>
        <v>1066.3147999999992</v>
      </c>
      <c r="N386" s="57">
        <v>-91</v>
      </c>
      <c r="O386" s="88"/>
      <c r="P386" s="62">
        <f>(N389*(P375)/(N375))-P375-P384</f>
        <v>112.02392712810342</v>
      </c>
      <c r="Q386" s="39"/>
      <c r="R386" s="39"/>
      <c r="S386" s="39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22"/>
      <c r="AO386" s="43">
        <f>A369</f>
        <v>0</v>
      </c>
      <c r="AP386" s="12" t="e">
        <f>#REF!</f>
        <v>#REF!</v>
      </c>
      <c r="AT386" s="2"/>
    </row>
    <row r="387" spans="1:46" s="2" customFormat="1" ht="17.25" customHeight="1" x14ac:dyDescent="0.2">
      <c r="A387" s="24"/>
      <c r="B387" s="201"/>
      <c r="C387" s="204"/>
      <c r="D387" s="63"/>
      <c r="E387" s="64"/>
      <c r="F387" s="64"/>
      <c r="G387" s="64"/>
      <c r="H387" s="64"/>
      <c r="I387" s="64"/>
      <c r="J387" s="64"/>
      <c r="K387" s="16"/>
      <c r="L387" s="16"/>
      <c r="M387" s="64"/>
      <c r="N387" s="16"/>
      <c r="O387" s="16"/>
      <c r="P387" s="64"/>
      <c r="Q387" s="46"/>
      <c r="R387" s="46"/>
      <c r="S387" s="39"/>
      <c r="T387" s="16"/>
      <c r="U387" s="16"/>
      <c r="V387" s="16"/>
      <c r="W387" s="16"/>
      <c r="X387" s="16"/>
      <c r="Y387" s="19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43">
        <f>A376</f>
        <v>46017</v>
      </c>
      <c r="AQ387" s="10"/>
      <c r="AR387" s="11"/>
    </row>
    <row r="388" spans="1:46" s="2" customFormat="1" ht="17.25" customHeight="1" thickBot="1" x14ac:dyDescent="0.3">
      <c r="A388" s="56"/>
      <c r="B388" s="101" t="s">
        <v>102</v>
      </c>
      <c r="C388" s="102">
        <f>D389+E389+F389+G389+H389+I389+J389+M389+P389</f>
        <v>182848.03954000003</v>
      </c>
      <c r="D388" s="84"/>
      <c r="E388" s="85"/>
      <c r="F388" s="85"/>
      <c r="G388" s="85"/>
      <c r="H388" s="85"/>
      <c r="I388" s="85"/>
      <c r="J388" s="85"/>
      <c r="K388" s="28"/>
      <c r="L388" s="28"/>
      <c r="M388" s="85"/>
      <c r="N388" s="28"/>
      <c r="O388" s="28"/>
      <c r="P388" s="85"/>
      <c r="Q388" s="48"/>
      <c r="R388" s="48"/>
      <c r="S388" s="51"/>
      <c r="T388" s="28"/>
      <c r="U388" s="28"/>
      <c r="V388" s="28"/>
      <c r="W388" s="28"/>
      <c r="X388" s="28"/>
      <c r="Y388" s="36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42">
        <f>SUM($Q375:AN388)</f>
        <v>-486385.31</v>
      </c>
      <c r="AQ388" s="10"/>
      <c r="AR388" s="11"/>
      <c r="AS388" s="2" t="s">
        <v>5</v>
      </c>
    </row>
    <row r="389" spans="1:46" s="2" customFormat="1" ht="17.25" customHeight="1" thickTop="1" thickBot="1" x14ac:dyDescent="0.3">
      <c r="A389" s="103"/>
      <c r="B389" s="104" t="s">
        <v>103</v>
      </c>
      <c r="C389" s="105">
        <f>AO389</f>
        <v>-303537.27045999997</v>
      </c>
      <c r="D389" s="106">
        <f t="shared" ref="D389:K389" si="50">SUM(D375:D388)</f>
        <v>70.857040000027695</v>
      </c>
      <c r="E389" s="107">
        <f t="shared" si="50"/>
        <v>-10970</v>
      </c>
      <c r="F389" s="107">
        <f t="shared" si="50"/>
        <v>0.5</v>
      </c>
      <c r="G389" s="107">
        <f t="shared" si="50"/>
        <v>0</v>
      </c>
      <c r="H389" s="107">
        <f t="shared" si="50"/>
        <v>73724.492500000008</v>
      </c>
      <c r="I389" s="107">
        <f t="shared" si="50"/>
        <v>8726.2000000000007</v>
      </c>
      <c r="J389" s="107">
        <f t="shared" si="50"/>
        <v>0</v>
      </c>
      <c r="K389" s="108">
        <f t="shared" si="50"/>
        <v>11784</v>
      </c>
      <c r="L389" s="109">
        <f>M389/K389</f>
        <v>5.0846995926680245</v>
      </c>
      <c r="M389" s="107">
        <f>ROUND(SUM(M375:M388),2)</f>
        <v>59918.1</v>
      </c>
      <c r="N389" s="108">
        <f>SUM(N375:N388)</f>
        <v>13871</v>
      </c>
      <c r="O389" s="109">
        <f>P389/N389</f>
        <v>3.703978804700454</v>
      </c>
      <c r="P389" s="107">
        <f>ROUND(SUM(P375:P388),2)</f>
        <v>51377.89</v>
      </c>
      <c r="Q389" s="110">
        <f t="shared" ref="Q389:AN389" si="51">SUM(Q375:Q388)</f>
        <v>-530185.23</v>
      </c>
      <c r="R389" s="107">
        <f t="shared" si="51"/>
        <v>50229.299999999996</v>
      </c>
      <c r="S389" s="107">
        <f t="shared" si="51"/>
        <v>0</v>
      </c>
      <c r="T389" s="107">
        <f t="shared" si="51"/>
        <v>-6429.38</v>
      </c>
      <c r="U389" s="107">
        <f t="shared" si="51"/>
        <v>0</v>
      </c>
      <c r="V389" s="107">
        <f t="shared" si="51"/>
        <v>0</v>
      </c>
      <c r="W389" s="107">
        <f t="shared" si="51"/>
        <v>0</v>
      </c>
      <c r="X389" s="107">
        <f t="shared" si="51"/>
        <v>0</v>
      </c>
      <c r="Y389" s="107">
        <f t="shared" si="51"/>
        <v>0</v>
      </c>
      <c r="Z389" s="107">
        <f t="shared" si="51"/>
        <v>0</v>
      </c>
      <c r="AA389" s="107">
        <f t="shared" si="51"/>
        <v>0</v>
      </c>
      <c r="AB389" s="107">
        <f t="shared" si="51"/>
        <v>0</v>
      </c>
      <c r="AC389" s="107">
        <f t="shared" si="51"/>
        <v>0</v>
      </c>
      <c r="AD389" s="107">
        <f t="shared" si="51"/>
        <v>0</v>
      </c>
      <c r="AE389" s="107">
        <f t="shared" si="51"/>
        <v>0</v>
      </c>
      <c r="AF389" s="107">
        <f t="shared" si="51"/>
        <v>0</v>
      </c>
      <c r="AG389" s="107">
        <f t="shared" si="51"/>
        <v>0</v>
      </c>
      <c r="AH389" s="107">
        <f t="shared" si="51"/>
        <v>0</v>
      </c>
      <c r="AI389" s="107">
        <f t="shared" si="51"/>
        <v>0</v>
      </c>
      <c r="AJ389" s="107">
        <f t="shared" si="51"/>
        <v>0</v>
      </c>
      <c r="AK389" s="107">
        <f t="shared" si="51"/>
        <v>0</v>
      </c>
      <c r="AL389" s="107">
        <f t="shared" si="51"/>
        <v>0</v>
      </c>
      <c r="AM389" s="107">
        <f t="shared" si="51"/>
        <v>0</v>
      </c>
      <c r="AN389" s="107">
        <f t="shared" si="51"/>
        <v>0</v>
      </c>
      <c r="AO389" s="111">
        <f>D389+E389+F389+G389+H389+I389+J389+M389+P389+SUM(Q389:AN389)</f>
        <v>-303537.27045999997</v>
      </c>
      <c r="AP389" s="4"/>
      <c r="AQ389" s="5"/>
      <c r="AR389" s="5"/>
      <c r="AS389" s="2" t="s">
        <v>6</v>
      </c>
    </row>
    <row r="390" spans="1:46" s="2" customFormat="1" ht="17.25" customHeight="1" thickTop="1" x14ac:dyDescent="0.25">
      <c r="A390" s="23">
        <f>A376+1</f>
        <v>46018</v>
      </c>
      <c r="B390" s="210" t="s">
        <v>64</v>
      </c>
      <c r="C390" s="203"/>
      <c r="D390" s="63">
        <v>8493.9599999999991</v>
      </c>
      <c r="E390" s="66"/>
      <c r="F390" s="66"/>
      <c r="G390" s="66"/>
      <c r="H390" s="66"/>
      <c r="I390" s="66">
        <f>-D390</f>
        <v>-8493.9599999999991</v>
      </c>
      <c r="J390" s="66"/>
      <c r="K390" s="18"/>
      <c r="L390" s="18"/>
      <c r="M390" s="66"/>
      <c r="N390" s="18"/>
      <c r="O390" s="18"/>
      <c r="P390" s="66"/>
      <c r="Q390" s="46"/>
      <c r="R390" s="46"/>
      <c r="S390" s="45"/>
      <c r="T390" s="18"/>
      <c r="U390" s="18"/>
      <c r="V390" s="18"/>
      <c r="W390" s="18"/>
      <c r="X390" s="18"/>
      <c r="Y390" s="14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31"/>
      <c r="AQ390" s="10"/>
      <c r="AR390" s="27"/>
    </row>
    <row r="391" spans="1:46" s="4" customFormat="1" ht="17.25" customHeight="1" x14ac:dyDescent="0.25">
      <c r="A391" s="23"/>
      <c r="B391" s="201" t="s">
        <v>96</v>
      </c>
      <c r="C391" s="202"/>
      <c r="D391" s="63"/>
      <c r="E391" s="64"/>
      <c r="F391" s="64"/>
      <c r="G391" s="64"/>
      <c r="H391" s="64"/>
      <c r="I391" s="64">
        <f>-I389-I390</f>
        <v>-232.2400000000016</v>
      </c>
      <c r="J391" s="64"/>
      <c r="K391" s="16"/>
      <c r="L391" s="92"/>
      <c r="M391" s="64"/>
      <c r="N391" s="16"/>
      <c r="O391" s="92"/>
      <c r="P391" s="64"/>
      <c r="Q391" s="40"/>
      <c r="R391" s="46"/>
      <c r="S391" s="39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22"/>
      <c r="AP391" s="30"/>
    </row>
    <row r="392" spans="1:46" s="2" customFormat="1" ht="17.25" customHeight="1" thickBot="1" x14ac:dyDescent="0.25">
      <c r="A392" s="24"/>
      <c r="B392" s="216"/>
      <c r="C392" s="217"/>
      <c r="D392" s="83"/>
      <c r="E392" s="81"/>
      <c r="F392" s="81"/>
      <c r="G392" s="81"/>
      <c r="H392" s="81"/>
      <c r="I392" s="81"/>
      <c r="J392" s="81"/>
      <c r="K392" s="37"/>
      <c r="L392" s="93"/>
      <c r="M392" s="81"/>
      <c r="N392" s="37"/>
      <c r="O392" s="93"/>
      <c r="P392" s="81"/>
      <c r="Q392" s="40"/>
      <c r="R392" s="40"/>
      <c r="S392" s="39"/>
      <c r="T392" s="16"/>
      <c r="U392" s="16"/>
      <c r="V392" s="16"/>
      <c r="W392" s="16"/>
      <c r="X392" s="16"/>
      <c r="Y392" s="19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41"/>
      <c r="AQ392" s="10"/>
      <c r="AR392" s="11"/>
    </row>
    <row r="393" spans="1:46" s="4" customFormat="1" ht="17.25" customHeight="1" x14ac:dyDescent="0.25">
      <c r="A393" s="23"/>
      <c r="B393" s="210" t="s">
        <v>94</v>
      </c>
      <c r="C393" s="203"/>
      <c r="D393" s="66"/>
      <c r="E393" s="66"/>
      <c r="F393" s="117"/>
      <c r="G393" s="117"/>
      <c r="H393" s="66"/>
      <c r="I393" s="66"/>
      <c r="J393" s="66">
        <f>-M393</f>
        <v>6366.5</v>
      </c>
      <c r="K393" s="58">
        <v>-1070</v>
      </c>
      <c r="L393" s="89">
        <v>5.95</v>
      </c>
      <c r="M393" s="73">
        <f>K393*L393</f>
        <v>-6366.5</v>
      </c>
      <c r="N393" s="58"/>
      <c r="O393" s="89"/>
      <c r="P393" s="73"/>
      <c r="Q393" s="39"/>
      <c r="R393" s="39"/>
      <c r="S393" s="8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35"/>
      <c r="AP393" s="12" t="e">
        <f>#REF!</f>
        <v>#REF!</v>
      </c>
    </row>
    <row r="394" spans="1:46" s="4" customFormat="1" ht="17.25" customHeight="1" x14ac:dyDescent="0.25">
      <c r="A394" s="23"/>
      <c r="B394" s="201" t="s">
        <v>95</v>
      </c>
      <c r="C394" s="202"/>
      <c r="D394" s="64"/>
      <c r="E394" s="64"/>
      <c r="F394" s="117"/>
      <c r="G394" s="117"/>
      <c r="H394" s="64"/>
      <c r="I394" s="64"/>
      <c r="J394" s="64">
        <f>-P394</f>
        <v>7048.58</v>
      </c>
      <c r="K394" s="57"/>
      <c r="L394" s="88"/>
      <c r="M394" s="62"/>
      <c r="N394" s="57">
        <v>-1771</v>
      </c>
      <c r="O394" s="88">
        <v>3.98</v>
      </c>
      <c r="P394" s="62">
        <f>N394*O394</f>
        <v>-7048.58</v>
      </c>
      <c r="Q394" s="39"/>
      <c r="R394" s="39"/>
      <c r="S394" s="8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35"/>
      <c r="AP394" s="12" t="e">
        <f>#REF!</f>
        <v>#REF!</v>
      </c>
    </row>
    <row r="395" spans="1:46" s="4" customFormat="1" ht="17.25" customHeight="1" x14ac:dyDescent="0.25">
      <c r="A395" s="23"/>
      <c r="B395" s="201" t="s">
        <v>97</v>
      </c>
      <c r="C395" s="203"/>
      <c r="D395" s="64"/>
      <c r="E395" s="64"/>
      <c r="F395" s="64"/>
      <c r="G395" s="64"/>
      <c r="H395" s="64">
        <f>-J395-I395</f>
        <v>4255.5499999999993</v>
      </c>
      <c r="I395" s="64">
        <v>9159.5300000000007</v>
      </c>
      <c r="J395" s="64">
        <f>-SUM(J393:J394)</f>
        <v>-13415.08</v>
      </c>
      <c r="K395" s="57"/>
      <c r="L395" s="88"/>
      <c r="M395" s="62"/>
      <c r="N395" s="57"/>
      <c r="O395" s="88"/>
      <c r="P395" s="62"/>
      <c r="Q395" s="39"/>
      <c r="R395" s="39"/>
      <c r="S395" s="39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22"/>
      <c r="AO395" s="43"/>
      <c r="AP395" s="12" t="e">
        <f>#REF!</f>
        <v>#REF!</v>
      </c>
      <c r="AT395" s="2"/>
    </row>
    <row r="396" spans="1:46" s="4" customFormat="1" ht="17.25" customHeight="1" x14ac:dyDescent="0.25">
      <c r="A396" s="23"/>
      <c r="B396" s="201" t="s">
        <v>93</v>
      </c>
      <c r="C396" s="202"/>
      <c r="D396" s="64"/>
      <c r="E396" s="64"/>
      <c r="F396" s="64"/>
      <c r="G396" s="64"/>
      <c r="H396" s="64"/>
      <c r="I396" s="64"/>
      <c r="J396" s="64"/>
      <c r="K396" s="57">
        <v>-40</v>
      </c>
      <c r="L396" s="88"/>
      <c r="M396" s="62">
        <f>(K399*(M389)/(K389))-M389-M393</f>
        <v>722.48345213849097</v>
      </c>
      <c r="N396" s="57">
        <v>-25</v>
      </c>
      <c r="O396" s="88"/>
      <c r="P396" s="62">
        <f>(N399*(P389)/(N389))-P389-P394</f>
        <v>396.23406675798287</v>
      </c>
      <c r="Q396" s="39"/>
      <c r="R396" s="39"/>
      <c r="S396" s="39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22"/>
      <c r="AO396" s="43">
        <f>A383</f>
        <v>0</v>
      </c>
      <c r="AP396" s="12" t="e">
        <f>#REF!</f>
        <v>#REF!</v>
      </c>
      <c r="AT396" s="2"/>
    </row>
    <row r="397" spans="1:46" s="2" customFormat="1" ht="17.25" customHeight="1" x14ac:dyDescent="0.2">
      <c r="A397" s="24"/>
      <c r="B397" s="201"/>
      <c r="C397" s="204"/>
      <c r="D397" s="63"/>
      <c r="E397" s="64"/>
      <c r="F397" s="64"/>
      <c r="G397" s="64"/>
      <c r="H397" s="64"/>
      <c r="I397" s="64"/>
      <c r="J397" s="64"/>
      <c r="K397" s="16"/>
      <c r="L397" s="16"/>
      <c r="M397" s="64"/>
      <c r="N397" s="16"/>
      <c r="O397" s="16"/>
      <c r="P397" s="64"/>
      <c r="Q397" s="46"/>
      <c r="R397" s="46"/>
      <c r="S397" s="39"/>
      <c r="T397" s="16"/>
      <c r="U397" s="16"/>
      <c r="V397" s="16"/>
      <c r="W397" s="16"/>
      <c r="X397" s="16"/>
      <c r="Y397" s="19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43">
        <f>A390</f>
        <v>46018</v>
      </c>
      <c r="AQ397" s="10"/>
      <c r="AR397" s="11"/>
    </row>
    <row r="398" spans="1:46" s="2" customFormat="1" ht="17.25" customHeight="1" thickBot="1" x14ac:dyDescent="0.3">
      <c r="A398" s="56"/>
      <c r="B398" s="101" t="s">
        <v>102</v>
      </c>
      <c r="C398" s="102">
        <f>D399+E399+F399+G399+H399+I399+J399+M399+P399</f>
        <v>183734.50954000003</v>
      </c>
      <c r="D398" s="84"/>
      <c r="E398" s="85"/>
      <c r="F398" s="85"/>
      <c r="G398" s="85"/>
      <c r="H398" s="85"/>
      <c r="I398" s="85"/>
      <c r="J398" s="85"/>
      <c r="K398" s="28"/>
      <c r="L398" s="28"/>
      <c r="M398" s="85"/>
      <c r="N398" s="28"/>
      <c r="O398" s="28"/>
      <c r="P398" s="85"/>
      <c r="Q398" s="48"/>
      <c r="R398" s="48"/>
      <c r="S398" s="51"/>
      <c r="T398" s="28"/>
      <c r="U398" s="28"/>
      <c r="V398" s="28"/>
      <c r="W398" s="28"/>
      <c r="X398" s="28"/>
      <c r="Y398" s="36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42">
        <f>SUM($Q389:AN398)</f>
        <v>-486385.31</v>
      </c>
      <c r="AQ398" s="10"/>
      <c r="AR398" s="11"/>
      <c r="AS398" s="2" t="s">
        <v>5</v>
      </c>
    </row>
    <row r="399" spans="1:46" s="2" customFormat="1" ht="17.25" customHeight="1" thickTop="1" thickBot="1" x14ac:dyDescent="0.3">
      <c r="A399" s="103"/>
      <c r="B399" s="104" t="s">
        <v>103</v>
      </c>
      <c r="C399" s="105">
        <f>AO399</f>
        <v>-302650.80045999994</v>
      </c>
      <c r="D399" s="106">
        <f t="shared" ref="D399:K399" si="52">SUM(D389:D398)</f>
        <v>8564.8170400000272</v>
      </c>
      <c r="E399" s="107">
        <f t="shared" si="52"/>
        <v>-10970</v>
      </c>
      <c r="F399" s="107">
        <f t="shared" si="52"/>
        <v>0.5</v>
      </c>
      <c r="G399" s="107">
        <f t="shared" si="52"/>
        <v>0</v>
      </c>
      <c r="H399" s="107">
        <f t="shared" si="52"/>
        <v>77980.04250000001</v>
      </c>
      <c r="I399" s="107">
        <f t="shared" si="52"/>
        <v>9159.5300000000007</v>
      </c>
      <c r="J399" s="107">
        <f t="shared" si="52"/>
        <v>0</v>
      </c>
      <c r="K399" s="108">
        <f t="shared" si="52"/>
        <v>10674</v>
      </c>
      <c r="L399" s="109">
        <f>M399/K399</f>
        <v>5.0846992692523889</v>
      </c>
      <c r="M399" s="107">
        <f>ROUND(SUM(M389:M398),2)</f>
        <v>54274.080000000002</v>
      </c>
      <c r="N399" s="108">
        <f>SUM(N389:N398)</f>
        <v>12075</v>
      </c>
      <c r="O399" s="109">
        <f>P399/N399</f>
        <v>3.7039784679089029</v>
      </c>
      <c r="P399" s="107">
        <f>ROUND(SUM(P389:P398),2)</f>
        <v>44725.54</v>
      </c>
      <c r="Q399" s="110">
        <f t="shared" ref="Q399:AN399" si="53">SUM(Q389:Q398)</f>
        <v>-530185.23</v>
      </c>
      <c r="R399" s="107">
        <f t="shared" si="53"/>
        <v>50229.299999999996</v>
      </c>
      <c r="S399" s="107">
        <f t="shared" si="53"/>
        <v>0</v>
      </c>
      <c r="T399" s="107">
        <f t="shared" si="53"/>
        <v>-6429.38</v>
      </c>
      <c r="U399" s="107">
        <f t="shared" si="53"/>
        <v>0</v>
      </c>
      <c r="V399" s="107">
        <f t="shared" si="53"/>
        <v>0</v>
      </c>
      <c r="W399" s="107">
        <f t="shared" si="53"/>
        <v>0</v>
      </c>
      <c r="X399" s="107">
        <f t="shared" si="53"/>
        <v>0</v>
      </c>
      <c r="Y399" s="107">
        <f t="shared" si="53"/>
        <v>0</v>
      </c>
      <c r="Z399" s="107">
        <f t="shared" si="53"/>
        <v>0</v>
      </c>
      <c r="AA399" s="107">
        <f t="shared" si="53"/>
        <v>0</v>
      </c>
      <c r="AB399" s="107">
        <f t="shared" si="53"/>
        <v>0</v>
      </c>
      <c r="AC399" s="107">
        <f t="shared" si="53"/>
        <v>0</v>
      </c>
      <c r="AD399" s="107">
        <f t="shared" si="53"/>
        <v>0</v>
      </c>
      <c r="AE399" s="107">
        <f t="shared" si="53"/>
        <v>0</v>
      </c>
      <c r="AF399" s="107">
        <f t="shared" si="53"/>
        <v>0</v>
      </c>
      <c r="AG399" s="107">
        <f t="shared" si="53"/>
        <v>0</v>
      </c>
      <c r="AH399" s="107">
        <f t="shared" si="53"/>
        <v>0</v>
      </c>
      <c r="AI399" s="107">
        <f t="shared" si="53"/>
        <v>0</v>
      </c>
      <c r="AJ399" s="107">
        <f t="shared" si="53"/>
        <v>0</v>
      </c>
      <c r="AK399" s="107">
        <f t="shared" si="53"/>
        <v>0</v>
      </c>
      <c r="AL399" s="107">
        <f t="shared" si="53"/>
        <v>0</v>
      </c>
      <c r="AM399" s="107">
        <f t="shared" si="53"/>
        <v>0</v>
      </c>
      <c r="AN399" s="107">
        <f t="shared" si="53"/>
        <v>0</v>
      </c>
      <c r="AO399" s="111">
        <f>D399+E399+F399+G399+H399+I399+J399+M399+P399+SUM(Q399:AN399)</f>
        <v>-302650.80045999994</v>
      </c>
      <c r="AP399" s="4"/>
      <c r="AQ399" s="5"/>
      <c r="AR399" s="5"/>
      <c r="AS399" s="2" t="s">
        <v>6</v>
      </c>
    </row>
    <row r="400" spans="1:46" s="2" customFormat="1" ht="17.25" customHeight="1" thickTop="1" x14ac:dyDescent="0.25">
      <c r="A400" s="23">
        <f>A390+1</f>
        <v>46019</v>
      </c>
      <c r="B400" s="210" t="s">
        <v>64</v>
      </c>
      <c r="C400" s="203"/>
      <c r="D400" s="63">
        <v>8939.94</v>
      </c>
      <c r="E400" s="66"/>
      <c r="F400" s="66"/>
      <c r="G400" s="66"/>
      <c r="H400" s="66"/>
      <c r="I400" s="66">
        <f>-D400</f>
        <v>-8939.94</v>
      </c>
      <c r="J400" s="66"/>
      <c r="K400" s="18"/>
      <c r="L400" s="18"/>
      <c r="M400" s="66"/>
      <c r="N400" s="18"/>
      <c r="O400" s="18"/>
      <c r="P400" s="66"/>
      <c r="Q400" s="46"/>
      <c r="R400" s="46"/>
      <c r="S400" s="45"/>
      <c r="T400" s="18"/>
      <c r="U400" s="18"/>
      <c r="V400" s="18"/>
      <c r="W400" s="18"/>
      <c r="X400" s="18"/>
      <c r="Y400" s="14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31"/>
      <c r="AQ400" s="10"/>
      <c r="AR400" s="27"/>
    </row>
    <row r="401" spans="1:46" s="4" customFormat="1" ht="17.25" customHeight="1" x14ac:dyDescent="0.25">
      <c r="A401" s="23"/>
      <c r="B401" s="201" t="s">
        <v>96</v>
      </c>
      <c r="C401" s="202"/>
      <c r="D401" s="63"/>
      <c r="E401" s="64"/>
      <c r="F401" s="64"/>
      <c r="G401" s="64"/>
      <c r="H401" s="64"/>
      <c r="I401" s="64">
        <f>-I399-I400</f>
        <v>-219.59000000000015</v>
      </c>
      <c r="J401" s="64"/>
      <c r="K401" s="16"/>
      <c r="L401" s="92"/>
      <c r="M401" s="64"/>
      <c r="N401" s="16"/>
      <c r="O401" s="92"/>
      <c r="P401" s="64"/>
      <c r="Q401" s="40"/>
      <c r="R401" s="46"/>
      <c r="S401" s="39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22"/>
      <c r="AP401" s="30"/>
    </row>
    <row r="402" spans="1:46" s="2" customFormat="1" ht="17.25" customHeight="1" x14ac:dyDescent="0.25">
      <c r="A402" s="29"/>
      <c r="B402" s="201" t="s">
        <v>358</v>
      </c>
      <c r="C402" s="202"/>
      <c r="D402" s="63">
        <v>-17400</v>
      </c>
      <c r="E402" s="64">
        <f>-D402</f>
        <v>17400</v>
      </c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47"/>
      <c r="R402" s="39"/>
      <c r="S402" s="39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22"/>
      <c r="AQ402" s="10" t="s">
        <v>4</v>
      </c>
      <c r="AR402" s="11" t="e">
        <v>#REF!</v>
      </c>
    </row>
    <row r="403" spans="1:46" s="2" customFormat="1" ht="17.25" customHeight="1" x14ac:dyDescent="0.25">
      <c r="A403" s="29"/>
      <c r="B403" s="201" t="s">
        <v>276</v>
      </c>
      <c r="C403" s="202"/>
      <c r="D403" s="63">
        <v>-4.9000000000000004</v>
      </c>
      <c r="E403" s="64"/>
      <c r="F403" s="64"/>
      <c r="G403" s="64"/>
      <c r="H403" s="64"/>
      <c r="I403" s="64"/>
      <c r="J403" s="64"/>
      <c r="K403" s="57"/>
      <c r="L403" s="88"/>
      <c r="M403" s="62"/>
      <c r="N403" s="57"/>
      <c r="O403" s="88"/>
      <c r="P403" s="62"/>
      <c r="Q403" s="47"/>
      <c r="R403" s="39"/>
      <c r="S403" s="39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22"/>
      <c r="AQ403" s="10" t="s">
        <v>4</v>
      </c>
      <c r="AR403" s="11" t="e">
        <v>#REF!</v>
      </c>
    </row>
    <row r="404" spans="1:46" s="2" customFormat="1" ht="17.25" customHeight="1" thickBot="1" x14ac:dyDescent="0.25">
      <c r="A404" s="24"/>
      <c r="B404" s="216"/>
      <c r="C404" s="217"/>
      <c r="D404" s="83"/>
      <c r="E404" s="81"/>
      <c r="F404" s="81"/>
      <c r="G404" s="81"/>
      <c r="H404" s="81"/>
      <c r="I404" s="81"/>
      <c r="J404" s="81"/>
      <c r="K404" s="37"/>
      <c r="L404" s="93"/>
      <c r="M404" s="81"/>
      <c r="N404" s="37"/>
      <c r="O404" s="93"/>
      <c r="P404" s="81"/>
      <c r="Q404" s="40"/>
      <c r="R404" s="40"/>
      <c r="S404" s="39"/>
      <c r="T404" s="16"/>
      <c r="U404" s="16"/>
      <c r="V404" s="16"/>
      <c r="W404" s="16"/>
      <c r="X404" s="16"/>
      <c r="Y404" s="19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41"/>
      <c r="AQ404" s="10"/>
      <c r="AR404" s="11"/>
    </row>
    <row r="405" spans="1:46" s="4" customFormat="1" ht="17.25" customHeight="1" x14ac:dyDescent="0.25">
      <c r="A405" s="23"/>
      <c r="B405" s="210" t="s">
        <v>94</v>
      </c>
      <c r="C405" s="203"/>
      <c r="D405" s="66"/>
      <c r="E405" s="66"/>
      <c r="F405" s="117"/>
      <c r="G405" s="117"/>
      <c r="H405" s="66"/>
      <c r="I405" s="66"/>
      <c r="J405" s="66">
        <f>-M405</f>
        <v>4938.5</v>
      </c>
      <c r="K405" s="58">
        <v>-830</v>
      </c>
      <c r="L405" s="89">
        <v>5.95</v>
      </c>
      <c r="M405" s="73">
        <f>K405*L405</f>
        <v>-4938.5</v>
      </c>
      <c r="N405" s="58"/>
      <c r="O405" s="89"/>
      <c r="P405" s="73"/>
      <c r="Q405" s="39"/>
      <c r="R405" s="39"/>
      <c r="S405" s="8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35"/>
      <c r="AP405" s="12" t="e">
        <f>#REF!</f>
        <v>#REF!</v>
      </c>
    </row>
    <row r="406" spans="1:46" s="4" customFormat="1" ht="17.25" customHeight="1" x14ac:dyDescent="0.25">
      <c r="A406" s="23"/>
      <c r="B406" s="201" t="s">
        <v>95</v>
      </c>
      <c r="C406" s="202"/>
      <c r="D406" s="64"/>
      <c r="E406" s="64"/>
      <c r="F406" s="117"/>
      <c r="G406" s="117"/>
      <c r="H406" s="64"/>
      <c r="I406" s="64"/>
      <c r="J406" s="64">
        <f>-P406</f>
        <v>4680.4799999999996</v>
      </c>
      <c r="K406" s="57"/>
      <c r="L406" s="88"/>
      <c r="M406" s="62"/>
      <c r="N406" s="57">
        <v>-1176</v>
      </c>
      <c r="O406" s="88">
        <v>3.98</v>
      </c>
      <c r="P406" s="62">
        <f>N406*O406</f>
        <v>-4680.4799999999996</v>
      </c>
      <c r="Q406" s="39"/>
      <c r="R406" s="39"/>
      <c r="S406" s="8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35"/>
      <c r="AP406" s="12" t="e">
        <f>#REF!</f>
        <v>#REF!</v>
      </c>
    </row>
    <row r="407" spans="1:46" s="4" customFormat="1" ht="17.25" customHeight="1" x14ac:dyDescent="0.25">
      <c r="A407" s="23"/>
      <c r="B407" s="201" t="s">
        <v>97</v>
      </c>
      <c r="C407" s="203"/>
      <c r="D407" s="64"/>
      <c r="E407" s="64"/>
      <c r="F407" s="64"/>
      <c r="G407" s="64"/>
      <c r="H407" s="64">
        <f>-J407-I407</f>
        <v>3243.6699999999992</v>
      </c>
      <c r="I407" s="64">
        <v>6375.31</v>
      </c>
      <c r="J407" s="64">
        <f>-SUM(J405:J406)</f>
        <v>-9618.98</v>
      </c>
      <c r="K407" s="57"/>
      <c r="L407" s="88"/>
      <c r="M407" s="62"/>
      <c r="N407" s="57"/>
      <c r="O407" s="88"/>
      <c r="P407" s="62"/>
      <c r="Q407" s="39"/>
      <c r="R407" s="39"/>
      <c r="S407" s="39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22"/>
      <c r="AO407" s="43"/>
      <c r="AP407" s="12" t="e">
        <f>#REF!</f>
        <v>#REF!</v>
      </c>
      <c r="AT407" s="2"/>
    </row>
    <row r="408" spans="1:46" s="4" customFormat="1" ht="17.25" customHeight="1" x14ac:dyDescent="0.25">
      <c r="A408" s="23"/>
      <c r="B408" s="201" t="s">
        <v>93</v>
      </c>
      <c r="C408" s="202"/>
      <c r="D408" s="64"/>
      <c r="E408" s="64"/>
      <c r="F408" s="64"/>
      <c r="G408" s="64"/>
      <c r="H408" s="64"/>
      <c r="I408" s="64"/>
      <c r="J408" s="64"/>
      <c r="K408" s="57">
        <v>-15</v>
      </c>
      <c r="L408" s="88"/>
      <c r="M408" s="62">
        <f>(K411*(M399)/(K399))-M399-M405</f>
        <v>641.92911748172628</v>
      </c>
      <c r="N408" s="57">
        <v>-109</v>
      </c>
      <c r="O408" s="88"/>
      <c r="P408" s="62">
        <f>(N411*(P399)/(N399))-P399-P406</f>
        <v>-79.132331262942898</v>
      </c>
      <c r="Q408" s="39"/>
      <c r="R408" s="39"/>
      <c r="S408" s="39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22"/>
      <c r="AO408" s="43">
        <f>A393</f>
        <v>0</v>
      </c>
      <c r="AP408" s="12" t="e">
        <f>#REF!</f>
        <v>#REF!</v>
      </c>
      <c r="AT408" s="2"/>
    </row>
    <row r="409" spans="1:46" s="2" customFormat="1" ht="17.25" customHeight="1" x14ac:dyDescent="0.2">
      <c r="A409" s="24"/>
      <c r="B409" s="201"/>
      <c r="C409" s="204"/>
      <c r="D409" s="63"/>
      <c r="E409" s="64"/>
      <c r="F409" s="64"/>
      <c r="G409" s="64"/>
      <c r="H409" s="64"/>
      <c r="I409" s="64"/>
      <c r="J409" s="64"/>
      <c r="K409" s="16"/>
      <c r="L409" s="16"/>
      <c r="M409" s="64"/>
      <c r="N409" s="16"/>
      <c r="O409" s="16"/>
      <c r="P409" s="64"/>
      <c r="Q409" s="46"/>
      <c r="R409" s="46"/>
      <c r="S409" s="39"/>
      <c r="T409" s="16"/>
      <c r="U409" s="16"/>
      <c r="V409" s="16"/>
      <c r="W409" s="16"/>
      <c r="X409" s="16"/>
      <c r="Y409" s="19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43">
        <f>A400</f>
        <v>46019</v>
      </c>
      <c r="AQ409" s="10"/>
      <c r="AR409" s="11"/>
    </row>
    <row r="410" spans="1:46" s="2" customFormat="1" ht="17.25" customHeight="1" thickBot="1" x14ac:dyDescent="0.3">
      <c r="A410" s="56"/>
      <c r="B410" s="101" t="s">
        <v>102</v>
      </c>
      <c r="C410" s="102">
        <f>D411+E411+F411+G411+H411+I411+J411+M411+P411</f>
        <v>184072.81954000003</v>
      </c>
      <c r="D410" s="84"/>
      <c r="E410" s="85"/>
      <c r="F410" s="85"/>
      <c r="G410" s="85"/>
      <c r="H410" s="85"/>
      <c r="I410" s="85"/>
      <c r="J410" s="85"/>
      <c r="K410" s="28"/>
      <c r="L410" s="28"/>
      <c r="M410" s="85"/>
      <c r="N410" s="28"/>
      <c r="O410" s="28"/>
      <c r="P410" s="85"/>
      <c r="Q410" s="48"/>
      <c r="R410" s="48"/>
      <c r="S410" s="51"/>
      <c r="T410" s="28"/>
      <c r="U410" s="28"/>
      <c r="V410" s="28"/>
      <c r="W410" s="28"/>
      <c r="X410" s="28"/>
      <c r="Y410" s="36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42">
        <f>SUM($Q399:AN410)</f>
        <v>-486385.31</v>
      </c>
      <c r="AQ410" s="10"/>
      <c r="AR410" s="11"/>
      <c r="AS410" s="2" t="s">
        <v>5</v>
      </c>
    </row>
    <row r="411" spans="1:46" s="2" customFormat="1" ht="17.25" customHeight="1" thickTop="1" thickBot="1" x14ac:dyDescent="0.3">
      <c r="A411" s="103"/>
      <c r="B411" s="104" t="s">
        <v>103</v>
      </c>
      <c r="C411" s="105">
        <f>AO411</f>
        <v>-302312.49046</v>
      </c>
      <c r="D411" s="106">
        <f t="shared" ref="D411:K411" si="54">SUM(D399:D410)</f>
        <v>99.857040000025876</v>
      </c>
      <c r="E411" s="107">
        <f t="shared" si="54"/>
        <v>6430</v>
      </c>
      <c r="F411" s="107">
        <f t="shared" si="54"/>
        <v>0.5</v>
      </c>
      <c r="G411" s="107">
        <f t="shared" si="54"/>
        <v>0</v>
      </c>
      <c r="H411" s="107">
        <f t="shared" si="54"/>
        <v>81223.712500000009</v>
      </c>
      <c r="I411" s="107">
        <f t="shared" si="54"/>
        <v>6375.31</v>
      </c>
      <c r="J411" s="107">
        <f t="shared" si="54"/>
        <v>0</v>
      </c>
      <c r="K411" s="108">
        <f t="shared" si="54"/>
        <v>9829</v>
      </c>
      <c r="L411" s="109">
        <f>M411/K411</f>
        <v>5.0846993590395773</v>
      </c>
      <c r="M411" s="107">
        <f>ROUND(SUM(M399:M410),2)</f>
        <v>49977.51</v>
      </c>
      <c r="N411" s="108">
        <f>SUM(N399:N410)</f>
        <v>10790</v>
      </c>
      <c r="O411" s="109">
        <f>P411/N411</f>
        <v>3.703978683966636</v>
      </c>
      <c r="P411" s="107">
        <f>ROUND(SUM(P399:P410),2)</f>
        <v>39965.93</v>
      </c>
      <c r="Q411" s="110">
        <f t="shared" ref="Q411:AN411" si="55">SUM(Q399:Q410)</f>
        <v>-530185.23</v>
      </c>
      <c r="R411" s="107">
        <f t="shared" si="55"/>
        <v>50229.299999999996</v>
      </c>
      <c r="S411" s="107">
        <f t="shared" si="55"/>
        <v>0</v>
      </c>
      <c r="T411" s="107">
        <f t="shared" si="55"/>
        <v>-6429.38</v>
      </c>
      <c r="U411" s="107">
        <f t="shared" si="55"/>
        <v>0</v>
      </c>
      <c r="V411" s="107">
        <f t="shared" si="55"/>
        <v>0</v>
      </c>
      <c r="W411" s="107">
        <f t="shared" si="55"/>
        <v>0</v>
      </c>
      <c r="X411" s="107">
        <f t="shared" si="55"/>
        <v>0</v>
      </c>
      <c r="Y411" s="107">
        <f t="shared" si="55"/>
        <v>0</v>
      </c>
      <c r="Z411" s="107">
        <f t="shared" si="55"/>
        <v>0</v>
      </c>
      <c r="AA411" s="107">
        <f t="shared" si="55"/>
        <v>0</v>
      </c>
      <c r="AB411" s="107">
        <f t="shared" si="55"/>
        <v>0</v>
      </c>
      <c r="AC411" s="107">
        <f t="shared" si="55"/>
        <v>0</v>
      </c>
      <c r="AD411" s="107">
        <f t="shared" si="55"/>
        <v>0</v>
      </c>
      <c r="AE411" s="107">
        <f t="shared" si="55"/>
        <v>0</v>
      </c>
      <c r="AF411" s="107">
        <f t="shared" si="55"/>
        <v>0</v>
      </c>
      <c r="AG411" s="107">
        <f t="shared" si="55"/>
        <v>0</v>
      </c>
      <c r="AH411" s="107">
        <f t="shared" si="55"/>
        <v>0</v>
      </c>
      <c r="AI411" s="107">
        <f t="shared" si="55"/>
        <v>0</v>
      </c>
      <c r="AJ411" s="107">
        <f t="shared" si="55"/>
        <v>0</v>
      </c>
      <c r="AK411" s="107">
        <f t="shared" si="55"/>
        <v>0</v>
      </c>
      <c r="AL411" s="107">
        <f t="shared" si="55"/>
        <v>0</v>
      </c>
      <c r="AM411" s="107">
        <f t="shared" si="55"/>
        <v>0</v>
      </c>
      <c r="AN411" s="107">
        <f t="shared" si="55"/>
        <v>0</v>
      </c>
      <c r="AO411" s="111">
        <f>D411+E411+F411+G411+H411+I411+J411+M411+P411+SUM(Q411:AN411)</f>
        <v>-302312.49046</v>
      </c>
      <c r="AP411" s="4"/>
      <c r="AQ411" s="5"/>
      <c r="AR411" s="5"/>
      <c r="AS411" s="2" t="s">
        <v>6</v>
      </c>
    </row>
    <row r="412" spans="1:46" s="2" customFormat="1" ht="17.25" customHeight="1" thickTop="1" x14ac:dyDescent="0.25">
      <c r="A412" s="23">
        <f>A400+1</f>
        <v>46020</v>
      </c>
      <c r="B412" s="210" t="s">
        <v>64</v>
      </c>
      <c r="C412" s="203"/>
      <c r="D412" s="63">
        <v>6222.53</v>
      </c>
      <c r="E412" s="66"/>
      <c r="F412" s="66"/>
      <c r="G412" s="66"/>
      <c r="H412" s="66"/>
      <c r="I412" s="66">
        <f>-D412</f>
        <v>-6222.53</v>
      </c>
      <c r="J412" s="66"/>
      <c r="K412" s="18"/>
      <c r="L412" s="18"/>
      <c r="M412" s="66"/>
      <c r="N412" s="18"/>
      <c r="O412" s="18"/>
      <c r="P412" s="66"/>
      <c r="Q412" s="46"/>
      <c r="R412" s="46"/>
      <c r="S412" s="45"/>
      <c r="T412" s="18"/>
      <c r="U412" s="18"/>
      <c r="V412" s="18"/>
      <c r="W412" s="18"/>
      <c r="X412" s="18"/>
      <c r="Y412" s="14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31"/>
      <c r="AQ412" s="10"/>
      <c r="AR412" s="27"/>
    </row>
    <row r="413" spans="1:46" s="4" customFormat="1" ht="17.25" customHeight="1" x14ac:dyDescent="0.25">
      <c r="A413" s="23"/>
      <c r="B413" s="201" t="s">
        <v>96</v>
      </c>
      <c r="C413" s="202"/>
      <c r="D413" s="63"/>
      <c r="E413" s="64"/>
      <c r="F413" s="64"/>
      <c r="G413" s="64"/>
      <c r="H413" s="64"/>
      <c r="I413" s="64">
        <f>-I411-I412</f>
        <v>-152.78000000000065</v>
      </c>
      <c r="J413" s="64"/>
      <c r="K413" s="16"/>
      <c r="L413" s="92"/>
      <c r="M413" s="64"/>
      <c r="N413" s="16"/>
      <c r="O413" s="92"/>
      <c r="P413" s="64"/>
      <c r="Q413" s="40"/>
      <c r="R413" s="46"/>
      <c r="S413" s="39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22"/>
      <c r="AP413" s="30"/>
    </row>
    <row r="414" spans="1:46" s="4" customFormat="1" ht="17.25" customHeight="1" x14ac:dyDescent="0.25">
      <c r="A414" s="23"/>
      <c r="B414" s="201" t="s">
        <v>13</v>
      </c>
      <c r="C414" s="202"/>
      <c r="D414" s="63"/>
      <c r="E414" s="64">
        <f>-E411-3899.08+654.5+13100</f>
        <v>3425.42</v>
      </c>
      <c r="F414" s="64"/>
      <c r="G414" s="64"/>
      <c r="H414" s="64">
        <f>-E414</f>
        <v>-3425.42</v>
      </c>
      <c r="I414" s="66"/>
      <c r="J414" s="64"/>
      <c r="K414" s="16"/>
      <c r="L414" s="92"/>
      <c r="M414" s="64"/>
      <c r="N414" s="16"/>
      <c r="O414" s="92"/>
      <c r="P414" s="64"/>
      <c r="Q414" s="40"/>
      <c r="R414" s="46">
        <f>-D414</f>
        <v>0</v>
      </c>
      <c r="S414" s="39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22"/>
      <c r="AP414" s="30"/>
    </row>
    <row r="415" spans="1:46" s="2" customFormat="1" ht="17.25" customHeight="1" x14ac:dyDescent="0.25">
      <c r="A415" s="29"/>
      <c r="B415" s="205" t="s">
        <v>453</v>
      </c>
      <c r="C415" s="250"/>
      <c r="D415" s="63"/>
      <c r="E415" s="64">
        <v>-13100</v>
      </c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47"/>
      <c r="R415" s="39"/>
      <c r="S415" s="39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22"/>
      <c r="AQ415" s="10"/>
      <c r="AR415" s="11"/>
    </row>
    <row r="416" spans="1:46" s="2" customFormat="1" ht="17.25" customHeight="1" x14ac:dyDescent="0.25">
      <c r="A416" s="29"/>
      <c r="B416" s="201" t="s">
        <v>343</v>
      </c>
      <c r="C416" s="202"/>
      <c r="D416" s="63"/>
      <c r="E416" s="64">
        <v>-654.5</v>
      </c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47"/>
      <c r="R416" s="39"/>
      <c r="S416" s="39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22"/>
      <c r="AQ416" s="10"/>
      <c r="AR416" s="11"/>
    </row>
    <row r="417" spans="1:46" s="2" customFormat="1" ht="17.25" customHeight="1" thickBot="1" x14ac:dyDescent="0.25">
      <c r="A417" s="24"/>
      <c r="B417" s="216"/>
      <c r="C417" s="217"/>
      <c r="D417" s="83"/>
      <c r="E417" s="81"/>
      <c r="F417" s="81"/>
      <c r="G417" s="81"/>
      <c r="H417" s="81"/>
      <c r="I417" s="81"/>
      <c r="J417" s="81"/>
      <c r="K417" s="37"/>
      <c r="L417" s="93"/>
      <c r="M417" s="81"/>
      <c r="N417" s="37"/>
      <c r="O417" s="93"/>
      <c r="P417" s="81"/>
      <c r="Q417" s="40"/>
      <c r="R417" s="40"/>
      <c r="S417" s="39"/>
      <c r="T417" s="16"/>
      <c r="U417" s="16"/>
      <c r="V417" s="16"/>
      <c r="W417" s="16"/>
      <c r="X417" s="16"/>
      <c r="Y417" s="19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41"/>
      <c r="AQ417" s="10"/>
      <c r="AR417" s="11"/>
    </row>
    <row r="418" spans="1:46" s="4" customFormat="1" ht="17.25" customHeight="1" x14ac:dyDescent="0.25">
      <c r="A418" s="23"/>
      <c r="B418" s="210" t="s">
        <v>94</v>
      </c>
      <c r="C418" s="203"/>
      <c r="D418" s="66"/>
      <c r="E418" s="66"/>
      <c r="F418" s="117"/>
      <c r="G418" s="117"/>
      <c r="H418" s="66"/>
      <c r="I418" s="66"/>
      <c r="J418" s="66">
        <f>-M418</f>
        <v>5842.9000000000005</v>
      </c>
      <c r="K418" s="58">
        <v>-982</v>
      </c>
      <c r="L418" s="89">
        <v>5.95</v>
      </c>
      <c r="M418" s="73">
        <f>K418*L418</f>
        <v>-5842.9000000000005</v>
      </c>
      <c r="N418" s="58"/>
      <c r="O418" s="89"/>
      <c r="P418" s="73"/>
      <c r="Q418" s="39"/>
      <c r="R418" s="39"/>
      <c r="S418" s="8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35"/>
      <c r="AP418" s="12" t="e">
        <f>#REF!</f>
        <v>#REF!</v>
      </c>
    </row>
    <row r="419" spans="1:46" s="4" customFormat="1" ht="17.25" customHeight="1" x14ac:dyDescent="0.25">
      <c r="A419" s="23"/>
      <c r="B419" s="201" t="s">
        <v>95</v>
      </c>
      <c r="C419" s="202"/>
      <c r="D419" s="64"/>
      <c r="E419" s="64"/>
      <c r="F419" s="117"/>
      <c r="G419" s="117"/>
      <c r="H419" s="64"/>
      <c r="I419" s="64"/>
      <c r="J419" s="64">
        <f>-P419</f>
        <v>8079.4</v>
      </c>
      <c r="K419" s="57"/>
      <c r="L419" s="88"/>
      <c r="M419" s="62"/>
      <c r="N419" s="57">
        <v>-2030</v>
      </c>
      <c r="O419" s="88">
        <v>3.98</v>
      </c>
      <c r="P419" s="62">
        <f>N419*O419</f>
        <v>-8079.4</v>
      </c>
      <c r="Q419" s="39"/>
      <c r="R419" s="39"/>
      <c r="S419" s="8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35"/>
      <c r="AP419" s="12" t="e">
        <f>#REF!</f>
        <v>#REF!</v>
      </c>
    </row>
    <row r="420" spans="1:46" s="4" customFormat="1" ht="17.25" customHeight="1" x14ac:dyDescent="0.25">
      <c r="A420" s="23"/>
      <c r="B420" s="201" t="s">
        <v>97</v>
      </c>
      <c r="C420" s="203"/>
      <c r="D420" s="64"/>
      <c r="E420" s="64"/>
      <c r="F420" s="64"/>
      <c r="G420" s="64"/>
      <c r="H420" s="64">
        <f>-J420-I420</f>
        <v>3710.16</v>
      </c>
      <c r="I420" s="64">
        <v>10212.14</v>
      </c>
      <c r="J420" s="64">
        <f>-SUM(J418:J419)</f>
        <v>-13922.3</v>
      </c>
      <c r="K420" s="57"/>
      <c r="L420" s="88"/>
      <c r="M420" s="62"/>
      <c r="N420" s="57"/>
      <c r="O420" s="88"/>
      <c r="P420" s="62"/>
      <c r="Q420" s="39"/>
      <c r="R420" s="39"/>
      <c r="S420" s="39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22"/>
      <c r="AO420" s="43"/>
      <c r="AP420" s="12" t="e">
        <f>#REF!</f>
        <v>#REF!</v>
      </c>
      <c r="AT420" s="2"/>
    </row>
    <row r="421" spans="1:46" s="4" customFormat="1" ht="17.25" customHeight="1" x14ac:dyDescent="0.25">
      <c r="A421" s="23"/>
      <c r="B421" s="201" t="s">
        <v>93</v>
      </c>
      <c r="C421" s="202"/>
      <c r="D421" s="64"/>
      <c r="E421" s="64"/>
      <c r="F421" s="64"/>
      <c r="G421" s="64"/>
      <c r="H421" s="64"/>
      <c r="I421" s="64"/>
      <c r="J421" s="64"/>
      <c r="K421" s="57">
        <v>-72</v>
      </c>
      <c r="L421" s="88"/>
      <c r="M421" s="62">
        <f>(K424*(M411)/(K411))-M411-M418</f>
        <v>483.62687557228401</v>
      </c>
      <c r="N421" s="57">
        <v>120</v>
      </c>
      <c r="O421" s="88"/>
      <c r="P421" s="62">
        <f>(N424*(P411)/(N411))-P411-P419</f>
        <v>1004.8007136237193</v>
      </c>
      <c r="Q421" s="39"/>
      <c r="R421" s="39"/>
      <c r="S421" s="39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22"/>
      <c r="AO421" s="43">
        <f>A405</f>
        <v>0</v>
      </c>
      <c r="AP421" s="12" t="e">
        <f>#REF!</f>
        <v>#REF!</v>
      </c>
      <c r="AT421" s="2"/>
    </row>
    <row r="422" spans="1:46" s="2" customFormat="1" ht="17.25" customHeight="1" x14ac:dyDescent="0.2">
      <c r="A422" s="24"/>
      <c r="B422" s="201"/>
      <c r="C422" s="204"/>
      <c r="D422" s="63"/>
      <c r="E422" s="64"/>
      <c r="F422" s="64"/>
      <c r="G422" s="64"/>
      <c r="H422" s="64"/>
      <c r="I422" s="64"/>
      <c r="J422" s="64"/>
      <c r="K422" s="16"/>
      <c r="L422" s="16"/>
      <c r="M422" s="64"/>
      <c r="N422" s="16"/>
      <c r="O422" s="16"/>
      <c r="P422" s="64"/>
      <c r="Q422" s="46"/>
      <c r="R422" s="46"/>
      <c r="S422" s="39"/>
      <c r="T422" s="16"/>
      <c r="U422" s="16"/>
      <c r="V422" s="16"/>
      <c r="W422" s="16"/>
      <c r="X422" s="16"/>
      <c r="Y422" s="19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43">
        <f>A412</f>
        <v>46020</v>
      </c>
      <c r="AQ422" s="10"/>
      <c r="AR422" s="11"/>
    </row>
    <row r="423" spans="1:46" s="2" customFormat="1" ht="17.25" customHeight="1" thickBot="1" x14ac:dyDescent="0.3">
      <c r="A423" s="56"/>
      <c r="B423" s="101" t="s">
        <v>102</v>
      </c>
      <c r="C423" s="102">
        <f>D424+E424+F424+G424+H424+I424+J424+M424+P424</f>
        <v>171653.96954000002</v>
      </c>
      <c r="D423" s="84"/>
      <c r="E423" s="85"/>
      <c r="F423" s="85"/>
      <c r="G423" s="85"/>
      <c r="H423" s="85"/>
      <c r="I423" s="85"/>
      <c r="J423" s="85"/>
      <c r="K423" s="28"/>
      <c r="L423" s="28"/>
      <c r="M423" s="85"/>
      <c r="N423" s="28"/>
      <c r="O423" s="28"/>
      <c r="P423" s="85"/>
      <c r="Q423" s="48"/>
      <c r="R423" s="48"/>
      <c r="S423" s="51"/>
      <c r="T423" s="28"/>
      <c r="U423" s="28"/>
      <c r="V423" s="28"/>
      <c r="W423" s="28"/>
      <c r="X423" s="28"/>
      <c r="Y423" s="36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42">
        <f>SUM($Q411:AN423)</f>
        <v>-486385.31</v>
      </c>
      <c r="AQ423" s="10"/>
      <c r="AR423" s="11"/>
      <c r="AS423" s="2" t="s">
        <v>5</v>
      </c>
    </row>
    <row r="424" spans="1:46" s="2" customFormat="1" ht="17.25" customHeight="1" thickTop="1" thickBot="1" x14ac:dyDescent="0.3">
      <c r="A424" s="103"/>
      <c r="B424" s="104" t="s">
        <v>103</v>
      </c>
      <c r="C424" s="105">
        <f>AO424</f>
        <v>-314731.34045999998</v>
      </c>
      <c r="D424" s="106">
        <f t="shared" ref="D424:K424" si="56">SUM(D411:D423)</f>
        <v>6322.387040000026</v>
      </c>
      <c r="E424" s="107">
        <f t="shared" si="56"/>
        <v>-3899.08</v>
      </c>
      <c r="F424" s="107">
        <f t="shared" si="56"/>
        <v>0.5</v>
      </c>
      <c r="G424" s="107">
        <f t="shared" si="56"/>
        <v>0</v>
      </c>
      <c r="H424" s="107">
        <f t="shared" si="56"/>
        <v>81508.452500000014</v>
      </c>
      <c r="I424" s="107">
        <f t="shared" si="56"/>
        <v>10212.14</v>
      </c>
      <c r="J424" s="107">
        <f t="shared" si="56"/>
        <v>0</v>
      </c>
      <c r="K424" s="108">
        <f t="shared" si="56"/>
        <v>8775</v>
      </c>
      <c r="L424" s="109">
        <f>M424/K424</f>
        <v>5.0846997150997151</v>
      </c>
      <c r="M424" s="107">
        <f>ROUND(SUM(M411:M423),2)</f>
        <v>44618.239999999998</v>
      </c>
      <c r="N424" s="108">
        <f>SUM(N411:N423)</f>
        <v>8880</v>
      </c>
      <c r="O424" s="109">
        <f>P424/N424</f>
        <v>3.7039786036036038</v>
      </c>
      <c r="P424" s="107">
        <f>ROUND(SUM(P411:P423),2)</f>
        <v>32891.33</v>
      </c>
      <c r="Q424" s="110">
        <f t="shared" ref="Q424:AN424" si="57">SUM(Q411:Q423)</f>
        <v>-530185.23</v>
      </c>
      <c r="R424" s="107">
        <f t="shared" si="57"/>
        <v>50229.299999999996</v>
      </c>
      <c r="S424" s="107">
        <f t="shared" si="57"/>
        <v>0</v>
      </c>
      <c r="T424" s="107">
        <f t="shared" si="57"/>
        <v>-6429.38</v>
      </c>
      <c r="U424" s="107">
        <f t="shared" si="57"/>
        <v>0</v>
      </c>
      <c r="V424" s="107">
        <f t="shared" si="57"/>
        <v>0</v>
      </c>
      <c r="W424" s="107">
        <f t="shared" si="57"/>
        <v>0</v>
      </c>
      <c r="X424" s="107">
        <f t="shared" si="57"/>
        <v>0</v>
      </c>
      <c r="Y424" s="107">
        <f t="shared" si="57"/>
        <v>0</v>
      </c>
      <c r="Z424" s="107">
        <f t="shared" si="57"/>
        <v>0</v>
      </c>
      <c r="AA424" s="107">
        <f t="shared" si="57"/>
        <v>0</v>
      </c>
      <c r="AB424" s="107">
        <f t="shared" si="57"/>
        <v>0</v>
      </c>
      <c r="AC424" s="107">
        <f t="shared" si="57"/>
        <v>0</v>
      </c>
      <c r="AD424" s="107">
        <f t="shared" si="57"/>
        <v>0</v>
      </c>
      <c r="AE424" s="107">
        <f t="shared" si="57"/>
        <v>0</v>
      </c>
      <c r="AF424" s="107">
        <f t="shared" si="57"/>
        <v>0</v>
      </c>
      <c r="AG424" s="107">
        <f t="shared" si="57"/>
        <v>0</v>
      </c>
      <c r="AH424" s="107">
        <f t="shared" si="57"/>
        <v>0</v>
      </c>
      <c r="AI424" s="107">
        <f t="shared" si="57"/>
        <v>0</v>
      </c>
      <c r="AJ424" s="107">
        <f t="shared" si="57"/>
        <v>0</v>
      </c>
      <c r="AK424" s="107">
        <f t="shared" si="57"/>
        <v>0</v>
      </c>
      <c r="AL424" s="107">
        <f t="shared" si="57"/>
        <v>0</v>
      </c>
      <c r="AM424" s="107">
        <f t="shared" si="57"/>
        <v>0</v>
      </c>
      <c r="AN424" s="107">
        <f t="shared" si="57"/>
        <v>0</v>
      </c>
      <c r="AO424" s="111">
        <f>D424+E424+F424+G424+H424+I424+J424+M424+P424+SUM(Q424:AN424)</f>
        <v>-314731.34045999998</v>
      </c>
      <c r="AP424" s="4"/>
      <c r="AQ424" s="5"/>
      <c r="AR424" s="5"/>
      <c r="AS424" s="2" t="s">
        <v>6</v>
      </c>
    </row>
    <row r="425" spans="1:46" s="2" customFormat="1" ht="17.25" customHeight="1" thickTop="1" x14ac:dyDescent="0.25">
      <c r="A425" s="23">
        <f>A412+1</f>
        <v>46021</v>
      </c>
      <c r="B425" s="210" t="s">
        <v>64</v>
      </c>
      <c r="C425" s="203"/>
      <c r="D425" s="63"/>
      <c r="E425" s="66"/>
      <c r="F425" s="66"/>
      <c r="G425" s="66"/>
      <c r="H425" s="66"/>
      <c r="I425" s="66"/>
      <c r="J425" s="66"/>
      <c r="K425" s="18"/>
      <c r="L425" s="18"/>
      <c r="M425" s="66"/>
      <c r="N425" s="18"/>
      <c r="O425" s="18"/>
      <c r="P425" s="66"/>
      <c r="Q425" s="46"/>
      <c r="R425" s="46"/>
      <c r="S425" s="45"/>
      <c r="T425" s="18"/>
      <c r="U425" s="18"/>
      <c r="V425" s="18"/>
      <c r="W425" s="18"/>
      <c r="X425" s="18"/>
      <c r="Y425" s="14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31"/>
      <c r="AQ425" s="10"/>
      <c r="AR425" s="27"/>
    </row>
    <row r="426" spans="1:46" s="4" customFormat="1" ht="17.25" customHeight="1" x14ac:dyDescent="0.25">
      <c r="A426" s="23"/>
      <c r="B426" s="201" t="s">
        <v>96</v>
      </c>
      <c r="C426" s="202"/>
      <c r="D426" s="63"/>
      <c r="E426" s="64"/>
      <c r="F426" s="64"/>
      <c r="G426" s="64"/>
      <c r="H426" s="64"/>
      <c r="I426" s="64"/>
      <c r="J426" s="64"/>
      <c r="K426" s="16"/>
      <c r="L426" s="92"/>
      <c r="M426" s="64"/>
      <c r="N426" s="16"/>
      <c r="O426" s="92"/>
      <c r="P426" s="64"/>
      <c r="Q426" s="40"/>
      <c r="R426" s="46"/>
      <c r="S426" s="39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22"/>
      <c r="AP426" s="30"/>
    </row>
    <row r="427" spans="1:46" s="2" customFormat="1" ht="17.25" customHeight="1" x14ac:dyDescent="0.2">
      <c r="A427" s="23"/>
      <c r="B427" s="201" t="s">
        <v>13</v>
      </c>
      <c r="C427" s="203"/>
      <c r="D427" s="63"/>
      <c r="E427" s="64">
        <f>-E424-33488.31+556.16+37300</f>
        <v>8266.9300000000039</v>
      </c>
      <c r="F427" s="64"/>
      <c r="G427" s="64"/>
      <c r="H427" s="64">
        <f>-E427</f>
        <v>-8266.9300000000039</v>
      </c>
      <c r="I427" s="64"/>
      <c r="J427" s="64"/>
      <c r="K427" s="16"/>
      <c r="L427" s="16"/>
      <c r="M427" s="64"/>
      <c r="N427" s="16"/>
      <c r="O427" s="16"/>
      <c r="P427" s="64"/>
      <c r="Q427" s="46"/>
      <c r="R427" s="39"/>
      <c r="S427" s="40"/>
      <c r="T427" s="16"/>
      <c r="U427" s="16"/>
      <c r="V427" s="16"/>
      <c r="W427" s="16"/>
      <c r="X427" s="16"/>
      <c r="Y427" s="19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35"/>
      <c r="AQ427" s="10"/>
      <c r="AR427" s="27"/>
    </row>
    <row r="428" spans="1:46" s="2" customFormat="1" ht="17.25" customHeight="1" x14ac:dyDescent="0.25">
      <c r="A428" s="29"/>
      <c r="B428" s="201" t="s">
        <v>53</v>
      </c>
      <c r="C428" s="202"/>
      <c r="D428" s="63"/>
      <c r="E428" s="64">
        <v>-556.16</v>
      </c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47"/>
      <c r="R428" s="39"/>
      <c r="S428" s="39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22"/>
      <c r="AQ428" s="10"/>
      <c r="AR428" s="11"/>
    </row>
    <row r="429" spans="1:46" s="2" customFormat="1" ht="17.25" customHeight="1" x14ac:dyDescent="0.25">
      <c r="A429" s="24"/>
      <c r="B429" s="205" t="s">
        <v>359</v>
      </c>
      <c r="C429" s="206"/>
      <c r="D429" s="64">
        <f>-M429</f>
        <v>0</v>
      </c>
      <c r="E429" s="64">
        <f>-P429</f>
        <v>-37300</v>
      </c>
      <c r="F429" s="64"/>
      <c r="G429" s="64"/>
      <c r="H429" s="64"/>
      <c r="I429" s="64"/>
      <c r="J429" s="64"/>
      <c r="K429" s="57"/>
      <c r="L429" s="88"/>
      <c r="M429" s="62"/>
      <c r="N429" s="57">
        <v>10000</v>
      </c>
      <c r="O429" s="88">
        <v>3.73</v>
      </c>
      <c r="P429" s="62">
        <f>N429*O429</f>
        <v>37300</v>
      </c>
      <c r="Q429" s="39"/>
      <c r="R429" s="39"/>
      <c r="S429" s="39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22"/>
      <c r="AQ429" s="10"/>
      <c r="AR429" s="11"/>
    </row>
    <row r="430" spans="1:46" s="2" customFormat="1" ht="17.25" customHeight="1" thickBot="1" x14ac:dyDescent="0.25">
      <c r="A430" s="24"/>
      <c r="B430" s="216"/>
      <c r="C430" s="217"/>
      <c r="D430" s="83"/>
      <c r="E430" s="81"/>
      <c r="F430" s="81"/>
      <c r="G430" s="81"/>
      <c r="H430" s="81"/>
      <c r="I430" s="81"/>
      <c r="J430" s="81"/>
      <c r="K430" s="37"/>
      <c r="L430" s="93"/>
      <c r="M430" s="81"/>
      <c r="N430" s="37"/>
      <c r="O430" s="93"/>
      <c r="P430" s="81"/>
      <c r="Q430" s="40"/>
      <c r="R430" s="40"/>
      <c r="S430" s="39"/>
      <c r="T430" s="16"/>
      <c r="U430" s="16"/>
      <c r="V430" s="16"/>
      <c r="W430" s="16"/>
      <c r="X430" s="16"/>
      <c r="Y430" s="19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41"/>
      <c r="AQ430" s="10"/>
      <c r="AR430" s="11"/>
    </row>
    <row r="431" spans="1:46" s="4" customFormat="1" ht="17.25" customHeight="1" x14ac:dyDescent="0.25">
      <c r="A431" s="23"/>
      <c r="B431" s="210" t="s">
        <v>94</v>
      </c>
      <c r="C431" s="203"/>
      <c r="D431" s="66"/>
      <c r="E431" s="66"/>
      <c r="F431" s="117"/>
      <c r="G431" s="117"/>
      <c r="H431" s="66"/>
      <c r="I431" s="66"/>
      <c r="J431" s="66">
        <f>-M431</f>
        <v>7681.45</v>
      </c>
      <c r="K431" s="58">
        <v>-1291</v>
      </c>
      <c r="L431" s="89">
        <v>5.95</v>
      </c>
      <c r="M431" s="73">
        <f>K431*L431</f>
        <v>-7681.45</v>
      </c>
      <c r="N431" s="58"/>
      <c r="O431" s="89"/>
      <c r="P431" s="73"/>
      <c r="Q431" s="39"/>
      <c r="R431" s="39"/>
      <c r="S431" s="8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35"/>
      <c r="AP431" s="12" t="e">
        <f>#REF!</f>
        <v>#REF!</v>
      </c>
    </row>
    <row r="432" spans="1:46" s="4" customFormat="1" ht="17.25" customHeight="1" x14ac:dyDescent="0.25">
      <c r="A432" s="23"/>
      <c r="B432" s="201" t="s">
        <v>95</v>
      </c>
      <c r="C432" s="202"/>
      <c r="D432" s="64"/>
      <c r="E432" s="64"/>
      <c r="F432" s="117"/>
      <c r="G432" s="117"/>
      <c r="H432" s="64"/>
      <c r="I432" s="64"/>
      <c r="J432" s="64">
        <f>-P432</f>
        <v>8974.9</v>
      </c>
      <c r="K432" s="57"/>
      <c r="L432" s="88"/>
      <c r="M432" s="62"/>
      <c r="N432" s="57">
        <v>-2255</v>
      </c>
      <c r="O432" s="88">
        <v>3.98</v>
      </c>
      <c r="P432" s="62">
        <f>N432*O432</f>
        <v>-8974.9</v>
      </c>
      <c r="Q432" s="39"/>
      <c r="R432" s="39"/>
      <c r="S432" s="8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35"/>
      <c r="AP432" s="12" t="e">
        <f>#REF!</f>
        <v>#REF!</v>
      </c>
    </row>
    <row r="433" spans="1:46" s="4" customFormat="1" ht="17.25" customHeight="1" x14ac:dyDescent="0.25">
      <c r="A433" s="23"/>
      <c r="B433" s="201" t="s">
        <v>97</v>
      </c>
      <c r="C433" s="203"/>
      <c r="D433" s="64"/>
      <c r="E433" s="64"/>
      <c r="F433" s="64"/>
      <c r="G433" s="64"/>
      <c r="H433" s="64">
        <f>-J433-I433</f>
        <v>5299.2299999999977</v>
      </c>
      <c r="I433" s="64">
        <v>11357.12</v>
      </c>
      <c r="J433" s="64">
        <f>-SUM(J431:J432)</f>
        <v>-16656.349999999999</v>
      </c>
      <c r="K433" s="57"/>
      <c r="L433" s="88"/>
      <c r="M433" s="62"/>
      <c r="N433" s="57"/>
      <c r="O433" s="88"/>
      <c r="P433" s="62"/>
      <c r="Q433" s="39"/>
      <c r="R433" s="39"/>
      <c r="S433" s="39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22"/>
      <c r="AO433" s="43">
        <f>A414</f>
        <v>0</v>
      </c>
      <c r="AP433" s="12" t="e">
        <f>#REF!</f>
        <v>#REF!</v>
      </c>
      <c r="AT433" s="2"/>
    </row>
    <row r="434" spans="1:46" s="4" customFormat="1" ht="17.25" customHeight="1" x14ac:dyDescent="0.25">
      <c r="A434" s="23"/>
      <c r="B434" s="201" t="s">
        <v>93</v>
      </c>
      <c r="C434" s="202"/>
      <c r="D434" s="64"/>
      <c r="E434" s="64"/>
      <c r="F434" s="64"/>
      <c r="G434" s="64"/>
      <c r="H434" s="64"/>
      <c r="I434" s="64"/>
      <c r="J434" s="64"/>
      <c r="K434" s="57">
        <v>67</v>
      </c>
      <c r="L434" s="88"/>
      <c r="M434" s="62">
        <f>(K437*(M424)/(K424))-M424-M431</f>
        <v>1457.7775487179488</v>
      </c>
      <c r="N434" s="57">
        <v>59</v>
      </c>
      <c r="O434" s="88"/>
      <c r="P434" s="62">
        <f>(N437*(P424+P429)/(N424+N429))-P424-P432-P429</f>
        <v>810.69657415254187</v>
      </c>
      <c r="Q434" s="39"/>
      <c r="R434" s="39"/>
      <c r="S434" s="39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22"/>
      <c r="AO434" s="43">
        <f>A418</f>
        <v>0</v>
      </c>
      <c r="AP434" s="12" t="e">
        <f>#REF!</f>
        <v>#REF!</v>
      </c>
      <c r="AT434" s="2"/>
    </row>
    <row r="435" spans="1:46" s="2" customFormat="1" ht="17.25" customHeight="1" x14ac:dyDescent="0.2">
      <c r="A435" s="24"/>
      <c r="B435" s="201"/>
      <c r="C435" s="204"/>
      <c r="D435" s="63"/>
      <c r="E435" s="64"/>
      <c r="F435" s="64"/>
      <c r="G435" s="64"/>
      <c r="H435" s="64"/>
      <c r="I435" s="64"/>
      <c r="J435" s="64"/>
      <c r="K435" s="16"/>
      <c r="L435" s="16"/>
      <c r="M435" s="64"/>
      <c r="N435" s="16"/>
      <c r="O435" s="16"/>
      <c r="P435" s="64"/>
      <c r="Q435" s="46"/>
      <c r="R435" s="46"/>
      <c r="S435" s="39"/>
      <c r="T435" s="16"/>
      <c r="U435" s="16"/>
      <c r="V435" s="16"/>
      <c r="W435" s="16"/>
      <c r="X435" s="16"/>
      <c r="Y435" s="19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43">
        <f>A425</f>
        <v>46021</v>
      </c>
      <c r="AQ435" s="10"/>
      <c r="AR435" s="11"/>
    </row>
    <row r="436" spans="1:46" s="2" customFormat="1" ht="17.25" customHeight="1" thickBot="1" x14ac:dyDescent="0.3">
      <c r="A436" s="56"/>
      <c r="B436" s="101" t="s">
        <v>102</v>
      </c>
      <c r="C436" s="102">
        <f>D437+E437+F437+G437+H437+I437+J437+M437+P437</f>
        <v>173366.28954000006</v>
      </c>
      <c r="D436" s="84"/>
      <c r="E436" s="85"/>
      <c r="F436" s="85"/>
      <c r="G436" s="85"/>
      <c r="H436" s="85"/>
      <c r="I436" s="85"/>
      <c r="J436" s="85"/>
      <c r="K436" s="28"/>
      <c r="L436" s="28"/>
      <c r="M436" s="85"/>
      <c r="N436" s="28"/>
      <c r="O436" s="28"/>
      <c r="P436" s="85"/>
      <c r="Q436" s="48"/>
      <c r="R436" s="48"/>
      <c r="S436" s="51"/>
      <c r="T436" s="28"/>
      <c r="U436" s="28"/>
      <c r="V436" s="28"/>
      <c r="W436" s="28"/>
      <c r="X436" s="28"/>
      <c r="Y436" s="36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42">
        <f>SUM($Q424:AN436)</f>
        <v>-486385.31</v>
      </c>
      <c r="AQ436" s="10"/>
      <c r="AR436" s="11"/>
      <c r="AS436" s="2" t="s">
        <v>5</v>
      </c>
    </row>
    <row r="437" spans="1:46" s="2" customFormat="1" ht="17.25" customHeight="1" thickTop="1" thickBot="1" x14ac:dyDescent="0.3">
      <c r="A437" s="103"/>
      <c r="B437" s="104" t="s">
        <v>103</v>
      </c>
      <c r="C437" s="105">
        <f>AO437</f>
        <v>-313019.02045999991</v>
      </c>
      <c r="D437" s="106">
        <f t="shared" ref="D437:K437" si="58">SUM(D424:D436)</f>
        <v>6322.387040000026</v>
      </c>
      <c r="E437" s="107">
        <f t="shared" si="58"/>
        <v>-33488.31</v>
      </c>
      <c r="F437" s="107">
        <f t="shared" si="58"/>
        <v>0.5</v>
      </c>
      <c r="G437" s="107">
        <f t="shared" si="58"/>
        <v>0</v>
      </c>
      <c r="H437" s="107">
        <f t="shared" si="58"/>
        <v>78540.752500000002</v>
      </c>
      <c r="I437" s="107">
        <f t="shared" si="58"/>
        <v>21569.260000000002</v>
      </c>
      <c r="J437" s="107">
        <f t="shared" si="58"/>
        <v>0</v>
      </c>
      <c r="K437" s="108">
        <f t="shared" si="58"/>
        <v>7551</v>
      </c>
      <c r="L437" s="109">
        <f>M437/K437</f>
        <v>5.084700039729837</v>
      </c>
      <c r="M437" s="107">
        <f>ROUND(SUM(M424:M436),2)</f>
        <v>38394.57</v>
      </c>
      <c r="N437" s="108">
        <f>SUM(N424:N436)</f>
        <v>16684</v>
      </c>
      <c r="O437" s="109">
        <f>P437/N437</f>
        <v>3.7177613282186526</v>
      </c>
      <c r="P437" s="107">
        <f>ROUND(SUM(P424:P436),2)</f>
        <v>62027.13</v>
      </c>
      <c r="Q437" s="110">
        <f t="shared" ref="Q437:AN437" si="59">SUM(Q424:Q436)</f>
        <v>-530185.23</v>
      </c>
      <c r="R437" s="107">
        <f t="shared" si="59"/>
        <v>50229.299999999996</v>
      </c>
      <c r="S437" s="107">
        <f t="shared" si="59"/>
        <v>0</v>
      </c>
      <c r="T437" s="107">
        <f t="shared" si="59"/>
        <v>-6429.38</v>
      </c>
      <c r="U437" s="107">
        <f t="shared" si="59"/>
        <v>0</v>
      </c>
      <c r="V437" s="107">
        <f t="shared" si="59"/>
        <v>0</v>
      </c>
      <c r="W437" s="107">
        <f t="shared" si="59"/>
        <v>0</v>
      </c>
      <c r="X437" s="107">
        <f t="shared" si="59"/>
        <v>0</v>
      </c>
      <c r="Y437" s="107">
        <f t="shared" si="59"/>
        <v>0</v>
      </c>
      <c r="Z437" s="107">
        <f t="shared" si="59"/>
        <v>0</v>
      </c>
      <c r="AA437" s="107">
        <f t="shared" si="59"/>
        <v>0</v>
      </c>
      <c r="AB437" s="107">
        <f t="shared" si="59"/>
        <v>0</v>
      </c>
      <c r="AC437" s="107">
        <f t="shared" si="59"/>
        <v>0</v>
      </c>
      <c r="AD437" s="107">
        <f t="shared" si="59"/>
        <v>0</v>
      </c>
      <c r="AE437" s="107">
        <f t="shared" si="59"/>
        <v>0</v>
      </c>
      <c r="AF437" s="107">
        <f t="shared" si="59"/>
        <v>0</v>
      </c>
      <c r="AG437" s="107">
        <f t="shared" si="59"/>
        <v>0</v>
      </c>
      <c r="AH437" s="107">
        <f t="shared" si="59"/>
        <v>0</v>
      </c>
      <c r="AI437" s="107">
        <f t="shared" si="59"/>
        <v>0</v>
      </c>
      <c r="AJ437" s="107">
        <f t="shared" si="59"/>
        <v>0</v>
      </c>
      <c r="AK437" s="107">
        <f t="shared" si="59"/>
        <v>0</v>
      </c>
      <c r="AL437" s="107">
        <f t="shared" si="59"/>
        <v>0</v>
      </c>
      <c r="AM437" s="107">
        <f t="shared" si="59"/>
        <v>0</v>
      </c>
      <c r="AN437" s="107">
        <f t="shared" si="59"/>
        <v>0</v>
      </c>
      <c r="AO437" s="111">
        <f>D437+E437+F437+G437+H437+I437+J437+M437+P437+SUM(Q437:AN437)</f>
        <v>-313019.02045999991</v>
      </c>
      <c r="AP437" s="4"/>
      <c r="AQ437" s="5"/>
      <c r="AR437" s="5"/>
      <c r="AS437" s="2" t="s">
        <v>6</v>
      </c>
    </row>
    <row r="438" spans="1:46" s="2" customFormat="1" ht="17.25" customHeight="1" thickTop="1" x14ac:dyDescent="0.25">
      <c r="A438" s="23">
        <f>A425+1</f>
        <v>46022</v>
      </c>
      <c r="B438" s="210" t="s">
        <v>64</v>
      </c>
      <c r="C438" s="203"/>
      <c r="D438" s="63"/>
      <c r="E438" s="66"/>
      <c r="F438" s="66"/>
      <c r="G438" s="66"/>
      <c r="H438" s="66"/>
      <c r="I438" s="66"/>
      <c r="J438" s="66"/>
      <c r="K438" s="18"/>
      <c r="L438" s="18"/>
      <c r="M438" s="66"/>
      <c r="N438" s="18"/>
      <c r="O438" s="18"/>
      <c r="P438" s="66"/>
      <c r="Q438" s="46"/>
      <c r="R438" s="46"/>
      <c r="S438" s="45"/>
      <c r="T438" s="18"/>
      <c r="U438" s="18"/>
      <c r="V438" s="18"/>
      <c r="W438" s="18"/>
      <c r="X438" s="18"/>
      <c r="Y438" s="14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31"/>
      <c r="AQ438" s="10"/>
      <c r="AR438" s="27"/>
    </row>
    <row r="439" spans="1:46" s="4" customFormat="1" ht="17.25" customHeight="1" x14ac:dyDescent="0.25">
      <c r="A439" s="23"/>
      <c r="B439" s="201" t="s">
        <v>96</v>
      </c>
      <c r="C439" s="202"/>
      <c r="D439" s="63"/>
      <c r="E439" s="64"/>
      <c r="F439" s="64"/>
      <c r="G439" s="64"/>
      <c r="H439" s="64"/>
      <c r="I439" s="64"/>
      <c r="J439" s="64"/>
      <c r="K439" s="16"/>
      <c r="L439" s="92"/>
      <c r="M439" s="64"/>
      <c r="N439" s="16"/>
      <c r="O439" s="92"/>
      <c r="P439" s="64"/>
      <c r="Q439" s="40"/>
      <c r="R439" s="46"/>
      <c r="S439" s="39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22"/>
      <c r="AP439" s="30"/>
    </row>
    <row r="440" spans="1:46" s="2" customFormat="1" ht="17.25" customHeight="1" x14ac:dyDescent="0.2">
      <c r="A440" s="23"/>
      <c r="B440" s="201" t="s">
        <v>13</v>
      </c>
      <c r="C440" s="203"/>
      <c r="D440" s="63"/>
      <c r="E440" s="64">
        <f>-E437-31610.26</f>
        <v>1878.0499999999993</v>
      </c>
      <c r="F440" s="64"/>
      <c r="G440" s="64"/>
      <c r="H440" s="64">
        <f>-E440</f>
        <v>-1878.0499999999993</v>
      </c>
      <c r="I440" s="64"/>
      <c r="J440" s="64"/>
      <c r="K440" s="16"/>
      <c r="L440" s="16"/>
      <c r="M440" s="64"/>
      <c r="N440" s="16"/>
      <c r="O440" s="16"/>
      <c r="P440" s="64"/>
      <c r="Q440" s="46"/>
      <c r="R440" s="39"/>
      <c r="S440" s="40"/>
      <c r="T440" s="16"/>
      <c r="U440" s="16"/>
      <c r="V440" s="16"/>
      <c r="W440" s="16"/>
      <c r="X440" s="16"/>
      <c r="Y440" s="19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35"/>
      <c r="AQ440" s="10"/>
      <c r="AR440" s="27"/>
    </row>
    <row r="441" spans="1:46" s="2" customFormat="1" ht="17.25" customHeight="1" x14ac:dyDescent="0.2">
      <c r="A441" s="23"/>
      <c r="B441" s="201"/>
      <c r="C441" s="202"/>
      <c r="D441" s="63"/>
      <c r="E441" s="64"/>
      <c r="F441" s="74"/>
      <c r="G441" s="74"/>
      <c r="H441" s="64"/>
      <c r="I441" s="64"/>
      <c r="J441" s="64"/>
      <c r="K441" s="16"/>
      <c r="L441" s="16"/>
      <c r="M441" s="64"/>
      <c r="N441" s="16"/>
      <c r="O441" s="16"/>
      <c r="P441" s="64"/>
      <c r="Q441" s="46"/>
      <c r="R441" s="39"/>
      <c r="S441" s="40"/>
      <c r="T441" s="16"/>
      <c r="U441" s="16"/>
      <c r="V441" s="16"/>
      <c r="W441" s="16"/>
      <c r="X441" s="16"/>
      <c r="Y441" s="19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35"/>
      <c r="AQ441" s="10"/>
      <c r="AR441" s="27"/>
    </row>
    <row r="442" spans="1:46" s="2" customFormat="1" ht="17.25" customHeight="1" x14ac:dyDescent="0.2">
      <c r="A442" s="23"/>
      <c r="B442" s="201" t="s">
        <v>168</v>
      </c>
      <c r="C442" s="204"/>
      <c r="D442" s="63"/>
      <c r="E442" s="64"/>
      <c r="F442" s="74"/>
      <c r="G442" s="74"/>
      <c r="H442" s="64">
        <v>-12222.84</v>
      </c>
      <c r="I442" s="64"/>
      <c r="J442" s="64"/>
      <c r="K442" s="16"/>
      <c r="L442" s="16"/>
      <c r="M442" s="64"/>
      <c r="N442" s="16"/>
      <c r="O442" s="16"/>
      <c r="P442" s="64"/>
      <c r="Q442" s="46"/>
      <c r="R442" s="39"/>
      <c r="S442" s="40"/>
      <c r="T442" s="16"/>
      <c r="U442" s="16"/>
      <c r="V442" s="16"/>
      <c r="W442" s="16"/>
      <c r="X442" s="16"/>
      <c r="Y442" s="19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35"/>
      <c r="AQ442" s="10"/>
      <c r="AR442" s="27"/>
    </row>
    <row r="443" spans="1:46" s="2" customFormat="1" ht="17.25" customHeight="1" x14ac:dyDescent="0.2">
      <c r="A443" s="23"/>
      <c r="B443" s="201" t="s">
        <v>169</v>
      </c>
      <c r="C443" s="204"/>
      <c r="D443" s="63"/>
      <c r="E443" s="64"/>
      <c r="F443" s="74"/>
      <c r="G443" s="74"/>
      <c r="H443" s="64">
        <v>-6500</v>
      </c>
      <c r="I443" s="64"/>
      <c r="J443" s="64"/>
      <c r="K443" s="16"/>
      <c r="L443" s="16"/>
      <c r="M443" s="64"/>
      <c r="N443" s="16"/>
      <c r="O443" s="16"/>
      <c r="P443" s="64"/>
      <c r="Q443" s="46"/>
      <c r="R443" s="39"/>
      <c r="S443" s="40"/>
      <c r="T443" s="16"/>
      <c r="U443" s="16"/>
      <c r="V443" s="16"/>
      <c r="W443" s="16"/>
      <c r="X443" s="16"/>
      <c r="Y443" s="19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35"/>
      <c r="AQ443" s="10"/>
      <c r="AR443" s="27"/>
    </row>
    <row r="444" spans="1:46" s="2" customFormat="1" ht="17.25" customHeight="1" x14ac:dyDescent="0.2">
      <c r="A444" s="23"/>
      <c r="B444" s="201" t="s">
        <v>170</v>
      </c>
      <c r="C444" s="204"/>
      <c r="D444" s="63"/>
      <c r="E444" s="64"/>
      <c r="F444" s="74"/>
      <c r="G444" s="74"/>
      <c r="H444" s="64">
        <v>-1920</v>
      </c>
      <c r="I444" s="64"/>
      <c r="J444" s="64"/>
      <c r="K444" s="16"/>
      <c r="L444" s="16"/>
      <c r="M444" s="64"/>
      <c r="N444" s="16"/>
      <c r="O444" s="16"/>
      <c r="P444" s="64"/>
      <c r="Q444" s="46"/>
      <c r="R444" s="39"/>
      <c r="S444" s="40"/>
      <c r="T444" s="16"/>
      <c r="U444" s="16"/>
      <c r="V444" s="16"/>
      <c r="W444" s="16"/>
      <c r="X444" s="16"/>
      <c r="Y444" s="19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35"/>
      <c r="AQ444" s="10"/>
      <c r="AR444" s="27"/>
    </row>
    <row r="445" spans="1:46" s="2" customFormat="1" ht="17.25" customHeight="1" x14ac:dyDescent="0.2">
      <c r="A445" s="23"/>
      <c r="B445" s="201" t="s">
        <v>171</v>
      </c>
      <c r="C445" s="204"/>
      <c r="D445" s="63"/>
      <c r="E445" s="64"/>
      <c r="F445" s="74"/>
      <c r="G445" s="74"/>
      <c r="H445" s="64">
        <v>-600</v>
      </c>
      <c r="I445" s="64"/>
      <c r="J445" s="64"/>
      <c r="K445" s="16"/>
      <c r="L445" s="16"/>
      <c r="M445" s="64"/>
      <c r="N445" s="16"/>
      <c r="O445" s="16"/>
      <c r="P445" s="64"/>
      <c r="Q445" s="46"/>
      <c r="R445" s="39"/>
      <c r="S445" s="40"/>
      <c r="T445" s="16"/>
      <c r="U445" s="16"/>
      <c r="V445" s="16"/>
      <c r="W445" s="16"/>
      <c r="X445" s="16"/>
      <c r="Y445" s="19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35"/>
      <c r="AQ445" s="10"/>
      <c r="AR445" s="27"/>
    </row>
    <row r="446" spans="1:46" s="2" customFormat="1" ht="17.25" customHeight="1" x14ac:dyDescent="0.2">
      <c r="A446" s="23"/>
      <c r="B446" s="201" t="s">
        <v>172</v>
      </c>
      <c r="C446" s="204"/>
      <c r="D446" s="63"/>
      <c r="E446" s="64"/>
      <c r="F446" s="74"/>
      <c r="G446" s="74"/>
      <c r="H446" s="64">
        <v>-480</v>
      </c>
      <c r="I446" s="64"/>
      <c r="J446" s="64"/>
      <c r="K446" s="16"/>
      <c r="L446" s="16"/>
      <c r="M446" s="64"/>
      <c r="N446" s="16"/>
      <c r="O446" s="16"/>
      <c r="P446" s="64"/>
      <c r="Q446" s="46"/>
      <c r="R446" s="39"/>
      <c r="S446" s="40"/>
      <c r="T446" s="16"/>
      <c r="U446" s="16"/>
      <c r="V446" s="16"/>
      <c r="W446" s="16"/>
      <c r="X446" s="16"/>
      <c r="Y446" s="19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35"/>
      <c r="AQ446" s="10"/>
      <c r="AR446" s="27"/>
    </row>
    <row r="447" spans="1:46" s="2" customFormat="1" ht="17.25" customHeight="1" thickBot="1" x14ac:dyDescent="0.25">
      <c r="A447" s="24"/>
      <c r="B447" s="216"/>
      <c r="C447" s="242"/>
      <c r="D447" s="83"/>
      <c r="E447" s="81"/>
      <c r="F447" s="81"/>
      <c r="G447" s="81"/>
      <c r="H447" s="81"/>
      <c r="I447" s="81"/>
      <c r="J447" s="81"/>
      <c r="K447" s="37"/>
      <c r="L447" s="93"/>
      <c r="M447" s="81"/>
      <c r="N447" s="37"/>
      <c r="O447" s="93"/>
      <c r="P447" s="81"/>
      <c r="Q447" s="40"/>
      <c r="R447" s="40"/>
      <c r="S447" s="39"/>
      <c r="T447" s="16"/>
      <c r="U447" s="16"/>
      <c r="V447" s="16"/>
      <c r="W447" s="16"/>
      <c r="X447" s="16"/>
      <c r="Y447" s="19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41"/>
      <c r="AQ447" s="10"/>
      <c r="AR447" s="11"/>
    </row>
    <row r="448" spans="1:46" s="4" customFormat="1" ht="17.25" customHeight="1" x14ac:dyDescent="0.25">
      <c r="A448" s="23"/>
      <c r="B448" s="210" t="s">
        <v>94</v>
      </c>
      <c r="C448" s="203"/>
      <c r="D448" s="66"/>
      <c r="E448" s="66"/>
      <c r="F448" s="117"/>
      <c r="G448" s="117"/>
      <c r="H448" s="66"/>
      <c r="I448" s="66"/>
      <c r="J448" s="66">
        <f>-M448</f>
        <v>8145.55</v>
      </c>
      <c r="K448" s="58">
        <v>-1369</v>
      </c>
      <c r="L448" s="89">
        <v>5.95</v>
      </c>
      <c r="M448" s="73">
        <f>K448*L448</f>
        <v>-8145.55</v>
      </c>
      <c r="N448" s="58"/>
      <c r="O448" s="89"/>
      <c r="P448" s="73"/>
      <c r="Q448" s="39"/>
      <c r="R448" s="39"/>
      <c r="S448" s="8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35"/>
      <c r="AP448" s="12" t="e">
        <f>#REF!</f>
        <v>#REF!</v>
      </c>
    </row>
    <row r="449" spans="1:46" s="4" customFormat="1" ht="17.25" customHeight="1" x14ac:dyDescent="0.25">
      <c r="A449" s="23"/>
      <c r="B449" s="201" t="s">
        <v>95</v>
      </c>
      <c r="C449" s="202"/>
      <c r="D449" s="64"/>
      <c r="E449" s="64"/>
      <c r="F449" s="117"/>
      <c r="G449" s="117"/>
      <c r="H449" s="64"/>
      <c r="I449" s="64"/>
      <c r="J449" s="64">
        <f>-P449</f>
        <v>10264.42</v>
      </c>
      <c r="K449" s="57"/>
      <c r="L449" s="88"/>
      <c r="M449" s="62"/>
      <c r="N449" s="57">
        <v>-2579</v>
      </c>
      <c r="O449" s="88">
        <v>3.98</v>
      </c>
      <c r="P449" s="62">
        <f>N449*O449</f>
        <v>-10264.42</v>
      </c>
      <c r="Q449" s="39"/>
      <c r="R449" s="39"/>
      <c r="S449" s="8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35"/>
      <c r="AP449" s="12" t="e">
        <f>#REF!</f>
        <v>#REF!</v>
      </c>
    </row>
    <row r="450" spans="1:46" s="4" customFormat="1" ht="17.25" customHeight="1" x14ac:dyDescent="0.25">
      <c r="A450" s="23"/>
      <c r="B450" s="201" t="s">
        <v>97</v>
      </c>
      <c r="C450" s="203"/>
      <c r="D450" s="64"/>
      <c r="E450" s="64"/>
      <c r="F450" s="64"/>
      <c r="G450" s="64"/>
      <c r="H450" s="64">
        <f>-J450-I450</f>
        <v>5459.4100000000017</v>
      </c>
      <c r="I450" s="64">
        <v>12950.56</v>
      </c>
      <c r="J450" s="64">
        <f>-SUM(J448:J449)</f>
        <v>-18409.97</v>
      </c>
      <c r="K450" s="57"/>
      <c r="L450" s="88"/>
      <c r="M450" s="62"/>
      <c r="N450" s="57"/>
      <c r="O450" s="88"/>
      <c r="P450" s="62"/>
      <c r="Q450" s="39"/>
      <c r="R450" s="39"/>
      <c r="S450" s="39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22"/>
      <c r="AO450" s="43">
        <f>A360</f>
        <v>0</v>
      </c>
      <c r="AP450" s="12" t="e">
        <f>#REF!</f>
        <v>#REF!</v>
      </c>
      <c r="AT450" s="2"/>
    </row>
    <row r="451" spans="1:46" s="4" customFormat="1" ht="17.25" customHeight="1" x14ac:dyDescent="0.25">
      <c r="A451" s="23"/>
      <c r="B451" s="201" t="s">
        <v>93</v>
      </c>
      <c r="C451" s="202"/>
      <c r="D451" s="64"/>
      <c r="E451" s="64"/>
      <c r="F451" s="64"/>
      <c r="G451" s="64"/>
      <c r="H451" s="64"/>
      <c r="I451" s="64"/>
      <c r="J451" s="64"/>
      <c r="K451" s="57">
        <v>-30</v>
      </c>
      <c r="L451" s="88"/>
      <c r="M451" s="62">
        <f>(K454*(M437)/(K437))-M437-M448</f>
        <v>1032.0546444179572</v>
      </c>
      <c r="N451" s="57">
        <v>-78</v>
      </c>
      <c r="O451" s="88"/>
      <c r="P451" s="62">
        <f>(N454*(P437)/(N437))-P437-P449</f>
        <v>386.32815092304554</v>
      </c>
      <c r="Q451" s="39"/>
      <c r="R451" s="39"/>
      <c r="S451" s="39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22"/>
      <c r="AO451" s="43">
        <f>A369</f>
        <v>0</v>
      </c>
      <c r="AP451" s="12" t="e">
        <f>#REF!</f>
        <v>#REF!</v>
      </c>
      <c r="AT451" s="2"/>
    </row>
    <row r="452" spans="1:46" s="2" customFormat="1" ht="17.25" customHeight="1" x14ac:dyDescent="0.2">
      <c r="A452" s="24"/>
      <c r="B452" s="201"/>
      <c r="C452" s="204"/>
      <c r="D452" s="63"/>
      <c r="E452" s="64"/>
      <c r="F452" s="64"/>
      <c r="G452" s="64"/>
      <c r="H452" s="64"/>
      <c r="I452" s="64"/>
      <c r="J452" s="64"/>
      <c r="K452" s="16"/>
      <c r="L452" s="16"/>
      <c r="M452" s="64"/>
      <c r="N452" s="16"/>
      <c r="O452" s="16"/>
      <c r="P452" s="64"/>
      <c r="Q452" s="46"/>
      <c r="R452" s="46"/>
      <c r="S452" s="39"/>
      <c r="T452" s="16"/>
      <c r="U452" s="16"/>
      <c r="V452" s="16"/>
      <c r="W452" s="16"/>
      <c r="X452" s="16"/>
      <c r="Y452" s="19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43">
        <f>A438</f>
        <v>46022</v>
      </c>
      <c r="AQ452" s="10"/>
      <c r="AR452" s="11"/>
    </row>
    <row r="453" spans="1:46" s="2" customFormat="1" ht="17.25" customHeight="1" thickBot="1" x14ac:dyDescent="0.3">
      <c r="A453" s="56"/>
      <c r="B453" s="101" t="s">
        <v>102</v>
      </c>
      <c r="C453" s="102">
        <f>D454+E454+F454+G454+H454+I454+J454+M454+P454</f>
        <v>153061.82954000004</v>
      </c>
      <c r="D453" s="84"/>
      <c r="E453" s="85"/>
      <c r="F453" s="85"/>
      <c r="G453" s="85"/>
      <c r="H453" s="85"/>
      <c r="I453" s="85"/>
      <c r="J453" s="85"/>
      <c r="K453" s="28"/>
      <c r="L453" s="28"/>
      <c r="M453" s="85"/>
      <c r="N453" s="28"/>
      <c r="O453" s="28"/>
      <c r="P453" s="85"/>
      <c r="Q453" s="48"/>
      <c r="R453" s="48"/>
      <c r="S453" s="51"/>
      <c r="T453" s="28"/>
      <c r="U453" s="28"/>
      <c r="V453" s="28"/>
      <c r="W453" s="28"/>
      <c r="X453" s="28"/>
      <c r="Y453" s="36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42">
        <f>SUM($Q437:AN453)</f>
        <v>-486385.31</v>
      </c>
      <c r="AQ453" s="10"/>
      <c r="AR453" s="11"/>
      <c r="AS453" s="2" t="s">
        <v>5</v>
      </c>
    </row>
    <row r="454" spans="1:46" s="2" customFormat="1" ht="17.25" customHeight="1" thickTop="1" thickBot="1" x14ac:dyDescent="0.3">
      <c r="A454" s="103"/>
      <c r="B454" s="104" t="s">
        <v>103</v>
      </c>
      <c r="C454" s="105">
        <f>AO454</f>
        <v>-333323.48045999999</v>
      </c>
      <c r="D454" s="106">
        <f t="shared" ref="D454:K454" si="60">SUM(D437:D453)</f>
        <v>6322.387040000026</v>
      </c>
      <c r="E454" s="106">
        <f t="shared" si="60"/>
        <v>-31610.26</v>
      </c>
      <c r="F454" s="106">
        <f t="shared" si="60"/>
        <v>0.5</v>
      </c>
      <c r="G454" s="106">
        <f t="shared" si="60"/>
        <v>0</v>
      </c>
      <c r="H454" s="106">
        <f t="shared" si="60"/>
        <v>60399.272500000006</v>
      </c>
      <c r="I454" s="106">
        <f t="shared" si="60"/>
        <v>34519.82</v>
      </c>
      <c r="J454" s="106">
        <f t="shared" si="60"/>
        <v>0</v>
      </c>
      <c r="K454" s="108">
        <f t="shared" si="60"/>
        <v>6152</v>
      </c>
      <c r="L454" s="109">
        <f>M454/K454</f>
        <v>5.0846992847854358</v>
      </c>
      <c r="M454" s="107">
        <f>ROUND(SUM(M437:M453),2)</f>
        <v>31281.07</v>
      </c>
      <c r="N454" s="108">
        <f>SUM(N437:N453)</f>
        <v>14027</v>
      </c>
      <c r="O454" s="109">
        <f>P454/N454</f>
        <v>3.7177614600413489</v>
      </c>
      <c r="P454" s="107">
        <f>ROUND(SUM(P437:P453),2)</f>
        <v>52149.04</v>
      </c>
      <c r="Q454" s="110">
        <f t="shared" ref="Q454:V454" si="61">SUM(Q437:Q453)</f>
        <v>-530185.23</v>
      </c>
      <c r="R454" s="110">
        <f t="shared" si="61"/>
        <v>50229.299999999996</v>
      </c>
      <c r="S454" s="110">
        <f t="shared" si="61"/>
        <v>0</v>
      </c>
      <c r="T454" s="110">
        <f t="shared" si="61"/>
        <v>-6429.38</v>
      </c>
      <c r="U454" s="110">
        <f t="shared" si="61"/>
        <v>0</v>
      </c>
      <c r="V454" s="110">
        <f t="shared" si="61"/>
        <v>0</v>
      </c>
      <c r="W454" s="107">
        <f t="shared" ref="W454:AN454" si="62">SUM(W375:W453)</f>
        <v>0</v>
      </c>
      <c r="X454" s="107">
        <f t="shared" si="62"/>
        <v>0</v>
      </c>
      <c r="Y454" s="107">
        <f t="shared" si="62"/>
        <v>0</v>
      </c>
      <c r="Z454" s="107">
        <f t="shared" si="62"/>
        <v>0</v>
      </c>
      <c r="AA454" s="107">
        <f t="shared" si="62"/>
        <v>0</v>
      </c>
      <c r="AB454" s="107">
        <f t="shared" si="62"/>
        <v>0</v>
      </c>
      <c r="AC454" s="107">
        <f t="shared" si="62"/>
        <v>0</v>
      </c>
      <c r="AD454" s="107">
        <f t="shared" si="62"/>
        <v>0</v>
      </c>
      <c r="AE454" s="107">
        <f t="shared" si="62"/>
        <v>0</v>
      </c>
      <c r="AF454" s="107">
        <f t="shared" si="62"/>
        <v>0</v>
      </c>
      <c r="AG454" s="107">
        <f t="shared" si="62"/>
        <v>0</v>
      </c>
      <c r="AH454" s="107">
        <f t="shared" si="62"/>
        <v>0</v>
      </c>
      <c r="AI454" s="107">
        <f t="shared" si="62"/>
        <v>0</v>
      </c>
      <c r="AJ454" s="107">
        <f t="shared" si="62"/>
        <v>0</v>
      </c>
      <c r="AK454" s="107">
        <f t="shared" si="62"/>
        <v>0</v>
      </c>
      <c r="AL454" s="107">
        <f t="shared" si="62"/>
        <v>0</v>
      </c>
      <c r="AM454" s="107">
        <f t="shared" si="62"/>
        <v>0</v>
      </c>
      <c r="AN454" s="107">
        <f t="shared" si="62"/>
        <v>0</v>
      </c>
      <c r="AO454" s="111">
        <f>D454+E454+F454+G454+H454+I454+J454+M454+P454+SUM(Q454:AN454)</f>
        <v>-333323.48045999999</v>
      </c>
      <c r="AP454" s="4"/>
      <c r="AQ454" s="5"/>
      <c r="AR454" s="5"/>
      <c r="AS454" s="2" t="s">
        <v>6</v>
      </c>
    </row>
    <row r="455" spans="1:46" ht="17.25" customHeight="1" thickTop="1" x14ac:dyDescent="0.25">
      <c r="A455" s="127"/>
      <c r="B455" s="125"/>
      <c r="C455" s="125"/>
      <c r="D455" s="128"/>
      <c r="E455" s="128"/>
      <c r="F455" s="128"/>
      <c r="G455" s="128"/>
      <c r="H455" s="128"/>
      <c r="I455" s="128"/>
      <c r="J455" s="128"/>
    </row>
    <row r="456" spans="1:46" ht="17.25" customHeight="1" x14ac:dyDescent="0.25">
      <c r="A456" s="127"/>
      <c r="B456" s="131" t="s">
        <v>150</v>
      </c>
      <c r="C456" s="126">
        <f>N462</f>
        <v>47612.492216992076</v>
      </c>
      <c r="D456" s="128"/>
      <c r="E456" s="218" t="s">
        <v>386</v>
      </c>
      <c r="F456" s="218"/>
      <c r="G456" s="218"/>
      <c r="H456" s="213">
        <f>E80</f>
        <v>-3214.6899999999996</v>
      </c>
      <c r="I456" s="213"/>
      <c r="J456" s="129"/>
      <c r="K456" s="219" t="s">
        <v>87</v>
      </c>
      <c r="L456" s="220"/>
      <c r="M456" s="221"/>
      <c r="N456" s="223" t="s">
        <v>88</v>
      </c>
      <c r="O456" s="224"/>
      <c r="P456" s="225"/>
      <c r="R456" s="121"/>
      <c r="U456" s="121"/>
    </row>
    <row r="457" spans="1:46" ht="17.25" customHeight="1" x14ac:dyDescent="0.25">
      <c r="A457" s="127"/>
      <c r="B457" s="131" t="s">
        <v>151</v>
      </c>
      <c r="C457" s="126">
        <f>I4+I22+I43+I62+I74+I94+I106+I117+I134+I149+I167+I196+I207+I218+I232+I248+I260+I275+I293+I305+I316+I334+I353+I365+I439+I377+I391+I401+I413+I426+I181</f>
        <v>-7367.5800000000017</v>
      </c>
      <c r="D457" s="128"/>
      <c r="E457" s="218" t="s">
        <v>158</v>
      </c>
      <c r="F457" s="218"/>
      <c r="G457" s="218"/>
      <c r="H457" s="213">
        <f>D7+D45+D169+D278+D339+D136</f>
        <v>-894.21</v>
      </c>
      <c r="I457" s="213"/>
      <c r="J457" s="129"/>
      <c r="K457" s="226" t="s">
        <v>143</v>
      </c>
      <c r="L457" s="227"/>
      <c r="M457" s="57">
        <f>(K14+K35+K54+K66+K86+K98+K109+K126+K141+K159+K173+K188+K199+K210+K224+K240+K252+K267+K285+K297+K308+K326+K345+K357+K369+K448+K383+K393+K405+K418+K431)*-1</f>
        <v>40454</v>
      </c>
      <c r="N457" s="226" t="s">
        <v>143</v>
      </c>
      <c r="O457" s="227"/>
      <c r="P457" s="57">
        <f>(N15+N36+N55+N67+N87+N99+N110+N127+N142+N160+N174+N189+N200+N211+N225+N241+N253+N268+N286+N298+N309+N327+N346+N358+N370+N449+N384+N394+N406+N419+N432)*-1</f>
        <v>66460</v>
      </c>
      <c r="R457" s="121">
        <f>I16+I37+I56+I68+I88+I100+I111+I128+I143+I161+I175+I201+I212+I226+I242+I254+I269+I287+I299+I310+I328+I347+I359+I371+I385+I395+I407+I420+I433+I450+I190</f>
        <v>338512.65</v>
      </c>
      <c r="U457" s="121">
        <v>338512.65</v>
      </c>
    </row>
    <row r="458" spans="1:46" ht="17.25" customHeight="1" x14ac:dyDescent="0.25">
      <c r="A458" s="127"/>
      <c r="B458" s="131" t="s">
        <v>160</v>
      </c>
      <c r="C458" s="126">
        <f>E11+D27+E29+E30+E154+E155+E156+E186+E221+E222+E236+E237+E238+F234+D277+E280+E281+E282+E283+E355+E416+E428+D135+D75+H138+H139</f>
        <v>-13117.71</v>
      </c>
      <c r="D458" s="128"/>
      <c r="E458" s="218" t="s">
        <v>157</v>
      </c>
      <c r="F458" s="218"/>
      <c r="G458" s="218"/>
      <c r="H458" s="213">
        <f>D28+D52+D76+D121+D151+D184+D264+D322+D341+D367+D379+D403</f>
        <v>-63.699999999999989</v>
      </c>
      <c r="I458" s="213"/>
      <c r="J458" s="129"/>
      <c r="K458" s="226" t="s">
        <v>144</v>
      </c>
      <c r="L458" s="227"/>
      <c r="M458" s="121">
        <f>(M17+M38+M57+M69+M89+M101+M112+M129+M144+M162+M176+M191+M202+M213+M227+M243+M255+M270+M288+M300+M311+M329+M348+M360+M372+M451+M386+M396+M408+M421+M434)</f>
        <v>31948.763212814436</v>
      </c>
      <c r="N458" s="226" t="s">
        <v>144</v>
      </c>
      <c r="O458" s="227"/>
      <c r="P458" s="121">
        <f>(P17+P38+P57+P69+P89+P101+P112+P129+P144+P162+P176+P191+P202+P213+P227+P243+P255+P270+P288+P300+P311+P329+P348+P360+P372+P451+P386+P396+P408+P421+P434)</f>
        <v>15663.729004177643</v>
      </c>
      <c r="R458" s="121">
        <v>-312909.86</v>
      </c>
      <c r="U458" s="121">
        <v>-330564.64</v>
      </c>
    </row>
    <row r="459" spans="1:46" ht="17.25" customHeight="1" x14ac:dyDescent="0.25">
      <c r="A459" s="127"/>
      <c r="B459" s="131" t="s">
        <v>244</v>
      </c>
      <c r="C459" s="126">
        <f>H442+H444+H445+H446+H81+H82</f>
        <v>-19849.120000000003</v>
      </c>
      <c r="D459" s="128"/>
      <c r="E459" s="230" t="s">
        <v>156</v>
      </c>
      <c r="F459" s="230"/>
      <c r="G459" s="230"/>
      <c r="H459" s="213">
        <f>E25+E153</f>
        <v>-1809.8</v>
      </c>
      <c r="I459" s="213"/>
      <c r="J459" s="133"/>
      <c r="K459" s="226" t="s">
        <v>145</v>
      </c>
      <c r="L459" s="227"/>
      <c r="M459" s="57">
        <f>(K17+K38+K57+K69+K89+K101+K112+K129+K144+K162+K176+K191+K202+K213+K227+K243+K255+K270+K288+K300+K311+K329+K348+K360+K372+K451+K386+K396+K408+K421+K434)</f>
        <v>-151</v>
      </c>
      <c r="N459" s="226" t="s">
        <v>145</v>
      </c>
      <c r="O459" s="227"/>
      <c r="P459" s="57">
        <f>(N17+N38+N57+N69+N89+N101+N112+N129+N144+N162+N176+N191+N202+N213+N227+N243+N255+N270+N288+N300+N311+N329+N348+N360+N372+N451+N386+N396+N408+N421+N434)</f>
        <v>-403</v>
      </c>
      <c r="R459" s="121">
        <f>SUM(R457:R458)</f>
        <v>25602.790000000037</v>
      </c>
      <c r="U459" s="121">
        <f>SUM(U457:U458)</f>
        <v>7948.0100000000093</v>
      </c>
    </row>
    <row r="460" spans="1:46" ht="17.25" customHeight="1" x14ac:dyDescent="0.25">
      <c r="A460" s="127"/>
      <c r="B460" s="131" t="s">
        <v>245</v>
      </c>
      <c r="C460" s="126">
        <f>H443</f>
        <v>-6500</v>
      </c>
      <c r="D460" s="3"/>
      <c r="E460" s="230" t="s">
        <v>300</v>
      </c>
      <c r="F460" s="230"/>
      <c r="G460" s="230"/>
      <c r="H460" s="213">
        <f>E24</f>
        <v>-92.5</v>
      </c>
      <c r="I460" s="213"/>
      <c r="J460" s="129"/>
      <c r="K460" s="228"/>
      <c r="L460" s="229"/>
      <c r="M460" s="122"/>
      <c r="N460" s="228"/>
      <c r="O460" s="229"/>
      <c r="P460" s="123"/>
    </row>
    <row r="461" spans="1:46" s="21" customFormat="1" ht="17.25" customHeight="1" x14ac:dyDescent="0.25">
      <c r="A461" s="127"/>
      <c r="B461" s="137" t="s">
        <v>149</v>
      </c>
      <c r="C461" s="138">
        <f>SUM(C456:C460)</f>
        <v>778.08221699207206</v>
      </c>
      <c r="D461" s="128"/>
      <c r="E461" s="231" t="s">
        <v>159</v>
      </c>
      <c r="F461" s="232"/>
      <c r="G461" s="232"/>
      <c r="H461" s="233">
        <f>SUM(H456:I460)</f>
        <v>-6074.9</v>
      </c>
      <c r="I461" s="234"/>
      <c r="J461" s="128"/>
      <c r="K461" s="241" t="s">
        <v>146</v>
      </c>
      <c r="L461" s="241"/>
      <c r="M461" s="241"/>
      <c r="N461" s="235">
        <f>M457+P457</f>
        <v>106914</v>
      </c>
      <c r="O461" s="236"/>
      <c r="P461" s="237"/>
      <c r="AP461" s="3"/>
      <c r="AQ461" s="3"/>
      <c r="AR461" s="3"/>
      <c r="AS461" s="3"/>
      <c r="AT461" s="3"/>
    </row>
    <row r="462" spans="1:46" s="21" customFormat="1" ht="17.25" customHeight="1" x14ac:dyDescent="0.25">
      <c r="A462" s="127"/>
      <c r="B462" s="191" t="s">
        <v>387</v>
      </c>
      <c r="C462" s="190">
        <f>E78+E79</f>
        <v>-3177.92</v>
      </c>
      <c r="D462" s="128"/>
      <c r="J462" s="128"/>
      <c r="K462" s="241" t="s">
        <v>147</v>
      </c>
      <c r="L462" s="241"/>
      <c r="M462" s="241"/>
      <c r="N462" s="238">
        <f>M458+P458</f>
        <v>47612.492216992076</v>
      </c>
      <c r="O462" s="239"/>
      <c r="P462" s="240"/>
      <c r="AP462" s="3"/>
      <c r="AQ462" s="3"/>
      <c r="AR462" s="3"/>
      <c r="AS462" s="3"/>
      <c r="AT462" s="3"/>
    </row>
    <row r="463" spans="1:46" s="21" customFormat="1" ht="17.25" customHeight="1" x14ac:dyDescent="0.25">
      <c r="A463" s="127"/>
      <c r="B463" s="137" t="s">
        <v>150</v>
      </c>
      <c r="C463" s="138">
        <f>C461+H461+C462</f>
        <v>-8474.7377830079276</v>
      </c>
      <c r="D463" s="255" t="s">
        <v>458</v>
      </c>
      <c r="E463" s="256"/>
      <c r="F463" s="256"/>
      <c r="G463" s="256"/>
      <c r="H463" s="256"/>
      <c r="I463" s="256"/>
      <c r="J463" s="128"/>
      <c r="K463" s="241" t="s">
        <v>148</v>
      </c>
      <c r="L463" s="241"/>
      <c r="M463" s="241"/>
      <c r="N463" s="235">
        <f>M459+P459</f>
        <v>-554</v>
      </c>
      <c r="O463" s="236"/>
      <c r="P463" s="237"/>
      <c r="AP463" s="3"/>
      <c r="AQ463" s="3"/>
      <c r="AR463" s="3"/>
      <c r="AS463" s="3"/>
      <c r="AT463" s="3"/>
    </row>
    <row r="464" spans="1:46" s="21" customFormat="1" ht="17.25" customHeight="1" x14ac:dyDescent="0.25">
      <c r="A464" s="25"/>
      <c r="B464" s="3"/>
      <c r="C464" s="124"/>
      <c r="E464" s="132"/>
      <c r="F464" s="132"/>
      <c r="G464" s="132"/>
      <c r="H464" s="213"/>
      <c r="I464" s="213"/>
      <c r="AP464" s="3"/>
      <c r="AQ464" s="3"/>
      <c r="AR464" s="3"/>
      <c r="AS464" s="3"/>
      <c r="AT464" s="3"/>
    </row>
    <row r="465" spans="1:46" s="21" customFormat="1" ht="17.25" customHeight="1" x14ac:dyDescent="0.25">
      <c r="A465" s="25"/>
      <c r="B465" s="137" t="s">
        <v>454</v>
      </c>
      <c r="C465" s="138">
        <f>E381+E415</f>
        <v>-25000</v>
      </c>
      <c r="E465" s="132"/>
      <c r="AP465" s="3"/>
      <c r="AQ465" s="3"/>
      <c r="AR465" s="3"/>
      <c r="AS465" s="3"/>
      <c r="AT465" s="3"/>
    </row>
    <row r="467" spans="1:46" ht="17.25" customHeight="1" x14ac:dyDescent="0.25">
      <c r="B467" s="137" t="s">
        <v>242</v>
      </c>
      <c r="C467" s="138">
        <f>C454-C2</f>
        <v>-30260.039999999921</v>
      </c>
    </row>
    <row r="468" spans="1:46" ht="17.25" customHeight="1" x14ac:dyDescent="0.25">
      <c r="E468" s="222">
        <f>C463-C467+C465</f>
        <v>-3214.6977830080068</v>
      </c>
      <c r="F468" s="222"/>
      <c r="H468" s="21">
        <f>-E468+H456</f>
        <v>7.7830080072089913E-3</v>
      </c>
    </row>
  </sheetData>
  <sheetProtection selectLockedCells="1" selectUnlockedCells="1"/>
  <mergeCells count="423">
    <mergeCell ref="B9:C9"/>
    <mergeCell ref="B8:C8"/>
    <mergeCell ref="B45:C45"/>
    <mergeCell ref="B52:C52"/>
    <mergeCell ref="B51:C51"/>
    <mergeCell ref="B32:C32"/>
    <mergeCell ref="B50:C50"/>
    <mergeCell ref="B36:C36"/>
    <mergeCell ref="B37:C37"/>
    <mergeCell ref="B38:C38"/>
    <mergeCell ref="B28:C28"/>
    <mergeCell ref="B39:C39"/>
    <mergeCell ref="B42:C42"/>
    <mergeCell ref="B43:C43"/>
    <mergeCell ref="B29:C29"/>
    <mergeCell ref="B30:C30"/>
    <mergeCell ref="B31:C31"/>
    <mergeCell ref="B33:C33"/>
    <mergeCell ref="B34:C34"/>
    <mergeCell ref="H464:I464"/>
    <mergeCell ref="E468:F468"/>
    <mergeCell ref="K462:M462"/>
    <mergeCell ref="D463:I463"/>
    <mergeCell ref="B44:C44"/>
    <mergeCell ref="B10:C10"/>
    <mergeCell ref="B79:C79"/>
    <mergeCell ref="B78:C78"/>
    <mergeCell ref="B80:C80"/>
    <mergeCell ref="B122:C122"/>
    <mergeCell ref="B414:C414"/>
    <mergeCell ref="B126:C126"/>
    <mergeCell ref="B127:C127"/>
    <mergeCell ref="B415:C415"/>
    <mergeCell ref="B237:C237"/>
    <mergeCell ref="B238:C238"/>
    <mergeCell ref="B222:C222"/>
    <mergeCell ref="B250:C250"/>
    <mergeCell ref="B265:C265"/>
    <mergeCell ref="B405:C405"/>
    <mergeCell ref="K456:M456"/>
    <mergeCell ref="B446:C446"/>
    <mergeCell ref="B447:C447"/>
    <mergeCell ref="B448:C448"/>
    <mergeCell ref="N462:P462"/>
    <mergeCell ref="K463:M463"/>
    <mergeCell ref="N463:P463"/>
    <mergeCell ref="E460:G460"/>
    <mergeCell ref="H460:I460"/>
    <mergeCell ref="K460:L460"/>
    <mergeCell ref="N460:O460"/>
    <mergeCell ref="E461:G461"/>
    <mergeCell ref="H461:I461"/>
    <mergeCell ref="K461:M461"/>
    <mergeCell ref="N456:P456"/>
    <mergeCell ref="E457:G457"/>
    <mergeCell ref="H457:I457"/>
    <mergeCell ref="K457:L457"/>
    <mergeCell ref="N457:O457"/>
    <mergeCell ref="N461:P461"/>
    <mergeCell ref="E458:G458"/>
    <mergeCell ref="H458:I458"/>
    <mergeCell ref="K458:L458"/>
    <mergeCell ref="N458:O458"/>
    <mergeCell ref="E459:G459"/>
    <mergeCell ref="H459:I459"/>
    <mergeCell ref="K459:L459"/>
    <mergeCell ref="N459:O459"/>
    <mergeCell ref="B449:C449"/>
    <mergeCell ref="B450:C450"/>
    <mergeCell ref="B451:C451"/>
    <mergeCell ref="B452:C452"/>
    <mergeCell ref="E456:G456"/>
    <mergeCell ref="H456:I456"/>
    <mergeCell ref="B442:C442"/>
    <mergeCell ref="B443:C443"/>
    <mergeCell ref="B444:C444"/>
    <mergeCell ref="B434:C434"/>
    <mergeCell ref="B435:C435"/>
    <mergeCell ref="B438:C438"/>
    <mergeCell ref="B441:C441"/>
    <mergeCell ref="B445:C445"/>
    <mergeCell ref="B119:C119"/>
    <mergeCell ref="B120:C120"/>
    <mergeCell ref="B121:C121"/>
    <mergeCell ref="B169:C169"/>
    <mergeCell ref="B433:C433"/>
    <mergeCell ref="B323:C323"/>
    <mergeCell ref="B279:C279"/>
    <mergeCell ref="B412:C412"/>
    <mergeCell ref="B413:C413"/>
    <mergeCell ref="B439:C439"/>
    <mergeCell ref="B440:C440"/>
    <mergeCell ref="B431:C431"/>
    <mergeCell ref="B432:C432"/>
    <mergeCell ref="B418:C418"/>
    <mergeCell ref="B419:C419"/>
    <mergeCell ref="B420:C420"/>
    <mergeCell ref="B421:C421"/>
    <mergeCell ref="B422:C422"/>
    <mergeCell ref="B425:C425"/>
    <mergeCell ref="B428:C428"/>
    <mergeCell ref="B429:C429"/>
    <mergeCell ref="B430:C430"/>
    <mergeCell ref="B406:C406"/>
    <mergeCell ref="B407:C407"/>
    <mergeCell ref="B408:C408"/>
    <mergeCell ref="B409:C409"/>
    <mergeCell ref="B402:C402"/>
    <mergeCell ref="B403:C403"/>
    <mergeCell ref="B426:C426"/>
    <mergeCell ref="B427:C427"/>
    <mergeCell ref="B416:C416"/>
    <mergeCell ref="B417:C417"/>
    <mergeCell ref="B404:C404"/>
    <mergeCell ref="B294:C294"/>
    <mergeCell ref="B318:C318"/>
    <mergeCell ref="B317:C317"/>
    <mergeCell ref="B321:C321"/>
    <mergeCell ref="B322:C322"/>
    <mergeCell ref="B315:C315"/>
    <mergeCell ref="B316:C316"/>
    <mergeCell ref="B306:C306"/>
    <mergeCell ref="B301:C301"/>
    <mergeCell ref="B304:C304"/>
    <mergeCell ref="B381:C381"/>
    <mergeCell ref="B378:C378"/>
    <mergeCell ref="B379:C379"/>
    <mergeCell ref="B380:C380"/>
    <mergeCell ref="B397:C397"/>
    <mergeCell ref="B400:C400"/>
    <mergeCell ref="B401:C401"/>
    <mergeCell ref="B392:C392"/>
    <mergeCell ref="B393:C393"/>
    <mergeCell ref="B394:C394"/>
    <mergeCell ref="B395:C395"/>
    <mergeCell ref="B396:C396"/>
    <mergeCell ref="B390:C390"/>
    <mergeCell ref="B391:C391"/>
    <mergeCell ref="B382:C382"/>
    <mergeCell ref="B383:C383"/>
    <mergeCell ref="B384:C384"/>
    <mergeCell ref="B385:C385"/>
    <mergeCell ref="B386:C386"/>
    <mergeCell ref="B387:C387"/>
    <mergeCell ref="B369:C369"/>
    <mergeCell ref="B370:C370"/>
    <mergeCell ref="B366:C366"/>
    <mergeCell ref="B367:C367"/>
    <mergeCell ref="B371:C371"/>
    <mergeCell ref="B372:C372"/>
    <mergeCell ref="B373:C373"/>
    <mergeCell ref="B376:C376"/>
    <mergeCell ref="B377:C377"/>
    <mergeCell ref="B356:C356"/>
    <mergeCell ref="B357:C357"/>
    <mergeCell ref="B358:C358"/>
    <mergeCell ref="B359:C359"/>
    <mergeCell ref="B360:C360"/>
    <mergeCell ref="B361:C361"/>
    <mergeCell ref="B364:C364"/>
    <mergeCell ref="B365:C365"/>
    <mergeCell ref="B368:C368"/>
    <mergeCell ref="B353:C353"/>
    <mergeCell ref="B341:C341"/>
    <mergeCell ref="B344:C344"/>
    <mergeCell ref="B345:C345"/>
    <mergeCell ref="B342:C342"/>
    <mergeCell ref="B343:C343"/>
    <mergeCell ref="B354:C354"/>
    <mergeCell ref="B355:C355"/>
    <mergeCell ref="B320:C320"/>
    <mergeCell ref="B336:C336"/>
    <mergeCell ref="B339:C339"/>
    <mergeCell ref="B346:C346"/>
    <mergeCell ref="B347:C347"/>
    <mergeCell ref="B348:C348"/>
    <mergeCell ref="B349:C349"/>
    <mergeCell ref="B352:C352"/>
    <mergeCell ref="B340:C340"/>
    <mergeCell ref="B335:C335"/>
    <mergeCell ref="B338:C338"/>
    <mergeCell ref="B337:C337"/>
    <mergeCell ref="B327:C327"/>
    <mergeCell ref="B328:C328"/>
    <mergeCell ref="B329:C329"/>
    <mergeCell ref="B330:C330"/>
    <mergeCell ref="B333:C333"/>
    <mergeCell ref="B334:C334"/>
    <mergeCell ref="B305:C305"/>
    <mergeCell ref="B295:C295"/>
    <mergeCell ref="B296:C296"/>
    <mergeCell ref="B297:C297"/>
    <mergeCell ref="B298:C298"/>
    <mergeCell ref="B299:C299"/>
    <mergeCell ref="B300:C300"/>
    <mergeCell ref="B325:C325"/>
    <mergeCell ref="B326:C326"/>
    <mergeCell ref="B324:C324"/>
    <mergeCell ref="B307:C307"/>
    <mergeCell ref="B308:C308"/>
    <mergeCell ref="B309:C309"/>
    <mergeCell ref="B310:C310"/>
    <mergeCell ref="B311:C311"/>
    <mergeCell ref="B312:C312"/>
    <mergeCell ref="B319:C319"/>
    <mergeCell ref="B251:C251"/>
    <mergeCell ref="B252:C252"/>
    <mergeCell ref="B253:C253"/>
    <mergeCell ref="B287:C287"/>
    <mergeCell ref="B288:C288"/>
    <mergeCell ref="B289:C289"/>
    <mergeCell ref="B292:C292"/>
    <mergeCell ref="B293:C293"/>
    <mergeCell ref="B274:C274"/>
    <mergeCell ref="B275:C275"/>
    <mergeCell ref="B276:C276"/>
    <mergeCell ref="B284:C284"/>
    <mergeCell ref="B285:C285"/>
    <mergeCell ref="B277:C277"/>
    <mergeCell ref="B278:C278"/>
    <mergeCell ref="B286:C286"/>
    <mergeCell ref="B283:C283"/>
    <mergeCell ref="B280:C280"/>
    <mergeCell ref="B281:C281"/>
    <mergeCell ref="B282:C282"/>
    <mergeCell ref="B234:C234"/>
    <mergeCell ref="B223:C223"/>
    <mergeCell ref="B224:C224"/>
    <mergeCell ref="B225:C225"/>
    <mergeCell ref="B226:C226"/>
    <mergeCell ref="B227:C227"/>
    <mergeCell ref="B231:C231"/>
    <mergeCell ref="B232:C232"/>
    <mergeCell ref="B271:C271"/>
    <mergeCell ref="B254:C254"/>
    <mergeCell ref="B255:C255"/>
    <mergeCell ref="B256:C256"/>
    <mergeCell ref="B259:C259"/>
    <mergeCell ref="B260:C260"/>
    <mergeCell ref="B262:C262"/>
    <mergeCell ref="B261:C261"/>
    <mergeCell ref="B264:C264"/>
    <mergeCell ref="B263:C263"/>
    <mergeCell ref="B266:C266"/>
    <mergeCell ref="B267:C267"/>
    <mergeCell ref="B268:C268"/>
    <mergeCell ref="B269:C269"/>
    <mergeCell ref="B270:C270"/>
    <mergeCell ref="B249:C249"/>
    <mergeCell ref="B248:C248"/>
    <mergeCell ref="B212:C212"/>
    <mergeCell ref="B213:C213"/>
    <mergeCell ref="B214:C214"/>
    <mergeCell ref="B217:C217"/>
    <mergeCell ref="B218:C218"/>
    <mergeCell ref="B208:C208"/>
    <mergeCell ref="B209:C209"/>
    <mergeCell ref="B210:C210"/>
    <mergeCell ref="B211:C211"/>
    <mergeCell ref="B239:C239"/>
    <mergeCell ref="B233:C233"/>
    <mergeCell ref="B236:C236"/>
    <mergeCell ref="B240:C240"/>
    <mergeCell ref="B241:C241"/>
    <mergeCell ref="B242:C242"/>
    <mergeCell ref="B243:C243"/>
    <mergeCell ref="B244:C244"/>
    <mergeCell ref="B247:C247"/>
    <mergeCell ref="B220:C220"/>
    <mergeCell ref="B221:C221"/>
    <mergeCell ref="B228:C228"/>
    <mergeCell ref="B219:C219"/>
    <mergeCell ref="B235:C235"/>
    <mergeCell ref="B201:C201"/>
    <mergeCell ref="B202:C202"/>
    <mergeCell ref="B203:C203"/>
    <mergeCell ref="B206:C206"/>
    <mergeCell ref="B207:C207"/>
    <mergeCell ref="B197:C197"/>
    <mergeCell ref="B198:C198"/>
    <mergeCell ref="B199:C199"/>
    <mergeCell ref="B200:C200"/>
    <mergeCell ref="B192:C192"/>
    <mergeCell ref="B195:C195"/>
    <mergeCell ref="B196:C196"/>
    <mergeCell ref="B181:C181"/>
    <mergeCell ref="B182:C182"/>
    <mergeCell ref="B187:C187"/>
    <mergeCell ref="B188:C188"/>
    <mergeCell ref="B189:C189"/>
    <mergeCell ref="B190:C190"/>
    <mergeCell ref="B184:C184"/>
    <mergeCell ref="B185:C185"/>
    <mergeCell ref="B186:C186"/>
    <mergeCell ref="B173:C173"/>
    <mergeCell ref="B174:C174"/>
    <mergeCell ref="B175:C175"/>
    <mergeCell ref="B176:C176"/>
    <mergeCell ref="B177:C177"/>
    <mergeCell ref="B180:C180"/>
    <mergeCell ref="B191:C191"/>
    <mergeCell ref="B162:C162"/>
    <mergeCell ref="B163:C163"/>
    <mergeCell ref="B166:C166"/>
    <mergeCell ref="B167:C167"/>
    <mergeCell ref="B168:C168"/>
    <mergeCell ref="B172:C172"/>
    <mergeCell ref="B171:C171"/>
    <mergeCell ref="B170:C170"/>
    <mergeCell ref="B183:C183"/>
    <mergeCell ref="B157:C157"/>
    <mergeCell ref="B158:C158"/>
    <mergeCell ref="B159:C159"/>
    <mergeCell ref="B160:C160"/>
    <mergeCell ref="B161:C161"/>
    <mergeCell ref="B149:C149"/>
    <mergeCell ref="B150:C150"/>
    <mergeCell ref="B151:C151"/>
    <mergeCell ref="B152:C152"/>
    <mergeCell ref="B155:C155"/>
    <mergeCell ref="B140:C140"/>
    <mergeCell ref="B133:C133"/>
    <mergeCell ref="B134:C134"/>
    <mergeCell ref="B135:C135"/>
    <mergeCell ref="B136:C136"/>
    <mergeCell ref="B138:C138"/>
    <mergeCell ref="B139:C139"/>
    <mergeCell ref="B137:C137"/>
    <mergeCell ref="B156:C156"/>
    <mergeCell ref="B153:C153"/>
    <mergeCell ref="B154:C154"/>
    <mergeCell ref="B141:C141"/>
    <mergeCell ref="B142:C142"/>
    <mergeCell ref="B143:C143"/>
    <mergeCell ref="B144:C144"/>
    <mergeCell ref="B145:C145"/>
    <mergeCell ref="B148:C148"/>
    <mergeCell ref="B107:C107"/>
    <mergeCell ref="B108:C108"/>
    <mergeCell ref="B109:C109"/>
    <mergeCell ref="B110:C110"/>
    <mergeCell ref="B111:C111"/>
    <mergeCell ref="B112:C112"/>
    <mergeCell ref="B128:C128"/>
    <mergeCell ref="B129:C129"/>
    <mergeCell ref="B130:C130"/>
    <mergeCell ref="B113:C113"/>
    <mergeCell ref="B116:C116"/>
    <mergeCell ref="B117:C117"/>
    <mergeCell ref="B118:C118"/>
    <mergeCell ref="B123:C123"/>
    <mergeCell ref="B124:C124"/>
    <mergeCell ref="B125:C125"/>
    <mergeCell ref="B94:C94"/>
    <mergeCell ref="B95:C95"/>
    <mergeCell ref="B100:C100"/>
    <mergeCell ref="B101:C101"/>
    <mergeCell ref="B102:C102"/>
    <mergeCell ref="B105:C105"/>
    <mergeCell ref="B96:C96"/>
    <mergeCell ref="B97:C97"/>
    <mergeCell ref="B98:C98"/>
    <mergeCell ref="B99:C99"/>
    <mergeCell ref="B87:C87"/>
    <mergeCell ref="B84:C84"/>
    <mergeCell ref="B83:C83"/>
    <mergeCell ref="B76:C76"/>
    <mergeCell ref="B77:C77"/>
    <mergeCell ref="B88:C88"/>
    <mergeCell ref="B89:C89"/>
    <mergeCell ref="B90:C90"/>
    <mergeCell ref="B93:C93"/>
    <mergeCell ref="B69:C69"/>
    <mergeCell ref="B70:C70"/>
    <mergeCell ref="B73:C73"/>
    <mergeCell ref="B74:C74"/>
    <mergeCell ref="B75:C75"/>
    <mergeCell ref="B81:C81"/>
    <mergeCell ref="B82:C82"/>
    <mergeCell ref="B85:C85"/>
    <mergeCell ref="B86:C86"/>
    <mergeCell ref="B58:C58"/>
    <mergeCell ref="B61:C61"/>
    <mergeCell ref="B62:C62"/>
    <mergeCell ref="B64:C64"/>
    <mergeCell ref="B65:C65"/>
    <mergeCell ref="B66:C66"/>
    <mergeCell ref="B63:C63"/>
    <mergeCell ref="B67:C67"/>
    <mergeCell ref="B68:C68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106:C106"/>
    <mergeCell ref="K1:M1"/>
    <mergeCell ref="N1:P1"/>
    <mergeCell ref="B3:C3"/>
    <mergeCell ref="B4:C4"/>
    <mergeCell ref="B7:C7"/>
    <mergeCell ref="B5:C5"/>
    <mergeCell ref="B15:C15"/>
    <mergeCell ref="B6:C6"/>
    <mergeCell ref="B11:C11"/>
    <mergeCell ref="B12:C12"/>
    <mergeCell ref="B13:C13"/>
    <mergeCell ref="B16:C16"/>
    <mergeCell ref="B14:C14"/>
    <mergeCell ref="B17:C17"/>
    <mergeCell ref="B18:C18"/>
    <mergeCell ref="B21:C21"/>
    <mergeCell ref="B22:C22"/>
    <mergeCell ref="B35:C35"/>
    <mergeCell ref="B23:C23"/>
    <mergeCell ref="B24:C24"/>
    <mergeCell ref="B25:C25"/>
    <mergeCell ref="B26:C26"/>
    <mergeCell ref="B27:C27"/>
  </mergeCells>
  <pageMargins left="0.31496062992125984" right="0.31496062992125984" top="0.39370078740157483" bottom="0.39370078740157483" header="0.31496062992125984" footer="0.31496062992125984"/>
  <pageSetup paperSize="9" scale="57" fitToHeight="2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92"/>
  <sheetViews>
    <sheetView showGridLines="0" showZeros="0" view="pageBreakPreview" zoomScale="70" zoomScaleNormal="75" zoomScaleSheetLayoutView="70" workbookViewId="0">
      <pane xSplit="16" ySplit="1" topLeftCell="Q553" activePane="bottomRight" state="frozenSplit"/>
      <selection pane="topRight" activeCell="F1" sqref="F1"/>
      <selection pane="bottomLeft" activeCell="A30" sqref="A30"/>
      <selection pane="bottomRight" activeCell="P575" sqref="P575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8" width="10.5703125" style="21" customWidth="1"/>
    <col min="19" max="19" width="10.5703125" style="21" hidden="1" customWidth="1"/>
    <col min="20" max="22" width="10.5703125" style="21" customWidth="1"/>
    <col min="23" max="39" width="10.5703125" style="21" hidden="1" customWidth="1"/>
    <col min="40" max="40" width="10.7109375" style="21" hidden="1" customWidth="1"/>
    <col min="41" max="41" width="11.7109375" style="21" customWidth="1"/>
    <col min="42" max="44" width="14.85546875" style="3" hidden="1" customWidth="1"/>
    <col min="45" max="45" width="9.140625" style="3"/>
    <col min="46" max="46" width="9.85546875" style="3" bestFit="1" customWidth="1"/>
    <col min="47" max="16384" width="9.140625" style="3"/>
  </cols>
  <sheetData>
    <row r="1" spans="1:46" s="1" customFormat="1" ht="17.25" customHeight="1" x14ac:dyDescent="0.25">
      <c r="A1" s="157" t="s">
        <v>315</v>
      </c>
      <c r="B1" s="158"/>
      <c r="C1" s="159">
        <f>D2+E2+F2+G2+H2+I2+J2+M2+P2</f>
        <v>153061.82954000004</v>
      </c>
      <c r="D1" s="160" t="s">
        <v>8</v>
      </c>
      <c r="E1" s="67" t="s">
        <v>9</v>
      </c>
      <c r="F1" s="77" t="s">
        <v>89</v>
      </c>
      <c r="G1" s="77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77" t="s">
        <v>10</v>
      </c>
      <c r="R1" s="77" t="s">
        <v>11</v>
      </c>
      <c r="S1" s="77" t="s">
        <v>89</v>
      </c>
      <c r="T1" s="77" t="s">
        <v>86</v>
      </c>
      <c r="U1" s="77" t="s">
        <v>238</v>
      </c>
      <c r="V1" s="77" t="s">
        <v>92</v>
      </c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78"/>
      <c r="AO1" s="79" t="s">
        <v>0</v>
      </c>
      <c r="AP1" s="6" t="s">
        <v>1</v>
      </c>
      <c r="AQ1" s="7" t="s">
        <v>2</v>
      </c>
      <c r="AR1" s="7" t="s">
        <v>3</v>
      </c>
    </row>
    <row r="2" spans="1:46" s="1" customFormat="1" ht="17.25" customHeight="1" x14ac:dyDescent="0.25">
      <c r="A2" s="163"/>
      <c r="B2" s="157" t="s">
        <v>7</v>
      </c>
      <c r="C2" s="164">
        <f>D2+E2+F2+G2+H2+I2+J2+M2+P2+SUM(Q2:AN2)</f>
        <v>-333323.48045999999</v>
      </c>
      <c r="D2" s="68">
        <f>'Dez25'!D454</f>
        <v>6322.387040000026</v>
      </c>
      <c r="E2" s="68">
        <f>'Dez25'!E454</f>
        <v>-31610.26</v>
      </c>
      <c r="F2" s="80">
        <f>'Dez25'!F454</f>
        <v>0.5</v>
      </c>
      <c r="G2" s="80">
        <f>'Dez25'!G454</f>
        <v>0</v>
      </c>
      <c r="H2" s="68">
        <f>'Dez25'!H454</f>
        <v>60399.272500000006</v>
      </c>
      <c r="I2" s="68">
        <f>'Dez25'!I454</f>
        <v>34519.82</v>
      </c>
      <c r="J2" s="68">
        <f>'Dez25'!J454</f>
        <v>0</v>
      </c>
      <c r="K2" s="165">
        <f>'Dez25'!K454</f>
        <v>6152</v>
      </c>
      <c r="L2" s="166">
        <f>'Dez25'!L454</f>
        <v>5.0846992847854358</v>
      </c>
      <c r="M2" s="68">
        <f>'Dez25'!M454</f>
        <v>31281.07</v>
      </c>
      <c r="N2" s="165">
        <f>'Dez25'!N454</f>
        <v>14027</v>
      </c>
      <c r="O2" s="166">
        <f>'Dez25'!O454</f>
        <v>3.7177614600413489</v>
      </c>
      <c r="P2" s="68">
        <f>'Dez25'!P454</f>
        <v>52149.04</v>
      </c>
      <c r="Q2" s="80">
        <f>'Dez25'!Q454</f>
        <v>-530185.23</v>
      </c>
      <c r="R2" s="80">
        <f>'Dez25'!R454</f>
        <v>50229.299999999996</v>
      </c>
      <c r="S2" s="80">
        <f>'Dez25'!S454</f>
        <v>0</v>
      </c>
      <c r="T2" s="80">
        <f>'Dez25'!T454</f>
        <v>-6429.38</v>
      </c>
      <c r="U2" s="80">
        <f>'Dez25'!U454</f>
        <v>0</v>
      </c>
      <c r="V2" s="80">
        <f>'Dez25'!V454</f>
        <v>0</v>
      </c>
      <c r="W2" s="80">
        <f>'Dez25'!W454</f>
        <v>0</v>
      </c>
      <c r="X2" s="80">
        <f>'Dez25'!X454</f>
        <v>0</v>
      </c>
      <c r="Y2" s="80">
        <f>'Dez25'!Y454</f>
        <v>0</v>
      </c>
      <c r="Z2" s="80">
        <f>'Dez25'!Z454</f>
        <v>0</v>
      </c>
      <c r="AA2" s="80">
        <f>'Dez25'!AA454</f>
        <v>0</v>
      </c>
      <c r="AB2" s="80">
        <f>'Dez25'!AB454</f>
        <v>0</v>
      </c>
      <c r="AC2" s="80">
        <f>'Dez25'!AC454</f>
        <v>0</v>
      </c>
      <c r="AD2" s="80">
        <f>'Dez25'!AD454</f>
        <v>0</v>
      </c>
      <c r="AE2" s="80">
        <f>'Dez25'!AE454</f>
        <v>0</v>
      </c>
      <c r="AF2" s="80">
        <f>'Dez25'!AF454</f>
        <v>0</v>
      </c>
      <c r="AG2" s="80">
        <f>'Dez25'!AG454</f>
        <v>0</v>
      </c>
      <c r="AH2" s="80">
        <f>'Dez25'!AH454</f>
        <v>0</v>
      </c>
      <c r="AI2" s="80">
        <f>'Dez25'!AI454</f>
        <v>0</v>
      </c>
      <c r="AJ2" s="80">
        <f>'Dez25'!AJ454</f>
        <v>0</v>
      </c>
      <c r="AK2" s="80">
        <f>'Dez25'!AK454</f>
        <v>0</v>
      </c>
      <c r="AL2" s="80">
        <f>'Dez25'!AL454</f>
        <v>0</v>
      </c>
      <c r="AM2" s="80">
        <f>'Dez25'!AM454</f>
        <v>0</v>
      </c>
      <c r="AN2" s="80">
        <f>'Dez25'!AN454</f>
        <v>0</v>
      </c>
      <c r="AO2" s="68">
        <f>'Dez25'!AO454</f>
        <v>-333323.48045999999</v>
      </c>
      <c r="AP2" s="8" t="e">
        <f>#REF!</f>
        <v>#REF!</v>
      </c>
      <c r="AQ2" s="9" t="e">
        <f>#REF!</f>
        <v>#REF!</v>
      </c>
      <c r="AR2" s="9" t="e">
        <f>AP2-AQ2</f>
        <v>#REF!</v>
      </c>
    </row>
    <row r="3" spans="1:46" s="2" customFormat="1" ht="17.25" customHeight="1" x14ac:dyDescent="0.25">
      <c r="A3" s="29">
        <v>46023</v>
      </c>
      <c r="B3" s="201" t="s">
        <v>64</v>
      </c>
      <c r="C3" s="202"/>
      <c r="D3" s="65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47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22"/>
      <c r="AQ3" s="10" t="s">
        <v>4</v>
      </c>
      <c r="AR3" s="11" t="e">
        <v>#REF!</v>
      </c>
    </row>
    <row r="4" spans="1:46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47"/>
      <c r="R4" s="39"/>
      <c r="S4" s="39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22"/>
      <c r="AQ4" s="10" t="s">
        <v>4</v>
      </c>
      <c r="AR4" s="11" t="e">
        <v>#REF!</v>
      </c>
    </row>
    <row r="5" spans="1:46" s="2" customFormat="1" ht="17.25" customHeight="1" x14ac:dyDescent="0.25">
      <c r="A5" s="29"/>
      <c r="B5" s="201" t="s">
        <v>209</v>
      </c>
      <c r="C5" s="202"/>
      <c r="D5" s="63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47"/>
      <c r="R5" s="39"/>
      <c r="S5" s="3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2"/>
      <c r="AQ5" s="10" t="s">
        <v>4</v>
      </c>
      <c r="AR5" s="11" t="e">
        <v>#REF!</v>
      </c>
    </row>
    <row r="6" spans="1:46" s="2" customFormat="1" ht="17.25" customHeight="1" x14ac:dyDescent="0.25">
      <c r="A6" s="29"/>
      <c r="B6" s="201" t="s">
        <v>13</v>
      </c>
      <c r="C6" s="203"/>
      <c r="D6" s="63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46"/>
      <c r="R6" s="46"/>
      <c r="S6" s="3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2"/>
      <c r="AQ6" s="10" t="s">
        <v>4</v>
      </c>
      <c r="AR6" s="11" t="e">
        <v>#REF!</v>
      </c>
    </row>
    <row r="7" spans="1:46" s="2" customFormat="1" ht="17.25" customHeight="1" x14ac:dyDescent="0.25">
      <c r="A7" s="29"/>
      <c r="B7" s="201" t="s">
        <v>14</v>
      </c>
      <c r="C7" s="203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40"/>
      <c r="R7" s="46"/>
      <c r="S7" s="39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22"/>
      <c r="AQ7" s="10"/>
      <c r="AR7" s="11"/>
    </row>
    <row r="8" spans="1:46" s="2" customFormat="1" ht="17.25" customHeight="1" x14ac:dyDescent="0.25">
      <c r="A8" s="29"/>
      <c r="B8" s="201" t="s">
        <v>76</v>
      </c>
      <c r="C8" s="203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47"/>
      <c r="R8" s="39"/>
      <c r="S8" s="39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22"/>
      <c r="AQ8" s="10" t="s">
        <v>4</v>
      </c>
      <c r="AR8" s="11" t="e">
        <v>#REF!</v>
      </c>
    </row>
    <row r="9" spans="1:46" s="2" customFormat="1" ht="17.25" customHeight="1" x14ac:dyDescent="0.25">
      <c r="A9" s="29"/>
      <c r="B9" s="201" t="s">
        <v>72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47"/>
      <c r="R9" s="39"/>
      <c r="S9" s="39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22"/>
      <c r="AQ9" s="10" t="s">
        <v>4</v>
      </c>
      <c r="AR9" s="11" t="e">
        <v>#REF!</v>
      </c>
    </row>
    <row r="10" spans="1:46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39"/>
      <c r="R10" s="39"/>
      <c r="S10" s="39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22"/>
      <c r="AO10" s="43"/>
      <c r="AP10" s="12" t="e">
        <f>#REF!</f>
        <v>#REF!</v>
      </c>
      <c r="AT10" s="2"/>
    </row>
    <row r="11" spans="1:46" s="4" customFormat="1" ht="17.25" customHeight="1" x14ac:dyDescent="0.25">
      <c r="A11" s="23"/>
      <c r="B11" s="212" t="s">
        <v>94</v>
      </c>
      <c r="C11" s="212"/>
      <c r="D11" s="66"/>
      <c r="E11" s="66"/>
      <c r="F11" s="117"/>
      <c r="G11" s="117"/>
      <c r="H11" s="66"/>
      <c r="I11" s="66"/>
      <c r="J11" s="66">
        <f>-M11</f>
        <v>3082.1</v>
      </c>
      <c r="K11" s="58">
        <v>-518</v>
      </c>
      <c r="L11" s="89">
        <v>5.95</v>
      </c>
      <c r="M11" s="73">
        <f>K11*L11</f>
        <v>-3082.1</v>
      </c>
      <c r="N11" s="58"/>
      <c r="O11" s="89"/>
      <c r="P11" s="73"/>
      <c r="Q11" s="39"/>
      <c r="R11" s="39"/>
      <c r="S11" s="8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35"/>
      <c r="AP11" s="12" t="e">
        <f>#REF!</f>
        <v>#REF!</v>
      </c>
    </row>
    <row r="12" spans="1:46" s="4" customFormat="1" ht="17.25" customHeight="1" x14ac:dyDescent="0.25">
      <c r="A12" s="23"/>
      <c r="B12" s="201" t="s">
        <v>95</v>
      </c>
      <c r="C12" s="203"/>
      <c r="D12" s="64"/>
      <c r="E12" s="64"/>
      <c r="F12" s="117"/>
      <c r="G12" s="117"/>
      <c r="H12" s="64"/>
      <c r="I12" s="64"/>
      <c r="J12" s="64">
        <f>-P12</f>
        <v>5599.86</v>
      </c>
      <c r="K12" s="57"/>
      <c r="L12" s="88"/>
      <c r="M12" s="62"/>
      <c r="N12" s="57">
        <v>-1407</v>
      </c>
      <c r="O12" s="88">
        <v>3.98</v>
      </c>
      <c r="P12" s="62">
        <f>N12*O12</f>
        <v>-5599.86</v>
      </c>
      <c r="Q12" s="39"/>
      <c r="R12" s="39"/>
      <c r="S12" s="8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35"/>
      <c r="AP12" s="12" t="e">
        <f>#REF!</f>
        <v>#REF!</v>
      </c>
    </row>
    <row r="13" spans="1:46" s="4" customFormat="1" ht="17.25" customHeight="1" x14ac:dyDescent="0.25">
      <c r="A13" s="23"/>
      <c r="B13" s="201" t="s">
        <v>97</v>
      </c>
      <c r="C13" s="203"/>
      <c r="D13" s="64"/>
      <c r="E13" s="64"/>
      <c r="F13" s="64"/>
      <c r="G13" s="64"/>
      <c r="H13" s="64">
        <f>-J13-I13</f>
        <v>3006.6399999999994</v>
      </c>
      <c r="I13" s="64">
        <v>5675.32</v>
      </c>
      <c r="J13" s="64">
        <f>-SUM(J11:J12)</f>
        <v>-8681.9599999999991</v>
      </c>
      <c r="K13" s="57"/>
      <c r="L13" s="88"/>
      <c r="M13" s="62"/>
      <c r="N13" s="57"/>
      <c r="O13" s="88"/>
      <c r="P13" s="62"/>
      <c r="Q13" s="39"/>
      <c r="R13" s="39"/>
      <c r="S13" s="39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22"/>
      <c r="AO13" s="43">
        <f>A2</f>
        <v>0</v>
      </c>
      <c r="AP13" s="12" t="e">
        <f>#REF!</f>
        <v>#REF!</v>
      </c>
      <c r="AT13" s="2"/>
    </row>
    <row r="14" spans="1:46" s="4" customFormat="1" ht="17.25" customHeight="1" x14ac:dyDescent="0.25">
      <c r="A14" s="23"/>
      <c r="B14" s="201" t="s">
        <v>100</v>
      </c>
      <c r="C14" s="203"/>
      <c r="D14" s="64"/>
      <c r="E14" s="64"/>
      <c r="F14" s="64"/>
      <c r="G14" s="64"/>
      <c r="H14" s="64"/>
      <c r="I14" s="64"/>
      <c r="J14" s="64"/>
      <c r="K14" s="57">
        <v>-52</v>
      </c>
      <c r="L14" s="88"/>
      <c r="M14" s="62">
        <f>(K17*M2/K2)-M2-M11</f>
        <v>183.82140767230294</v>
      </c>
      <c r="N14" s="57">
        <v>9</v>
      </c>
      <c r="O14" s="88"/>
      <c r="P14" s="62">
        <f>(N17*((P2)/(N2))-P2-P12)</f>
        <v>402.42947886219099</v>
      </c>
      <c r="Q14" s="39"/>
      <c r="R14" s="39"/>
      <c r="S14" s="39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22"/>
      <c r="AO14" s="43"/>
      <c r="AP14" s="12" t="e">
        <f>#REF!</f>
        <v>#REF!</v>
      </c>
      <c r="AT14" s="2"/>
    </row>
    <row r="15" spans="1:46" s="4" customFormat="1" ht="17.25" customHeight="1" x14ac:dyDescent="0.25">
      <c r="A15" s="23"/>
      <c r="B15" s="201"/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39"/>
      <c r="R15" s="39"/>
      <c r="S15" s="39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22"/>
      <c r="AO15" s="43">
        <f>A3</f>
        <v>46023</v>
      </c>
      <c r="AP15" s="12" t="e">
        <f>#REF!</f>
        <v>#REF!</v>
      </c>
      <c r="AT15" s="2"/>
    </row>
    <row r="16" spans="1:46" s="2" customFormat="1" ht="17.25" customHeight="1" thickBot="1" x14ac:dyDescent="0.3">
      <c r="A16" s="56"/>
      <c r="B16" s="101" t="s">
        <v>102</v>
      </c>
      <c r="C16" s="102">
        <f>D17+E17+F17+G17+H17+I17+J17+M17+P17</f>
        <v>153648.07954000006</v>
      </c>
      <c r="D16" s="85"/>
      <c r="E16" s="85"/>
      <c r="F16" s="85"/>
      <c r="G16" s="85"/>
      <c r="H16" s="85"/>
      <c r="I16" s="85"/>
      <c r="J16" s="85"/>
      <c r="K16" s="97"/>
      <c r="L16" s="98"/>
      <c r="M16" s="99">
        <f>K16*L16</f>
        <v>0</v>
      </c>
      <c r="N16" s="97"/>
      <c r="O16" s="98"/>
      <c r="P16" s="99">
        <f>N16*O16</f>
        <v>0</v>
      </c>
      <c r="Q16" s="51"/>
      <c r="R16" s="51"/>
      <c r="S16" s="51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42">
        <f>SUM($Q2:AN16)</f>
        <v>-486385.31</v>
      </c>
      <c r="AQ16" s="33"/>
      <c r="AR16" s="27"/>
      <c r="AS16" s="2" t="s">
        <v>5</v>
      </c>
    </row>
    <row r="17" spans="1:45" s="2" customFormat="1" ht="17.25" customHeight="1" thickTop="1" thickBot="1" x14ac:dyDescent="0.3">
      <c r="A17" s="103"/>
      <c r="B17" s="104" t="s">
        <v>103</v>
      </c>
      <c r="C17" s="105">
        <f>AO17</f>
        <v>-332737.23045999993</v>
      </c>
      <c r="D17" s="106">
        <f t="shared" ref="D17:K17" si="0">SUM(D2:D16)</f>
        <v>6322.387040000026</v>
      </c>
      <c r="E17" s="107">
        <f t="shared" si="0"/>
        <v>-31610.26</v>
      </c>
      <c r="F17" s="107">
        <f t="shared" si="0"/>
        <v>0.5</v>
      </c>
      <c r="G17" s="107">
        <f t="shared" si="0"/>
        <v>0</v>
      </c>
      <c r="H17" s="107">
        <f t="shared" si="0"/>
        <v>63405.912500000006</v>
      </c>
      <c r="I17" s="107">
        <f t="shared" si="0"/>
        <v>40195.14</v>
      </c>
      <c r="J17" s="107">
        <f t="shared" si="0"/>
        <v>0</v>
      </c>
      <c r="K17" s="108">
        <f t="shared" si="0"/>
        <v>5582</v>
      </c>
      <c r="L17" s="109">
        <f>M17/K17</f>
        <v>5.0846990326048012</v>
      </c>
      <c r="M17" s="107">
        <f>ROUND(SUM(M2:M16),2)</f>
        <v>28382.79</v>
      </c>
      <c r="N17" s="108">
        <f>SUM(N2:N16)</f>
        <v>12629</v>
      </c>
      <c r="O17" s="109">
        <f>P17/N17</f>
        <v>3.7177615013065166</v>
      </c>
      <c r="P17" s="107">
        <f>ROUND(SUM(P2:P16),2)</f>
        <v>46951.61</v>
      </c>
      <c r="Q17" s="110">
        <f t="shared" ref="Q17:AH17" si="1">SUM(Q2:Q16)</f>
        <v>-530185.23</v>
      </c>
      <c r="R17" s="107">
        <f t="shared" si="1"/>
        <v>50229.299999999996</v>
      </c>
      <c r="S17" s="107">
        <f t="shared" si="1"/>
        <v>0</v>
      </c>
      <c r="T17" s="107">
        <f t="shared" si="1"/>
        <v>-6429.38</v>
      </c>
      <c r="U17" s="107">
        <f t="shared" si="1"/>
        <v>0</v>
      </c>
      <c r="V17" s="107">
        <f t="shared" si="1"/>
        <v>0</v>
      </c>
      <c r="W17" s="107">
        <f t="shared" si="1"/>
        <v>0</v>
      </c>
      <c r="X17" s="107">
        <f t="shared" si="1"/>
        <v>0</v>
      </c>
      <c r="Y17" s="107">
        <f t="shared" si="1"/>
        <v>0</v>
      </c>
      <c r="Z17" s="107">
        <f t="shared" si="1"/>
        <v>0</v>
      </c>
      <c r="AA17" s="107">
        <f t="shared" si="1"/>
        <v>0</v>
      </c>
      <c r="AB17" s="107">
        <f t="shared" si="1"/>
        <v>0</v>
      </c>
      <c r="AC17" s="107">
        <f t="shared" si="1"/>
        <v>0</v>
      </c>
      <c r="AD17" s="107">
        <f t="shared" si="1"/>
        <v>0</v>
      </c>
      <c r="AE17" s="107">
        <f t="shared" si="1"/>
        <v>0</v>
      </c>
      <c r="AF17" s="107">
        <f t="shared" si="1"/>
        <v>0</v>
      </c>
      <c r="AG17" s="107">
        <f t="shared" si="1"/>
        <v>0</v>
      </c>
      <c r="AH17" s="107">
        <f t="shared" si="1"/>
        <v>0</v>
      </c>
      <c r="AI17" s="107"/>
      <c r="AJ17" s="107">
        <f>SUM(AJ2:AJ16)</f>
        <v>0</v>
      </c>
      <c r="AK17" s="107">
        <f>SUM(AK2:AK16)</f>
        <v>0</v>
      </c>
      <c r="AL17" s="107">
        <f>SUM(AL2:AL16)</f>
        <v>0</v>
      </c>
      <c r="AM17" s="107">
        <f>SUM(AM2:AM16)</f>
        <v>0</v>
      </c>
      <c r="AN17" s="107">
        <f>SUM(AN2:AN16)</f>
        <v>0</v>
      </c>
      <c r="AO17" s="111">
        <f>D17+E17+F17+G17+H17+I17+J17+M17+P17+SUM(Q17:AN17)</f>
        <v>-332737.23045999993</v>
      </c>
      <c r="AP17" s="4"/>
      <c r="AQ17" s="5"/>
      <c r="AR17" s="5"/>
      <c r="AS17" s="2" t="s">
        <v>6</v>
      </c>
    </row>
    <row r="18" spans="1:45" s="4" customFormat="1" ht="17.25" customHeight="1" thickTop="1" x14ac:dyDescent="0.25">
      <c r="A18" s="23">
        <f>A3+1</f>
        <v>46024</v>
      </c>
      <c r="B18" s="210" t="s">
        <v>319</v>
      </c>
      <c r="C18" s="203"/>
      <c r="D18" s="63">
        <v>9957.83</v>
      </c>
      <c r="E18" s="66"/>
      <c r="F18" s="66"/>
      <c r="G18" s="66"/>
      <c r="H18" s="66"/>
      <c r="I18" s="168">
        <f>-D18</f>
        <v>-9957.83</v>
      </c>
      <c r="J18" s="66"/>
      <c r="K18" s="18"/>
      <c r="L18" s="91"/>
      <c r="M18" s="66"/>
      <c r="N18" s="18"/>
      <c r="O18" s="91"/>
      <c r="P18" s="66"/>
      <c r="Q18" s="46"/>
      <c r="R18" s="46"/>
      <c r="S18" s="45"/>
      <c r="T18" s="18"/>
      <c r="U18" s="18"/>
      <c r="V18" s="18"/>
      <c r="W18" s="18"/>
      <c r="X18" s="18"/>
      <c r="Y18" s="14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7"/>
      <c r="AO18" s="13"/>
      <c r="AP18" s="12" t="e">
        <f>#REF!</f>
        <v>#REF!</v>
      </c>
    </row>
    <row r="19" spans="1:45" s="4" customFormat="1" ht="17.25" customHeight="1" x14ac:dyDescent="0.25">
      <c r="A19" s="23"/>
      <c r="B19" s="201" t="s">
        <v>96</v>
      </c>
      <c r="C19" s="202"/>
      <c r="D19" s="63"/>
      <c r="E19" s="64"/>
      <c r="F19" s="64"/>
      <c r="G19" s="64"/>
      <c r="H19" s="64"/>
      <c r="I19" s="64">
        <f>D18-10212.14</f>
        <v>-254.30999999999949</v>
      </c>
      <c r="J19" s="64"/>
      <c r="K19" s="16"/>
      <c r="L19" s="92"/>
      <c r="M19" s="64"/>
      <c r="N19" s="16"/>
      <c r="O19" s="92"/>
      <c r="P19" s="64"/>
      <c r="Q19" s="40"/>
      <c r="R19" s="46"/>
      <c r="S19" s="39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22"/>
      <c r="AP19" s="30"/>
    </row>
    <row r="20" spans="1:45" s="4" customFormat="1" ht="17.25" customHeight="1" x14ac:dyDescent="0.25">
      <c r="A20" s="23"/>
      <c r="B20" s="210" t="s">
        <v>316</v>
      </c>
      <c r="C20" s="203"/>
      <c r="D20" s="63">
        <v>11108.16</v>
      </c>
      <c r="E20" s="66"/>
      <c r="F20" s="66"/>
      <c r="G20" s="66"/>
      <c r="H20" s="66"/>
      <c r="I20" s="168">
        <f>-D20</f>
        <v>-11108.16</v>
      </c>
      <c r="J20" s="66"/>
      <c r="K20" s="18"/>
      <c r="L20" s="91"/>
      <c r="M20" s="66"/>
      <c r="N20" s="18"/>
      <c r="O20" s="91"/>
      <c r="P20" s="66"/>
      <c r="Q20" s="46"/>
      <c r="R20" s="46"/>
      <c r="S20" s="45"/>
      <c r="T20" s="18"/>
      <c r="U20" s="18"/>
      <c r="V20" s="18"/>
      <c r="W20" s="18"/>
      <c r="X20" s="18"/>
      <c r="Y20" s="14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7"/>
      <c r="AO20" s="13"/>
      <c r="AP20" s="12" t="e">
        <f>#REF!</f>
        <v>#REF!</v>
      </c>
    </row>
    <row r="21" spans="1:45" s="4" customFormat="1" ht="17.25" customHeight="1" x14ac:dyDescent="0.25">
      <c r="A21" s="23"/>
      <c r="B21" s="201" t="s">
        <v>96</v>
      </c>
      <c r="C21" s="202"/>
      <c r="D21" s="63"/>
      <c r="E21" s="64"/>
      <c r="F21" s="64"/>
      <c r="G21" s="64"/>
      <c r="H21" s="64"/>
      <c r="I21" s="64">
        <f>D20-11357.12</f>
        <v>-248.96000000000095</v>
      </c>
      <c r="J21" s="64"/>
      <c r="K21" s="16"/>
      <c r="L21" s="92"/>
      <c r="M21" s="64"/>
      <c r="N21" s="16"/>
      <c r="O21" s="92"/>
      <c r="P21" s="64"/>
      <c r="Q21" s="40"/>
      <c r="R21" s="46"/>
      <c r="S21" s="3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22"/>
      <c r="AP21" s="30"/>
    </row>
    <row r="22" spans="1:45" s="4" customFormat="1" ht="17.25" customHeight="1" x14ac:dyDescent="0.25">
      <c r="A22" s="23"/>
      <c r="B22" s="210" t="s">
        <v>317</v>
      </c>
      <c r="C22" s="203"/>
      <c r="D22" s="63">
        <v>12664.08</v>
      </c>
      <c r="E22" s="66"/>
      <c r="F22" s="66"/>
      <c r="G22" s="66"/>
      <c r="H22" s="66"/>
      <c r="I22" s="168">
        <f>-D22</f>
        <v>-12664.08</v>
      </c>
      <c r="J22" s="66"/>
      <c r="K22" s="18"/>
      <c r="L22" s="91"/>
      <c r="M22" s="66"/>
      <c r="N22" s="18"/>
      <c r="O22" s="91"/>
      <c r="P22" s="66"/>
      <c r="Q22" s="46"/>
      <c r="R22" s="46"/>
      <c r="S22" s="45"/>
      <c r="T22" s="18"/>
      <c r="U22" s="18"/>
      <c r="V22" s="18"/>
      <c r="W22" s="18"/>
      <c r="X22" s="18"/>
      <c r="Y22" s="14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7"/>
      <c r="AO22" s="13"/>
      <c r="AP22" s="12" t="e">
        <f>#REF!</f>
        <v>#REF!</v>
      </c>
    </row>
    <row r="23" spans="1:45" s="4" customFormat="1" ht="17.25" customHeight="1" x14ac:dyDescent="0.25">
      <c r="A23" s="23"/>
      <c r="B23" s="201" t="s">
        <v>96</v>
      </c>
      <c r="C23" s="202"/>
      <c r="D23" s="63"/>
      <c r="E23" s="64"/>
      <c r="F23" s="64"/>
      <c r="G23" s="64"/>
      <c r="H23" s="64"/>
      <c r="I23" s="64">
        <f>D22-12950.56</f>
        <v>-286.47999999999956</v>
      </c>
      <c r="J23" s="64"/>
      <c r="K23" s="16"/>
      <c r="L23" s="92"/>
      <c r="M23" s="64"/>
      <c r="N23" s="16"/>
      <c r="O23" s="92"/>
      <c r="P23" s="64"/>
      <c r="Q23" s="40"/>
      <c r="R23" s="46"/>
      <c r="S23" s="39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22"/>
      <c r="AP23" s="30"/>
    </row>
    <row r="24" spans="1:45" s="4" customFormat="1" ht="17.25" customHeight="1" x14ac:dyDescent="0.25">
      <c r="A24" s="23"/>
      <c r="B24" s="210" t="s">
        <v>318</v>
      </c>
      <c r="C24" s="203"/>
      <c r="D24" s="63">
        <v>5554.6</v>
      </c>
      <c r="E24" s="66"/>
      <c r="F24" s="66"/>
      <c r="G24" s="66"/>
      <c r="H24" s="66"/>
      <c r="I24" s="168">
        <f>-D24</f>
        <v>-5554.6</v>
      </c>
      <c r="J24" s="66"/>
      <c r="K24" s="18"/>
      <c r="L24" s="91"/>
      <c r="M24" s="66"/>
      <c r="N24" s="18"/>
      <c r="O24" s="91"/>
      <c r="P24" s="66"/>
      <c r="Q24" s="46"/>
      <c r="R24" s="46"/>
      <c r="S24" s="45"/>
      <c r="T24" s="18"/>
      <c r="U24" s="18"/>
      <c r="V24" s="18"/>
      <c r="W24" s="18"/>
      <c r="X24" s="18"/>
      <c r="Y24" s="14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7"/>
      <c r="AO24" s="13"/>
      <c r="AP24" s="12" t="e">
        <f>#REF!</f>
        <v>#REF!</v>
      </c>
    </row>
    <row r="25" spans="1:45" s="4" customFormat="1" ht="17.25" customHeight="1" x14ac:dyDescent="0.25">
      <c r="A25" s="23"/>
      <c r="B25" s="201" t="s">
        <v>96</v>
      </c>
      <c r="C25" s="202"/>
      <c r="D25" s="63"/>
      <c r="E25" s="64"/>
      <c r="F25" s="64"/>
      <c r="G25" s="64"/>
      <c r="H25" s="64"/>
      <c r="I25" s="64">
        <f>D24-5675.32</f>
        <v>-120.71999999999935</v>
      </c>
      <c r="J25" s="64"/>
      <c r="K25" s="16"/>
      <c r="L25" s="92"/>
      <c r="M25" s="64"/>
      <c r="N25" s="16"/>
      <c r="O25" s="92"/>
      <c r="P25" s="64"/>
      <c r="Q25" s="40"/>
      <c r="R25" s="46"/>
      <c r="S25" s="39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22"/>
      <c r="AP25" s="30"/>
    </row>
    <row r="26" spans="1:45" s="4" customFormat="1" ht="17.25" customHeight="1" x14ac:dyDescent="0.25">
      <c r="A26" s="23"/>
      <c r="B26" s="201" t="s">
        <v>13</v>
      </c>
      <c r="C26" s="203"/>
      <c r="D26" s="63"/>
      <c r="E26" s="64">
        <f>80+50+100+13+100+50+100+5+55+50+30+25+80+80+30+50+110+160+20+30+20+100+23+150+13+320+50+50+20+70+100+30+200+25+40+100+59.5+50+70+60+10+30+50</f>
        <v>2858.5</v>
      </c>
      <c r="F26" s="64"/>
      <c r="G26" s="64"/>
      <c r="H26" s="64">
        <f>-E26</f>
        <v>-2858.5</v>
      </c>
      <c r="I26" s="66"/>
      <c r="J26" s="64"/>
      <c r="K26" s="16"/>
      <c r="L26" s="92"/>
      <c r="M26" s="64"/>
      <c r="N26" s="16"/>
      <c r="O26" s="92"/>
      <c r="P26" s="64"/>
      <c r="Q26" s="40"/>
      <c r="R26" s="46">
        <f>-D26</f>
        <v>0</v>
      </c>
      <c r="S26" s="39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22"/>
      <c r="AP26" s="30"/>
    </row>
    <row r="27" spans="1:45" s="2" customFormat="1" ht="17.25" customHeight="1" x14ac:dyDescent="0.25">
      <c r="A27" s="24"/>
      <c r="B27" s="201" t="s">
        <v>175</v>
      </c>
      <c r="C27" s="203"/>
      <c r="D27" s="63"/>
      <c r="E27" s="64"/>
      <c r="F27" s="64"/>
      <c r="G27" s="64"/>
      <c r="H27" s="64"/>
      <c r="I27" s="64"/>
      <c r="J27" s="64"/>
      <c r="K27" s="16"/>
      <c r="L27" s="92"/>
      <c r="M27" s="64"/>
      <c r="N27" s="16"/>
      <c r="O27" s="92"/>
      <c r="P27" s="64"/>
      <c r="Q27" s="39"/>
      <c r="R27" s="39"/>
      <c r="S27" s="39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22"/>
      <c r="AQ27" s="10"/>
      <c r="AR27" s="11"/>
    </row>
    <row r="28" spans="1:45" s="2" customFormat="1" ht="17.25" customHeight="1" x14ac:dyDescent="0.25">
      <c r="A28" s="24"/>
      <c r="B28" s="201" t="s">
        <v>176</v>
      </c>
      <c r="C28" s="203"/>
      <c r="D28" s="119"/>
      <c r="E28" s="64"/>
      <c r="F28" s="64"/>
      <c r="G28" s="64"/>
      <c r="H28" s="64"/>
      <c r="I28" s="64"/>
      <c r="J28" s="64"/>
      <c r="K28" s="16"/>
      <c r="L28" s="92"/>
      <c r="M28" s="64"/>
      <c r="N28" s="16"/>
      <c r="O28" s="92"/>
      <c r="P28" s="64"/>
      <c r="Q28" s="39"/>
      <c r="R28" s="39"/>
      <c r="S28" s="39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22"/>
      <c r="AQ28" s="10"/>
      <c r="AR28" s="11"/>
    </row>
    <row r="29" spans="1:45" s="2" customFormat="1" ht="17.25" customHeight="1" x14ac:dyDescent="0.25">
      <c r="A29" s="29"/>
      <c r="B29" s="207" t="s">
        <v>199</v>
      </c>
      <c r="C29" s="207"/>
      <c r="D29" s="117"/>
      <c r="E29" s="64"/>
      <c r="F29" s="64"/>
      <c r="G29" s="64"/>
      <c r="H29" s="64"/>
      <c r="I29" s="64"/>
      <c r="J29" s="64"/>
      <c r="K29" s="16"/>
      <c r="L29" s="92"/>
      <c r="M29" s="64"/>
      <c r="N29" s="16"/>
      <c r="O29" s="92"/>
      <c r="P29" s="64"/>
      <c r="Q29" s="39"/>
      <c r="R29" s="39"/>
      <c r="S29" s="39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22"/>
      <c r="AQ29" s="10"/>
      <c r="AR29" s="11"/>
    </row>
    <row r="30" spans="1:45" s="2" customFormat="1" ht="17.25" customHeight="1" x14ac:dyDescent="0.25">
      <c r="A30" s="29"/>
      <c r="B30" s="207" t="s">
        <v>200</v>
      </c>
      <c r="C30" s="207"/>
      <c r="D30" s="64"/>
      <c r="E30" s="64"/>
      <c r="F30" s="64"/>
      <c r="G30" s="64"/>
      <c r="H30" s="64"/>
      <c r="I30" s="64"/>
      <c r="J30" s="64"/>
      <c r="K30" s="16"/>
      <c r="L30" s="92"/>
      <c r="M30" s="64"/>
      <c r="N30" s="16"/>
      <c r="O30" s="92"/>
      <c r="P30" s="64"/>
      <c r="Q30" s="39"/>
      <c r="R30" s="39"/>
      <c r="S30" s="39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22"/>
      <c r="AQ30" s="10"/>
      <c r="AR30" s="11"/>
    </row>
    <row r="31" spans="1:45" s="2" customFormat="1" ht="17.25" customHeight="1" x14ac:dyDescent="0.25">
      <c r="A31" s="29"/>
      <c r="B31" s="201" t="s">
        <v>72</v>
      </c>
      <c r="C31" s="202"/>
      <c r="D31" s="63">
        <v>-45600</v>
      </c>
      <c r="E31" s="64"/>
      <c r="F31" s="64">
        <f>-D31</f>
        <v>45600</v>
      </c>
      <c r="G31" s="64"/>
      <c r="H31" s="64"/>
      <c r="I31" s="64"/>
      <c r="J31" s="64"/>
      <c r="K31" s="57"/>
      <c r="L31" s="88"/>
      <c r="M31" s="62"/>
      <c r="N31" s="57"/>
      <c r="O31" s="88"/>
      <c r="P31" s="62"/>
      <c r="Q31" s="47"/>
      <c r="R31" s="39"/>
      <c r="S31" s="39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22"/>
      <c r="AQ31" s="10" t="s">
        <v>4</v>
      </c>
      <c r="AR31" s="11" t="e">
        <v>#REF!</v>
      </c>
    </row>
    <row r="32" spans="1:45" s="2" customFormat="1" ht="17.25" customHeight="1" x14ac:dyDescent="0.2">
      <c r="A32" s="24"/>
      <c r="B32" s="201" t="s">
        <v>213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39"/>
      <c r="R32" s="39"/>
      <c r="S32" s="39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34"/>
      <c r="AQ32" s="10"/>
      <c r="AR32" s="11"/>
    </row>
    <row r="33" spans="1:46" s="2" customFormat="1" ht="17.25" customHeight="1" x14ac:dyDescent="0.2">
      <c r="A33" s="24"/>
      <c r="B33" s="201" t="s">
        <v>212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39"/>
      <c r="R33" s="39"/>
      <c r="S33" s="39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34"/>
      <c r="AQ33" s="10"/>
      <c r="AR33" s="11"/>
    </row>
    <row r="34" spans="1:46" s="2" customFormat="1" ht="17.25" customHeight="1" x14ac:dyDescent="0.2">
      <c r="A34" s="24"/>
      <c r="B34" s="201" t="s">
        <v>211</v>
      </c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39"/>
      <c r="R34" s="39"/>
      <c r="S34" s="39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34"/>
      <c r="AQ34" s="10"/>
      <c r="AR34" s="11"/>
    </row>
    <row r="35" spans="1:46" s="4" customFormat="1" ht="17.25" customHeight="1" thickBot="1" x14ac:dyDescent="0.3">
      <c r="A35" s="24"/>
      <c r="B35" s="246"/>
      <c r="C35" s="246"/>
      <c r="D35" s="81"/>
      <c r="E35" s="81"/>
      <c r="F35" s="81"/>
      <c r="G35" s="81"/>
      <c r="H35" s="81"/>
      <c r="I35" s="81"/>
      <c r="J35" s="81"/>
      <c r="K35" s="59"/>
      <c r="L35" s="90"/>
      <c r="M35" s="136"/>
      <c r="N35" s="59"/>
      <c r="O35" s="90"/>
      <c r="P35" s="136"/>
      <c r="Q35" s="39"/>
      <c r="R35" s="39"/>
      <c r="S35" s="39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22"/>
      <c r="AO35" s="43"/>
      <c r="AP35" s="12" t="e">
        <f>#REF!</f>
        <v>#REF!</v>
      </c>
      <c r="AT35" s="2"/>
    </row>
    <row r="36" spans="1:46" s="4" customFormat="1" ht="17.25" customHeight="1" x14ac:dyDescent="0.25">
      <c r="A36" s="23"/>
      <c r="B36" s="212" t="s">
        <v>94</v>
      </c>
      <c r="C36" s="212"/>
      <c r="D36" s="66"/>
      <c r="E36" s="66"/>
      <c r="F36" s="117"/>
      <c r="G36" s="117"/>
      <c r="H36" s="66"/>
      <c r="I36" s="66"/>
      <c r="J36" s="66">
        <f>-M36</f>
        <v>5825.05</v>
      </c>
      <c r="K36" s="58">
        <v>-979</v>
      </c>
      <c r="L36" s="89">
        <v>5.95</v>
      </c>
      <c r="M36" s="73">
        <f>K36*L36</f>
        <v>-5825.05</v>
      </c>
      <c r="N36" s="58"/>
      <c r="O36" s="89"/>
      <c r="P36" s="73"/>
      <c r="Q36" s="39"/>
      <c r="R36" s="39"/>
      <c r="S36" s="8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35"/>
      <c r="AP36" s="12" t="e">
        <f>#REF!</f>
        <v>#REF!</v>
      </c>
    </row>
    <row r="37" spans="1:46" s="4" customFormat="1" ht="17.25" customHeight="1" x14ac:dyDescent="0.25">
      <c r="A37" s="24"/>
      <c r="B37" s="207" t="s">
        <v>95</v>
      </c>
      <c r="C37" s="207"/>
      <c r="D37" s="64"/>
      <c r="E37" s="64"/>
      <c r="F37" s="117"/>
      <c r="G37" s="117"/>
      <c r="H37" s="64"/>
      <c r="I37" s="64"/>
      <c r="J37" s="64">
        <f>-P37</f>
        <v>5046.6400000000003</v>
      </c>
      <c r="K37" s="57"/>
      <c r="L37" s="88"/>
      <c r="M37" s="62"/>
      <c r="N37" s="57">
        <v>-1268</v>
      </c>
      <c r="O37" s="88">
        <v>3.98</v>
      </c>
      <c r="P37" s="62">
        <f>N37*O37</f>
        <v>-5046.6400000000003</v>
      </c>
      <c r="Q37" s="39"/>
      <c r="R37" s="39"/>
      <c r="S37" s="8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35"/>
      <c r="AP37" s="12" t="e">
        <f>#REF!</f>
        <v>#REF!</v>
      </c>
    </row>
    <row r="38" spans="1:46" s="4" customFormat="1" ht="17.25" customHeight="1" x14ac:dyDescent="0.25">
      <c r="A38" s="24"/>
      <c r="B38" s="207" t="s">
        <v>97</v>
      </c>
      <c r="C38" s="207"/>
      <c r="D38" s="64"/>
      <c r="E38" s="64"/>
      <c r="F38" s="64"/>
      <c r="G38" s="64"/>
      <c r="H38" s="64">
        <f>-J38-I38</f>
        <v>3430.4500000000007</v>
      </c>
      <c r="I38" s="64">
        <v>7441.24</v>
      </c>
      <c r="J38" s="64">
        <f>-SUM(J36:J37)</f>
        <v>-10871.69</v>
      </c>
      <c r="K38" s="57"/>
      <c r="L38" s="88"/>
      <c r="M38" s="62"/>
      <c r="N38" s="57"/>
      <c r="O38" s="88"/>
      <c r="P38" s="62"/>
      <c r="Q38" s="39"/>
      <c r="R38" s="39"/>
      <c r="S38" s="39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22"/>
      <c r="AO38" s="43"/>
      <c r="AP38" s="12" t="e">
        <f>#REF!</f>
        <v>#REF!</v>
      </c>
      <c r="AT38" s="2"/>
    </row>
    <row r="39" spans="1:46" s="4" customFormat="1" ht="17.25" customHeight="1" x14ac:dyDescent="0.25">
      <c r="A39" s="24"/>
      <c r="B39" s="207" t="s">
        <v>100</v>
      </c>
      <c r="C39" s="207"/>
      <c r="D39" s="64"/>
      <c r="E39" s="64"/>
      <c r="F39" s="64"/>
      <c r="G39" s="64"/>
      <c r="H39" s="64"/>
      <c r="I39" s="64"/>
      <c r="J39" s="64"/>
      <c r="K39" s="57">
        <v>39</v>
      </c>
      <c r="L39" s="88"/>
      <c r="M39" s="62">
        <f>(K42*M17/K17)-M17-M36</f>
        <v>1045.4329093514871</v>
      </c>
      <c r="N39" s="57">
        <v>-115</v>
      </c>
      <c r="O39" s="88"/>
      <c r="P39" s="62">
        <f>(N42*P17/N17)-P17-P37</f>
        <v>-95.024156306913028</v>
      </c>
      <c r="Q39" s="39"/>
      <c r="R39" s="39"/>
      <c r="S39" s="39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22"/>
      <c r="AO39" s="43"/>
      <c r="AP39" s="12" t="e">
        <f>#REF!</f>
        <v>#REF!</v>
      </c>
      <c r="AT39" s="2"/>
    </row>
    <row r="40" spans="1:46" s="4" customFormat="1" ht="17.25" customHeight="1" x14ac:dyDescent="0.25">
      <c r="A40" s="24"/>
      <c r="B40" s="201"/>
      <c r="C40" s="202"/>
      <c r="D40" s="64"/>
      <c r="E40" s="64"/>
      <c r="F40" s="117"/>
      <c r="G40" s="117"/>
      <c r="H40" s="64"/>
      <c r="I40" s="64"/>
      <c r="J40" s="64"/>
      <c r="K40" s="16"/>
      <c r="L40" s="92"/>
      <c r="M40" s="64"/>
      <c r="N40" s="16"/>
      <c r="O40" s="92"/>
      <c r="P40" s="64"/>
      <c r="Q40" s="47"/>
      <c r="R40" s="39"/>
      <c r="S40" s="8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43">
        <f>A18</f>
        <v>46024</v>
      </c>
      <c r="AP40" s="12" t="e">
        <f>#REF!</f>
        <v>#REF!</v>
      </c>
    </row>
    <row r="41" spans="1:46" s="4" customFormat="1" ht="17.25" customHeight="1" thickBot="1" x14ac:dyDescent="0.3">
      <c r="A41" s="32"/>
      <c r="B41" s="101" t="s">
        <v>102</v>
      </c>
      <c r="C41" s="102">
        <f>D42+E42+F42+G42+H42+I42+J42+M42+P42</f>
        <v>153688.01954000001</v>
      </c>
      <c r="D41" s="96"/>
      <c r="E41" s="85"/>
      <c r="F41" s="120"/>
      <c r="G41" s="120"/>
      <c r="H41" s="85"/>
      <c r="I41" s="85"/>
      <c r="J41" s="85"/>
      <c r="K41" s="28"/>
      <c r="L41" s="112"/>
      <c r="M41" s="85"/>
      <c r="N41" s="28"/>
      <c r="O41" s="112"/>
      <c r="P41" s="85"/>
      <c r="Q41" s="113"/>
      <c r="R41" s="51"/>
      <c r="S41" s="87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42">
        <f>SUM($Q17:AN41)</f>
        <v>-486385.31</v>
      </c>
      <c r="AP41" s="2"/>
      <c r="AQ41" s="33"/>
      <c r="AR41" s="27"/>
      <c r="AS41" s="2" t="s">
        <v>5</v>
      </c>
    </row>
    <row r="42" spans="1:46" s="2" customFormat="1" ht="17.25" customHeight="1" thickTop="1" thickBot="1" x14ac:dyDescent="0.3">
      <c r="A42" s="103"/>
      <c r="B42" s="104" t="s">
        <v>103</v>
      </c>
      <c r="C42" s="105">
        <f>AO42</f>
        <v>-332697.29045999999</v>
      </c>
      <c r="D42" s="106">
        <f>SUM(D17:D41)</f>
        <v>7.0570400000215159</v>
      </c>
      <c r="E42" s="107">
        <f>SUM(E17:E41)</f>
        <v>-28751.759999999998</v>
      </c>
      <c r="F42" s="107">
        <f>SUM(F17:F41)</f>
        <v>45600.5</v>
      </c>
      <c r="G42" s="107">
        <f>SUM(G17:G41)</f>
        <v>0</v>
      </c>
      <c r="H42" s="107">
        <f>SUM(H17:H41)</f>
        <v>63977.862500000003</v>
      </c>
      <c r="I42" s="107">
        <f>ROUND(SUM(I17:I41),2)</f>
        <v>7441.24</v>
      </c>
      <c r="J42" s="107">
        <f>SUM(J17:J41)</f>
        <v>0</v>
      </c>
      <c r="K42" s="108">
        <f>SUM(K17:K41)</f>
        <v>4642</v>
      </c>
      <c r="L42" s="109">
        <f>M42/K42</f>
        <v>5.0846984058595428</v>
      </c>
      <c r="M42" s="107">
        <f>ROUND(SUM(M17:M41),2)</f>
        <v>23603.17</v>
      </c>
      <c r="N42" s="108">
        <f>SUM(N17:N41)</f>
        <v>11246</v>
      </c>
      <c r="O42" s="114">
        <f>P42/N42</f>
        <v>3.7177618708874265</v>
      </c>
      <c r="P42" s="107">
        <f>ROUND(SUM(P17:P41),2)</f>
        <v>41809.949999999997</v>
      </c>
      <c r="Q42" s="115">
        <f t="shared" ref="Q42:AN42" si="2">SUM(Q17:Q41)</f>
        <v>-530185.23</v>
      </c>
      <c r="R42" s="107">
        <f t="shared" si="2"/>
        <v>50229.299999999996</v>
      </c>
      <c r="S42" s="107">
        <f t="shared" si="2"/>
        <v>0</v>
      </c>
      <c r="T42" s="107">
        <f t="shared" si="2"/>
        <v>-6429.38</v>
      </c>
      <c r="U42" s="107">
        <f t="shared" si="2"/>
        <v>0</v>
      </c>
      <c r="V42" s="107">
        <f t="shared" si="2"/>
        <v>0</v>
      </c>
      <c r="W42" s="107">
        <f t="shared" si="2"/>
        <v>0</v>
      </c>
      <c r="X42" s="107">
        <f t="shared" si="2"/>
        <v>0</v>
      </c>
      <c r="Y42" s="107">
        <f t="shared" si="2"/>
        <v>0</v>
      </c>
      <c r="Z42" s="107">
        <f t="shared" si="2"/>
        <v>0</v>
      </c>
      <c r="AA42" s="107">
        <f t="shared" si="2"/>
        <v>0</v>
      </c>
      <c r="AB42" s="107">
        <f t="shared" si="2"/>
        <v>0</v>
      </c>
      <c r="AC42" s="107">
        <f t="shared" si="2"/>
        <v>0</v>
      </c>
      <c r="AD42" s="107">
        <f t="shared" si="2"/>
        <v>0</v>
      </c>
      <c r="AE42" s="107">
        <f t="shared" si="2"/>
        <v>0</v>
      </c>
      <c r="AF42" s="107">
        <f t="shared" si="2"/>
        <v>0</v>
      </c>
      <c r="AG42" s="107">
        <f t="shared" si="2"/>
        <v>0</v>
      </c>
      <c r="AH42" s="107">
        <f t="shared" si="2"/>
        <v>0</v>
      </c>
      <c r="AI42" s="107">
        <f t="shared" si="2"/>
        <v>0</v>
      </c>
      <c r="AJ42" s="107">
        <f t="shared" si="2"/>
        <v>0</v>
      </c>
      <c r="AK42" s="107">
        <f t="shared" si="2"/>
        <v>0</v>
      </c>
      <c r="AL42" s="107">
        <f t="shared" si="2"/>
        <v>0</v>
      </c>
      <c r="AM42" s="107">
        <f t="shared" si="2"/>
        <v>0</v>
      </c>
      <c r="AN42" s="107">
        <f t="shared" si="2"/>
        <v>0</v>
      </c>
      <c r="AO42" s="111">
        <f>D42+E42+F42+G42+H42+I42+J42+M42+P42+SUM(Q42:AN42)</f>
        <v>-332697.29045999999</v>
      </c>
      <c r="AP42" s="4"/>
      <c r="AQ42" s="5"/>
      <c r="AR42" s="5"/>
      <c r="AS42" s="2" t="s">
        <v>6</v>
      </c>
    </row>
    <row r="43" spans="1:46" s="2" customFormat="1" ht="17.25" customHeight="1" thickTop="1" x14ac:dyDescent="0.25">
      <c r="A43" s="23">
        <f>A18+1</f>
        <v>46025</v>
      </c>
      <c r="B43" s="210" t="s">
        <v>64</v>
      </c>
      <c r="C43" s="203"/>
      <c r="D43" s="63">
        <v>7264.93</v>
      </c>
      <c r="E43" s="66"/>
      <c r="F43" s="66"/>
      <c r="G43" s="66"/>
      <c r="H43" s="66"/>
      <c r="I43" s="66">
        <f>-D43</f>
        <v>-7264.93</v>
      </c>
      <c r="J43" s="66"/>
      <c r="K43" s="18"/>
      <c r="L43" s="91"/>
      <c r="M43" s="66"/>
      <c r="N43" s="18"/>
      <c r="O43" s="91"/>
      <c r="P43" s="66"/>
      <c r="Q43" s="46"/>
      <c r="R43" s="46"/>
      <c r="S43" s="45"/>
      <c r="T43" s="18"/>
      <c r="U43" s="18"/>
      <c r="V43" s="18"/>
      <c r="W43" s="18"/>
      <c r="X43" s="18"/>
      <c r="Y43" s="14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7"/>
      <c r="AO43" s="13"/>
      <c r="AQ43" s="10"/>
      <c r="AR43" s="27"/>
    </row>
    <row r="44" spans="1:46" s="4" customFormat="1" ht="17.25" customHeight="1" x14ac:dyDescent="0.25">
      <c r="A44" s="23"/>
      <c r="B44" s="201" t="s">
        <v>96</v>
      </c>
      <c r="C44" s="202"/>
      <c r="D44" s="63"/>
      <c r="E44" s="64"/>
      <c r="F44" s="64"/>
      <c r="G44" s="64"/>
      <c r="H44" s="64"/>
      <c r="I44" s="64">
        <f>-I42-I43</f>
        <v>-176.30999999999949</v>
      </c>
      <c r="J44" s="64"/>
      <c r="K44" s="16"/>
      <c r="L44" s="92"/>
      <c r="M44" s="64"/>
      <c r="N44" s="16"/>
      <c r="O44" s="92"/>
      <c r="P44" s="64"/>
      <c r="Q44" s="40"/>
      <c r="R44" s="46"/>
      <c r="S44" s="39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22"/>
      <c r="AP44" s="30"/>
    </row>
    <row r="45" spans="1:46" s="2" customFormat="1" ht="17.25" customHeight="1" x14ac:dyDescent="0.25">
      <c r="A45" s="24"/>
      <c r="B45" s="201"/>
      <c r="C45" s="203"/>
      <c r="D45" s="63"/>
      <c r="E45" s="64"/>
      <c r="F45" s="64"/>
      <c r="G45" s="64"/>
      <c r="H45" s="64"/>
      <c r="I45" s="64"/>
      <c r="J45" s="64"/>
      <c r="K45" s="16"/>
      <c r="L45" s="92"/>
      <c r="M45" s="64"/>
      <c r="N45" s="16"/>
      <c r="O45" s="92"/>
      <c r="P45" s="64"/>
      <c r="Q45" s="39"/>
      <c r="R45" s="39"/>
      <c r="S45" s="39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22"/>
      <c r="AQ45" s="10"/>
      <c r="AR45" s="11"/>
    </row>
    <row r="46" spans="1:46" s="2" customFormat="1" ht="17.25" customHeight="1" x14ac:dyDescent="0.25">
      <c r="A46" s="24"/>
      <c r="B46" s="201"/>
      <c r="C46" s="203"/>
      <c r="D46" s="119"/>
      <c r="E46" s="64"/>
      <c r="F46" s="64"/>
      <c r="G46" s="64"/>
      <c r="H46" s="64"/>
      <c r="I46" s="64"/>
      <c r="J46" s="64"/>
      <c r="K46" s="16"/>
      <c r="L46" s="92"/>
      <c r="M46" s="64"/>
      <c r="N46" s="16"/>
      <c r="O46" s="92"/>
      <c r="P46" s="64"/>
      <c r="Q46" s="39"/>
      <c r="R46" s="39"/>
      <c r="S46" s="39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22"/>
      <c r="AQ46" s="10"/>
      <c r="AR46" s="11"/>
    </row>
    <row r="47" spans="1:46" s="2" customFormat="1" ht="17.25" customHeight="1" x14ac:dyDescent="0.25">
      <c r="A47" s="29"/>
      <c r="B47" s="201"/>
      <c r="C47" s="202"/>
      <c r="D47" s="63"/>
      <c r="E47" s="64"/>
      <c r="F47" s="64"/>
      <c r="G47" s="64"/>
      <c r="H47" s="64"/>
      <c r="I47" s="64"/>
      <c r="J47" s="64"/>
      <c r="K47" s="57"/>
      <c r="L47" s="88"/>
      <c r="M47" s="62"/>
      <c r="N47" s="57"/>
      <c r="O47" s="88"/>
      <c r="P47" s="62"/>
      <c r="Q47" s="47"/>
      <c r="R47" s="39"/>
      <c r="S47" s="39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22"/>
      <c r="AQ47" s="10"/>
      <c r="AR47" s="11"/>
    </row>
    <row r="48" spans="1:46" s="2" customFormat="1" ht="17.25" customHeight="1" x14ac:dyDescent="0.25">
      <c r="A48" s="24"/>
      <c r="B48" s="201"/>
      <c r="C48" s="203"/>
      <c r="D48" s="65"/>
      <c r="E48" s="64"/>
      <c r="F48" s="117"/>
      <c r="G48" s="117"/>
      <c r="H48" s="64"/>
      <c r="I48" s="64"/>
      <c r="J48" s="64"/>
      <c r="K48" s="16"/>
      <c r="L48" s="92"/>
      <c r="M48" s="64"/>
      <c r="N48" s="16"/>
      <c r="O48" s="92"/>
      <c r="P48" s="64"/>
      <c r="Q48" s="46"/>
      <c r="R48" s="46"/>
      <c r="S48" s="86"/>
      <c r="T48" s="16"/>
      <c r="U48" s="16"/>
      <c r="V48" s="16"/>
      <c r="W48" s="16"/>
      <c r="X48" s="16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7"/>
      <c r="AO48" s="26"/>
      <c r="AQ48" s="10"/>
      <c r="AR48" s="27"/>
    </row>
    <row r="49" spans="1:46" s="2" customFormat="1" ht="17.25" customHeight="1" x14ac:dyDescent="0.25">
      <c r="A49" s="24"/>
      <c r="B49" s="201"/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39"/>
      <c r="R49" s="39"/>
      <c r="S49" s="39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22"/>
      <c r="AQ49" s="10"/>
      <c r="AR49" s="11"/>
    </row>
    <row r="50" spans="1:46" s="4" customFormat="1" ht="17.25" customHeight="1" thickBot="1" x14ac:dyDescent="0.25">
      <c r="A50" s="23"/>
      <c r="B50" s="216"/>
      <c r="C50" s="242"/>
      <c r="D50" s="83"/>
      <c r="E50" s="81"/>
      <c r="F50" s="81"/>
      <c r="G50" s="81"/>
      <c r="H50" s="81"/>
      <c r="I50" s="81"/>
      <c r="J50" s="81"/>
      <c r="K50" s="37"/>
      <c r="L50" s="93"/>
      <c r="M50" s="81"/>
      <c r="N50" s="37"/>
      <c r="O50" s="93"/>
      <c r="P50" s="81"/>
      <c r="Q50" s="46"/>
      <c r="R50" s="46"/>
      <c r="S50" s="39"/>
      <c r="T50" s="16"/>
      <c r="U50" s="16"/>
      <c r="V50" s="16"/>
      <c r="W50" s="16"/>
      <c r="X50" s="16"/>
      <c r="Y50" s="19"/>
      <c r="Z50" s="16"/>
      <c r="AA50" s="16"/>
      <c r="AB50" s="16"/>
      <c r="AC50" s="16"/>
      <c r="AD50" s="16"/>
      <c r="AE50" s="16"/>
      <c r="AF50" s="16"/>
      <c r="AG50" s="16"/>
      <c r="AH50" s="16"/>
      <c r="AI50" s="44"/>
      <c r="AJ50" s="16"/>
      <c r="AK50" s="16"/>
      <c r="AL50" s="16"/>
      <c r="AM50" s="16"/>
      <c r="AN50" s="16"/>
      <c r="AO50" s="44"/>
    </row>
    <row r="51" spans="1:46" s="4" customFormat="1" ht="17.25" customHeight="1" x14ac:dyDescent="0.25">
      <c r="A51" s="23"/>
      <c r="B51" s="210" t="s">
        <v>94</v>
      </c>
      <c r="C51" s="203"/>
      <c r="D51" s="66"/>
      <c r="E51" s="66"/>
      <c r="F51" s="117"/>
      <c r="G51" s="117"/>
      <c r="H51" s="66"/>
      <c r="I51" s="66"/>
      <c r="J51" s="66">
        <f>-M51</f>
        <v>5158.6500000000005</v>
      </c>
      <c r="K51" s="58">
        <v>-867</v>
      </c>
      <c r="L51" s="89">
        <v>5.95</v>
      </c>
      <c r="M51" s="73">
        <f>K51*L51</f>
        <v>-5158.6500000000005</v>
      </c>
      <c r="N51" s="58"/>
      <c r="O51" s="89"/>
      <c r="P51" s="73"/>
      <c r="Q51" s="39"/>
      <c r="R51" s="39"/>
      <c r="S51" s="8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35"/>
      <c r="AP51" s="12" t="e">
        <f>#REF!</f>
        <v>#REF!</v>
      </c>
    </row>
    <row r="52" spans="1:46" s="4" customFormat="1" ht="17.25" customHeight="1" x14ac:dyDescent="0.25">
      <c r="A52" s="23"/>
      <c r="B52" s="201" t="s">
        <v>95</v>
      </c>
      <c r="C52" s="202"/>
      <c r="D52" s="64"/>
      <c r="E52" s="64"/>
      <c r="F52" s="117"/>
      <c r="G52" s="117"/>
      <c r="H52" s="64"/>
      <c r="I52" s="64"/>
      <c r="J52" s="64">
        <f>-P52</f>
        <v>5981.94</v>
      </c>
      <c r="K52" s="57"/>
      <c r="L52" s="88"/>
      <c r="M52" s="62"/>
      <c r="N52" s="57">
        <v>-1503</v>
      </c>
      <c r="O52" s="88">
        <v>3.98</v>
      </c>
      <c r="P52" s="62">
        <f>N52*O52</f>
        <v>-5981.94</v>
      </c>
      <c r="Q52" s="39"/>
      <c r="R52" s="39"/>
      <c r="S52" s="8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35"/>
      <c r="AP52" s="12" t="e">
        <f>#REF!</f>
        <v>#REF!</v>
      </c>
    </row>
    <row r="53" spans="1:46" s="4" customFormat="1" ht="17.25" customHeight="1" x14ac:dyDescent="0.25">
      <c r="A53" s="23"/>
      <c r="B53" s="201" t="s">
        <v>97</v>
      </c>
      <c r="C53" s="203"/>
      <c r="D53" s="64"/>
      <c r="E53" s="64"/>
      <c r="F53" s="64"/>
      <c r="G53" s="64"/>
      <c r="H53" s="64">
        <f>-J53-I53</f>
        <v>3726.63</v>
      </c>
      <c r="I53" s="64">
        <v>7413.96</v>
      </c>
      <c r="J53" s="64">
        <f>-SUM(J51:J52)</f>
        <v>-11140.59</v>
      </c>
      <c r="K53" s="57"/>
      <c r="L53" s="88"/>
      <c r="M53" s="62"/>
      <c r="N53" s="57"/>
      <c r="O53" s="88"/>
      <c r="P53" s="62"/>
      <c r="Q53" s="39"/>
      <c r="R53" s="39"/>
      <c r="S53" s="39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22"/>
      <c r="AO53" s="43">
        <f>A26</f>
        <v>0</v>
      </c>
      <c r="AP53" s="12" t="e">
        <f>#REF!</f>
        <v>#REF!</v>
      </c>
      <c r="AT53" s="2"/>
    </row>
    <row r="54" spans="1:46" s="4" customFormat="1" ht="17.25" customHeight="1" x14ac:dyDescent="0.25">
      <c r="A54" s="23"/>
      <c r="B54" s="201" t="s">
        <v>93</v>
      </c>
      <c r="C54" s="202"/>
      <c r="D54" s="64"/>
      <c r="E54" s="64"/>
      <c r="F54" s="64"/>
      <c r="G54" s="64"/>
      <c r="H54" s="64"/>
      <c r="I54" s="64"/>
      <c r="J54" s="64"/>
      <c r="K54" s="57">
        <v>-42</v>
      </c>
      <c r="L54" s="88"/>
      <c r="M54" s="62">
        <f>(K57*((M42)/(K42)))-M42-M51</f>
        <v>536.6591490736746</v>
      </c>
      <c r="N54" s="57">
        <v>6</v>
      </c>
      <c r="O54" s="88"/>
      <c r="P54" s="62">
        <f>(N57*((P42)/(N42)))-P42-P52</f>
        <v>416.45047928152508</v>
      </c>
      <c r="Q54" s="39"/>
      <c r="R54" s="39"/>
      <c r="S54" s="39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22"/>
      <c r="AO54" s="43">
        <f>A25</f>
        <v>0</v>
      </c>
      <c r="AP54" s="12" t="e">
        <f>#REF!</f>
        <v>#REF!</v>
      </c>
      <c r="AT54" s="2"/>
    </row>
    <row r="55" spans="1:46" s="4" customFormat="1" ht="17.25" customHeight="1" x14ac:dyDescent="0.2">
      <c r="A55" s="23"/>
      <c r="B55" s="201"/>
      <c r="C55" s="202"/>
      <c r="D55" s="63"/>
      <c r="E55" s="64"/>
      <c r="F55" s="64"/>
      <c r="G55" s="64"/>
      <c r="H55" s="64"/>
      <c r="I55" s="64"/>
      <c r="J55" s="64"/>
      <c r="K55" s="16"/>
      <c r="L55" s="92"/>
      <c r="M55" s="64"/>
      <c r="N55" s="16"/>
      <c r="O55" s="92"/>
      <c r="P55" s="64"/>
      <c r="Q55" s="46"/>
      <c r="R55" s="46"/>
      <c r="S55" s="39"/>
      <c r="T55" s="16"/>
      <c r="U55" s="16"/>
      <c r="V55" s="16"/>
      <c r="W55" s="16"/>
      <c r="X55" s="16"/>
      <c r="Y55" s="19"/>
      <c r="Z55" s="16"/>
      <c r="AA55" s="16"/>
      <c r="AB55" s="16"/>
      <c r="AC55" s="16"/>
      <c r="AD55" s="16"/>
      <c r="AE55" s="16"/>
      <c r="AF55" s="16"/>
      <c r="AG55" s="16"/>
      <c r="AH55" s="16"/>
      <c r="AI55" s="44"/>
      <c r="AJ55" s="16"/>
      <c r="AK55" s="16"/>
      <c r="AL55" s="16"/>
      <c r="AM55" s="16"/>
      <c r="AN55" s="16"/>
      <c r="AO55" s="44"/>
    </row>
    <row r="56" spans="1:46" s="2" customFormat="1" ht="17.25" customHeight="1" thickBot="1" x14ac:dyDescent="0.3">
      <c r="A56" s="32"/>
      <c r="B56" s="101" t="s">
        <v>102</v>
      </c>
      <c r="C56" s="102">
        <f>D57+E57+F57+G57+H57+I57+J57+M57+P57</f>
        <v>154464.81954000003</v>
      </c>
      <c r="D56" s="96"/>
      <c r="E56" s="85"/>
      <c r="F56" s="85"/>
      <c r="G56" s="85"/>
      <c r="H56" s="85"/>
      <c r="I56" s="85"/>
      <c r="J56" s="85"/>
      <c r="K56" s="28"/>
      <c r="L56" s="112"/>
      <c r="M56" s="85"/>
      <c r="N56" s="28"/>
      <c r="O56" s="112"/>
      <c r="P56" s="85"/>
      <c r="Q56" s="113"/>
      <c r="R56" s="51"/>
      <c r="S56" s="51"/>
      <c r="T56" s="28"/>
      <c r="U56" s="28"/>
      <c r="V56" s="28"/>
      <c r="W56" s="3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100"/>
      <c r="AO56" s="42">
        <f>SUM($Q42:AN56)</f>
        <v>-486385.31</v>
      </c>
      <c r="AQ56" s="33"/>
      <c r="AR56" s="27"/>
      <c r="AS56" s="2" t="s">
        <v>5</v>
      </c>
    </row>
    <row r="57" spans="1:46" s="2" customFormat="1" ht="17.25" customHeight="1" thickTop="1" thickBot="1" x14ac:dyDescent="0.3">
      <c r="A57" s="103"/>
      <c r="B57" s="104" t="s">
        <v>103</v>
      </c>
      <c r="C57" s="105">
        <f>AO57</f>
        <v>-331920.49046</v>
      </c>
      <c r="D57" s="106">
        <f t="shared" ref="D57:K57" si="3">SUM(D42:D56)</f>
        <v>7271.9870400000218</v>
      </c>
      <c r="E57" s="107">
        <f t="shared" si="3"/>
        <v>-28751.759999999998</v>
      </c>
      <c r="F57" s="107">
        <f t="shared" si="3"/>
        <v>45600.5</v>
      </c>
      <c r="G57" s="107">
        <f t="shared" si="3"/>
        <v>0</v>
      </c>
      <c r="H57" s="107">
        <f t="shared" si="3"/>
        <v>67704.492500000008</v>
      </c>
      <c r="I57" s="107">
        <f t="shared" si="3"/>
        <v>7413.96</v>
      </c>
      <c r="J57" s="107">
        <f t="shared" si="3"/>
        <v>0</v>
      </c>
      <c r="K57" s="108">
        <f t="shared" si="3"/>
        <v>3733</v>
      </c>
      <c r="L57" s="109">
        <f>M57/K57</f>
        <v>5.0846986338065898</v>
      </c>
      <c r="M57" s="107">
        <f>ROUND(SUM(M42:M56),2)</f>
        <v>18981.18</v>
      </c>
      <c r="N57" s="108">
        <f>SUM(N42:N56)</f>
        <v>9749</v>
      </c>
      <c r="O57" s="109">
        <f>P57/N57</f>
        <v>3.717761821725305</v>
      </c>
      <c r="P57" s="107">
        <f>ROUND(SUM(P42:P56),2)</f>
        <v>36244.46</v>
      </c>
      <c r="Q57" s="115">
        <f t="shared" ref="Q57:AN57" si="4">SUM(Q42:Q56)</f>
        <v>-530185.23</v>
      </c>
      <c r="R57" s="107">
        <f t="shared" si="4"/>
        <v>50229.299999999996</v>
      </c>
      <c r="S57" s="107">
        <f t="shared" si="4"/>
        <v>0</v>
      </c>
      <c r="T57" s="107">
        <f t="shared" si="4"/>
        <v>-6429.38</v>
      </c>
      <c r="U57" s="107">
        <f t="shared" si="4"/>
        <v>0</v>
      </c>
      <c r="V57" s="107">
        <f t="shared" si="4"/>
        <v>0</v>
      </c>
      <c r="W57" s="107">
        <f t="shared" si="4"/>
        <v>0</v>
      </c>
      <c r="X57" s="107">
        <f t="shared" si="4"/>
        <v>0</v>
      </c>
      <c r="Y57" s="107">
        <f t="shared" si="4"/>
        <v>0</v>
      </c>
      <c r="Z57" s="107">
        <f t="shared" si="4"/>
        <v>0</v>
      </c>
      <c r="AA57" s="107">
        <f t="shared" si="4"/>
        <v>0</v>
      </c>
      <c r="AB57" s="107">
        <f t="shared" si="4"/>
        <v>0</v>
      </c>
      <c r="AC57" s="107">
        <f t="shared" si="4"/>
        <v>0</v>
      </c>
      <c r="AD57" s="107">
        <f t="shared" si="4"/>
        <v>0</v>
      </c>
      <c r="AE57" s="107">
        <f t="shared" si="4"/>
        <v>0</v>
      </c>
      <c r="AF57" s="107">
        <f t="shared" si="4"/>
        <v>0</v>
      </c>
      <c r="AG57" s="107">
        <f t="shared" si="4"/>
        <v>0</v>
      </c>
      <c r="AH57" s="107">
        <f t="shared" si="4"/>
        <v>0</v>
      </c>
      <c r="AI57" s="107">
        <f t="shared" si="4"/>
        <v>0</v>
      </c>
      <c r="AJ57" s="107">
        <f t="shared" si="4"/>
        <v>0</v>
      </c>
      <c r="AK57" s="107">
        <f t="shared" si="4"/>
        <v>0</v>
      </c>
      <c r="AL57" s="107">
        <f t="shared" si="4"/>
        <v>0</v>
      </c>
      <c r="AM57" s="107">
        <f t="shared" si="4"/>
        <v>0</v>
      </c>
      <c r="AN57" s="107">
        <f t="shared" si="4"/>
        <v>0</v>
      </c>
      <c r="AO57" s="111">
        <f>D57+E57+F57+G57+H57+I57+J57+M57+P57+SUM(Q57:AN57)</f>
        <v>-331920.49046</v>
      </c>
      <c r="AP57" s="4"/>
      <c r="AQ57" s="5"/>
      <c r="AR57" s="5"/>
      <c r="AS57" s="2" t="s">
        <v>6</v>
      </c>
    </row>
    <row r="58" spans="1:46" s="2" customFormat="1" ht="17.25" customHeight="1" thickTop="1" x14ac:dyDescent="0.25">
      <c r="A58" s="23">
        <f>A43+1</f>
        <v>46026</v>
      </c>
      <c r="B58" s="201" t="s">
        <v>64</v>
      </c>
      <c r="C58" s="203"/>
      <c r="D58" s="63">
        <v>7243.61</v>
      </c>
      <c r="E58" s="64"/>
      <c r="F58" s="64"/>
      <c r="G58" s="64"/>
      <c r="H58" s="64"/>
      <c r="I58" s="64">
        <f>-D58</f>
        <v>-7243.61</v>
      </c>
      <c r="J58" s="66"/>
      <c r="K58" s="18"/>
      <c r="L58" s="91"/>
      <c r="M58" s="66"/>
      <c r="N58" s="18"/>
      <c r="O58" s="91"/>
      <c r="P58" s="66"/>
      <c r="Q58" s="46"/>
      <c r="R58" s="46"/>
      <c r="S58" s="45"/>
      <c r="T58" s="18"/>
      <c r="U58" s="18"/>
      <c r="V58" s="18"/>
      <c r="W58" s="18"/>
      <c r="X58" s="18"/>
      <c r="Y58" s="14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7"/>
      <c r="AO58" s="31"/>
      <c r="AQ58" s="10"/>
      <c r="AR58" s="27"/>
    </row>
    <row r="59" spans="1:46" s="2" customFormat="1" ht="17.25" customHeight="1" x14ac:dyDescent="0.25">
      <c r="A59" s="24"/>
      <c r="B59" s="201" t="s">
        <v>96</v>
      </c>
      <c r="C59" s="202"/>
      <c r="D59" s="63"/>
      <c r="E59" s="64"/>
      <c r="F59" s="64"/>
      <c r="G59" s="64"/>
      <c r="H59" s="64"/>
      <c r="I59" s="64">
        <f>-I57-I58</f>
        <v>-170.35000000000036</v>
      </c>
      <c r="J59" s="64"/>
      <c r="K59" s="16"/>
      <c r="L59" s="92"/>
      <c r="M59" s="64"/>
      <c r="N59" s="16"/>
      <c r="O59" s="92"/>
      <c r="P59" s="64"/>
      <c r="Q59" s="46"/>
      <c r="R59" s="40"/>
      <c r="S59" s="39"/>
      <c r="T59" s="16"/>
      <c r="U59" s="16"/>
      <c r="V59" s="16"/>
      <c r="W59" s="16"/>
      <c r="X59" s="16"/>
      <c r="Y59" s="19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22"/>
      <c r="AQ59" s="10"/>
      <c r="AR59" s="11"/>
    </row>
    <row r="60" spans="1:46" s="2" customFormat="1" ht="17.25" customHeight="1" x14ac:dyDescent="0.25">
      <c r="A60" s="29"/>
      <c r="B60" s="201" t="s">
        <v>72</v>
      </c>
      <c r="C60" s="202"/>
      <c r="D60" s="63">
        <v>-14500</v>
      </c>
      <c r="E60" s="64"/>
      <c r="F60" s="64">
        <f>-D60</f>
        <v>14500</v>
      </c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47"/>
      <c r="R60" s="39"/>
      <c r="S60" s="39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22"/>
      <c r="AQ60" s="10" t="s">
        <v>4</v>
      </c>
      <c r="AR60" s="11" t="e">
        <v>#REF!</v>
      </c>
    </row>
    <row r="61" spans="1:46" s="2" customFormat="1" ht="17.25" customHeight="1" x14ac:dyDescent="0.25">
      <c r="A61" s="29"/>
      <c r="B61" s="201"/>
      <c r="C61" s="202"/>
      <c r="D61" s="63"/>
      <c r="E61" s="64"/>
      <c r="F61" s="64"/>
      <c r="G61" s="64"/>
      <c r="H61" s="64"/>
      <c r="I61" s="64"/>
      <c r="J61" s="64"/>
      <c r="K61" s="57"/>
      <c r="L61" s="88"/>
      <c r="M61" s="62"/>
      <c r="N61" s="57"/>
      <c r="O61" s="88"/>
      <c r="P61" s="62"/>
      <c r="Q61" s="47"/>
      <c r="R61" s="39"/>
      <c r="S61" s="39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22"/>
      <c r="AQ61" s="10"/>
      <c r="AR61" s="11"/>
    </row>
    <row r="62" spans="1:46" s="4" customFormat="1" ht="17.25" customHeight="1" thickBot="1" x14ac:dyDescent="0.25">
      <c r="A62" s="23"/>
      <c r="B62" s="216"/>
      <c r="C62" s="242"/>
      <c r="D62" s="83"/>
      <c r="E62" s="81"/>
      <c r="F62" s="81"/>
      <c r="G62" s="81"/>
      <c r="H62" s="81"/>
      <c r="I62" s="81"/>
      <c r="J62" s="81"/>
      <c r="K62" s="37"/>
      <c r="L62" s="93"/>
      <c r="M62" s="81"/>
      <c r="N62" s="37"/>
      <c r="O62" s="93"/>
      <c r="P62" s="81"/>
      <c r="Q62" s="46"/>
      <c r="R62" s="46"/>
      <c r="S62" s="39"/>
      <c r="T62" s="16"/>
      <c r="U62" s="16"/>
      <c r="V62" s="16"/>
      <c r="W62" s="16"/>
      <c r="X62" s="16"/>
      <c r="Y62" s="19"/>
      <c r="Z62" s="16"/>
      <c r="AA62" s="16"/>
      <c r="AB62" s="16"/>
      <c r="AC62" s="16"/>
      <c r="AD62" s="16"/>
      <c r="AE62" s="16"/>
      <c r="AF62" s="16"/>
      <c r="AG62" s="16"/>
      <c r="AH62" s="16"/>
      <c r="AI62" s="44"/>
      <c r="AJ62" s="16"/>
      <c r="AK62" s="16"/>
      <c r="AL62" s="16"/>
      <c r="AM62" s="16"/>
      <c r="AN62" s="16"/>
      <c r="AO62" s="44"/>
    </row>
    <row r="63" spans="1:46" s="4" customFormat="1" ht="17.25" customHeight="1" x14ac:dyDescent="0.25">
      <c r="A63" s="23"/>
      <c r="B63" s="210" t="s">
        <v>94</v>
      </c>
      <c r="C63" s="203"/>
      <c r="D63" s="66"/>
      <c r="E63" s="66"/>
      <c r="F63" s="117"/>
      <c r="G63" s="117"/>
      <c r="H63" s="66"/>
      <c r="I63" s="66"/>
      <c r="J63" s="66">
        <f>-M63</f>
        <v>5099.1500000000005</v>
      </c>
      <c r="K63" s="58">
        <v>-857</v>
      </c>
      <c r="L63" s="89">
        <v>5.95</v>
      </c>
      <c r="M63" s="73">
        <f>K63*L63</f>
        <v>-5099.1500000000005</v>
      </c>
      <c r="N63" s="58"/>
      <c r="O63" s="89"/>
      <c r="P63" s="73"/>
      <c r="Q63" s="39"/>
      <c r="R63" s="39"/>
      <c r="S63" s="8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35"/>
      <c r="AP63" s="12" t="e">
        <f>#REF!</f>
        <v>#REF!</v>
      </c>
    </row>
    <row r="64" spans="1:46" s="4" customFormat="1" ht="17.25" customHeight="1" x14ac:dyDescent="0.25">
      <c r="A64" s="23"/>
      <c r="B64" s="201" t="s">
        <v>95</v>
      </c>
      <c r="C64" s="202"/>
      <c r="D64" s="64"/>
      <c r="E64" s="64"/>
      <c r="F64" s="117"/>
      <c r="G64" s="117"/>
      <c r="H64" s="64"/>
      <c r="I64" s="64"/>
      <c r="J64" s="64">
        <f>-P64</f>
        <v>5333.2</v>
      </c>
      <c r="K64" s="57"/>
      <c r="L64" s="88"/>
      <c r="M64" s="62"/>
      <c r="N64" s="57">
        <v>-1340</v>
      </c>
      <c r="O64" s="88">
        <v>3.98</v>
      </c>
      <c r="P64" s="62">
        <f>N64*O64</f>
        <v>-5333.2</v>
      </c>
      <c r="Q64" s="39"/>
      <c r="R64" s="39"/>
      <c r="S64" s="8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35"/>
      <c r="AP64" s="12" t="e">
        <f>#REF!</f>
        <v>#REF!</v>
      </c>
    </row>
    <row r="65" spans="1:46" s="4" customFormat="1" ht="17.25" customHeight="1" x14ac:dyDescent="0.25">
      <c r="A65" s="23"/>
      <c r="B65" s="201" t="s">
        <v>97</v>
      </c>
      <c r="C65" s="203"/>
      <c r="D65" s="64"/>
      <c r="E65" s="64"/>
      <c r="F65" s="64"/>
      <c r="G65" s="64"/>
      <c r="H65" s="64">
        <f>-J65-I65</f>
        <v>3868.38</v>
      </c>
      <c r="I65" s="64">
        <v>6563.97</v>
      </c>
      <c r="J65" s="64">
        <f>-SUM(J63:J64)</f>
        <v>-10432.35</v>
      </c>
      <c r="K65" s="57"/>
      <c r="L65" s="88"/>
      <c r="M65" s="62"/>
      <c r="N65" s="57"/>
      <c r="O65" s="88"/>
      <c r="P65" s="62"/>
      <c r="Q65" s="39"/>
      <c r="R65" s="39"/>
      <c r="S65" s="39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22"/>
      <c r="AO65" s="43"/>
      <c r="AP65" s="12" t="e">
        <f>#REF!</f>
        <v>#REF!</v>
      </c>
      <c r="AT65" s="2"/>
    </row>
    <row r="66" spans="1:46" s="4" customFormat="1" ht="17.25" customHeight="1" x14ac:dyDescent="0.25">
      <c r="A66" s="23"/>
      <c r="B66" s="201" t="s">
        <v>93</v>
      </c>
      <c r="C66" s="202"/>
      <c r="D66" s="64"/>
      <c r="E66" s="64"/>
      <c r="F66" s="64"/>
      <c r="G66" s="64"/>
      <c r="H66" s="64"/>
      <c r="I66" s="64"/>
      <c r="J66" s="64"/>
      <c r="K66" s="57">
        <v>-3</v>
      </c>
      <c r="L66" s="88"/>
      <c r="M66" s="62">
        <f>(K69*((M57)/(K57)))-M57-M63</f>
        <v>726.30917492633216</v>
      </c>
      <c r="N66" s="57">
        <v>3</v>
      </c>
      <c r="O66" s="88"/>
      <c r="P66" s="62">
        <f>(N69*((P57)/(N57)))-P57-P64</f>
        <v>362.55244435326586</v>
      </c>
      <c r="Q66" s="39"/>
      <c r="R66" s="39"/>
      <c r="S66" s="39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22"/>
      <c r="AO66" s="43">
        <f>A42</f>
        <v>0</v>
      </c>
      <c r="AP66" s="12" t="e">
        <f>#REF!</f>
        <v>#REF!</v>
      </c>
      <c r="AT66" s="2"/>
    </row>
    <row r="67" spans="1:46" s="2" customFormat="1" ht="17.25" customHeight="1" x14ac:dyDescent="0.2">
      <c r="A67" s="24"/>
      <c r="B67" s="201"/>
      <c r="C67" s="204"/>
      <c r="D67" s="63"/>
      <c r="E67" s="64"/>
      <c r="F67" s="64"/>
      <c r="G67" s="64"/>
      <c r="H67" s="64"/>
      <c r="I67" s="64"/>
      <c r="J67" s="64"/>
      <c r="K67" s="16"/>
      <c r="L67" s="92"/>
      <c r="M67" s="64"/>
      <c r="N67" s="16"/>
      <c r="O67" s="92"/>
      <c r="P67" s="64"/>
      <c r="Q67" s="46"/>
      <c r="R67" s="46"/>
      <c r="S67" s="39"/>
      <c r="T67" s="16"/>
      <c r="U67" s="16"/>
      <c r="V67" s="16"/>
      <c r="W67" s="16"/>
      <c r="X67" s="16"/>
      <c r="Y67" s="19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43">
        <f>A58</f>
        <v>46026</v>
      </c>
      <c r="AQ67" s="10"/>
      <c r="AR67" s="11"/>
    </row>
    <row r="68" spans="1:46" s="2" customFormat="1" ht="17.25" customHeight="1" thickBot="1" x14ac:dyDescent="0.3">
      <c r="A68" s="56"/>
      <c r="B68" s="101" t="s">
        <v>102</v>
      </c>
      <c r="C68" s="102">
        <f>D69+E69+F69+G69+H69+I69+J69+M69+P69</f>
        <v>155383.32954000004</v>
      </c>
      <c r="D68" s="84"/>
      <c r="E68" s="85"/>
      <c r="F68" s="85"/>
      <c r="G68" s="85"/>
      <c r="H68" s="85"/>
      <c r="I68" s="85"/>
      <c r="J68" s="85"/>
      <c r="K68" s="28"/>
      <c r="L68" s="112"/>
      <c r="M68" s="85"/>
      <c r="N68" s="28"/>
      <c r="O68" s="112"/>
      <c r="P68" s="85"/>
      <c r="Q68" s="48"/>
      <c r="R68" s="48"/>
      <c r="S68" s="51"/>
      <c r="T68" s="28"/>
      <c r="U68" s="28"/>
      <c r="V68" s="28"/>
      <c r="W68" s="28"/>
      <c r="X68" s="28"/>
      <c r="Y68" s="36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42">
        <f>SUM($Q57:AN68)</f>
        <v>-486385.31</v>
      </c>
      <c r="AQ68" s="10"/>
      <c r="AR68" s="11"/>
      <c r="AS68" s="2" t="s">
        <v>5</v>
      </c>
    </row>
    <row r="69" spans="1:46" s="2" customFormat="1" ht="17.25" customHeight="1" thickTop="1" thickBot="1" x14ac:dyDescent="0.3">
      <c r="A69" s="103"/>
      <c r="B69" s="104" t="s">
        <v>103</v>
      </c>
      <c r="C69" s="105">
        <f>AO69</f>
        <v>-331001.98045999999</v>
      </c>
      <c r="D69" s="106">
        <f t="shared" ref="D69:K69" si="5">SUM(D57:D68)</f>
        <v>15.597040000022389</v>
      </c>
      <c r="E69" s="107">
        <f t="shared" si="5"/>
        <v>-28751.759999999998</v>
      </c>
      <c r="F69" s="107">
        <f t="shared" si="5"/>
        <v>60100.5</v>
      </c>
      <c r="G69" s="107">
        <f t="shared" si="5"/>
        <v>0</v>
      </c>
      <c r="H69" s="107">
        <f t="shared" si="5"/>
        <v>71572.872500000012</v>
      </c>
      <c r="I69" s="107">
        <f t="shared" si="5"/>
        <v>6563.97</v>
      </c>
      <c r="J69" s="107">
        <f t="shared" si="5"/>
        <v>0</v>
      </c>
      <c r="K69" s="108">
        <f t="shared" si="5"/>
        <v>2873</v>
      </c>
      <c r="L69" s="109">
        <f>M69/K69</f>
        <v>5.0846989209885134</v>
      </c>
      <c r="M69" s="107">
        <f>ROUND(SUM(M57:M68),2)</f>
        <v>14608.34</v>
      </c>
      <c r="N69" s="108">
        <f>SUM(N57:N68)</f>
        <v>8412</v>
      </c>
      <c r="O69" s="109">
        <f>P69/N69</f>
        <v>3.7177615311459822</v>
      </c>
      <c r="P69" s="107">
        <f>ROUND(SUM(P57:P68),2)</f>
        <v>31273.81</v>
      </c>
      <c r="Q69" s="110">
        <f t="shared" ref="Q69:AN69" si="6">SUM(Q57:Q68)</f>
        <v>-530185.23</v>
      </c>
      <c r="R69" s="107">
        <f t="shared" si="6"/>
        <v>50229.299999999996</v>
      </c>
      <c r="S69" s="107">
        <f t="shared" si="6"/>
        <v>0</v>
      </c>
      <c r="T69" s="107">
        <f t="shared" si="6"/>
        <v>-6429.38</v>
      </c>
      <c r="U69" s="107">
        <f t="shared" si="6"/>
        <v>0</v>
      </c>
      <c r="V69" s="107">
        <f t="shared" si="6"/>
        <v>0</v>
      </c>
      <c r="W69" s="107">
        <f t="shared" si="6"/>
        <v>0</v>
      </c>
      <c r="X69" s="107">
        <f t="shared" si="6"/>
        <v>0</v>
      </c>
      <c r="Y69" s="107">
        <f t="shared" si="6"/>
        <v>0</v>
      </c>
      <c r="Z69" s="107">
        <f t="shared" si="6"/>
        <v>0</v>
      </c>
      <c r="AA69" s="107">
        <f t="shared" si="6"/>
        <v>0</v>
      </c>
      <c r="AB69" s="107">
        <f t="shared" si="6"/>
        <v>0</v>
      </c>
      <c r="AC69" s="107">
        <f t="shared" si="6"/>
        <v>0</v>
      </c>
      <c r="AD69" s="107">
        <f t="shared" si="6"/>
        <v>0</v>
      </c>
      <c r="AE69" s="107">
        <f t="shared" si="6"/>
        <v>0</v>
      </c>
      <c r="AF69" s="107">
        <f t="shared" si="6"/>
        <v>0</v>
      </c>
      <c r="AG69" s="107">
        <f t="shared" si="6"/>
        <v>0</v>
      </c>
      <c r="AH69" s="107">
        <f t="shared" si="6"/>
        <v>0</v>
      </c>
      <c r="AI69" s="107">
        <f t="shared" si="6"/>
        <v>0</v>
      </c>
      <c r="AJ69" s="107">
        <f t="shared" si="6"/>
        <v>0</v>
      </c>
      <c r="AK69" s="107">
        <f t="shared" si="6"/>
        <v>0</v>
      </c>
      <c r="AL69" s="107">
        <f t="shared" si="6"/>
        <v>0</v>
      </c>
      <c r="AM69" s="107">
        <f t="shared" si="6"/>
        <v>0</v>
      </c>
      <c r="AN69" s="107">
        <f t="shared" si="6"/>
        <v>0</v>
      </c>
      <c r="AO69" s="111">
        <f>D69+E69+F69+G69+H69+I69+J69+M69+P69+SUM(Q69:AN69)</f>
        <v>-331001.98045999999</v>
      </c>
      <c r="AP69" s="4"/>
      <c r="AQ69" s="5"/>
      <c r="AR69" s="5"/>
      <c r="AS69" s="2" t="s">
        <v>6</v>
      </c>
    </row>
    <row r="70" spans="1:46" s="2" customFormat="1" ht="17.25" customHeight="1" thickTop="1" x14ac:dyDescent="0.25">
      <c r="A70" s="23">
        <f>A58+1</f>
        <v>46027</v>
      </c>
      <c r="B70" s="201" t="s">
        <v>64</v>
      </c>
      <c r="C70" s="203"/>
      <c r="D70" s="63">
        <v>6406.88</v>
      </c>
      <c r="E70" s="64"/>
      <c r="F70" s="74"/>
      <c r="G70" s="74"/>
      <c r="H70" s="64"/>
      <c r="I70" s="64">
        <f>-D70</f>
        <v>-6406.88</v>
      </c>
      <c r="J70" s="66"/>
      <c r="K70" s="18"/>
      <c r="L70" s="91"/>
      <c r="M70" s="66"/>
      <c r="N70" s="18"/>
      <c r="O70" s="91"/>
      <c r="P70" s="66"/>
      <c r="Q70" s="46"/>
      <c r="R70" s="46"/>
      <c r="S70" s="45"/>
      <c r="T70" s="18"/>
      <c r="U70" s="18"/>
      <c r="V70" s="18"/>
      <c r="W70" s="18"/>
      <c r="X70" s="18"/>
      <c r="Y70" s="14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7"/>
      <c r="AO70" s="31"/>
      <c r="AQ70" s="10"/>
      <c r="AR70" s="27"/>
    </row>
    <row r="71" spans="1:46" s="2" customFormat="1" ht="17.25" customHeight="1" x14ac:dyDescent="0.25">
      <c r="A71" s="24"/>
      <c r="B71" s="201" t="s">
        <v>96</v>
      </c>
      <c r="C71" s="202"/>
      <c r="D71" s="63"/>
      <c r="E71" s="64"/>
      <c r="F71" s="64"/>
      <c r="G71" s="64"/>
      <c r="H71" s="64"/>
      <c r="I71" s="64">
        <f>-I69-I70</f>
        <v>-157.09000000000015</v>
      </c>
      <c r="J71" s="64"/>
      <c r="K71" s="16"/>
      <c r="L71" s="92"/>
      <c r="M71" s="64"/>
      <c r="N71" s="16"/>
      <c r="O71" s="92"/>
      <c r="P71" s="64"/>
      <c r="Q71" s="46"/>
      <c r="R71" s="40"/>
      <c r="S71" s="39"/>
      <c r="T71" s="16"/>
      <c r="U71" s="16"/>
      <c r="V71" s="16"/>
      <c r="W71" s="16"/>
      <c r="X71" s="16"/>
      <c r="Y71" s="19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22"/>
      <c r="AQ71" s="10"/>
      <c r="AR71" s="11"/>
    </row>
    <row r="72" spans="1:46" s="2" customFormat="1" ht="17.25" customHeight="1" x14ac:dyDescent="0.25">
      <c r="A72" s="29"/>
      <c r="B72" s="201" t="s">
        <v>327</v>
      </c>
      <c r="C72" s="202"/>
      <c r="D72" s="63">
        <f>20+146+100+80+11+30+45+15+100+25+100+12+40+100</f>
        <v>824</v>
      </c>
      <c r="E72" s="64"/>
      <c r="F72" s="64"/>
      <c r="G72" s="64"/>
      <c r="H72" s="64"/>
      <c r="I72" s="64">
        <v>-824</v>
      </c>
      <c r="J72" s="64"/>
      <c r="K72" s="57"/>
      <c r="L72" s="88"/>
      <c r="M72" s="62"/>
      <c r="N72" s="57"/>
      <c r="O72" s="88"/>
      <c r="P72" s="62"/>
      <c r="Q72" s="47"/>
      <c r="R72" s="39"/>
      <c r="S72" s="39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22"/>
      <c r="AQ72" s="10"/>
      <c r="AR72" s="11"/>
    </row>
    <row r="73" spans="1:46" s="2" customFormat="1" ht="17.25" customHeight="1" x14ac:dyDescent="0.25">
      <c r="A73" s="29"/>
      <c r="B73" s="201" t="s">
        <v>328</v>
      </c>
      <c r="C73" s="202"/>
      <c r="D73" s="63">
        <f>-13*0.99-1.17</f>
        <v>-14.04</v>
      </c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47"/>
      <c r="R73" s="39"/>
      <c r="S73" s="39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22"/>
      <c r="AQ73" s="10"/>
      <c r="AR73" s="11"/>
    </row>
    <row r="74" spans="1:46" s="2" customFormat="1" ht="17.25" customHeight="1" x14ac:dyDescent="0.25">
      <c r="A74" s="29"/>
      <c r="B74" s="201" t="s">
        <v>72</v>
      </c>
      <c r="C74" s="202"/>
      <c r="D74" s="63">
        <v>49000</v>
      </c>
      <c r="E74" s="64"/>
      <c r="F74" s="64">
        <f>-D74</f>
        <v>-49000</v>
      </c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47"/>
      <c r="R74" s="39"/>
      <c r="S74" s="39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22"/>
      <c r="AQ74" s="10" t="s">
        <v>4</v>
      </c>
      <c r="AR74" s="11" t="e">
        <v>#REF!</v>
      </c>
    </row>
    <row r="75" spans="1:46" s="2" customFormat="1" ht="17.25" customHeight="1" x14ac:dyDescent="0.2">
      <c r="A75" s="23"/>
      <c r="B75" s="205" t="s">
        <v>435</v>
      </c>
      <c r="C75" s="257"/>
      <c r="D75" s="63">
        <v>-50000</v>
      </c>
      <c r="E75" s="64"/>
      <c r="F75" s="74"/>
      <c r="G75" s="74"/>
      <c r="H75" s="64"/>
      <c r="I75" s="64"/>
      <c r="J75" s="64"/>
      <c r="K75" s="16"/>
      <c r="L75" s="16"/>
      <c r="M75" s="64"/>
      <c r="N75" s="16"/>
      <c r="O75" s="16"/>
      <c r="P75" s="64"/>
      <c r="Q75" s="46">
        <f>-D75</f>
        <v>50000</v>
      </c>
      <c r="R75" s="39"/>
      <c r="S75" s="40"/>
      <c r="T75" s="16"/>
      <c r="U75" s="16"/>
      <c r="V75" s="16"/>
      <c r="W75" s="16"/>
      <c r="X75" s="16"/>
      <c r="Y75" s="19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35"/>
      <c r="AQ75" s="10"/>
      <c r="AR75" s="27"/>
    </row>
    <row r="76" spans="1:46" s="2" customFormat="1" ht="17.25" customHeight="1" x14ac:dyDescent="0.2">
      <c r="A76" s="23"/>
      <c r="B76" s="201" t="s">
        <v>326</v>
      </c>
      <c r="C76" s="204"/>
      <c r="D76" s="63">
        <v>-4.9000000000000004</v>
      </c>
      <c r="E76" s="64"/>
      <c r="F76" s="74"/>
      <c r="G76" s="74"/>
      <c r="H76" s="64"/>
      <c r="I76" s="64"/>
      <c r="J76" s="64"/>
      <c r="K76" s="16"/>
      <c r="L76" s="16"/>
      <c r="M76" s="64"/>
      <c r="N76" s="16"/>
      <c r="O76" s="16"/>
      <c r="P76" s="64"/>
      <c r="Q76" s="46"/>
      <c r="R76" s="39"/>
      <c r="S76" s="40"/>
      <c r="T76" s="16"/>
      <c r="U76" s="16"/>
      <c r="V76" s="16"/>
      <c r="W76" s="16"/>
      <c r="X76" s="16"/>
      <c r="Y76" s="19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35"/>
      <c r="AQ76" s="10"/>
      <c r="AR76" s="27"/>
    </row>
    <row r="77" spans="1:46" s="4" customFormat="1" ht="17.25" customHeight="1" x14ac:dyDescent="0.25">
      <c r="A77" s="23"/>
      <c r="B77" s="201" t="s">
        <v>13</v>
      </c>
      <c r="C77" s="203"/>
      <c r="D77" s="63"/>
      <c r="E77" s="64">
        <f>40+30+30+50+52.72+30+20+83+20+80+150+25+60+85+20+50+235+50+10+100+20+131+20+35+20+60+30+20+50+1082+804+69+10+1144+924+1337+20+60+574+20+589+206+674+638+376+100+10+194+50+30+20+50</f>
        <v>10587.720000000001</v>
      </c>
      <c r="F77" s="64"/>
      <c r="G77" s="64"/>
      <c r="H77" s="64">
        <f>-E77</f>
        <v>-10587.720000000001</v>
      </c>
      <c r="I77" s="66"/>
      <c r="J77" s="64"/>
      <c r="K77" s="16"/>
      <c r="L77" s="92"/>
      <c r="M77" s="64"/>
      <c r="N77" s="16"/>
      <c r="O77" s="92"/>
      <c r="P77" s="64"/>
      <c r="Q77" s="40"/>
      <c r="R77" s="46"/>
      <c r="S77" s="39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22"/>
      <c r="AP77" s="30"/>
    </row>
    <row r="78" spans="1:46" s="2" customFormat="1" ht="17.25" customHeight="1" x14ac:dyDescent="0.25">
      <c r="A78" s="24"/>
      <c r="B78" s="205" t="s">
        <v>435</v>
      </c>
      <c r="C78" s="257"/>
      <c r="D78" s="63"/>
      <c r="E78" s="64">
        <v>-5055</v>
      </c>
      <c r="F78" s="64"/>
      <c r="G78" s="64"/>
      <c r="H78" s="64"/>
      <c r="I78" s="64"/>
      <c r="J78" s="64"/>
      <c r="K78" s="16"/>
      <c r="L78" s="92"/>
      <c r="M78" s="64"/>
      <c r="N78" s="16"/>
      <c r="O78" s="92"/>
      <c r="P78" s="64"/>
      <c r="Q78" s="40">
        <f>-E78</f>
        <v>5055</v>
      </c>
      <c r="R78" s="40"/>
      <c r="S78" s="39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22"/>
      <c r="AQ78" s="10"/>
      <c r="AR78" s="11"/>
    </row>
    <row r="79" spans="1:46" s="2" customFormat="1" ht="17.25" customHeight="1" x14ac:dyDescent="0.25">
      <c r="A79" s="29"/>
      <c r="B79" s="205" t="s">
        <v>361</v>
      </c>
      <c r="C79" s="250"/>
      <c r="D79" s="63"/>
      <c r="E79" s="64">
        <f>-1141.12-5-50-700-20.7-20-20-50-100-170-30-50-50-25-50-732.87</f>
        <v>-3214.6899999999996</v>
      </c>
      <c r="F79" s="64"/>
      <c r="G79" s="64"/>
      <c r="H79" s="64"/>
      <c r="I79" s="64"/>
      <c r="J79" s="64"/>
      <c r="K79" s="57"/>
      <c r="L79" s="88"/>
      <c r="M79" s="62">
        <f>K79*L79</f>
        <v>0</v>
      </c>
      <c r="N79" s="57"/>
      <c r="O79" s="88"/>
      <c r="P79" s="62">
        <f>N79*O79</f>
        <v>0</v>
      </c>
      <c r="Q79" s="47"/>
      <c r="R79" s="39"/>
      <c r="S79" s="39"/>
      <c r="T79" s="20">
        <f>-E79</f>
        <v>3214.6899999999996</v>
      </c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22"/>
      <c r="AQ79" s="10" t="s">
        <v>4</v>
      </c>
      <c r="AR79" s="11" t="e">
        <v>#REF!</v>
      </c>
    </row>
    <row r="80" spans="1:46" s="2" customFormat="1" ht="17.25" customHeight="1" x14ac:dyDescent="0.2">
      <c r="A80" s="24"/>
      <c r="B80" s="201" t="s">
        <v>313</v>
      </c>
      <c r="C80" s="203"/>
      <c r="D80" s="64"/>
      <c r="E80" s="64">
        <v>-92.5</v>
      </c>
      <c r="F80" s="64"/>
      <c r="G80" s="64"/>
      <c r="H80" s="64"/>
      <c r="I80" s="64"/>
      <c r="J80" s="64"/>
      <c r="K80" s="57"/>
      <c r="L80" s="88"/>
      <c r="M80" s="62"/>
      <c r="N80" s="57"/>
      <c r="O80" s="88"/>
      <c r="P80" s="62"/>
      <c r="Q80" s="39"/>
      <c r="R80" s="39"/>
      <c r="S80" s="39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34"/>
      <c r="AQ80" s="10"/>
      <c r="AR80" s="11"/>
    </row>
    <row r="81" spans="1:46" s="2" customFormat="1" ht="17.25" customHeight="1" x14ac:dyDescent="0.2">
      <c r="A81" s="24"/>
      <c r="B81" s="201" t="s">
        <v>176</v>
      </c>
      <c r="C81" s="203"/>
      <c r="D81" s="64"/>
      <c r="E81" s="64">
        <v>-476.49</v>
      </c>
      <c r="F81" s="64"/>
      <c r="G81" s="64"/>
      <c r="H81" s="64"/>
      <c r="I81" s="64"/>
      <c r="J81" s="64"/>
      <c r="K81" s="57"/>
      <c r="L81" s="88"/>
      <c r="M81" s="62"/>
      <c r="N81" s="57"/>
      <c r="O81" s="88"/>
      <c r="P81" s="62"/>
      <c r="Q81" s="39"/>
      <c r="R81" s="39"/>
      <c r="S81" s="39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34"/>
      <c r="AQ81" s="10"/>
      <c r="AR81" s="11"/>
    </row>
    <row r="82" spans="1:46" s="2" customFormat="1" ht="17.25" customHeight="1" x14ac:dyDescent="0.2">
      <c r="A82" s="23"/>
      <c r="B82" s="201" t="s">
        <v>161</v>
      </c>
      <c r="C82" s="204"/>
      <c r="D82" s="63"/>
      <c r="E82" s="64"/>
      <c r="F82" s="74"/>
      <c r="G82" s="74"/>
      <c r="H82" s="64">
        <v>-791.28</v>
      </c>
      <c r="I82" s="64"/>
      <c r="J82" s="64"/>
      <c r="K82" s="16"/>
      <c r="L82" s="16"/>
      <c r="M82" s="64"/>
      <c r="N82" s="16"/>
      <c r="O82" s="16"/>
      <c r="P82" s="64"/>
      <c r="Q82" s="46"/>
      <c r="R82" s="39"/>
      <c r="S82" s="40"/>
      <c r="T82" s="16"/>
      <c r="U82" s="16"/>
      <c r="V82" s="16"/>
      <c r="W82" s="16"/>
      <c r="X82" s="16"/>
      <c r="Y82" s="19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35"/>
      <c r="AQ82" s="10"/>
      <c r="AR82" s="27"/>
    </row>
    <row r="83" spans="1:46" s="2" customFormat="1" ht="17.25" customHeight="1" x14ac:dyDescent="0.2">
      <c r="A83" s="23"/>
      <c r="B83" s="201" t="s">
        <v>163</v>
      </c>
      <c r="C83" s="204"/>
      <c r="D83" s="63"/>
      <c r="E83" s="64"/>
      <c r="F83" s="74"/>
      <c r="G83" s="74"/>
      <c r="H83" s="64">
        <v>-3835</v>
      </c>
      <c r="I83" s="64"/>
      <c r="J83" s="64"/>
      <c r="K83" s="16"/>
      <c r="L83" s="16"/>
      <c r="M83" s="64"/>
      <c r="N83" s="16"/>
      <c r="O83" s="16"/>
      <c r="P83" s="64"/>
      <c r="Q83" s="46"/>
      <c r="R83" s="39"/>
      <c r="S83" s="40"/>
      <c r="T83" s="16"/>
      <c r="U83" s="16"/>
      <c r="V83" s="16"/>
      <c r="W83" s="16"/>
      <c r="X83" s="16"/>
      <c r="Y83" s="19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35"/>
      <c r="AQ83" s="10"/>
      <c r="AR83" s="27"/>
    </row>
    <row r="84" spans="1:46" s="2" customFormat="1" ht="17.25" customHeight="1" x14ac:dyDescent="0.25">
      <c r="A84" s="29"/>
      <c r="B84" s="201"/>
      <c r="C84" s="202"/>
      <c r="D84" s="63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47"/>
      <c r="R84" s="39"/>
      <c r="S84" s="39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22"/>
      <c r="AQ84" s="10"/>
      <c r="AR84" s="11"/>
    </row>
    <row r="85" spans="1:46" s="2" customFormat="1" ht="17.25" customHeight="1" x14ac:dyDescent="0.25">
      <c r="A85" s="29"/>
      <c r="B85" s="201"/>
      <c r="C85" s="202"/>
      <c r="D85" s="63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47"/>
      <c r="R85" s="39"/>
      <c r="S85" s="39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22"/>
      <c r="AQ85" s="10"/>
      <c r="AR85" s="11"/>
    </row>
    <row r="86" spans="1:46" s="2" customFormat="1" ht="17.25" customHeight="1" thickBot="1" x14ac:dyDescent="0.25">
      <c r="A86" s="24"/>
      <c r="B86" s="216"/>
      <c r="C86" s="217"/>
      <c r="D86" s="83"/>
      <c r="E86" s="81"/>
      <c r="F86" s="81"/>
      <c r="G86" s="81"/>
      <c r="H86" s="81"/>
      <c r="I86" s="81"/>
      <c r="J86" s="81"/>
      <c r="K86" s="37"/>
      <c r="L86" s="93"/>
      <c r="M86" s="81"/>
      <c r="N86" s="37"/>
      <c r="O86" s="93"/>
      <c r="P86" s="81"/>
      <c r="Q86" s="40"/>
      <c r="R86" s="40"/>
      <c r="S86" s="39"/>
      <c r="T86" s="16"/>
      <c r="U86" s="16"/>
      <c r="V86" s="16"/>
      <c r="W86" s="16"/>
      <c r="X86" s="16"/>
      <c r="Y86" s="19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41"/>
      <c r="AQ86" s="10"/>
      <c r="AR86" s="11"/>
    </row>
    <row r="87" spans="1:46" s="4" customFormat="1" ht="17.25" customHeight="1" x14ac:dyDescent="0.25">
      <c r="A87" s="23"/>
      <c r="B87" s="210" t="s">
        <v>94</v>
      </c>
      <c r="C87" s="203"/>
      <c r="D87" s="66"/>
      <c r="E87" s="66"/>
      <c r="F87" s="117"/>
      <c r="G87" s="117"/>
      <c r="H87" s="66"/>
      <c r="I87" s="66"/>
      <c r="J87" s="66">
        <f>-M87</f>
        <v>7758.8</v>
      </c>
      <c r="K87" s="58">
        <v>-1304</v>
      </c>
      <c r="L87" s="89">
        <v>5.95</v>
      </c>
      <c r="M87" s="73">
        <f>K87*L87</f>
        <v>-7758.8</v>
      </c>
      <c r="N87" s="58"/>
      <c r="O87" s="89"/>
      <c r="P87" s="73"/>
      <c r="Q87" s="39"/>
      <c r="R87" s="39"/>
      <c r="S87" s="8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35"/>
      <c r="AP87" s="12" t="e">
        <f>#REF!</f>
        <v>#REF!</v>
      </c>
    </row>
    <row r="88" spans="1:46" s="4" customFormat="1" ht="17.25" customHeight="1" x14ac:dyDescent="0.25">
      <c r="A88" s="23"/>
      <c r="B88" s="201" t="s">
        <v>95</v>
      </c>
      <c r="C88" s="202"/>
      <c r="D88" s="64"/>
      <c r="E88" s="64"/>
      <c r="F88" s="117"/>
      <c r="G88" s="117"/>
      <c r="H88" s="64"/>
      <c r="I88" s="64"/>
      <c r="J88" s="64">
        <f>-P88</f>
        <v>7315.24</v>
      </c>
      <c r="K88" s="57"/>
      <c r="L88" s="88"/>
      <c r="M88" s="62"/>
      <c r="N88" s="57">
        <v>-1838</v>
      </c>
      <c r="O88" s="88">
        <v>3.98</v>
      </c>
      <c r="P88" s="62">
        <f>N88*O88</f>
        <v>-7315.24</v>
      </c>
      <c r="Q88" s="39"/>
      <c r="R88" s="39"/>
      <c r="S88" s="8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35"/>
      <c r="AP88" s="12" t="e">
        <f>#REF!</f>
        <v>#REF!</v>
      </c>
    </row>
    <row r="89" spans="1:46" s="4" customFormat="1" ht="17.25" customHeight="1" x14ac:dyDescent="0.25">
      <c r="A89" s="23"/>
      <c r="B89" s="201" t="s">
        <v>97</v>
      </c>
      <c r="C89" s="203"/>
      <c r="D89" s="64"/>
      <c r="E89" s="64"/>
      <c r="F89" s="64"/>
      <c r="G89" s="64"/>
      <c r="H89" s="64">
        <f>-J89-I89</f>
        <v>3210.59</v>
      </c>
      <c r="I89" s="64">
        <v>11863.45</v>
      </c>
      <c r="J89" s="64">
        <f>-SUM(J87:J88)</f>
        <v>-15074.04</v>
      </c>
      <c r="K89" s="57"/>
      <c r="L89" s="88"/>
      <c r="M89" s="62"/>
      <c r="N89" s="57"/>
      <c r="O89" s="88"/>
      <c r="P89" s="62"/>
      <c r="Q89" s="39"/>
      <c r="R89" s="39"/>
      <c r="S89" s="39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22"/>
      <c r="AO89" s="43"/>
      <c r="AP89" s="12" t="e">
        <f>#REF!</f>
        <v>#REF!</v>
      </c>
      <c r="AT89" s="2"/>
    </row>
    <row r="90" spans="1:46" s="4" customFormat="1" ht="17.25" customHeight="1" x14ac:dyDescent="0.25">
      <c r="A90" s="23"/>
      <c r="B90" s="201" t="s">
        <v>93</v>
      </c>
      <c r="C90" s="202"/>
      <c r="D90" s="64"/>
      <c r="E90" s="64"/>
      <c r="F90" s="64"/>
      <c r="G90" s="64"/>
      <c r="H90" s="64"/>
      <c r="I90" s="64"/>
      <c r="J90" s="64"/>
      <c r="K90" s="57">
        <v>71</v>
      </c>
      <c r="L90" s="88"/>
      <c r="M90" s="62">
        <f>(K93*((M69)/(K69)))-M69-M87</f>
        <v>1489.3662304211621</v>
      </c>
      <c r="N90" s="57">
        <v>-4</v>
      </c>
      <c r="O90" s="88"/>
      <c r="P90" s="62">
        <f>(N93*((P69)/(N69)))-P69-P88</f>
        <v>467.1232596291029</v>
      </c>
      <c r="Q90" s="39"/>
      <c r="R90" s="39"/>
      <c r="S90" s="39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22"/>
      <c r="AO90" s="43">
        <f>A59</f>
        <v>0</v>
      </c>
      <c r="AP90" s="12" t="e">
        <f>#REF!</f>
        <v>#REF!</v>
      </c>
      <c r="AT90" s="2"/>
    </row>
    <row r="91" spans="1:46" s="2" customFormat="1" ht="17.25" customHeight="1" x14ac:dyDescent="0.2">
      <c r="A91" s="24"/>
      <c r="B91" s="201"/>
      <c r="C91" s="204"/>
      <c r="D91" s="63"/>
      <c r="E91" s="64"/>
      <c r="F91" s="64"/>
      <c r="G91" s="64"/>
      <c r="H91" s="64"/>
      <c r="I91" s="64"/>
      <c r="J91" s="64"/>
      <c r="K91" s="16"/>
      <c r="L91" s="92"/>
      <c r="M91" s="64"/>
      <c r="N91" s="16"/>
      <c r="O91" s="92"/>
      <c r="P91" s="64"/>
      <c r="Q91" s="46"/>
      <c r="R91" s="46"/>
      <c r="S91" s="39"/>
      <c r="T91" s="16"/>
      <c r="U91" s="16"/>
      <c r="V91" s="16"/>
      <c r="W91" s="16"/>
      <c r="X91" s="16"/>
      <c r="Y91" s="19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43">
        <f>A70</f>
        <v>46027</v>
      </c>
      <c r="AQ91" s="10"/>
      <c r="AR91" s="11"/>
    </row>
    <row r="92" spans="1:46" s="2" customFormat="1" ht="17.25" customHeight="1" thickBot="1" x14ac:dyDescent="0.3">
      <c r="A92" s="56"/>
      <c r="B92" s="101" t="s">
        <v>102</v>
      </c>
      <c r="C92" s="102">
        <f>D93+E93+F93+G93+H93+I93+J93+M93+P93</f>
        <v>93698.829540000035</v>
      </c>
      <c r="D92" s="84"/>
      <c r="E92" s="85"/>
      <c r="F92" s="85"/>
      <c r="G92" s="85"/>
      <c r="H92" s="85"/>
      <c r="I92" s="85"/>
      <c r="J92" s="85"/>
      <c r="K92" s="28"/>
      <c r="L92" s="112"/>
      <c r="M92" s="85"/>
      <c r="N92" s="28"/>
      <c r="O92" s="112"/>
      <c r="P92" s="85"/>
      <c r="Q92" s="48"/>
      <c r="R92" s="48"/>
      <c r="S92" s="51"/>
      <c r="T92" s="28"/>
      <c r="U92" s="28"/>
      <c r="V92" s="28"/>
      <c r="W92" s="28"/>
      <c r="X92" s="28"/>
      <c r="Y92" s="36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42">
        <f>SUM($Q69:AN92)</f>
        <v>-428115.62</v>
      </c>
      <c r="AQ92" s="10"/>
      <c r="AR92" s="11"/>
      <c r="AS92" s="2" t="s">
        <v>5</v>
      </c>
    </row>
    <row r="93" spans="1:46" s="2" customFormat="1" ht="17.25" customHeight="1" thickTop="1" thickBot="1" x14ac:dyDescent="0.3">
      <c r="A93" s="103"/>
      <c r="B93" s="104" t="s">
        <v>103</v>
      </c>
      <c r="C93" s="105">
        <f>AO93</f>
        <v>-334416.79045999993</v>
      </c>
      <c r="D93" s="116">
        <f t="shared" ref="D93:K93" si="7">SUM(D69:D92)</f>
        <v>6227.5370400000193</v>
      </c>
      <c r="E93" s="107">
        <f t="shared" si="7"/>
        <v>-27002.719999999998</v>
      </c>
      <c r="F93" s="107">
        <f t="shared" si="7"/>
        <v>11100.5</v>
      </c>
      <c r="G93" s="107">
        <f t="shared" si="7"/>
        <v>0</v>
      </c>
      <c r="H93" s="107">
        <f t="shared" si="7"/>
        <v>59569.462500000009</v>
      </c>
      <c r="I93" s="107">
        <f t="shared" si="7"/>
        <v>11039.45</v>
      </c>
      <c r="J93" s="107">
        <f t="shared" si="7"/>
        <v>0</v>
      </c>
      <c r="K93" s="108">
        <f t="shared" si="7"/>
        <v>1640</v>
      </c>
      <c r="L93" s="109">
        <f>M93/K93</f>
        <v>5.084701219512195</v>
      </c>
      <c r="M93" s="107">
        <f>ROUND(SUM(M69:M92),2)</f>
        <v>8338.91</v>
      </c>
      <c r="N93" s="108">
        <f>SUM(N69:N92)</f>
        <v>6570</v>
      </c>
      <c r="O93" s="109">
        <f>P93/N93</f>
        <v>3.71776103500761</v>
      </c>
      <c r="P93" s="107">
        <f>ROUND(SUM(P69:P92),2)</f>
        <v>24425.69</v>
      </c>
      <c r="Q93" s="110">
        <f t="shared" ref="Q93:AN93" si="8">SUM(Q69:Q92)</f>
        <v>-475130.23</v>
      </c>
      <c r="R93" s="107">
        <f t="shared" si="8"/>
        <v>50229.299999999996</v>
      </c>
      <c r="S93" s="107">
        <f t="shared" si="8"/>
        <v>0</v>
      </c>
      <c r="T93" s="107">
        <f t="shared" si="8"/>
        <v>-3214.6900000000005</v>
      </c>
      <c r="U93" s="107">
        <f t="shared" si="8"/>
        <v>0</v>
      </c>
      <c r="V93" s="107">
        <f t="shared" si="8"/>
        <v>0</v>
      </c>
      <c r="W93" s="107">
        <f t="shared" si="8"/>
        <v>0</v>
      </c>
      <c r="X93" s="107">
        <f t="shared" si="8"/>
        <v>0</v>
      </c>
      <c r="Y93" s="107">
        <f t="shared" si="8"/>
        <v>0</v>
      </c>
      <c r="Z93" s="107">
        <f t="shared" si="8"/>
        <v>0</v>
      </c>
      <c r="AA93" s="107">
        <f t="shared" si="8"/>
        <v>0</v>
      </c>
      <c r="AB93" s="107">
        <f t="shared" si="8"/>
        <v>0</v>
      </c>
      <c r="AC93" s="107">
        <f t="shared" si="8"/>
        <v>0</v>
      </c>
      <c r="AD93" s="107">
        <f t="shared" si="8"/>
        <v>0</v>
      </c>
      <c r="AE93" s="107">
        <f t="shared" si="8"/>
        <v>0</v>
      </c>
      <c r="AF93" s="107">
        <f t="shared" si="8"/>
        <v>0</v>
      </c>
      <c r="AG93" s="107">
        <f t="shared" si="8"/>
        <v>0</v>
      </c>
      <c r="AH93" s="107">
        <f t="shared" si="8"/>
        <v>0</v>
      </c>
      <c r="AI93" s="107">
        <f t="shared" si="8"/>
        <v>0</v>
      </c>
      <c r="AJ93" s="107">
        <f t="shared" si="8"/>
        <v>0</v>
      </c>
      <c r="AK93" s="107">
        <f t="shared" si="8"/>
        <v>0</v>
      </c>
      <c r="AL93" s="107">
        <f t="shared" si="8"/>
        <v>0</v>
      </c>
      <c r="AM93" s="107">
        <f t="shared" si="8"/>
        <v>0</v>
      </c>
      <c r="AN93" s="107">
        <f t="shared" si="8"/>
        <v>0</v>
      </c>
      <c r="AO93" s="111">
        <f>D93+E93+F93+G93+H93+I93+J93+M93+P93+SUM(Q93:AN93)</f>
        <v>-334416.79045999993</v>
      </c>
      <c r="AP93" s="4"/>
      <c r="AQ93" s="5"/>
      <c r="AR93" s="5"/>
      <c r="AS93" s="2" t="s">
        <v>6</v>
      </c>
    </row>
    <row r="94" spans="1:46" s="2" customFormat="1" ht="17.25" customHeight="1" thickTop="1" x14ac:dyDescent="0.25">
      <c r="A94" s="24">
        <f>A70+1</f>
        <v>46028</v>
      </c>
      <c r="B94" s="201" t="s">
        <v>64</v>
      </c>
      <c r="C94" s="203"/>
      <c r="D94" s="63">
        <f>11595.65-824</f>
        <v>10771.65</v>
      </c>
      <c r="E94" s="64"/>
      <c r="F94" s="74"/>
      <c r="G94" s="74"/>
      <c r="H94" s="64"/>
      <c r="I94" s="64">
        <f>-D94</f>
        <v>-10771.65</v>
      </c>
      <c r="J94" s="66"/>
      <c r="K94" s="18"/>
      <c r="L94" s="18"/>
      <c r="M94" s="66"/>
      <c r="N94" s="18"/>
      <c r="O94" s="18"/>
      <c r="P94" s="66"/>
      <c r="Q94" s="46"/>
      <c r="R94" s="46"/>
      <c r="S94" s="45"/>
      <c r="T94" s="18"/>
      <c r="U94" s="18"/>
      <c r="V94" s="18"/>
      <c r="W94" s="18"/>
      <c r="X94" s="18"/>
      <c r="Y94" s="14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7"/>
      <c r="AO94" s="31"/>
      <c r="AQ94" s="10"/>
      <c r="AR94" s="27"/>
    </row>
    <row r="95" spans="1:46" s="2" customFormat="1" ht="17.25" customHeight="1" x14ac:dyDescent="0.25">
      <c r="A95" s="24"/>
      <c r="B95" s="201" t="s">
        <v>96</v>
      </c>
      <c r="C95" s="202"/>
      <c r="D95" s="63"/>
      <c r="E95" s="64"/>
      <c r="F95" s="64"/>
      <c r="G95" s="64"/>
      <c r="H95" s="64"/>
      <c r="I95" s="64">
        <f>-I93-I94</f>
        <v>-267.80000000000109</v>
      </c>
      <c r="J95" s="64"/>
      <c r="K95" s="16"/>
      <c r="L95" s="16"/>
      <c r="M95" s="64"/>
      <c r="N95" s="16"/>
      <c r="O95" s="16"/>
      <c r="P95" s="64"/>
      <c r="Q95" s="46"/>
      <c r="R95" s="40"/>
      <c r="S95" s="39"/>
      <c r="T95" s="16"/>
      <c r="U95" s="16"/>
      <c r="V95" s="16"/>
      <c r="W95" s="16"/>
      <c r="X95" s="16"/>
      <c r="Y95" s="19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22"/>
      <c r="AQ95" s="10"/>
      <c r="AR95" s="11"/>
    </row>
    <row r="96" spans="1:46" s="2" customFormat="1" ht="17.25" customHeight="1" x14ac:dyDescent="0.25">
      <c r="A96" s="29"/>
      <c r="B96" s="201" t="s">
        <v>327</v>
      </c>
      <c r="C96" s="202"/>
      <c r="D96" s="63">
        <f>59.5+8+180+100+30+144+15+8+100+143+10</f>
        <v>797.5</v>
      </c>
      <c r="E96" s="64"/>
      <c r="F96" s="64"/>
      <c r="G96" s="64"/>
      <c r="H96" s="64"/>
      <c r="I96" s="64">
        <f>-D96</f>
        <v>-797.5</v>
      </c>
      <c r="J96" s="64"/>
      <c r="K96" s="57"/>
      <c r="L96" s="88"/>
      <c r="M96" s="62"/>
      <c r="N96" s="57"/>
      <c r="O96" s="88"/>
      <c r="P96" s="62"/>
      <c r="Q96" s="47"/>
      <c r="R96" s="39"/>
      <c r="S96" s="39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22"/>
      <c r="AQ96" s="10"/>
      <c r="AR96" s="11"/>
    </row>
    <row r="97" spans="1:46" s="2" customFormat="1" ht="17.25" customHeight="1" x14ac:dyDescent="0.25">
      <c r="A97" s="29"/>
      <c r="B97" s="201" t="s">
        <v>328</v>
      </c>
      <c r="C97" s="202"/>
      <c r="D97" s="63">
        <f>-8*0.99-1.44-1.15-1.14</f>
        <v>-11.65</v>
      </c>
      <c r="E97" s="64"/>
      <c r="F97" s="64"/>
      <c r="G97" s="64"/>
      <c r="H97" s="64"/>
      <c r="I97" s="64"/>
      <c r="J97" s="64"/>
      <c r="K97" s="57"/>
      <c r="L97" s="88"/>
      <c r="M97" s="62"/>
      <c r="N97" s="57"/>
      <c r="O97" s="88"/>
      <c r="P97" s="62"/>
      <c r="Q97" s="47"/>
      <c r="R97" s="39"/>
      <c r="S97" s="39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22"/>
      <c r="AQ97" s="10"/>
      <c r="AR97" s="11"/>
    </row>
    <row r="98" spans="1:46" s="2" customFormat="1" ht="17.25" customHeight="1" x14ac:dyDescent="0.25">
      <c r="A98" s="29"/>
      <c r="B98" s="201" t="s">
        <v>72</v>
      </c>
      <c r="C98" s="202"/>
      <c r="D98" s="63">
        <v>11100</v>
      </c>
      <c r="E98" s="64"/>
      <c r="F98" s="64">
        <f>-D98</f>
        <v>-11100</v>
      </c>
      <c r="G98" s="64"/>
      <c r="H98" s="64"/>
      <c r="I98" s="64"/>
      <c r="J98" s="64"/>
      <c r="K98" s="57"/>
      <c r="L98" s="88"/>
      <c r="M98" s="62"/>
      <c r="N98" s="57"/>
      <c r="O98" s="88"/>
      <c r="P98" s="62"/>
      <c r="Q98" s="47"/>
      <c r="R98" s="39"/>
      <c r="S98" s="39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22"/>
      <c r="AQ98" s="10" t="s">
        <v>4</v>
      </c>
      <c r="AR98" s="11" t="e">
        <v>#REF!</v>
      </c>
    </row>
    <row r="99" spans="1:46" s="2" customFormat="1" ht="17.25" customHeight="1" x14ac:dyDescent="0.2">
      <c r="A99" s="23"/>
      <c r="B99" s="205" t="s">
        <v>437</v>
      </c>
      <c r="C99" s="257"/>
      <c r="D99" s="63">
        <v>26000</v>
      </c>
      <c r="E99" s="64"/>
      <c r="F99" s="74"/>
      <c r="G99" s="74"/>
      <c r="H99" s="64"/>
      <c r="I99" s="64"/>
      <c r="J99" s="64"/>
      <c r="K99" s="16"/>
      <c r="L99" s="16"/>
      <c r="M99" s="64"/>
      <c r="N99" s="16"/>
      <c r="O99" s="16"/>
      <c r="P99" s="64"/>
      <c r="Q99" s="46">
        <f>-D99</f>
        <v>-26000</v>
      </c>
      <c r="R99" s="39"/>
      <c r="S99" s="40"/>
      <c r="T99" s="16"/>
      <c r="U99" s="16"/>
      <c r="V99" s="16"/>
      <c r="W99" s="16"/>
      <c r="X99" s="16"/>
      <c r="Y99" s="19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35"/>
      <c r="AQ99" s="10"/>
      <c r="AR99" s="27"/>
    </row>
    <row r="100" spans="1:46" s="2" customFormat="1" ht="17.25" customHeight="1" x14ac:dyDescent="0.25">
      <c r="A100" s="29"/>
      <c r="B100" s="201" t="s">
        <v>309</v>
      </c>
      <c r="C100" s="202"/>
      <c r="D100" s="63">
        <v>-208</v>
      </c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47"/>
      <c r="R100" s="39"/>
      <c r="S100" s="39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22"/>
      <c r="AQ100" s="10"/>
      <c r="AR100" s="11"/>
    </row>
    <row r="101" spans="1:46" s="2" customFormat="1" ht="17.25" customHeight="1" x14ac:dyDescent="0.2">
      <c r="A101" s="23"/>
      <c r="B101" s="201" t="s">
        <v>326</v>
      </c>
      <c r="C101" s="204"/>
      <c r="D101" s="63">
        <v>-4.9000000000000004</v>
      </c>
      <c r="E101" s="64"/>
      <c r="F101" s="74"/>
      <c r="G101" s="74"/>
      <c r="H101" s="64"/>
      <c r="I101" s="64"/>
      <c r="J101" s="64"/>
      <c r="K101" s="16"/>
      <c r="L101" s="16"/>
      <c r="M101" s="64"/>
      <c r="N101" s="16"/>
      <c r="O101" s="16"/>
      <c r="P101" s="64"/>
      <c r="Q101" s="46"/>
      <c r="R101" s="39"/>
      <c r="S101" s="40"/>
      <c r="T101" s="16"/>
      <c r="U101" s="16"/>
      <c r="V101" s="16"/>
      <c r="W101" s="16"/>
      <c r="X101" s="16"/>
      <c r="Y101" s="19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35"/>
      <c r="AQ101" s="10"/>
      <c r="AR101" s="27"/>
    </row>
    <row r="102" spans="1:46" s="4" customFormat="1" ht="17.25" customHeight="1" x14ac:dyDescent="0.25">
      <c r="A102" s="23"/>
      <c r="B102" s="201" t="s">
        <v>13</v>
      </c>
      <c r="C102" s="203"/>
      <c r="D102" s="63"/>
      <c r="E102" s="64">
        <f>100+30+150+50+25+50+50+100+230+1624+602+20+1039+1441+60</f>
        <v>5571</v>
      </c>
      <c r="F102" s="64"/>
      <c r="G102" s="64"/>
      <c r="H102" s="64">
        <f>-E102</f>
        <v>-5571</v>
      </c>
      <c r="I102" s="66"/>
      <c r="J102" s="64"/>
      <c r="K102" s="16"/>
      <c r="L102" s="92"/>
      <c r="M102" s="64"/>
      <c r="N102" s="16"/>
      <c r="O102" s="92"/>
      <c r="P102" s="64"/>
      <c r="Q102" s="40"/>
      <c r="R102" s="46"/>
      <c r="S102" s="39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22"/>
      <c r="AP102" s="30"/>
    </row>
    <row r="103" spans="1:46" s="2" customFormat="1" ht="17.25" customHeight="1" x14ac:dyDescent="0.25">
      <c r="A103" s="24"/>
      <c r="B103" s="205" t="s">
        <v>435</v>
      </c>
      <c r="C103" s="257"/>
      <c r="D103" s="63"/>
      <c r="E103" s="64">
        <v>-17000</v>
      </c>
      <c r="F103" s="64"/>
      <c r="G103" s="64"/>
      <c r="H103" s="64"/>
      <c r="I103" s="64"/>
      <c r="J103" s="64"/>
      <c r="K103" s="16"/>
      <c r="L103" s="92"/>
      <c r="M103" s="64"/>
      <c r="N103" s="16"/>
      <c r="O103" s="92"/>
      <c r="P103" s="64"/>
      <c r="Q103" s="40">
        <f>-E103</f>
        <v>17000</v>
      </c>
      <c r="R103" s="40"/>
      <c r="S103" s="39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22"/>
      <c r="AQ103" s="10"/>
      <c r="AR103" s="11"/>
    </row>
    <row r="104" spans="1:46" s="2" customFormat="1" ht="17.25" customHeight="1" x14ac:dyDescent="0.25">
      <c r="A104" s="29"/>
      <c r="B104" s="201" t="s">
        <v>254</v>
      </c>
      <c r="C104" s="202"/>
      <c r="D104" s="63"/>
      <c r="E104" s="64">
        <v>-275.33</v>
      </c>
      <c r="F104" s="64"/>
      <c r="G104" s="64"/>
      <c r="H104" s="64"/>
      <c r="I104" s="64"/>
      <c r="J104" s="64"/>
      <c r="K104" s="57"/>
      <c r="L104" s="88"/>
      <c r="M104" s="62"/>
      <c r="N104" s="57"/>
      <c r="O104" s="88"/>
      <c r="P104" s="62"/>
      <c r="Q104" s="47"/>
      <c r="R104" s="39"/>
      <c r="S104" s="39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22"/>
      <c r="AQ104" s="10"/>
      <c r="AR104" s="11"/>
    </row>
    <row r="105" spans="1:46" s="2" customFormat="1" ht="17.25" customHeight="1" x14ac:dyDescent="0.25">
      <c r="A105" s="29"/>
      <c r="B105" s="201" t="s">
        <v>363</v>
      </c>
      <c r="C105" s="202"/>
      <c r="D105" s="63"/>
      <c r="E105" s="64">
        <v>-498.36</v>
      </c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47"/>
      <c r="R105" s="39"/>
      <c r="S105" s="39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22"/>
      <c r="AQ105" s="10"/>
      <c r="AR105" s="11"/>
    </row>
    <row r="106" spans="1:46" s="2" customFormat="1" ht="17.25" customHeight="1" x14ac:dyDescent="0.2">
      <c r="A106" s="23"/>
      <c r="B106" s="210"/>
      <c r="C106" s="203"/>
      <c r="D106" s="63"/>
      <c r="E106" s="66"/>
      <c r="F106" s="64"/>
      <c r="G106" s="74"/>
      <c r="H106" s="64"/>
      <c r="I106" s="64"/>
      <c r="J106" s="64"/>
      <c r="K106" s="16"/>
      <c r="L106" s="16"/>
      <c r="M106" s="64"/>
      <c r="N106" s="16"/>
      <c r="O106" s="16"/>
      <c r="P106" s="64"/>
      <c r="Q106" s="46"/>
      <c r="R106" s="39"/>
      <c r="S106" s="40"/>
      <c r="T106" s="16"/>
      <c r="U106" s="16"/>
      <c r="V106" s="16"/>
      <c r="W106" s="16"/>
      <c r="X106" s="16"/>
      <c r="Y106" s="19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35"/>
      <c r="AQ106" s="10"/>
      <c r="AR106" s="27"/>
    </row>
    <row r="107" spans="1:46" s="2" customFormat="1" ht="17.25" customHeight="1" x14ac:dyDescent="0.2">
      <c r="A107" s="23"/>
      <c r="B107" s="205" t="s">
        <v>388</v>
      </c>
      <c r="C107" s="206"/>
      <c r="D107" s="64">
        <f>-M107</f>
        <v>-53000</v>
      </c>
      <c r="E107" s="64"/>
      <c r="F107" s="64"/>
      <c r="G107" s="64"/>
      <c r="H107" s="64"/>
      <c r="I107" s="64"/>
      <c r="J107" s="64"/>
      <c r="K107" s="57">
        <v>10000</v>
      </c>
      <c r="L107" s="88">
        <v>5.3</v>
      </c>
      <c r="M107" s="62">
        <f>K107*L107</f>
        <v>53000</v>
      </c>
      <c r="N107" s="57"/>
      <c r="O107" s="88"/>
      <c r="P107" s="62"/>
      <c r="Q107" s="39"/>
      <c r="R107" s="39"/>
      <c r="S107" s="39"/>
      <c r="T107" s="16"/>
      <c r="U107" s="16"/>
      <c r="V107" s="16">
        <f>-P107</f>
        <v>0</v>
      </c>
      <c r="W107" s="16"/>
      <c r="X107" s="16"/>
      <c r="Y107" s="19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35"/>
      <c r="AQ107" s="10"/>
      <c r="AR107" s="27"/>
    </row>
    <row r="108" spans="1:46" s="2" customFormat="1" ht="17.25" customHeight="1" x14ac:dyDescent="0.2">
      <c r="A108" s="23"/>
      <c r="B108" s="205" t="s">
        <v>320</v>
      </c>
      <c r="C108" s="206"/>
      <c r="D108" s="64"/>
      <c r="E108" s="64"/>
      <c r="F108" s="64"/>
      <c r="G108" s="64"/>
      <c r="H108" s="64"/>
      <c r="I108" s="64"/>
      <c r="J108" s="64"/>
      <c r="K108" s="57"/>
      <c r="L108" s="88"/>
      <c r="M108" s="62"/>
      <c r="N108" s="57">
        <v>10000</v>
      </c>
      <c r="O108" s="88">
        <v>3.76</v>
      </c>
      <c r="P108" s="62">
        <f>N108*O108</f>
        <v>37600</v>
      </c>
      <c r="Q108" s="39">
        <f>-P108</f>
        <v>-37600</v>
      </c>
      <c r="R108" s="39"/>
      <c r="S108" s="39"/>
      <c r="T108" s="16"/>
      <c r="U108" s="16"/>
      <c r="V108" s="16"/>
      <c r="W108" s="16"/>
      <c r="X108" s="16"/>
      <c r="Y108" s="19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35"/>
      <c r="AQ108" s="10"/>
      <c r="AR108" s="27"/>
    </row>
    <row r="109" spans="1:46" s="2" customFormat="1" ht="17.25" customHeight="1" thickBot="1" x14ac:dyDescent="0.25">
      <c r="A109" s="24"/>
      <c r="B109" s="216"/>
      <c r="C109" s="217"/>
      <c r="D109" s="83"/>
      <c r="E109" s="81"/>
      <c r="F109" s="81"/>
      <c r="G109" s="81"/>
      <c r="H109" s="81"/>
      <c r="I109" s="81"/>
      <c r="J109" s="81"/>
      <c r="K109" s="37"/>
      <c r="L109" s="93"/>
      <c r="M109" s="81"/>
      <c r="N109" s="37"/>
      <c r="O109" s="93"/>
      <c r="P109" s="81"/>
      <c r="Q109" s="40"/>
      <c r="R109" s="40"/>
      <c r="S109" s="39"/>
      <c r="T109" s="16"/>
      <c r="U109" s="16"/>
      <c r="V109" s="16"/>
      <c r="W109" s="16"/>
      <c r="X109" s="16"/>
      <c r="Y109" s="19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41"/>
      <c r="AQ109" s="10"/>
      <c r="AR109" s="11"/>
    </row>
    <row r="110" spans="1:46" s="4" customFormat="1" ht="17.25" customHeight="1" x14ac:dyDescent="0.25">
      <c r="A110" s="23"/>
      <c r="B110" s="210" t="s">
        <v>94</v>
      </c>
      <c r="C110" s="203"/>
      <c r="D110" s="66"/>
      <c r="E110" s="66"/>
      <c r="F110" s="117"/>
      <c r="G110" s="117"/>
      <c r="H110" s="66"/>
      <c r="I110" s="66"/>
      <c r="J110" s="66">
        <f>-M110</f>
        <v>6640.2</v>
      </c>
      <c r="K110" s="58">
        <v>-1116</v>
      </c>
      <c r="L110" s="89">
        <v>5.95</v>
      </c>
      <c r="M110" s="73">
        <f>K110*L110</f>
        <v>-6640.2</v>
      </c>
      <c r="N110" s="58"/>
      <c r="O110" s="89"/>
      <c r="P110" s="73"/>
      <c r="Q110" s="39"/>
      <c r="R110" s="39"/>
      <c r="S110" s="8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35"/>
      <c r="AP110" s="12" t="e">
        <f>#REF!</f>
        <v>#REF!</v>
      </c>
    </row>
    <row r="111" spans="1:46" s="4" customFormat="1" ht="17.25" customHeight="1" x14ac:dyDescent="0.25">
      <c r="A111" s="23"/>
      <c r="B111" s="201" t="s">
        <v>95</v>
      </c>
      <c r="C111" s="202"/>
      <c r="D111" s="64"/>
      <c r="E111" s="64"/>
      <c r="F111" s="117"/>
      <c r="G111" s="117"/>
      <c r="H111" s="64"/>
      <c r="I111" s="64"/>
      <c r="J111" s="64">
        <f>-P111</f>
        <v>8847.5399999999991</v>
      </c>
      <c r="K111" s="57"/>
      <c r="L111" s="88"/>
      <c r="M111" s="62"/>
      <c r="N111" s="57">
        <v>-2223</v>
      </c>
      <c r="O111" s="88">
        <v>3.98</v>
      </c>
      <c r="P111" s="62">
        <f>N111*O111</f>
        <v>-8847.5399999999991</v>
      </c>
      <c r="Q111" s="39"/>
      <c r="R111" s="39"/>
      <c r="S111" s="8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35"/>
      <c r="AP111" s="12" t="e">
        <f>#REF!</f>
        <v>#REF!</v>
      </c>
    </row>
    <row r="112" spans="1:46" s="4" customFormat="1" ht="17.25" customHeight="1" x14ac:dyDescent="0.25">
      <c r="A112" s="23"/>
      <c r="B112" s="201" t="s">
        <v>97</v>
      </c>
      <c r="C112" s="203"/>
      <c r="D112" s="64"/>
      <c r="E112" s="64"/>
      <c r="F112" s="64"/>
      <c r="G112" s="64"/>
      <c r="H112" s="64">
        <f>-J112-I112</f>
        <v>4400.7899999999972</v>
      </c>
      <c r="I112" s="64">
        <v>11086.95</v>
      </c>
      <c r="J112" s="64">
        <f>-SUM(J110:J111)</f>
        <v>-15487.739999999998</v>
      </c>
      <c r="K112" s="57"/>
      <c r="L112" s="88"/>
      <c r="M112" s="62"/>
      <c r="N112" s="57"/>
      <c r="O112" s="88"/>
      <c r="P112" s="62"/>
      <c r="Q112" s="39"/>
      <c r="R112" s="39"/>
      <c r="S112" s="39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22"/>
      <c r="AO112" s="43"/>
      <c r="AP112" s="12" t="e">
        <f>#REF!</f>
        <v>#REF!</v>
      </c>
      <c r="AT112" s="2"/>
    </row>
    <row r="113" spans="1:46" s="4" customFormat="1" ht="17.25" customHeight="1" x14ac:dyDescent="0.25">
      <c r="A113" s="23"/>
      <c r="B113" s="201" t="s">
        <v>93</v>
      </c>
      <c r="C113" s="202"/>
      <c r="D113" s="64"/>
      <c r="E113" s="64"/>
      <c r="F113" s="64"/>
      <c r="G113" s="64"/>
      <c r="H113" s="64"/>
      <c r="I113" s="64"/>
      <c r="J113" s="64"/>
      <c r="K113" s="57">
        <v>-74</v>
      </c>
      <c r="L113" s="88"/>
      <c r="M113" s="62">
        <f>(K116*((M93+M107)/(K93+K107)))-M93-M110-M107</f>
        <v>369.29768900343333</v>
      </c>
      <c r="N113" s="57">
        <v>153</v>
      </c>
      <c r="O113" s="88"/>
      <c r="P113" s="62">
        <f>(N116*((P93+P108)/(N93+N108)))-P93-P111-P108</f>
        <v>1099.0078153289069</v>
      </c>
      <c r="Q113" s="39"/>
      <c r="R113" s="39"/>
      <c r="S113" s="39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22"/>
      <c r="AO113" s="43">
        <f>A74</f>
        <v>0</v>
      </c>
      <c r="AP113" s="12" t="e">
        <f>#REF!</f>
        <v>#REF!</v>
      </c>
      <c r="AT113" s="2"/>
    </row>
    <row r="114" spans="1:46" s="2" customFormat="1" ht="17.25" customHeight="1" x14ac:dyDescent="0.2">
      <c r="A114" s="24"/>
      <c r="B114" s="201"/>
      <c r="C114" s="202"/>
      <c r="D114" s="63"/>
      <c r="E114" s="64"/>
      <c r="F114" s="64"/>
      <c r="G114" s="64"/>
      <c r="H114" s="64"/>
      <c r="I114" s="64"/>
      <c r="J114" s="64"/>
      <c r="K114" s="16"/>
      <c r="L114" s="16"/>
      <c r="M114" s="64"/>
      <c r="N114" s="16"/>
      <c r="O114" s="16"/>
      <c r="P114" s="64"/>
      <c r="Q114" s="46"/>
      <c r="R114" s="46"/>
      <c r="S114" s="39"/>
      <c r="T114" s="16"/>
      <c r="U114" s="16"/>
      <c r="V114" s="16"/>
      <c r="W114" s="16"/>
      <c r="X114" s="16"/>
      <c r="Y114" s="19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43">
        <f>A94</f>
        <v>46028</v>
      </c>
      <c r="AQ114" s="10"/>
      <c r="AR114" s="11"/>
    </row>
    <row r="115" spans="1:46" s="2" customFormat="1" ht="17.25" customHeight="1" thickBot="1" x14ac:dyDescent="0.3">
      <c r="A115" s="56"/>
      <c r="B115" s="101" t="s">
        <v>102</v>
      </c>
      <c r="C115" s="102">
        <f>D116+E116+F116+G116+H116+I116+J116+M116+P116</f>
        <v>140501.09954000002</v>
      </c>
      <c r="D115" s="84"/>
      <c r="E115" s="85"/>
      <c r="F115" s="85"/>
      <c r="G115" s="85"/>
      <c r="H115" s="85"/>
      <c r="I115" s="85"/>
      <c r="J115" s="85"/>
      <c r="K115" s="28"/>
      <c r="L115" s="28"/>
      <c r="M115" s="85"/>
      <c r="N115" s="28"/>
      <c r="O115" s="28"/>
      <c r="P115" s="85"/>
      <c r="Q115" s="48"/>
      <c r="R115" s="48"/>
      <c r="S115" s="51"/>
      <c r="T115" s="28"/>
      <c r="U115" s="28"/>
      <c r="V115" s="28"/>
      <c r="W115" s="28"/>
      <c r="X115" s="28"/>
      <c r="Y115" s="36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42">
        <f>SUM($Q93:AN115)</f>
        <v>-474715.62</v>
      </c>
      <c r="AQ115" s="10"/>
      <c r="AR115" s="11"/>
      <c r="AS115" s="2" t="s">
        <v>5</v>
      </c>
    </row>
    <row r="116" spans="1:46" s="2" customFormat="1" ht="17.25" customHeight="1" thickTop="1" thickBot="1" x14ac:dyDescent="0.3">
      <c r="A116" s="103"/>
      <c r="B116" s="104" t="s">
        <v>103</v>
      </c>
      <c r="C116" s="105">
        <f>AO116</f>
        <v>-334214.52045999997</v>
      </c>
      <c r="D116" s="107">
        <f t="shared" ref="D116:K116" si="9">SUM(D93:D115)</f>
        <v>1672.137040000016</v>
      </c>
      <c r="E116" s="107">
        <f t="shared" si="9"/>
        <v>-39205.410000000003</v>
      </c>
      <c r="F116" s="107">
        <f t="shared" si="9"/>
        <v>0.5</v>
      </c>
      <c r="G116" s="107">
        <f t="shared" si="9"/>
        <v>0</v>
      </c>
      <c r="H116" s="107">
        <f t="shared" si="9"/>
        <v>58399.252500000002</v>
      </c>
      <c r="I116" s="107">
        <f t="shared" si="9"/>
        <v>10289.450000000001</v>
      </c>
      <c r="J116" s="107">
        <f t="shared" si="9"/>
        <v>0</v>
      </c>
      <c r="K116" s="108">
        <f t="shared" si="9"/>
        <v>10450</v>
      </c>
      <c r="L116" s="109">
        <f>M116/K116</f>
        <v>5.2696660287081345</v>
      </c>
      <c r="M116" s="107">
        <f>ROUND(SUM(M93:M115),2)</f>
        <v>55068.01</v>
      </c>
      <c r="N116" s="108">
        <f>SUM(N93:N115)</f>
        <v>14500</v>
      </c>
      <c r="O116" s="109">
        <f>P116/N116</f>
        <v>3.7432524137931038</v>
      </c>
      <c r="P116" s="107">
        <f>ROUND(SUM(P93:P115),2)</f>
        <v>54277.16</v>
      </c>
      <c r="Q116" s="107">
        <f t="shared" ref="Q116:AN116" si="10">SUM(Q93:Q115)</f>
        <v>-521730.23</v>
      </c>
      <c r="R116" s="107">
        <f t="shared" si="10"/>
        <v>50229.299999999996</v>
      </c>
      <c r="S116" s="107">
        <f t="shared" si="10"/>
        <v>0</v>
      </c>
      <c r="T116" s="107">
        <f t="shared" si="10"/>
        <v>-3214.6900000000005</v>
      </c>
      <c r="U116" s="107">
        <f t="shared" si="10"/>
        <v>0</v>
      </c>
      <c r="V116" s="107">
        <f t="shared" si="10"/>
        <v>0</v>
      </c>
      <c r="W116" s="107">
        <f t="shared" si="10"/>
        <v>0</v>
      </c>
      <c r="X116" s="107">
        <f t="shared" si="10"/>
        <v>0</v>
      </c>
      <c r="Y116" s="107">
        <f t="shared" si="10"/>
        <v>0</v>
      </c>
      <c r="Z116" s="107">
        <f t="shared" si="10"/>
        <v>0</v>
      </c>
      <c r="AA116" s="107">
        <f t="shared" si="10"/>
        <v>0</v>
      </c>
      <c r="AB116" s="107">
        <f t="shared" si="10"/>
        <v>0</v>
      </c>
      <c r="AC116" s="107">
        <f t="shared" si="10"/>
        <v>0</v>
      </c>
      <c r="AD116" s="107">
        <f t="shared" si="10"/>
        <v>0</v>
      </c>
      <c r="AE116" s="107">
        <f t="shared" si="10"/>
        <v>0</v>
      </c>
      <c r="AF116" s="107">
        <f t="shared" si="10"/>
        <v>0</v>
      </c>
      <c r="AG116" s="107">
        <f t="shared" si="10"/>
        <v>0</v>
      </c>
      <c r="AH116" s="107">
        <f t="shared" si="10"/>
        <v>0</v>
      </c>
      <c r="AI116" s="107">
        <f t="shared" si="10"/>
        <v>0</v>
      </c>
      <c r="AJ116" s="107">
        <f t="shared" si="10"/>
        <v>0</v>
      </c>
      <c r="AK116" s="107">
        <f t="shared" si="10"/>
        <v>0</v>
      </c>
      <c r="AL116" s="107">
        <f t="shared" si="10"/>
        <v>0</v>
      </c>
      <c r="AM116" s="107">
        <f t="shared" si="10"/>
        <v>0</v>
      </c>
      <c r="AN116" s="107">
        <f t="shared" si="10"/>
        <v>0</v>
      </c>
      <c r="AO116" s="111">
        <f>D116+E116+F116+G116+H116+I116+J116+M116+P116+SUM(Q116:AN116)</f>
        <v>-334214.52045999997</v>
      </c>
      <c r="AP116" s="4"/>
      <c r="AQ116" s="5"/>
      <c r="AR116" s="5"/>
      <c r="AS116" s="2" t="s">
        <v>6</v>
      </c>
    </row>
    <row r="117" spans="1:46" s="2" customFormat="1" ht="17.25" customHeight="1" thickTop="1" x14ac:dyDescent="0.25">
      <c r="A117" s="23">
        <f>A94+1</f>
        <v>46029</v>
      </c>
      <c r="B117" s="201" t="s">
        <v>64</v>
      </c>
      <c r="C117" s="203"/>
      <c r="D117" s="63">
        <v>10035.27</v>
      </c>
      <c r="E117" s="64"/>
      <c r="F117" s="74"/>
      <c r="G117" s="74"/>
      <c r="H117" s="64"/>
      <c r="I117" s="64">
        <f>-D117</f>
        <v>-10035.27</v>
      </c>
      <c r="J117" s="66"/>
      <c r="K117" s="18"/>
      <c r="L117" s="18"/>
      <c r="M117" s="66"/>
      <c r="N117" s="18"/>
      <c r="O117" s="18"/>
      <c r="P117" s="66"/>
      <c r="Q117" s="46"/>
      <c r="R117" s="46"/>
      <c r="S117" s="45"/>
      <c r="T117" s="18"/>
      <c r="U117" s="18"/>
      <c r="V117" s="18"/>
      <c r="W117" s="18"/>
      <c r="X117" s="18"/>
      <c r="Y117" s="14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7"/>
      <c r="AO117" s="31"/>
      <c r="AQ117" s="10"/>
      <c r="AR117" s="27"/>
    </row>
    <row r="118" spans="1:46" s="2" customFormat="1" ht="17.25" customHeight="1" x14ac:dyDescent="0.25">
      <c r="A118" s="24"/>
      <c r="B118" s="201" t="s">
        <v>96</v>
      </c>
      <c r="C118" s="202"/>
      <c r="D118" s="63"/>
      <c r="E118" s="64"/>
      <c r="F118" s="64"/>
      <c r="G118" s="64"/>
      <c r="H118" s="64"/>
      <c r="I118" s="64">
        <f>-I116-I117</f>
        <v>-254.18000000000029</v>
      </c>
      <c r="J118" s="64"/>
      <c r="K118" s="16"/>
      <c r="L118" s="16"/>
      <c r="M118" s="64"/>
      <c r="N118" s="16"/>
      <c r="O118" s="16"/>
      <c r="P118" s="64"/>
      <c r="Q118" s="46"/>
      <c r="R118" s="40"/>
      <c r="S118" s="39"/>
      <c r="T118" s="16"/>
      <c r="U118" s="16"/>
      <c r="V118" s="16"/>
      <c r="W118" s="16"/>
      <c r="X118" s="16"/>
      <c r="Y118" s="19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22"/>
      <c r="AQ118" s="10"/>
      <c r="AR118" s="11"/>
    </row>
    <row r="119" spans="1:46" s="2" customFormat="1" ht="17.25" customHeight="1" x14ac:dyDescent="0.25">
      <c r="A119" s="29"/>
      <c r="B119" s="201" t="s">
        <v>327</v>
      </c>
      <c r="C119" s="202"/>
      <c r="D119" s="63">
        <f>100+67+50+60+80+100+50</f>
        <v>507</v>
      </c>
      <c r="E119" s="64"/>
      <c r="F119" s="64"/>
      <c r="G119" s="64"/>
      <c r="H119" s="64"/>
      <c r="I119" s="64">
        <f>-D119</f>
        <v>-507</v>
      </c>
      <c r="J119" s="64"/>
      <c r="K119" s="57"/>
      <c r="L119" s="88"/>
      <c r="M119" s="62"/>
      <c r="N119" s="57"/>
      <c r="O119" s="88"/>
      <c r="P119" s="62"/>
      <c r="Q119" s="47"/>
      <c r="R119" s="39"/>
      <c r="S119" s="39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22"/>
      <c r="AQ119" s="10"/>
      <c r="AR119" s="11"/>
    </row>
    <row r="120" spans="1:46" s="2" customFormat="1" ht="17.25" customHeight="1" x14ac:dyDescent="0.25">
      <c r="A120" s="29"/>
      <c r="B120" s="201" t="s">
        <v>328</v>
      </c>
      <c r="C120" s="202"/>
      <c r="D120" s="63">
        <f>-7*0.99</f>
        <v>-6.93</v>
      </c>
      <c r="E120" s="64"/>
      <c r="F120" s="64"/>
      <c r="G120" s="64"/>
      <c r="H120" s="64"/>
      <c r="I120" s="64"/>
      <c r="J120" s="64"/>
      <c r="K120" s="57"/>
      <c r="L120" s="88"/>
      <c r="M120" s="62"/>
      <c r="N120" s="57"/>
      <c r="O120" s="88"/>
      <c r="P120" s="62"/>
      <c r="Q120" s="47"/>
      <c r="R120" s="39"/>
      <c r="S120" s="39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22"/>
      <c r="AQ120" s="10"/>
      <c r="AR120" s="11"/>
    </row>
    <row r="121" spans="1:46" s="2" customFormat="1" ht="17.25" customHeight="1" x14ac:dyDescent="0.25">
      <c r="A121" s="24"/>
      <c r="B121" s="201" t="s">
        <v>13</v>
      </c>
      <c r="C121" s="203"/>
      <c r="D121" s="63"/>
      <c r="E121" s="64"/>
      <c r="F121" s="74"/>
      <c r="G121" s="74"/>
      <c r="H121" s="64"/>
      <c r="I121" s="64"/>
      <c r="J121" s="64"/>
      <c r="K121" s="16"/>
      <c r="L121" s="16"/>
      <c r="M121" s="64"/>
      <c r="N121" s="16"/>
      <c r="O121" s="16"/>
      <c r="P121" s="64"/>
      <c r="Q121" s="46"/>
      <c r="R121" s="39"/>
      <c r="S121" s="40"/>
      <c r="T121" s="16"/>
      <c r="U121" s="16"/>
      <c r="V121" s="16"/>
      <c r="W121" s="16"/>
      <c r="X121" s="16"/>
      <c r="Y121" s="19"/>
      <c r="Z121" s="16"/>
      <c r="AA121" s="16"/>
      <c r="AB121" s="16"/>
      <c r="AC121" s="16"/>
      <c r="AD121" s="16"/>
      <c r="AE121" s="16"/>
      <c r="AF121" s="16"/>
      <c r="AG121" s="15"/>
      <c r="AH121" s="15"/>
      <c r="AI121" s="15"/>
      <c r="AJ121" s="15"/>
      <c r="AK121" s="15"/>
      <c r="AL121" s="15"/>
      <c r="AM121" s="15"/>
      <c r="AN121" s="16"/>
      <c r="AO121" s="22"/>
      <c r="AQ121" s="10"/>
      <c r="AR121" s="11"/>
    </row>
    <row r="122" spans="1:46" s="2" customFormat="1" ht="17.25" customHeight="1" x14ac:dyDescent="0.25">
      <c r="A122" s="29"/>
      <c r="B122" s="201" t="s">
        <v>72</v>
      </c>
      <c r="C122" s="20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47"/>
      <c r="R122" s="39"/>
      <c r="S122" s="39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22"/>
      <c r="AQ122" s="10" t="s">
        <v>4</v>
      </c>
      <c r="AR122" s="11" t="e">
        <v>#REF!</v>
      </c>
    </row>
    <row r="123" spans="1:46" s="4" customFormat="1" ht="17.25" customHeight="1" x14ac:dyDescent="0.25">
      <c r="A123" s="23"/>
      <c r="B123" s="201" t="s">
        <v>13</v>
      </c>
      <c r="C123" s="203"/>
      <c r="D123" s="63"/>
      <c r="E123" s="64">
        <f>20+30+84+153+2579.85+50+50+80+20</f>
        <v>3066.85</v>
      </c>
      <c r="F123" s="64"/>
      <c r="G123" s="64"/>
      <c r="H123" s="64">
        <f>-E123</f>
        <v>-3066.85</v>
      </c>
      <c r="I123" s="66"/>
      <c r="J123" s="64"/>
      <c r="K123" s="16"/>
      <c r="L123" s="92"/>
      <c r="M123" s="64"/>
      <c r="N123" s="16"/>
      <c r="O123" s="92"/>
      <c r="P123" s="64"/>
      <c r="Q123" s="40"/>
      <c r="R123" s="46"/>
      <c r="S123" s="39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22"/>
      <c r="AP123" s="30"/>
    </row>
    <row r="124" spans="1:46" s="2" customFormat="1" ht="17.25" customHeight="1" thickBot="1" x14ac:dyDescent="0.25">
      <c r="A124" s="24"/>
      <c r="B124" s="216"/>
      <c r="C124" s="217"/>
      <c r="D124" s="83"/>
      <c r="E124" s="81"/>
      <c r="F124" s="81"/>
      <c r="G124" s="81"/>
      <c r="H124" s="81"/>
      <c r="I124" s="81"/>
      <c r="J124" s="81"/>
      <c r="K124" s="37"/>
      <c r="L124" s="93"/>
      <c r="M124" s="81"/>
      <c r="N124" s="37"/>
      <c r="O124" s="93"/>
      <c r="P124" s="81"/>
      <c r="Q124" s="40"/>
      <c r="R124" s="40"/>
      <c r="S124" s="39"/>
      <c r="T124" s="16"/>
      <c r="U124" s="16"/>
      <c r="V124" s="16"/>
      <c r="W124" s="16"/>
      <c r="X124" s="16"/>
      <c r="Y124" s="19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41"/>
      <c r="AQ124" s="10"/>
      <c r="AR124" s="11"/>
    </row>
    <row r="125" spans="1:46" s="4" customFormat="1" ht="17.25" customHeight="1" x14ac:dyDescent="0.25">
      <c r="A125" s="23"/>
      <c r="B125" s="210" t="s">
        <v>94</v>
      </c>
      <c r="C125" s="203"/>
      <c r="D125" s="66"/>
      <c r="E125" s="66"/>
      <c r="F125" s="117"/>
      <c r="G125" s="117"/>
      <c r="H125" s="66"/>
      <c r="I125" s="66"/>
      <c r="J125" s="66">
        <f>-M125</f>
        <v>6182.05</v>
      </c>
      <c r="K125" s="58">
        <v>-1039</v>
      </c>
      <c r="L125" s="89">
        <v>5.95</v>
      </c>
      <c r="M125" s="73">
        <f>K125*L125</f>
        <v>-6182.05</v>
      </c>
      <c r="N125" s="58"/>
      <c r="O125" s="89"/>
      <c r="P125" s="73"/>
      <c r="Q125" s="39"/>
      <c r="R125" s="39"/>
      <c r="S125" s="8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35"/>
      <c r="AP125" s="12" t="e">
        <f>#REF!</f>
        <v>#REF!</v>
      </c>
    </row>
    <row r="126" spans="1:46" s="4" customFormat="1" ht="17.25" customHeight="1" x14ac:dyDescent="0.25">
      <c r="A126" s="23"/>
      <c r="B126" s="201" t="s">
        <v>95</v>
      </c>
      <c r="C126" s="202"/>
      <c r="D126" s="64"/>
      <c r="E126" s="64"/>
      <c r="F126" s="117"/>
      <c r="G126" s="117"/>
      <c r="H126" s="64"/>
      <c r="I126" s="64"/>
      <c r="J126" s="64">
        <f>-P126</f>
        <v>7092.36</v>
      </c>
      <c r="K126" s="57"/>
      <c r="L126" s="88"/>
      <c r="M126" s="62"/>
      <c r="N126" s="57">
        <v>-1782</v>
      </c>
      <c r="O126" s="88">
        <v>3.98</v>
      </c>
      <c r="P126" s="62">
        <f>N126*O126</f>
        <v>-7092.36</v>
      </c>
      <c r="Q126" s="39"/>
      <c r="R126" s="39"/>
      <c r="S126" s="8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35"/>
      <c r="AP126" s="12" t="e">
        <f>#REF!</f>
        <v>#REF!</v>
      </c>
    </row>
    <row r="127" spans="1:46" s="4" customFormat="1" ht="17.25" customHeight="1" x14ac:dyDescent="0.25">
      <c r="A127" s="23"/>
      <c r="B127" s="201" t="s">
        <v>97</v>
      </c>
      <c r="C127" s="203"/>
      <c r="D127" s="64"/>
      <c r="E127" s="64"/>
      <c r="F127" s="64"/>
      <c r="G127" s="64"/>
      <c r="H127" s="64">
        <f>-J127-I127</f>
        <v>3663.4500000000007</v>
      </c>
      <c r="I127" s="64">
        <v>9610.9599999999991</v>
      </c>
      <c r="J127" s="64">
        <f>-SUM(J125:J126)</f>
        <v>-13274.41</v>
      </c>
      <c r="K127" s="57"/>
      <c r="L127" s="88"/>
      <c r="M127" s="62"/>
      <c r="N127" s="57"/>
      <c r="O127" s="88"/>
      <c r="P127" s="62"/>
      <c r="Q127" s="39"/>
      <c r="R127" s="39"/>
      <c r="S127" s="39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22"/>
      <c r="AO127" s="43"/>
      <c r="AP127" s="12" t="e">
        <f>#REF!</f>
        <v>#REF!</v>
      </c>
      <c r="AT127" s="2"/>
    </row>
    <row r="128" spans="1:46" s="4" customFormat="1" ht="17.25" customHeight="1" x14ac:dyDescent="0.25">
      <c r="A128" s="23"/>
      <c r="B128" s="201" t="s">
        <v>93</v>
      </c>
      <c r="C128" s="202"/>
      <c r="D128" s="64"/>
      <c r="E128" s="64"/>
      <c r="F128" s="64"/>
      <c r="G128" s="64"/>
      <c r="H128" s="64"/>
      <c r="I128" s="64"/>
      <c r="J128" s="64"/>
      <c r="K128" s="57">
        <v>-4</v>
      </c>
      <c r="L128" s="88"/>
      <c r="M128" s="62">
        <f>(K131*L116)-M116-M125</f>
        <v>685.78833205742285</v>
      </c>
      <c r="N128" s="57">
        <v>-89</v>
      </c>
      <c r="O128" s="88"/>
      <c r="P128" s="62">
        <f>(N131*O116)-P116-P126</f>
        <v>88.734733793105079</v>
      </c>
      <c r="Q128" s="39"/>
      <c r="R128" s="39"/>
      <c r="S128" s="39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22"/>
      <c r="AO128" s="43">
        <f>A113</f>
        <v>0</v>
      </c>
      <c r="AP128" s="12" t="e">
        <f>#REF!</f>
        <v>#REF!</v>
      </c>
      <c r="AT128" s="2"/>
    </row>
    <row r="129" spans="1:46" s="2" customFormat="1" ht="17.25" customHeight="1" x14ac:dyDescent="0.2">
      <c r="A129" s="24"/>
      <c r="B129" s="201"/>
      <c r="C129" s="204"/>
      <c r="D129" s="63"/>
      <c r="E129" s="64"/>
      <c r="F129" s="64"/>
      <c r="G129" s="64"/>
      <c r="H129" s="64"/>
      <c r="I129" s="64"/>
      <c r="J129" s="64"/>
      <c r="K129" s="16"/>
      <c r="L129" s="16"/>
      <c r="M129" s="64"/>
      <c r="N129" s="16"/>
      <c r="O129" s="16"/>
      <c r="P129" s="64"/>
      <c r="Q129" s="46"/>
      <c r="R129" s="46"/>
      <c r="S129" s="39"/>
      <c r="T129" s="16"/>
      <c r="U129" s="16"/>
      <c r="V129" s="16"/>
      <c r="W129" s="16"/>
      <c r="X129" s="16"/>
      <c r="Y129" s="19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43">
        <f>A117</f>
        <v>46029</v>
      </c>
      <c r="AQ129" s="10"/>
      <c r="AR129" s="11"/>
    </row>
    <row r="130" spans="1:46" s="2" customFormat="1" ht="17.25" customHeight="1" thickBot="1" x14ac:dyDescent="0.3">
      <c r="A130" s="56"/>
      <c r="B130" s="101" t="s">
        <v>102</v>
      </c>
      <c r="C130" s="102">
        <f>D131+E131+F131+G131+H131+I131+J131+M131+P131</f>
        <v>141014.50954000003</v>
      </c>
      <c r="D130" s="84"/>
      <c r="E130" s="85"/>
      <c r="F130" s="85"/>
      <c r="G130" s="85"/>
      <c r="H130" s="85"/>
      <c r="I130" s="85"/>
      <c r="J130" s="85"/>
      <c r="K130" s="28"/>
      <c r="L130" s="28"/>
      <c r="M130" s="85"/>
      <c r="N130" s="28"/>
      <c r="O130" s="28"/>
      <c r="P130" s="85"/>
      <c r="Q130" s="48"/>
      <c r="R130" s="48"/>
      <c r="S130" s="51"/>
      <c r="T130" s="28"/>
      <c r="U130" s="28"/>
      <c r="V130" s="28"/>
      <c r="W130" s="28"/>
      <c r="X130" s="28"/>
      <c r="Y130" s="36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42">
        <f>SUM($Q116:AN130)</f>
        <v>-474715.62</v>
      </c>
      <c r="AQ130" s="10"/>
      <c r="AR130" s="11"/>
      <c r="AS130" s="2" t="s">
        <v>5</v>
      </c>
    </row>
    <row r="131" spans="1:46" s="2" customFormat="1" ht="17.25" customHeight="1" thickTop="1" thickBot="1" x14ac:dyDescent="0.3">
      <c r="A131" s="103"/>
      <c r="B131" s="104" t="s">
        <v>103</v>
      </c>
      <c r="C131" s="105">
        <f>AO131</f>
        <v>-333701.11046</v>
      </c>
      <c r="D131" s="106">
        <f t="shared" ref="D131:K131" si="11">SUM(D116:D130)</f>
        <v>12207.477040000016</v>
      </c>
      <c r="E131" s="107">
        <f t="shared" si="11"/>
        <v>-36138.560000000005</v>
      </c>
      <c r="F131" s="107">
        <f t="shared" si="11"/>
        <v>0.5</v>
      </c>
      <c r="G131" s="107">
        <f t="shared" si="11"/>
        <v>0</v>
      </c>
      <c r="H131" s="107">
        <f t="shared" si="11"/>
        <v>58995.852500000008</v>
      </c>
      <c r="I131" s="107">
        <f t="shared" si="11"/>
        <v>9103.9599999999991</v>
      </c>
      <c r="J131" s="107">
        <f t="shared" si="11"/>
        <v>0</v>
      </c>
      <c r="K131" s="108">
        <f t="shared" si="11"/>
        <v>9407</v>
      </c>
      <c r="L131" s="109">
        <f>M131/K131</f>
        <v>5.2696662060167956</v>
      </c>
      <c r="M131" s="107">
        <f>ROUND(SUM(M116:M130),2)</f>
        <v>49571.75</v>
      </c>
      <c r="N131" s="108">
        <f>SUM(N116:N130)</f>
        <v>12629</v>
      </c>
      <c r="O131" s="109">
        <f>P131/N131</f>
        <v>3.7432520389579538</v>
      </c>
      <c r="P131" s="107">
        <f>ROUND(SUM(P116:P130),2)</f>
        <v>47273.53</v>
      </c>
      <c r="Q131" s="110">
        <f t="shared" ref="Q131:AN131" si="12">SUM(Q116:Q130)</f>
        <v>-521730.23</v>
      </c>
      <c r="R131" s="107">
        <f t="shared" si="12"/>
        <v>50229.299999999996</v>
      </c>
      <c r="S131" s="107">
        <f t="shared" si="12"/>
        <v>0</v>
      </c>
      <c r="T131" s="107">
        <f t="shared" si="12"/>
        <v>-3214.6900000000005</v>
      </c>
      <c r="U131" s="107">
        <f t="shared" si="12"/>
        <v>0</v>
      </c>
      <c r="V131" s="107">
        <f t="shared" si="12"/>
        <v>0</v>
      </c>
      <c r="W131" s="107">
        <f t="shared" si="12"/>
        <v>0</v>
      </c>
      <c r="X131" s="107">
        <f t="shared" si="12"/>
        <v>0</v>
      </c>
      <c r="Y131" s="107">
        <f t="shared" si="12"/>
        <v>0</v>
      </c>
      <c r="Z131" s="107">
        <f t="shared" si="12"/>
        <v>0</v>
      </c>
      <c r="AA131" s="107">
        <f t="shared" si="12"/>
        <v>0</v>
      </c>
      <c r="AB131" s="107">
        <f t="shared" si="12"/>
        <v>0</v>
      </c>
      <c r="AC131" s="107">
        <f t="shared" si="12"/>
        <v>0</v>
      </c>
      <c r="AD131" s="107">
        <f t="shared" si="12"/>
        <v>0</v>
      </c>
      <c r="AE131" s="107">
        <f t="shared" si="12"/>
        <v>0</v>
      </c>
      <c r="AF131" s="107">
        <f t="shared" si="12"/>
        <v>0</v>
      </c>
      <c r="AG131" s="107">
        <f t="shared" si="12"/>
        <v>0</v>
      </c>
      <c r="AH131" s="107">
        <f t="shared" si="12"/>
        <v>0</v>
      </c>
      <c r="AI131" s="107">
        <f t="shared" si="12"/>
        <v>0</v>
      </c>
      <c r="AJ131" s="107">
        <f t="shared" si="12"/>
        <v>0</v>
      </c>
      <c r="AK131" s="107">
        <f t="shared" si="12"/>
        <v>0</v>
      </c>
      <c r="AL131" s="107">
        <f t="shared" si="12"/>
        <v>0</v>
      </c>
      <c r="AM131" s="107">
        <f t="shared" si="12"/>
        <v>0</v>
      </c>
      <c r="AN131" s="107">
        <f t="shared" si="12"/>
        <v>0</v>
      </c>
      <c r="AO131" s="111">
        <f>D131+E131+F131+G131+H131+I131+J131+M131+P131+SUM(Q131:AN131)</f>
        <v>-333701.11046</v>
      </c>
      <c r="AP131" s="4"/>
      <c r="AQ131" s="5"/>
      <c r="AR131" s="5"/>
      <c r="AS131" s="2" t="s">
        <v>6</v>
      </c>
    </row>
    <row r="132" spans="1:46" s="2" customFormat="1" ht="17.25" customHeight="1" thickTop="1" x14ac:dyDescent="0.25">
      <c r="A132" s="23">
        <f>A117+1</f>
        <v>46030</v>
      </c>
      <c r="B132" s="201" t="s">
        <v>64</v>
      </c>
      <c r="C132" s="203"/>
      <c r="D132" s="63">
        <f>7313.99+1591.37</f>
        <v>8905.36</v>
      </c>
      <c r="E132" s="64"/>
      <c r="F132" s="74"/>
      <c r="G132" s="74"/>
      <c r="H132" s="64"/>
      <c r="I132" s="64">
        <f>-D132</f>
        <v>-8905.36</v>
      </c>
      <c r="J132" s="66"/>
      <c r="K132" s="18"/>
      <c r="L132" s="18"/>
      <c r="M132" s="66"/>
      <c r="N132" s="18"/>
      <c r="O132" s="18"/>
      <c r="P132" s="66"/>
      <c r="Q132" s="46"/>
      <c r="R132" s="46"/>
      <c r="S132" s="45"/>
      <c r="T132" s="18"/>
      <c r="U132" s="18"/>
      <c r="V132" s="18"/>
      <c r="W132" s="18"/>
      <c r="X132" s="18"/>
      <c r="Y132" s="14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7"/>
      <c r="AO132" s="31"/>
      <c r="AQ132" s="10"/>
      <c r="AR132" s="27"/>
    </row>
    <row r="133" spans="1:46" s="2" customFormat="1" ht="17.25" customHeight="1" x14ac:dyDescent="0.25">
      <c r="A133" s="24"/>
      <c r="B133" s="201" t="s">
        <v>96</v>
      </c>
      <c r="C133" s="202"/>
      <c r="D133" s="63"/>
      <c r="E133" s="64"/>
      <c r="F133" s="64"/>
      <c r="G133" s="64"/>
      <c r="H133" s="64"/>
      <c r="I133" s="64">
        <f>-I131-I132</f>
        <v>-198.59999999999854</v>
      </c>
      <c r="J133" s="64"/>
      <c r="K133" s="16"/>
      <c r="L133" s="16"/>
      <c r="M133" s="64"/>
      <c r="N133" s="16"/>
      <c r="O133" s="16"/>
      <c r="P133" s="64"/>
      <c r="Q133" s="46"/>
      <c r="R133" s="40"/>
      <c r="S133" s="39"/>
      <c r="T133" s="16"/>
      <c r="U133" s="16"/>
      <c r="V133" s="16"/>
      <c r="W133" s="16"/>
      <c r="X133" s="16"/>
      <c r="Y133" s="19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22"/>
      <c r="AQ133" s="10"/>
      <c r="AR133" s="11"/>
    </row>
    <row r="134" spans="1:46" s="2" customFormat="1" ht="17.25" customHeight="1" x14ac:dyDescent="0.25">
      <c r="A134" s="29"/>
      <c r="B134" s="201" t="s">
        <v>327</v>
      </c>
      <c r="C134" s="202"/>
      <c r="D134" s="63">
        <f>59.99+50+25+50+14.5+215.15+40+100+20+30+6+100+40</f>
        <v>750.64</v>
      </c>
      <c r="E134" s="64"/>
      <c r="F134" s="64"/>
      <c r="G134" s="64"/>
      <c r="H134" s="64"/>
      <c r="I134" s="64">
        <f>-D134</f>
        <v>-750.64</v>
      </c>
      <c r="J134" s="64"/>
      <c r="K134" s="57"/>
      <c r="L134" s="88"/>
      <c r="M134" s="62"/>
      <c r="N134" s="57"/>
      <c r="O134" s="88"/>
      <c r="P134" s="62"/>
      <c r="Q134" s="47"/>
      <c r="R134" s="39"/>
      <c r="S134" s="39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22"/>
      <c r="AQ134" s="10"/>
      <c r="AR134" s="11"/>
    </row>
    <row r="135" spans="1:46" s="2" customFormat="1" ht="17.25" customHeight="1" x14ac:dyDescent="0.25">
      <c r="A135" s="29"/>
      <c r="B135" s="201" t="s">
        <v>328</v>
      </c>
      <c r="C135" s="202"/>
      <c r="D135" s="63">
        <f>-12*0.99-1.72</f>
        <v>-13.6</v>
      </c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47"/>
      <c r="R135" s="39"/>
      <c r="S135" s="39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22"/>
      <c r="AQ135" s="10"/>
      <c r="AR135" s="11"/>
    </row>
    <row r="136" spans="1:46" s="4" customFormat="1" ht="17.25" customHeight="1" x14ac:dyDescent="0.25">
      <c r="A136" s="23"/>
      <c r="B136" s="201" t="s">
        <v>13</v>
      </c>
      <c r="C136" s="203"/>
      <c r="D136" s="63"/>
      <c r="E136" s="64">
        <f>30+30+50+154+50+50+280+60+60+60+255+1464+975+1627+50+1185</f>
        <v>6380</v>
      </c>
      <c r="F136" s="64"/>
      <c r="G136" s="64"/>
      <c r="H136" s="64">
        <f>-E136</f>
        <v>-6380</v>
      </c>
      <c r="I136" s="66"/>
      <c r="J136" s="64"/>
      <c r="K136" s="16"/>
      <c r="L136" s="92"/>
      <c r="M136" s="64"/>
      <c r="N136" s="16"/>
      <c r="O136" s="92"/>
      <c r="P136" s="64"/>
      <c r="Q136" s="40"/>
      <c r="R136" s="46"/>
      <c r="S136" s="39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22"/>
      <c r="AP136" s="30"/>
    </row>
    <row r="137" spans="1:46" s="2" customFormat="1" ht="17.25" customHeight="1" x14ac:dyDescent="0.25">
      <c r="A137" s="24"/>
      <c r="B137" s="201" t="s">
        <v>180</v>
      </c>
      <c r="C137" s="202"/>
      <c r="D137" s="63"/>
      <c r="E137" s="64"/>
      <c r="F137" s="64"/>
      <c r="G137" s="64"/>
      <c r="H137" s="64"/>
      <c r="I137" s="117"/>
      <c r="J137" s="64"/>
      <c r="K137" s="16"/>
      <c r="L137" s="16"/>
      <c r="M137" s="64"/>
      <c r="N137" s="16"/>
      <c r="O137" s="16"/>
      <c r="P137" s="64"/>
      <c r="Q137" s="40"/>
      <c r="R137" s="40"/>
      <c r="S137" s="39"/>
      <c r="T137" s="16"/>
      <c r="U137" s="16"/>
      <c r="V137" s="16"/>
      <c r="W137" s="16"/>
      <c r="X137" s="16"/>
      <c r="Y137" s="19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41"/>
      <c r="AQ137" s="10"/>
      <c r="AR137" s="11"/>
    </row>
    <row r="138" spans="1:46" s="2" customFormat="1" ht="17.25" customHeight="1" x14ac:dyDescent="0.25">
      <c r="A138" s="29"/>
      <c r="B138" s="201" t="s">
        <v>72</v>
      </c>
      <c r="C138" s="202"/>
      <c r="D138" s="63"/>
      <c r="E138" s="64"/>
      <c r="F138" s="64"/>
      <c r="G138" s="64"/>
      <c r="H138" s="64"/>
      <c r="I138" s="64"/>
      <c r="J138" s="64"/>
      <c r="K138" s="57"/>
      <c r="L138" s="88"/>
      <c r="M138" s="62"/>
      <c r="N138" s="57"/>
      <c r="O138" s="88"/>
      <c r="P138" s="62"/>
      <c r="Q138" s="47"/>
      <c r="R138" s="39"/>
      <c r="S138" s="39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22"/>
      <c r="AQ138" s="10" t="s">
        <v>4</v>
      </c>
      <c r="AR138" s="11" t="e">
        <v>#REF!</v>
      </c>
    </row>
    <row r="139" spans="1:46" s="2" customFormat="1" ht="17.25" customHeight="1" thickBot="1" x14ac:dyDescent="0.25">
      <c r="A139" s="24"/>
      <c r="B139" s="216"/>
      <c r="C139" s="217"/>
      <c r="D139" s="83"/>
      <c r="E139" s="81"/>
      <c r="F139" s="81"/>
      <c r="G139" s="81"/>
      <c r="H139" s="81"/>
      <c r="I139" s="81"/>
      <c r="J139" s="81"/>
      <c r="K139" s="37"/>
      <c r="L139" s="93"/>
      <c r="M139" s="81"/>
      <c r="N139" s="37"/>
      <c r="O139" s="93"/>
      <c r="P139" s="81"/>
      <c r="Q139" s="40"/>
      <c r="R139" s="40"/>
      <c r="S139" s="39"/>
      <c r="T139" s="16"/>
      <c r="U139" s="16"/>
      <c r="V139" s="16"/>
      <c r="W139" s="16"/>
      <c r="X139" s="16"/>
      <c r="Y139" s="19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41"/>
      <c r="AQ139" s="10"/>
      <c r="AR139" s="11"/>
    </row>
    <row r="140" spans="1:46" s="4" customFormat="1" ht="17.25" customHeight="1" x14ac:dyDescent="0.25">
      <c r="A140" s="23"/>
      <c r="B140" s="210" t="s">
        <v>94</v>
      </c>
      <c r="C140" s="203"/>
      <c r="D140" s="66"/>
      <c r="E140" s="66"/>
      <c r="F140" s="117"/>
      <c r="G140" s="117"/>
      <c r="H140" s="66"/>
      <c r="I140" s="66"/>
      <c r="J140" s="66">
        <f>-M140</f>
        <v>7925.4000000000005</v>
      </c>
      <c r="K140" s="58">
        <v>-1332</v>
      </c>
      <c r="L140" s="89">
        <v>5.95</v>
      </c>
      <c r="M140" s="73">
        <f>K140*L140</f>
        <v>-7925.4000000000005</v>
      </c>
      <c r="N140" s="58"/>
      <c r="O140" s="89"/>
      <c r="P140" s="73"/>
      <c r="Q140" s="39"/>
      <c r="R140" s="39"/>
      <c r="S140" s="8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35"/>
      <c r="AP140" s="12" t="e">
        <f>#REF!</f>
        <v>#REF!</v>
      </c>
    </row>
    <row r="141" spans="1:46" s="4" customFormat="1" ht="17.25" customHeight="1" x14ac:dyDescent="0.25">
      <c r="A141" s="23"/>
      <c r="B141" s="201" t="s">
        <v>95</v>
      </c>
      <c r="C141" s="202"/>
      <c r="D141" s="64"/>
      <c r="E141" s="64"/>
      <c r="F141" s="117"/>
      <c r="G141" s="117"/>
      <c r="H141" s="64"/>
      <c r="I141" s="64"/>
      <c r="J141" s="64">
        <f>-P141</f>
        <v>7641.6</v>
      </c>
      <c r="K141" s="57"/>
      <c r="L141" s="88"/>
      <c r="M141" s="62"/>
      <c r="N141" s="57">
        <v>-1920</v>
      </c>
      <c r="O141" s="88">
        <v>3.98</v>
      </c>
      <c r="P141" s="62">
        <f>N141*O141</f>
        <v>-7641.6</v>
      </c>
      <c r="Q141" s="39"/>
      <c r="R141" s="39"/>
      <c r="S141" s="8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35"/>
      <c r="AP141" s="12" t="e">
        <f>#REF!</f>
        <v>#REF!</v>
      </c>
    </row>
    <row r="142" spans="1:46" s="4" customFormat="1" ht="17.25" customHeight="1" x14ac:dyDescent="0.25">
      <c r="A142" s="23"/>
      <c r="B142" s="201" t="s">
        <v>97</v>
      </c>
      <c r="C142" s="203"/>
      <c r="D142" s="64"/>
      <c r="E142" s="64"/>
      <c r="F142" s="64"/>
      <c r="G142" s="64"/>
      <c r="H142" s="64">
        <f>-J142-I142</f>
        <v>4375.1000000000004</v>
      </c>
      <c r="I142" s="64">
        <v>11191.9</v>
      </c>
      <c r="J142" s="64">
        <f>-SUM(J140:J141)</f>
        <v>-15567</v>
      </c>
      <c r="K142" s="57"/>
      <c r="L142" s="88"/>
      <c r="M142" s="62"/>
      <c r="N142" s="57"/>
      <c r="O142" s="88"/>
      <c r="P142" s="62"/>
      <c r="Q142" s="39"/>
      <c r="R142" s="39"/>
      <c r="S142" s="39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22"/>
      <c r="AO142" s="43"/>
      <c r="AP142" s="12" t="e">
        <f>#REF!</f>
        <v>#REF!</v>
      </c>
      <c r="AT142" s="2"/>
    </row>
    <row r="143" spans="1:46" s="4" customFormat="1" ht="17.25" customHeight="1" x14ac:dyDescent="0.25">
      <c r="A143" s="23"/>
      <c r="B143" s="201" t="s">
        <v>93</v>
      </c>
      <c r="C143" s="202"/>
      <c r="D143" s="64"/>
      <c r="E143" s="64"/>
      <c r="F143" s="64"/>
      <c r="G143" s="64"/>
      <c r="H143" s="64"/>
      <c r="I143" s="64"/>
      <c r="J143" s="64"/>
      <c r="K143" s="57">
        <v>-5</v>
      </c>
      <c r="L143" s="88"/>
      <c r="M143" s="62">
        <f>(K146*L131)-M131-M140</f>
        <v>879.85628255554093</v>
      </c>
      <c r="N143" s="57">
        <v>81</v>
      </c>
      <c r="O143" s="88"/>
      <c r="P143" s="62">
        <f>(N146*O131)-P131-P141</f>
        <v>757.75950035632013</v>
      </c>
      <c r="Q143" s="39"/>
      <c r="R143" s="39"/>
      <c r="S143" s="39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22"/>
      <c r="AO143" s="43">
        <f>A133</f>
        <v>0</v>
      </c>
      <c r="AP143" s="12" t="e">
        <f>#REF!</f>
        <v>#REF!</v>
      </c>
      <c r="AT143" s="2"/>
    </row>
    <row r="144" spans="1:46" s="2" customFormat="1" ht="17.25" customHeight="1" x14ac:dyDescent="0.2">
      <c r="A144" s="24"/>
      <c r="B144" s="201"/>
      <c r="C144" s="204"/>
      <c r="D144" s="63"/>
      <c r="E144" s="64"/>
      <c r="F144" s="64"/>
      <c r="G144" s="64"/>
      <c r="H144" s="64"/>
      <c r="I144" s="64"/>
      <c r="J144" s="64"/>
      <c r="K144" s="16"/>
      <c r="L144" s="16"/>
      <c r="M144" s="64"/>
      <c r="N144" s="16"/>
      <c r="O144" s="16"/>
      <c r="P144" s="64"/>
      <c r="Q144" s="46"/>
      <c r="R144" s="46"/>
      <c r="S144" s="39"/>
      <c r="T144" s="16"/>
      <c r="U144" s="16"/>
      <c r="V144" s="16"/>
      <c r="W144" s="16"/>
      <c r="X144" s="16"/>
      <c r="Y144" s="19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43">
        <f>A132</f>
        <v>46030</v>
      </c>
      <c r="AQ144" s="10"/>
      <c r="AR144" s="11"/>
    </row>
    <row r="145" spans="1:45" s="2" customFormat="1" ht="17.25" customHeight="1" thickBot="1" x14ac:dyDescent="0.3">
      <c r="A145" s="56"/>
      <c r="B145" s="101" t="s">
        <v>102</v>
      </c>
      <c r="C145" s="102">
        <f>D146+E146+F146+G146+H146+I146+J146+M146+P146</f>
        <v>142439.92954000004</v>
      </c>
      <c r="D145" s="84"/>
      <c r="E145" s="85"/>
      <c r="F145" s="85"/>
      <c r="G145" s="85"/>
      <c r="H145" s="85"/>
      <c r="I145" s="85"/>
      <c r="J145" s="85"/>
      <c r="K145" s="28"/>
      <c r="L145" s="28"/>
      <c r="M145" s="85"/>
      <c r="N145" s="28"/>
      <c r="O145" s="28"/>
      <c r="P145" s="85"/>
      <c r="Q145" s="48"/>
      <c r="R145" s="48"/>
      <c r="S145" s="51"/>
      <c r="T145" s="28"/>
      <c r="U145" s="28"/>
      <c r="V145" s="28"/>
      <c r="W145" s="28"/>
      <c r="X145" s="28"/>
      <c r="Y145" s="36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42">
        <f>SUM($Q131:AN145)</f>
        <v>-474715.62</v>
      </c>
      <c r="AQ145" s="10"/>
      <c r="AR145" s="11"/>
      <c r="AS145" s="2" t="s">
        <v>5</v>
      </c>
    </row>
    <row r="146" spans="1:45" s="2" customFormat="1" ht="17.25" customHeight="1" thickTop="1" thickBot="1" x14ac:dyDescent="0.3">
      <c r="A146" s="103"/>
      <c r="B146" s="104" t="s">
        <v>103</v>
      </c>
      <c r="C146" s="105">
        <f>AO146</f>
        <v>-332275.69045999995</v>
      </c>
      <c r="D146" s="106">
        <f t="shared" ref="D146:K146" si="13">SUM(D131:D145)</f>
        <v>21849.877040000018</v>
      </c>
      <c r="E146" s="107">
        <f t="shared" si="13"/>
        <v>-29758.560000000005</v>
      </c>
      <c r="F146" s="107">
        <f t="shared" si="13"/>
        <v>0.5</v>
      </c>
      <c r="G146" s="107">
        <f t="shared" si="13"/>
        <v>0</v>
      </c>
      <c r="H146" s="107">
        <f t="shared" si="13"/>
        <v>56990.952500000007</v>
      </c>
      <c r="I146" s="107">
        <f t="shared" si="13"/>
        <v>10441.26</v>
      </c>
      <c r="J146" s="107">
        <f t="shared" si="13"/>
        <v>0</v>
      </c>
      <c r="K146" s="108">
        <f t="shared" si="13"/>
        <v>8070</v>
      </c>
      <c r="L146" s="109">
        <f>M146/K146</f>
        <v>5.2696666666666667</v>
      </c>
      <c r="M146" s="107">
        <f>ROUND(SUM(M131:M145),2)</f>
        <v>42526.21</v>
      </c>
      <c r="N146" s="108">
        <f>SUM(N131:N145)</f>
        <v>10790</v>
      </c>
      <c r="O146" s="109">
        <f>P146/N146</f>
        <v>3.7432520852641336</v>
      </c>
      <c r="P146" s="107">
        <f>ROUND(SUM(P131:P145),2)</f>
        <v>40389.69</v>
      </c>
      <c r="Q146" s="110">
        <f t="shared" ref="Q146:AN146" si="14">SUM(Q131:Q145)</f>
        <v>-521730.23</v>
      </c>
      <c r="R146" s="107">
        <f t="shared" si="14"/>
        <v>50229.299999999996</v>
      </c>
      <c r="S146" s="107">
        <f t="shared" si="14"/>
        <v>0</v>
      </c>
      <c r="T146" s="107">
        <f t="shared" si="14"/>
        <v>-3214.6900000000005</v>
      </c>
      <c r="U146" s="107">
        <f t="shared" si="14"/>
        <v>0</v>
      </c>
      <c r="V146" s="107">
        <f t="shared" si="14"/>
        <v>0</v>
      </c>
      <c r="W146" s="107">
        <f t="shared" si="14"/>
        <v>0</v>
      </c>
      <c r="X146" s="107">
        <f t="shared" si="14"/>
        <v>0</v>
      </c>
      <c r="Y146" s="107">
        <f t="shared" si="14"/>
        <v>0</v>
      </c>
      <c r="Z146" s="107">
        <f t="shared" si="14"/>
        <v>0</v>
      </c>
      <c r="AA146" s="107">
        <f t="shared" si="14"/>
        <v>0</v>
      </c>
      <c r="AB146" s="107">
        <f t="shared" si="14"/>
        <v>0</v>
      </c>
      <c r="AC146" s="107">
        <f t="shared" si="14"/>
        <v>0</v>
      </c>
      <c r="AD146" s="107">
        <f t="shared" si="14"/>
        <v>0</v>
      </c>
      <c r="AE146" s="107">
        <f t="shared" si="14"/>
        <v>0</v>
      </c>
      <c r="AF146" s="107">
        <f t="shared" si="14"/>
        <v>0</v>
      </c>
      <c r="AG146" s="107">
        <f t="shared" si="14"/>
        <v>0</v>
      </c>
      <c r="AH146" s="107">
        <f t="shared" si="14"/>
        <v>0</v>
      </c>
      <c r="AI146" s="107">
        <f t="shared" si="14"/>
        <v>0</v>
      </c>
      <c r="AJ146" s="107">
        <f t="shared" si="14"/>
        <v>0</v>
      </c>
      <c r="AK146" s="107">
        <f t="shared" si="14"/>
        <v>0</v>
      </c>
      <c r="AL146" s="107">
        <f t="shared" si="14"/>
        <v>0</v>
      </c>
      <c r="AM146" s="107">
        <f t="shared" si="14"/>
        <v>0</v>
      </c>
      <c r="AN146" s="107">
        <f t="shared" si="14"/>
        <v>0</v>
      </c>
      <c r="AO146" s="111">
        <f>D146+E146+F146+G146+H146+I146+J146+M146+P146+SUM(Q146:AN146)</f>
        <v>-332275.69045999995</v>
      </c>
      <c r="AP146" s="4"/>
      <c r="AQ146" s="5"/>
      <c r="AR146" s="5"/>
      <c r="AS146" s="2" t="s">
        <v>6</v>
      </c>
    </row>
    <row r="147" spans="1:45" s="2" customFormat="1" ht="17.25" customHeight="1" thickTop="1" x14ac:dyDescent="0.25">
      <c r="A147" s="23">
        <f>A132+1</f>
        <v>46031</v>
      </c>
      <c r="B147" s="210" t="s">
        <v>64</v>
      </c>
      <c r="C147" s="203"/>
      <c r="D147" s="63">
        <v>10218.950000000001</v>
      </c>
      <c r="E147" s="66"/>
      <c r="F147" s="66"/>
      <c r="G147" s="66"/>
      <c r="H147" s="66"/>
      <c r="I147" s="66">
        <f>-D147</f>
        <v>-10218.950000000001</v>
      </c>
      <c r="J147" s="66"/>
      <c r="K147" s="18"/>
      <c r="L147" s="18"/>
      <c r="M147" s="66"/>
      <c r="N147" s="18"/>
      <c r="O147" s="18"/>
      <c r="P147" s="66"/>
      <c r="Q147" s="46"/>
      <c r="R147" s="46"/>
      <c r="S147" s="45"/>
      <c r="T147" s="18"/>
      <c r="U147" s="18"/>
      <c r="V147" s="18"/>
      <c r="W147" s="18"/>
      <c r="X147" s="18"/>
      <c r="Y147" s="14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7"/>
      <c r="AO147" s="31"/>
      <c r="AQ147" s="10"/>
      <c r="AR147" s="27"/>
    </row>
    <row r="148" spans="1:45" s="4" customFormat="1" ht="17.25" customHeight="1" x14ac:dyDescent="0.25">
      <c r="A148" s="23"/>
      <c r="B148" s="201" t="s">
        <v>96</v>
      </c>
      <c r="C148" s="202"/>
      <c r="D148" s="63"/>
      <c r="E148" s="64"/>
      <c r="F148" s="64"/>
      <c r="G148" s="64"/>
      <c r="H148" s="64"/>
      <c r="I148" s="64">
        <f>-I146-I147</f>
        <v>-222.30999999999949</v>
      </c>
      <c r="J148" s="64"/>
      <c r="K148" s="16"/>
      <c r="L148" s="92"/>
      <c r="M148" s="64"/>
      <c r="N148" s="16"/>
      <c r="O148" s="92"/>
      <c r="P148" s="64"/>
      <c r="Q148" s="40"/>
      <c r="R148" s="46"/>
      <c r="S148" s="39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22"/>
      <c r="AP148" s="30"/>
    </row>
    <row r="149" spans="1:45" s="2" customFormat="1" ht="17.25" customHeight="1" x14ac:dyDescent="0.25">
      <c r="A149" s="29"/>
      <c r="B149" s="201" t="s">
        <v>327</v>
      </c>
      <c r="C149" s="202"/>
      <c r="D149" s="63">
        <f>101+245+30+100+120+50+176+50+61.5+20+30+100+80+20+156+30+58+100+40+50</f>
        <v>1617.5</v>
      </c>
      <c r="E149" s="64"/>
      <c r="F149" s="64"/>
      <c r="G149" s="64"/>
      <c r="H149" s="64"/>
      <c r="I149" s="64">
        <f>-D149</f>
        <v>-1617.5</v>
      </c>
      <c r="J149" s="64"/>
      <c r="K149" s="57"/>
      <c r="L149" s="88"/>
      <c r="M149" s="62"/>
      <c r="N149" s="57"/>
      <c r="O149" s="88"/>
      <c r="P149" s="62"/>
      <c r="Q149" s="47"/>
      <c r="R149" s="39"/>
      <c r="S149" s="39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22"/>
      <c r="AQ149" s="10"/>
      <c r="AR149" s="11"/>
    </row>
    <row r="150" spans="1:45" s="2" customFormat="1" ht="17.25" customHeight="1" x14ac:dyDescent="0.25">
      <c r="A150" s="29"/>
      <c r="B150" s="201" t="s">
        <v>328</v>
      </c>
      <c r="C150" s="202"/>
      <c r="D150" s="63">
        <f>-17*0.99-1.96-1.41-1.25</f>
        <v>-21.45</v>
      </c>
      <c r="E150" s="64"/>
      <c r="F150" s="64"/>
      <c r="G150" s="64"/>
      <c r="H150" s="64"/>
      <c r="I150" s="64"/>
      <c r="J150" s="64"/>
      <c r="K150" s="57"/>
      <c r="L150" s="88"/>
      <c r="M150" s="62"/>
      <c r="N150" s="57"/>
      <c r="O150" s="88"/>
      <c r="P150" s="62"/>
      <c r="Q150" s="47"/>
      <c r="R150" s="39"/>
      <c r="S150" s="39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22"/>
      <c r="AQ150" s="10"/>
      <c r="AR150" s="11"/>
    </row>
    <row r="151" spans="1:45" s="2" customFormat="1" ht="17.25" customHeight="1" x14ac:dyDescent="0.2">
      <c r="A151" s="23"/>
      <c r="B151" s="205" t="s">
        <v>299</v>
      </c>
      <c r="C151" s="257"/>
      <c r="D151" s="63">
        <v>-20600</v>
      </c>
      <c r="E151" s="64"/>
      <c r="F151" s="74"/>
      <c r="G151" s="74"/>
      <c r="H151" s="64"/>
      <c r="I151" s="64"/>
      <c r="J151" s="64"/>
      <c r="K151" s="16"/>
      <c r="L151" s="16"/>
      <c r="M151" s="64"/>
      <c r="N151" s="16"/>
      <c r="O151" s="16"/>
      <c r="P151" s="64"/>
      <c r="Q151" s="46">
        <f>-D151</f>
        <v>20600</v>
      </c>
      <c r="R151" s="39"/>
      <c r="S151" s="40"/>
      <c r="T151" s="16"/>
      <c r="U151" s="16"/>
      <c r="V151" s="16"/>
      <c r="W151" s="16"/>
      <c r="X151" s="16"/>
      <c r="Y151" s="19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35"/>
      <c r="AQ151" s="10"/>
      <c r="AR151" s="27"/>
    </row>
    <row r="152" spans="1:45" s="2" customFormat="1" ht="17.25" customHeight="1" x14ac:dyDescent="0.2">
      <c r="A152" s="23"/>
      <c r="B152" s="201" t="s">
        <v>326</v>
      </c>
      <c r="C152" s="204"/>
      <c r="D152" s="63">
        <v>-4.9000000000000004</v>
      </c>
      <c r="E152" s="64"/>
      <c r="F152" s="74"/>
      <c r="G152" s="74"/>
      <c r="H152" s="64"/>
      <c r="I152" s="64"/>
      <c r="J152" s="64"/>
      <c r="K152" s="16"/>
      <c r="L152" s="16"/>
      <c r="M152" s="64"/>
      <c r="N152" s="16"/>
      <c r="O152" s="16"/>
      <c r="P152" s="64"/>
      <c r="Q152" s="46"/>
      <c r="R152" s="39"/>
      <c r="S152" s="40"/>
      <c r="T152" s="16"/>
      <c r="U152" s="16"/>
      <c r="V152" s="16"/>
      <c r="W152" s="16"/>
      <c r="X152" s="16"/>
      <c r="Y152" s="19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35"/>
      <c r="AQ152" s="10"/>
      <c r="AR152" s="27"/>
    </row>
    <row r="153" spans="1:45" s="4" customFormat="1" ht="17.25" customHeight="1" x14ac:dyDescent="0.25">
      <c r="A153" s="23"/>
      <c r="B153" s="201" t="s">
        <v>13</v>
      </c>
      <c r="C153" s="203"/>
      <c r="D153" s="63"/>
      <c r="E153" s="64">
        <f>50+100+19.21+100+20+1829+1181+90</f>
        <v>3389.21</v>
      </c>
      <c r="F153" s="64"/>
      <c r="G153" s="64"/>
      <c r="H153" s="64">
        <f>-E153</f>
        <v>-3389.21</v>
      </c>
      <c r="I153" s="66"/>
      <c r="J153" s="64"/>
      <c r="K153" s="16"/>
      <c r="L153" s="92"/>
      <c r="M153" s="64"/>
      <c r="N153" s="16"/>
      <c r="O153" s="92"/>
      <c r="P153" s="64"/>
      <c r="Q153" s="40"/>
      <c r="R153" s="46"/>
      <c r="S153" s="39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22"/>
      <c r="AP153" s="30"/>
    </row>
    <row r="154" spans="1:45" s="2" customFormat="1" ht="17.25" customHeight="1" x14ac:dyDescent="0.25">
      <c r="A154" s="29"/>
      <c r="B154" s="201" t="s">
        <v>72</v>
      </c>
      <c r="C154" s="202"/>
      <c r="D154" s="63"/>
      <c r="E154" s="64"/>
      <c r="F154" s="64"/>
      <c r="G154" s="64"/>
      <c r="H154" s="64"/>
      <c r="I154" s="64"/>
      <c r="J154" s="64"/>
      <c r="K154" s="57"/>
      <c r="L154" s="88"/>
      <c r="M154" s="62"/>
      <c r="N154" s="57"/>
      <c r="O154" s="88"/>
      <c r="P154" s="62"/>
      <c r="Q154" s="47"/>
      <c r="R154" s="39"/>
      <c r="S154" s="39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22"/>
      <c r="AQ154" s="10" t="s">
        <v>4</v>
      </c>
      <c r="AR154" s="11" t="e">
        <v>#REF!</v>
      </c>
    </row>
    <row r="155" spans="1:45" s="2" customFormat="1" ht="17.25" customHeight="1" x14ac:dyDescent="0.2">
      <c r="A155" s="24"/>
      <c r="B155" s="201" t="s">
        <v>205</v>
      </c>
      <c r="C155" s="204"/>
      <c r="D155" s="63"/>
      <c r="E155" s="64"/>
      <c r="F155" s="64"/>
      <c r="G155" s="64"/>
      <c r="H155" s="63"/>
      <c r="I155" s="64"/>
      <c r="J155" s="64"/>
      <c r="K155" s="16"/>
      <c r="L155" s="16"/>
      <c r="M155" s="64"/>
      <c r="N155" s="16"/>
      <c r="O155" s="16"/>
      <c r="P155" s="64"/>
      <c r="Q155" s="40"/>
      <c r="R155" s="40"/>
      <c r="S155" s="39"/>
      <c r="T155" s="16"/>
      <c r="U155" s="16"/>
      <c r="V155" s="16"/>
      <c r="W155" s="16"/>
      <c r="X155" s="16"/>
      <c r="Y155" s="19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41"/>
      <c r="AQ155" s="10"/>
      <c r="AR155" s="11"/>
    </row>
    <row r="156" spans="1:45" s="2" customFormat="1" ht="17.25" customHeight="1" x14ac:dyDescent="0.2">
      <c r="A156" s="24"/>
      <c r="B156" s="201" t="s">
        <v>206</v>
      </c>
      <c r="C156" s="204"/>
      <c r="D156" s="63"/>
      <c r="E156" s="64"/>
      <c r="F156" s="64"/>
      <c r="G156" s="64"/>
      <c r="H156" s="63"/>
      <c r="I156" s="64"/>
      <c r="J156" s="64"/>
      <c r="K156" s="16"/>
      <c r="L156" s="16"/>
      <c r="M156" s="64"/>
      <c r="N156" s="16"/>
      <c r="O156" s="16"/>
      <c r="P156" s="64"/>
      <c r="Q156" s="40"/>
      <c r="R156" s="40"/>
      <c r="S156" s="39"/>
      <c r="T156" s="16"/>
      <c r="U156" s="16"/>
      <c r="V156" s="16"/>
      <c r="W156" s="16"/>
      <c r="X156" s="16"/>
      <c r="Y156" s="19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41"/>
      <c r="AQ156" s="10"/>
      <c r="AR156" s="11"/>
    </row>
    <row r="157" spans="1:45" s="2" customFormat="1" ht="17.25" customHeight="1" x14ac:dyDescent="0.25">
      <c r="A157" s="24"/>
      <c r="B157" s="201" t="s">
        <v>57</v>
      </c>
      <c r="C157" s="203"/>
      <c r="D157" s="63"/>
      <c r="E157" s="64"/>
      <c r="F157" s="64"/>
      <c r="G157" s="64"/>
      <c r="H157" s="64"/>
      <c r="I157" s="64"/>
      <c r="J157" s="64"/>
      <c r="K157" s="16"/>
      <c r="L157" s="16"/>
      <c r="M157" s="64"/>
      <c r="N157" s="16"/>
      <c r="O157" s="16"/>
      <c r="P157" s="64"/>
      <c r="Q157" s="46"/>
      <c r="R157" s="40"/>
      <c r="S157" s="39"/>
      <c r="T157" s="16"/>
      <c r="U157" s="16"/>
      <c r="V157" s="16"/>
      <c r="W157" s="16"/>
      <c r="X157" s="16"/>
      <c r="Y157" s="19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22"/>
      <c r="AQ157" s="10"/>
      <c r="AR157" s="11"/>
    </row>
    <row r="158" spans="1:45" s="2" customFormat="1" ht="17.25" customHeight="1" x14ac:dyDescent="0.25">
      <c r="A158" s="24"/>
      <c r="B158" s="201" t="s">
        <v>57</v>
      </c>
      <c r="C158" s="203"/>
      <c r="D158" s="63"/>
      <c r="E158" s="64"/>
      <c r="F158" s="74"/>
      <c r="G158" s="64"/>
      <c r="H158" s="64"/>
      <c r="I158" s="64"/>
      <c r="J158" s="64"/>
      <c r="K158" s="16"/>
      <c r="L158" s="16"/>
      <c r="M158" s="64"/>
      <c r="N158" s="16"/>
      <c r="O158" s="16"/>
      <c r="P158" s="64"/>
      <c r="Q158" s="46"/>
      <c r="R158" s="39"/>
      <c r="S158" s="40"/>
      <c r="T158" s="16"/>
      <c r="U158" s="16"/>
      <c r="V158" s="16"/>
      <c r="W158" s="16"/>
      <c r="X158" s="16"/>
      <c r="Y158" s="19"/>
      <c r="Z158" s="16"/>
      <c r="AA158" s="16"/>
      <c r="AB158" s="16"/>
      <c r="AC158" s="16"/>
      <c r="AD158" s="16"/>
      <c r="AE158" s="16"/>
      <c r="AF158" s="16"/>
      <c r="AG158" s="15"/>
      <c r="AH158" s="15"/>
      <c r="AI158" s="15"/>
      <c r="AJ158" s="15"/>
      <c r="AK158" s="15"/>
      <c r="AL158" s="15"/>
      <c r="AM158" s="15"/>
      <c r="AN158" s="16"/>
      <c r="AO158" s="22"/>
      <c r="AQ158" s="10"/>
      <c r="AR158" s="11"/>
    </row>
    <row r="159" spans="1:45" s="2" customFormat="1" ht="17.25" customHeight="1" x14ac:dyDescent="0.25">
      <c r="A159" s="24"/>
      <c r="B159" s="201" t="s">
        <v>214</v>
      </c>
      <c r="C159" s="204"/>
      <c r="D159" s="63"/>
      <c r="E159" s="64"/>
      <c r="F159" s="74"/>
      <c r="G159" s="74"/>
      <c r="H159" s="64"/>
      <c r="I159" s="64"/>
      <c r="J159" s="64"/>
      <c r="K159" s="16"/>
      <c r="L159" s="16"/>
      <c r="M159" s="64"/>
      <c r="N159" s="16"/>
      <c r="O159" s="16"/>
      <c r="P159" s="64"/>
      <c r="Q159" s="46"/>
      <c r="R159" s="39"/>
      <c r="S159" s="40"/>
      <c r="T159" s="16"/>
      <c r="U159" s="16"/>
      <c r="V159" s="16"/>
      <c r="W159" s="16"/>
      <c r="X159" s="16"/>
      <c r="Y159" s="19"/>
      <c r="Z159" s="16"/>
      <c r="AA159" s="16"/>
      <c r="AB159" s="16"/>
      <c r="AC159" s="16"/>
      <c r="AD159" s="16"/>
      <c r="AE159" s="16"/>
      <c r="AF159" s="16"/>
      <c r="AG159" s="15"/>
      <c r="AH159" s="15"/>
      <c r="AI159" s="15"/>
      <c r="AJ159" s="15"/>
      <c r="AK159" s="15"/>
      <c r="AL159" s="15"/>
      <c r="AM159" s="15"/>
      <c r="AN159" s="16"/>
      <c r="AO159" s="22"/>
      <c r="AQ159" s="10"/>
      <c r="AR159" s="11"/>
    </row>
    <row r="160" spans="1:45" s="2" customFormat="1" ht="17.25" customHeight="1" x14ac:dyDescent="0.25">
      <c r="A160" s="24"/>
      <c r="B160" s="201" t="s">
        <v>181</v>
      </c>
      <c r="C160" s="203"/>
      <c r="D160" s="63"/>
      <c r="E160" s="64"/>
      <c r="F160" s="64"/>
      <c r="G160" s="64"/>
      <c r="H160" s="64"/>
      <c r="I160" s="64"/>
      <c r="J160" s="64"/>
      <c r="K160" s="16"/>
      <c r="L160" s="16"/>
      <c r="M160" s="64"/>
      <c r="N160" s="16"/>
      <c r="O160" s="16"/>
      <c r="P160" s="64"/>
      <c r="Q160" s="46"/>
      <c r="R160" s="40"/>
      <c r="S160" s="39"/>
      <c r="T160" s="16"/>
      <c r="U160" s="16"/>
      <c r="V160" s="16"/>
      <c r="W160" s="16"/>
      <c r="X160" s="16"/>
      <c r="Y160" s="19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22"/>
      <c r="AQ160" s="10"/>
      <c r="AR160" s="11"/>
    </row>
    <row r="161" spans="1:46" s="2" customFormat="1" ht="17.25" customHeight="1" x14ac:dyDescent="0.25">
      <c r="A161" s="24"/>
      <c r="B161" s="205" t="s">
        <v>220</v>
      </c>
      <c r="C161" s="206"/>
      <c r="D161" s="64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39"/>
      <c r="R161" s="39"/>
      <c r="S161" s="39"/>
      <c r="T161" s="16"/>
      <c r="U161" s="16">
        <f>-P161</f>
        <v>0</v>
      </c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22"/>
      <c r="AQ161" s="10"/>
      <c r="AR161" s="11"/>
    </row>
    <row r="162" spans="1:46" s="2" customFormat="1" ht="17.25" customHeight="1" thickBot="1" x14ac:dyDescent="0.25">
      <c r="A162" s="24"/>
      <c r="B162" s="216"/>
      <c r="C162" s="217"/>
      <c r="D162" s="83"/>
      <c r="E162" s="81"/>
      <c r="F162" s="81"/>
      <c r="G162" s="81"/>
      <c r="H162" s="81"/>
      <c r="I162" s="81"/>
      <c r="J162" s="81"/>
      <c r="K162" s="37"/>
      <c r="L162" s="93"/>
      <c r="M162" s="81"/>
      <c r="N162" s="37"/>
      <c r="O162" s="93"/>
      <c r="P162" s="81"/>
      <c r="Q162" s="40"/>
      <c r="R162" s="40"/>
      <c r="S162" s="39"/>
      <c r="T162" s="16"/>
      <c r="U162" s="16"/>
      <c r="V162" s="16"/>
      <c r="W162" s="16"/>
      <c r="X162" s="16"/>
      <c r="Y162" s="19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41"/>
      <c r="AQ162" s="10"/>
      <c r="AR162" s="11"/>
    </row>
    <row r="163" spans="1:46" s="4" customFormat="1" ht="17.25" customHeight="1" x14ac:dyDescent="0.25">
      <c r="A163" s="23"/>
      <c r="B163" s="210" t="s">
        <v>94</v>
      </c>
      <c r="C163" s="203"/>
      <c r="D163" s="66"/>
      <c r="E163" s="66"/>
      <c r="F163" s="117"/>
      <c r="G163" s="117"/>
      <c r="H163" s="66"/>
      <c r="I163" s="66"/>
      <c r="J163" s="66">
        <f>-M163</f>
        <v>7485.1</v>
      </c>
      <c r="K163" s="58">
        <v>-1258</v>
      </c>
      <c r="L163" s="89">
        <v>5.95</v>
      </c>
      <c r="M163" s="73">
        <f>K163*L163</f>
        <v>-7485.1</v>
      </c>
      <c r="N163" s="58"/>
      <c r="O163" s="89"/>
      <c r="P163" s="73"/>
      <c r="Q163" s="39"/>
      <c r="R163" s="39"/>
      <c r="S163" s="8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35"/>
      <c r="AP163" s="12" t="e">
        <f>#REF!</f>
        <v>#REF!</v>
      </c>
    </row>
    <row r="164" spans="1:46" s="4" customFormat="1" ht="17.25" customHeight="1" x14ac:dyDescent="0.25">
      <c r="A164" s="23"/>
      <c r="B164" s="201" t="s">
        <v>95</v>
      </c>
      <c r="C164" s="202"/>
      <c r="D164" s="64"/>
      <c r="E164" s="64"/>
      <c r="F164" s="117"/>
      <c r="G164" s="117"/>
      <c r="H164" s="64"/>
      <c r="I164" s="64"/>
      <c r="J164" s="64">
        <f>-P164</f>
        <v>7693.34</v>
      </c>
      <c r="K164" s="57"/>
      <c r="L164" s="88"/>
      <c r="M164" s="62"/>
      <c r="N164" s="57">
        <v>-1933</v>
      </c>
      <c r="O164" s="88">
        <v>3.98</v>
      </c>
      <c r="P164" s="62">
        <f>N164*O164</f>
        <v>-7693.34</v>
      </c>
      <c r="Q164" s="39"/>
      <c r="R164" s="39"/>
      <c r="S164" s="8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35"/>
      <c r="AP164" s="12" t="e">
        <f>#REF!</f>
        <v>#REF!</v>
      </c>
    </row>
    <row r="165" spans="1:46" s="4" customFormat="1" ht="17.25" customHeight="1" x14ac:dyDescent="0.25">
      <c r="A165" s="23"/>
      <c r="B165" s="201" t="s">
        <v>97</v>
      </c>
      <c r="C165" s="203"/>
      <c r="D165" s="64"/>
      <c r="E165" s="64"/>
      <c r="F165" s="64"/>
      <c r="G165" s="64"/>
      <c r="H165" s="64">
        <f>-J165-I165</f>
        <v>4110.6900000000005</v>
      </c>
      <c r="I165" s="64">
        <v>11067.75</v>
      </c>
      <c r="J165" s="64">
        <f>-SUM(J163:J164)</f>
        <v>-15178.44</v>
      </c>
      <c r="K165" s="57"/>
      <c r="L165" s="88"/>
      <c r="M165" s="62"/>
      <c r="N165" s="57"/>
      <c r="O165" s="88"/>
      <c r="P165" s="62"/>
      <c r="Q165" s="39"/>
      <c r="R165" s="39"/>
      <c r="S165" s="39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22"/>
      <c r="AO165" s="35"/>
      <c r="AP165" s="12" t="e">
        <f>#REF!</f>
        <v>#REF!</v>
      </c>
      <c r="AT165" s="2"/>
    </row>
    <row r="166" spans="1:46" s="4" customFormat="1" ht="17.25" customHeight="1" x14ac:dyDescent="0.25">
      <c r="A166" s="23"/>
      <c r="B166" s="201" t="s">
        <v>93</v>
      </c>
      <c r="C166" s="202"/>
      <c r="D166" s="64"/>
      <c r="E166" s="64"/>
      <c r="F166" s="64"/>
      <c r="G166" s="64"/>
      <c r="H166" s="64"/>
      <c r="I166" s="64"/>
      <c r="J166" s="64"/>
      <c r="K166" s="57">
        <v>46</v>
      </c>
      <c r="L166" s="88"/>
      <c r="M166" s="62">
        <f>(K169*((M146)/(K146)))-M146-M163</f>
        <v>1098.2640000000047</v>
      </c>
      <c r="N166" s="57">
        <v>-154</v>
      </c>
      <c r="O166" s="88"/>
      <c r="P166" s="62">
        <f>(N169*((P146)/(N146)))-P146-P164</f>
        <v>-118.82710194624815</v>
      </c>
      <c r="Q166" s="39"/>
      <c r="R166" s="39"/>
      <c r="S166" s="39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22"/>
      <c r="AO166" s="43">
        <f>A140</f>
        <v>0</v>
      </c>
      <c r="AP166" s="12" t="e">
        <f>#REF!</f>
        <v>#REF!</v>
      </c>
      <c r="AT166" s="2"/>
    </row>
    <row r="167" spans="1:46" s="2" customFormat="1" ht="17.25" customHeight="1" x14ac:dyDescent="0.2">
      <c r="A167" s="24"/>
      <c r="B167" s="201"/>
      <c r="C167" s="204"/>
      <c r="D167" s="63"/>
      <c r="E167" s="64"/>
      <c r="F167" s="64"/>
      <c r="G167" s="64"/>
      <c r="H167" s="64"/>
      <c r="I167" s="64"/>
      <c r="J167" s="64"/>
      <c r="K167" s="16"/>
      <c r="L167" s="16"/>
      <c r="M167" s="64"/>
      <c r="N167" s="16"/>
      <c r="O167" s="16"/>
      <c r="P167" s="64"/>
      <c r="Q167" s="46"/>
      <c r="R167" s="46"/>
      <c r="S167" s="39"/>
      <c r="T167" s="16"/>
      <c r="U167" s="16"/>
      <c r="V167" s="16"/>
      <c r="W167" s="16"/>
      <c r="X167" s="16"/>
      <c r="Y167" s="19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43">
        <f>A147</f>
        <v>46031</v>
      </c>
      <c r="AQ167" s="10"/>
      <c r="AR167" s="11"/>
    </row>
    <row r="168" spans="1:46" s="2" customFormat="1" ht="17.25" customHeight="1" thickBot="1" x14ac:dyDescent="0.3">
      <c r="A168" s="56"/>
      <c r="B168" s="101" t="s">
        <v>102</v>
      </c>
      <c r="C168" s="102">
        <f>D169+E169+F169+G169+H169+I169+J169+M169+P169</f>
        <v>122570.69954000003</v>
      </c>
      <c r="D168" s="84"/>
      <c r="E168" s="85"/>
      <c r="F168" s="85"/>
      <c r="G168" s="85"/>
      <c r="H168" s="85"/>
      <c r="I168" s="85"/>
      <c r="J168" s="85"/>
      <c r="K168" s="28"/>
      <c r="L168" s="28"/>
      <c r="M168" s="85"/>
      <c r="N168" s="28"/>
      <c r="O168" s="28"/>
      <c r="P168" s="85"/>
      <c r="Q168" s="48"/>
      <c r="R168" s="48"/>
      <c r="S168" s="51"/>
      <c r="T168" s="28"/>
      <c r="U168" s="28"/>
      <c r="V168" s="28"/>
      <c r="W168" s="28"/>
      <c r="X168" s="28"/>
      <c r="Y168" s="36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42">
        <f>SUM($Q146:AN168)</f>
        <v>-454115.62</v>
      </c>
      <c r="AQ168" s="10"/>
      <c r="AR168" s="11"/>
      <c r="AS168" s="2" t="s">
        <v>5</v>
      </c>
    </row>
    <row r="169" spans="1:46" s="2" customFormat="1" ht="17.25" customHeight="1" thickTop="1" thickBot="1" x14ac:dyDescent="0.3">
      <c r="A169" s="103"/>
      <c r="B169" s="104" t="s">
        <v>103</v>
      </c>
      <c r="C169" s="105">
        <f>AO169</f>
        <v>-331544.92045999994</v>
      </c>
      <c r="D169" s="106">
        <f t="shared" ref="D169:K169" si="15">SUM(D146:D168)</f>
        <v>13059.977040000022</v>
      </c>
      <c r="E169" s="107">
        <f t="shared" si="15"/>
        <v>-26369.350000000006</v>
      </c>
      <c r="F169" s="107">
        <f t="shared" si="15"/>
        <v>0.5</v>
      </c>
      <c r="G169" s="107">
        <f t="shared" si="15"/>
        <v>0</v>
      </c>
      <c r="H169" s="107">
        <f t="shared" si="15"/>
        <v>57712.43250000001</v>
      </c>
      <c r="I169" s="107">
        <f t="shared" si="15"/>
        <v>9450.25</v>
      </c>
      <c r="J169" s="107">
        <f t="shared" si="15"/>
        <v>0</v>
      </c>
      <c r="K169" s="108">
        <f t="shared" si="15"/>
        <v>6858</v>
      </c>
      <c r="L169" s="109">
        <f>M169/K169</f>
        <v>5.269666083406241</v>
      </c>
      <c r="M169" s="107">
        <f>ROUND(SUM(M146:M168),2)</f>
        <v>36139.370000000003</v>
      </c>
      <c r="N169" s="108">
        <f>SUM(N146:N168)</f>
        <v>8703</v>
      </c>
      <c r="O169" s="109">
        <f>P169/N169</f>
        <v>3.7432517522693325</v>
      </c>
      <c r="P169" s="107">
        <f>ROUND(SUM(P146:P168),2)</f>
        <v>32577.52</v>
      </c>
      <c r="Q169" s="110">
        <f t="shared" ref="Q169:AN169" si="16">SUM(Q146:Q168)</f>
        <v>-501130.23</v>
      </c>
      <c r="R169" s="107">
        <f t="shared" si="16"/>
        <v>50229.299999999996</v>
      </c>
      <c r="S169" s="107">
        <f t="shared" si="16"/>
        <v>0</v>
      </c>
      <c r="T169" s="107">
        <f t="shared" si="16"/>
        <v>-3214.6900000000005</v>
      </c>
      <c r="U169" s="107">
        <f t="shared" si="16"/>
        <v>0</v>
      </c>
      <c r="V169" s="107">
        <f t="shared" si="16"/>
        <v>0</v>
      </c>
      <c r="W169" s="107">
        <f t="shared" si="16"/>
        <v>0</v>
      </c>
      <c r="X169" s="107">
        <f t="shared" si="16"/>
        <v>0</v>
      </c>
      <c r="Y169" s="107">
        <f t="shared" si="16"/>
        <v>0</v>
      </c>
      <c r="Z169" s="107">
        <f t="shared" si="16"/>
        <v>0</v>
      </c>
      <c r="AA169" s="107">
        <f t="shared" si="16"/>
        <v>0</v>
      </c>
      <c r="AB169" s="107">
        <f t="shared" si="16"/>
        <v>0</v>
      </c>
      <c r="AC169" s="107">
        <f t="shared" si="16"/>
        <v>0</v>
      </c>
      <c r="AD169" s="107">
        <f t="shared" si="16"/>
        <v>0</v>
      </c>
      <c r="AE169" s="107">
        <f t="shared" si="16"/>
        <v>0</v>
      </c>
      <c r="AF169" s="107">
        <f t="shared" si="16"/>
        <v>0</v>
      </c>
      <c r="AG169" s="107">
        <f t="shared" si="16"/>
        <v>0</v>
      </c>
      <c r="AH169" s="107">
        <f t="shared" si="16"/>
        <v>0</v>
      </c>
      <c r="AI169" s="107">
        <f t="shared" si="16"/>
        <v>0</v>
      </c>
      <c r="AJ169" s="107">
        <f t="shared" si="16"/>
        <v>0</v>
      </c>
      <c r="AK169" s="107">
        <f t="shared" si="16"/>
        <v>0</v>
      </c>
      <c r="AL169" s="107">
        <f t="shared" si="16"/>
        <v>0</v>
      </c>
      <c r="AM169" s="107">
        <f t="shared" si="16"/>
        <v>0</v>
      </c>
      <c r="AN169" s="107">
        <f t="shared" si="16"/>
        <v>0</v>
      </c>
      <c r="AO169" s="111">
        <f>D169+E169+F169+G169+H169+I169+J169+M169+P169+SUM(Q169:AN169)</f>
        <v>-331544.92045999994</v>
      </c>
      <c r="AP169" s="4"/>
      <c r="AQ169" s="5"/>
      <c r="AR169" s="5"/>
      <c r="AS169" s="2" t="s">
        <v>6</v>
      </c>
    </row>
    <row r="170" spans="1:46" s="2" customFormat="1" ht="17.25" customHeight="1" thickTop="1" x14ac:dyDescent="0.25">
      <c r="A170" s="23">
        <f>A147+1</f>
        <v>46032</v>
      </c>
      <c r="B170" s="210" t="s">
        <v>64</v>
      </c>
      <c r="C170" s="203"/>
      <c r="D170" s="63">
        <v>9229.15</v>
      </c>
      <c r="E170" s="66"/>
      <c r="F170" s="66"/>
      <c r="G170" s="66"/>
      <c r="H170" s="66"/>
      <c r="I170" s="66">
        <f>-D170</f>
        <v>-9229.15</v>
      </c>
      <c r="J170" s="66"/>
      <c r="K170" s="18"/>
      <c r="L170" s="18"/>
      <c r="M170" s="66"/>
      <c r="N170" s="18"/>
      <c r="O170" s="18"/>
      <c r="P170" s="66"/>
      <c r="Q170" s="46"/>
      <c r="R170" s="46"/>
      <c r="S170" s="45"/>
      <c r="T170" s="18"/>
      <c r="U170" s="18"/>
      <c r="V170" s="18"/>
      <c r="W170" s="18"/>
      <c r="X170" s="18"/>
      <c r="Y170" s="14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31"/>
      <c r="AQ170" s="10"/>
      <c r="AR170" s="27"/>
    </row>
    <row r="171" spans="1:46" s="4" customFormat="1" ht="17.25" customHeight="1" x14ac:dyDescent="0.25">
      <c r="A171" s="23"/>
      <c r="B171" s="201" t="s">
        <v>96</v>
      </c>
      <c r="C171" s="202"/>
      <c r="D171" s="63"/>
      <c r="E171" s="64"/>
      <c r="F171" s="64"/>
      <c r="G171" s="64"/>
      <c r="H171" s="64"/>
      <c r="I171" s="64">
        <f>-I169-I170</f>
        <v>-221.10000000000036</v>
      </c>
      <c r="J171" s="64"/>
      <c r="K171" s="16"/>
      <c r="L171" s="92"/>
      <c r="M171" s="64"/>
      <c r="N171" s="16"/>
      <c r="O171" s="92"/>
      <c r="P171" s="64"/>
      <c r="Q171" s="40"/>
      <c r="R171" s="46"/>
      <c r="S171" s="39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22"/>
      <c r="AP171" s="30"/>
    </row>
    <row r="172" spans="1:46" s="2" customFormat="1" ht="17.25" customHeight="1" x14ac:dyDescent="0.25">
      <c r="A172" s="29"/>
      <c r="B172" s="201" t="s">
        <v>327</v>
      </c>
      <c r="C172" s="202"/>
      <c r="D172" s="63">
        <f>30+31+100+20+50+12+120+50</f>
        <v>413</v>
      </c>
      <c r="E172" s="64"/>
      <c r="F172" s="64"/>
      <c r="G172" s="64"/>
      <c r="H172" s="64"/>
      <c r="I172" s="64">
        <f>-D172</f>
        <v>-413</v>
      </c>
      <c r="J172" s="64"/>
      <c r="K172" s="57"/>
      <c r="L172" s="88"/>
      <c r="M172" s="62"/>
      <c r="N172" s="57"/>
      <c r="O172" s="88"/>
      <c r="P172" s="62"/>
      <c r="Q172" s="47"/>
      <c r="R172" s="39"/>
      <c r="S172" s="39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22"/>
      <c r="AQ172" s="10"/>
      <c r="AR172" s="11"/>
    </row>
    <row r="173" spans="1:46" s="2" customFormat="1" ht="17.25" customHeight="1" x14ac:dyDescent="0.25">
      <c r="A173" s="29"/>
      <c r="B173" s="201" t="s">
        <v>328</v>
      </c>
      <c r="C173" s="202"/>
      <c r="D173" s="63">
        <f>-8*0.99</f>
        <v>-7.92</v>
      </c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47"/>
      <c r="R173" s="39"/>
      <c r="S173" s="39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22"/>
      <c r="AQ173" s="10"/>
      <c r="AR173" s="11"/>
    </row>
    <row r="174" spans="1:46" s="2" customFormat="1" ht="17.25" customHeight="1" x14ac:dyDescent="0.25">
      <c r="A174" s="24"/>
      <c r="B174" s="201" t="s">
        <v>57</v>
      </c>
      <c r="C174" s="203"/>
      <c r="D174" s="63"/>
      <c r="E174" s="64"/>
      <c r="F174" s="74"/>
      <c r="G174" s="74"/>
      <c r="H174" s="64"/>
      <c r="I174" s="64"/>
      <c r="J174" s="64"/>
      <c r="K174" s="16"/>
      <c r="L174" s="16"/>
      <c r="M174" s="64"/>
      <c r="N174" s="16"/>
      <c r="O174" s="16"/>
      <c r="P174" s="64"/>
      <c r="Q174" s="46"/>
      <c r="R174" s="39"/>
      <c r="S174" s="40"/>
      <c r="T174" s="16"/>
      <c r="U174" s="16"/>
      <c r="V174" s="16"/>
      <c r="W174" s="16"/>
      <c r="X174" s="16"/>
      <c r="Y174" s="19"/>
      <c r="Z174" s="16"/>
      <c r="AA174" s="16"/>
      <c r="AB174" s="16"/>
      <c r="AC174" s="16"/>
      <c r="AD174" s="16"/>
      <c r="AE174" s="16"/>
      <c r="AF174" s="16"/>
      <c r="AG174" s="15"/>
      <c r="AH174" s="15"/>
      <c r="AI174" s="15"/>
      <c r="AJ174" s="15"/>
      <c r="AK174" s="15"/>
      <c r="AL174" s="15"/>
      <c r="AM174" s="15"/>
      <c r="AN174" s="16"/>
      <c r="AO174" s="22"/>
      <c r="AQ174" s="10"/>
      <c r="AR174" s="11"/>
    </row>
    <row r="175" spans="1:46" s="2" customFormat="1" ht="17.25" customHeight="1" x14ac:dyDescent="0.25">
      <c r="A175" s="24"/>
      <c r="B175" s="201" t="s">
        <v>215</v>
      </c>
      <c r="C175" s="204"/>
      <c r="D175" s="63"/>
      <c r="E175" s="64"/>
      <c r="F175" s="74"/>
      <c r="G175" s="74"/>
      <c r="H175" s="64"/>
      <c r="I175" s="64"/>
      <c r="J175" s="64"/>
      <c r="K175" s="16"/>
      <c r="L175" s="16"/>
      <c r="M175" s="64"/>
      <c r="N175" s="16"/>
      <c r="O175" s="16"/>
      <c r="P175" s="64"/>
      <c r="Q175" s="46"/>
      <c r="R175" s="39"/>
      <c r="S175" s="40"/>
      <c r="T175" s="16"/>
      <c r="U175" s="16"/>
      <c r="V175" s="16"/>
      <c r="W175" s="16"/>
      <c r="X175" s="16"/>
      <c r="Y175" s="19"/>
      <c r="Z175" s="16"/>
      <c r="AA175" s="16"/>
      <c r="AB175" s="16"/>
      <c r="AC175" s="16"/>
      <c r="AD175" s="16"/>
      <c r="AE175" s="16"/>
      <c r="AF175" s="16"/>
      <c r="AG175" s="15"/>
      <c r="AH175" s="15"/>
      <c r="AI175" s="15"/>
      <c r="AJ175" s="15"/>
      <c r="AK175" s="15"/>
      <c r="AL175" s="15"/>
      <c r="AM175" s="15"/>
      <c r="AN175" s="16"/>
      <c r="AO175" s="22"/>
      <c r="AQ175" s="10"/>
      <c r="AR175" s="11"/>
    </row>
    <row r="176" spans="1:46" s="4" customFormat="1" ht="17.25" customHeight="1" x14ac:dyDescent="0.25">
      <c r="A176" s="23"/>
      <c r="B176" s="201" t="s">
        <v>13</v>
      </c>
      <c r="C176" s="203"/>
      <c r="D176" s="63"/>
      <c r="E176" s="64"/>
      <c r="F176" s="64"/>
      <c r="G176" s="64"/>
      <c r="H176" s="64"/>
      <c r="I176" s="66"/>
      <c r="J176" s="64"/>
      <c r="K176" s="16"/>
      <c r="L176" s="92"/>
      <c r="M176" s="64"/>
      <c r="N176" s="16"/>
      <c r="O176" s="92"/>
      <c r="P176" s="64"/>
      <c r="Q176" s="40"/>
      <c r="R176" s="46"/>
      <c r="S176" s="39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22"/>
      <c r="AP176" s="30"/>
    </row>
    <row r="177" spans="1:46" s="2" customFormat="1" ht="17.25" customHeight="1" x14ac:dyDescent="0.2">
      <c r="A177" s="23"/>
      <c r="B177" s="201" t="s">
        <v>182</v>
      </c>
      <c r="C177" s="203"/>
      <c r="D177" s="63"/>
      <c r="E177" s="64"/>
      <c r="F177" s="74"/>
      <c r="G177" s="74"/>
      <c r="H177" s="64"/>
      <c r="I177" s="64"/>
      <c r="J177" s="64"/>
      <c r="K177" s="16"/>
      <c r="L177" s="16"/>
      <c r="M177" s="64"/>
      <c r="N177" s="16"/>
      <c r="O177" s="16"/>
      <c r="P177" s="64"/>
      <c r="Q177" s="46"/>
      <c r="R177" s="39"/>
      <c r="S177" s="40"/>
      <c r="T177" s="16"/>
      <c r="U177" s="16"/>
      <c r="V177" s="16"/>
      <c r="W177" s="16"/>
      <c r="X177" s="16"/>
      <c r="Y177" s="19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35"/>
      <c r="AQ177" s="10"/>
      <c r="AR177" s="27"/>
    </row>
    <row r="178" spans="1:46" s="2" customFormat="1" ht="17.25" customHeight="1" x14ac:dyDescent="0.25">
      <c r="A178" s="24"/>
      <c r="B178" s="201" t="s">
        <v>181</v>
      </c>
      <c r="C178" s="203"/>
      <c r="D178" s="63"/>
      <c r="E178" s="64"/>
      <c r="F178" s="64"/>
      <c r="G178" s="64"/>
      <c r="H178" s="64"/>
      <c r="I178" s="64"/>
      <c r="J178" s="64"/>
      <c r="K178" s="16"/>
      <c r="L178" s="16"/>
      <c r="M178" s="64"/>
      <c r="N178" s="16"/>
      <c r="O178" s="16"/>
      <c r="P178" s="64"/>
      <c r="Q178" s="46"/>
      <c r="R178" s="40"/>
      <c r="S178" s="39"/>
      <c r="T178" s="16"/>
      <c r="U178" s="16"/>
      <c r="V178" s="16"/>
      <c r="W178" s="16"/>
      <c r="X178" s="16"/>
      <c r="Y178" s="19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22"/>
      <c r="AQ178" s="10"/>
      <c r="AR178" s="11"/>
    </row>
    <row r="179" spans="1:46" s="2" customFormat="1" ht="17.25" customHeight="1" x14ac:dyDescent="0.25">
      <c r="A179" s="24"/>
      <c r="B179" s="201" t="s">
        <v>181</v>
      </c>
      <c r="C179" s="203"/>
      <c r="D179" s="63"/>
      <c r="E179" s="64"/>
      <c r="F179" s="64"/>
      <c r="G179" s="64"/>
      <c r="H179" s="64"/>
      <c r="I179" s="64"/>
      <c r="J179" s="64"/>
      <c r="K179" s="16"/>
      <c r="L179" s="16"/>
      <c r="M179" s="64"/>
      <c r="N179" s="16"/>
      <c r="O179" s="16"/>
      <c r="P179" s="64"/>
      <c r="Q179" s="46"/>
      <c r="R179" s="40"/>
      <c r="S179" s="39"/>
      <c r="T179" s="16"/>
      <c r="U179" s="16"/>
      <c r="V179" s="16"/>
      <c r="W179" s="16"/>
      <c r="X179" s="16"/>
      <c r="Y179" s="19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22"/>
      <c r="AQ179" s="10"/>
      <c r="AR179" s="11"/>
    </row>
    <row r="180" spans="1:46" s="2" customFormat="1" ht="17.25" customHeight="1" x14ac:dyDescent="0.2">
      <c r="A180" s="23"/>
      <c r="B180" s="201" t="s">
        <v>183</v>
      </c>
      <c r="C180" s="203"/>
      <c r="D180" s="63"/>
      <c r="E180" s="64"/>
      <c r="F180" s="74"/>
      <c r="G180" s="74"/>
      <c r="H180" s="64"/>
      <c r="I180" s="64"/>
      <c r="J180" s="64"/>
      <c r="K180" s="16"/>
      <c r="L180" s="16"/>
      <c r="M180" s="64"/>
      <c r="N180" s="16"/>
      <c r="O180" s="16"/>
      <c r="P180" s="64"/>
      <c r="Q180" s="46"/>
      <c r="R180" s="39"/>
      <c r="S180" s="40"/>
      <c r="T180" s="16"/>
      <c r="U180" s="16"/>
      <c r="V180" s="16"/>
      <c r="W180" s="16"/>
      <c r="X180" s="16"/>
      <c r="Y180" s="19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35"/>
      <c r="AQ180" s="10"/>
      <c r="AR180" s="27"/>
    </row>
    <row r="181" spans="1:46" s="2" customFormat="1" ht="17.25" customHeight="1" x14ac:dyDescent="0.2">
      <c r="A181" s="23"/>
      <c r="B181" s="201" t="s">
        <v>183</v>
      </c>
      <c r="C181" s="203"/>
      <c r="D181" s="63"/>
      <c r="E181" s="64"/>
      <c r="F181" s="74"/>
      <c r="G181" s="74"/>
      <c r="H181" s="64"/>
      <c r="I181" s="64"/>
      <c r="J181" s="64"/>
      <c r="K181" s="16"/>
      <c r="L181" s="16"/>
      <c r="M181" s="64"/>
      <c r="N181" s="16"/>
      <c r="O181" s="16"/>
      <c r="P181" s="64"/>
      <c r="Q181" s="46"/>
      <c r="R181" s="39"/>
      <c r="S181" s="40"/>
      <c r="T181" s="16"/>
      <c r="U181" s="16"/>
      <c r="V181" s="16"/>
      <c r="W181" s="16"/>
      <c r="X181" s="16"/>
      <c r="Y181" s="19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35"/>
      <c r="AQ181" s="10"/>
      <c r="AR181" s="27"/>
    </row>
    <row r="182" spans="1:46" s="2" customFormat="1" ht="17.25" customHeight="1" x14ac:dyDescent="0.2">
      <c r="A182" s="23"/>
      <c r="B182" s="201" t="s">
        <v>16</v>
      </c>
      <c r="C182" s="203"/>
      <c r="D182" s="64"/>
      <c r="E182" s="64"/>
      <c r="F182" s="134"/>
      <c r="G182" s="64"/>
      <c r="H182" s="85"/>
      <c r="I182" s="85"/>
      <c r="J182" s="85"/>
      <c r="K182" s="28"/>
      <c r="L182" s="28"/>
      <c r="M182" s="85"/>
      <c r="N182" s="28"/>
      <c r="O182" s="28"/>
      <c r="P182" s="85"/>
      <c r="Q182" s="46"/>
      <c r="R182" s="40"/>
      <c r="S182" s="40"/>
      <c r="T182" s="16"/>
      <c r="U182" s="16"/>
      <c r="V182" s="16"/>
      <c r="W182" s="16"/>
      <c r="X182" s="16"/>
      <c r="Y182" s="19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35"/>
      <c r="AQ182" s="10"/>
      <c r="AR182" s="27"/>
    </row>
    <row r="183" spans="1:46" s="2" customFormat="1" ht="17.25" customHeight="1" x14ac:dyDescent="0.2">
      <c r="A183" s="23"/>
      <c r="B183" s="201" t="s">
        <v>17</v>
      </c>
      <c r="C183" s="203"/>
      <c r="D183" s="64"/>
      <c r="E183" s="64"/>
      <c r="F183" s="134"/>
      <c r="G183" s="64"/>
      <c r="H183" s="85"/>
      <c r="I183" s="85"/>
      <c r="J183" s="85"/>
      <c r="K183" s="28"/>
      <c r="L183" s="28"/>
      <c r="M183" s="85"/>
      <c r="N183" s="28"/>
      <c r="O183" s="28"/>
      <c r="P183" s="85"/>
      <c r="Q183" s="46"/>
      <c r="R183" s="40"/>
      <c r="S183" s="40"/>
      <c r="T183" s="16"/>
      <c r="U183" s="16"/>
      <c r="V183" s="16"/>
      <c r="W183" s="16"/>
      <c r="X183" s="16"/>
      <c r="Y183" s="19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35"/>
      <c r="AQ183" s="10"/>
      <c r="AR183" s="27"/>
    </row>
    <row r="184" spans="1:46" s="2" customFormat="1" ht="17.25" customHeight="1" x14ac:dyDescent="0.2">
      <c r="A184" s="23"/>
      <c r="B184" s="201" t="s">
        <v>203</v>
      </c>
      <c r="C184" s="203"/>
      <c r="D184" s="64"/>
      <c r="E184" s="64"/>
      <c r="F184" s="134"/>
      <c r="G184" s="64"/>
      <c r="H184" s="85"/>
      <c r="I184" s="85"/>
      <c r="J184" s="85"/>
      <c r="K184" s="28"/>
      <c r="L184" s="28"/>
      <c r="M184" s="85"/>
      <c r="N184" s="28"/>
      <c r="O184" s="28"/>
      <c r="P184" s="85"/>
      <c r="Q184" s="46"/>
      <c r="R184" s="40"/>
      <c r="S184" s="40"/>
      <c r="T184" s="16"/>
      <c r="U184" s="16"/>
      <c r="V184" s="16"/>
      <c r="W184" s="16"/>
      <c r="X184" s="16"/>
      <c r="Y184" s="19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35"/>
      <c r="AQ184" s="10"/>
      <c r="AR184" s="27"/>
    </row>
    <row r="185" spans="1:46" s="2" customFormat="1" ht="17.25" customHeight="1" x14ac:dyDescent="0.2">
      <c r="A185" s="23"/>
      <c r="B185" s="201" t="s">
        <v>202</v>
      </c>
      <c r="C185" s="203"/>
      <c r="D185" s="64"/>
      <c r="E185" s="64"/>
      <c r="F185" s="134"/>
      <c r="G185" s="64"/>
      <c r="H185" s="85"/>
      <c r="I185" s="85"/>
      <c r="J185" s="85"/>
      <c r="K185" s="28"/>
      <c r="L185" s="28"/>
      <c r="M185" s="85"/>
      <c r="N185" s="28"/>
      <c r="O185" s="28"/>
      <c r="P185" s="85"/>
      <c r="Q185" s="46"/>
      <c r="R185" s="40"/>
      <c r="S185" s="40"/>
      <c r="T185" s="16"/>
      <c r="U185" s="16"/>
      <c r="V185" s="16"/>
      <c r="W185" s="16"/>
      <c r="X185" s="16"/>
      <c r="Y185" s="19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35"/>
      <c r="AQ185" s="10"/>
      <c r="AR185" s="27"/>
    </row>
    <row r="186" spans="1:46" s="2" customFormat="1" ht="17.25" customHeight="1" thickBot="1" x14ac:dyDescent="0.25">
      <c r="A186" s="24"/>
      <c r="B186" s="216"/>
      <c r="C186" s="217"/>
      <c r="D186" s="83"/>
      <c r="E186" s="81"/>
      <c r="F186" s="81"/>
      <c r="G186" s="81"/>
      <c r="H186" s="81"/>
      <c r="I186" s="81"/>
      <c r="J186" s="81"/>
      <c r="K186" s="37"/>
      <c r="L186" s="93"/>
      <c r="M186" s="81"/>
      <c r="N186" s="37"/>
      <c r="O186" s="93"/>
      <c r="P186" s="81"/>
      <c r="Q186" s="40"/>
      <c r="R186" s="40"/>
      <c r="S186" s="39"/>
      <c r="T186" s="16"/>
      <c r="U186" s="16"/>
      <c r="V186" s="16"/>
      <c r="W186" s="16"/>
      <c r="X186" s="16"/>
      <c r="Y186" s="19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41"/>
      <c r="AQ186" s="10"/>
      <c r="AR186" s="11"/>
    </row>
    <row r="187" spans="1:46" s="4" customFormat="1" ht="17.25" customHeight="1" x14ac:dyDescent="0.25">
      <c r="A187" s="23"/>
      <c r="B187" s="210" t="s">
        <v>94</v>
      </c>
      <c r="C187" s="203"/>
      <c r="D187" s="66"/>
      <c r="E187" s="66"/>
      <c r="F187" s="117"/>
      <c r="G187" s="117"/>
      <c r="H187" s="66"/>
      <c r="I187" s="66"/>
      <c r="J187" s="66">
        <f>-M187</f>
        <v>7544.6</v>
      </c>
      <c r="K187" s="58">
        <v>-1268</v>
      </c>
      <c r="L187" s="89">
        <v>5.95</v>
      </c>
      <c r="M187" s="73">
        <f>K187*L187</f>
        <v>-7544.6</v>
      </c>
      <c r="N187" s="58"/>
      <c r="O187" s="89"/>
      <c r="P187" s="73"/>
      <c r="Q187" s="39"/>
      <c r="R187" s="39"/>
      <c r="S187" s="8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35"/>
      <c r="AP187" s="12" t="e">
        <f>#REF!</f>
        <v>#REF!</v>
      </c>
    </row>
    <row r="188" spans="1:46" s="4" customFormat="1" ht="17.25" customHeight="1" x14ac:dyDescent="0.25">
      <c r="A188" s="23"/>
      <c r="B188" s="201" t="s">
        <v>95</v>
      </c>
      <c r="C188" s="202"/>
      <c r="D188" s="64"/>
      <c r="E188" s="64"/>
      <c r="F188" s="117"/>
      <c r="G188" s="117"/>
      <c r="H188" s="64"/>
      <c r="I188" s="64"/>
      <c r="J188" s="64">
        <f>-P188</f>
        <v>7832.64</v>
      </c>
      <c r="K188" s="57"/>
      <c r="L188" s="88"/>
      <c r="M188" s="62"/>
      <c r="N188" s="57">
        <v>-1968</v>
      </c>
      <c r="O188" s="88">
        <v>3.98</v>
      </c>
      <c r="P188" s="62">
        <f>N188*O188</f>
        <v>-7832.64</v>
      </c>
      <c r="Q188" s="39"/>
      <c r="R188" s="39"/>
      <c r="S188" s="8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35"/>
      <c r="AP188" s="12" t="e">
        <f>#REF!</f>
        <v>#REF!</v>
      </c>
    </row>
    <row r="189" spans="1:46" s="4" customFormat="1" ht="17.25" customHeight="1" x14ac:dyDescent="0.25">
      <c r="A189" s="23"/>
      <c r="B189" s="201" t="s">
        <v>97</v>
      </c>
      <c r="C189" s="203"/>
      <c r="D189" s="64"/>
      <c r="E189" s="64"/>
      <c r="F189" s="64"/>
      <c r="G189" s="64"/>
      <c r="H189" s="64">
        <f>-J189-I189</f>
        <v>4309.4900000000016</v>
      </c>
      <c r="I189" s="64">
        <v>11067.75</v>
      </c>
      <c r="J189" s="64">
        <f>-SUM(J187:J188)</f>
        <v>-15377.240000000002</v>
      </c>
      <c r="K189" s="57"/>
      <c r="L189" s="88"/>
      <c r="M189" s="62"/>
      <c r="N189" s="57"/>
      <c r="O189" s="88"/>
      <c r="P189" s="62"/>
      <c r="Q189" s="39"/>
      <c r="R189" s="39"/>
      <c r="S189" s="39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22"/>
      <c r="AO189" s="43">
        <f>A143</f>
        <v>0</v>
      </c>
      <c r="AP189" s="12" t="e">
        <f>#REF!</f>
        <v>#REF!</v>
      </c>
      <c r="AT189" s="2"/>
    </row>
    <row r="190" spans="1:46" s="4" customFormat="1" ht="17.25" customHeight="1" x14ac:dyDescent="0.25">
      <c r="A190" s="23"/>
      <c r="B190" s="201" t="s">
        <v>93</v>
      </c>
      <c r="C190" s="202"/>
      <c r="D190" s="64"/>
      <c r="E190" s="64"/>
      <c r="F190" s="64"/>
      <c r="G190" s="64"/>
      <c r="H190" s="64"/>
      <c r="I190" s="64"/>
      <c r="J190" s="64"/>
      <c r="K190" s="57">
        <v>-104</v>
      </c>
      <c r="L190" s="88"/>
      <c r="M190" s="62">
        <f>(K193*L169)-M169-M187</f>
        <v>314.61813356663515</v>
      </c>
      <c r="N190" s="57">
        <v>-2</v>
      </c>
      <c r="O190" s="88"/>
      <c r="P190" s="62">
        <f>(N193*O169)-P169-P188</f>
        <v>458.43404802941677</v>
      </c>
      <c r="Q190" s="39"/>
      <c r="R190" s="39"/>
      <c r="S190" s="39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22"/>
      <c r="AO190" s="43">
        <f>A163</f>
        <v>0</v>
      </c>
      <c r="AP190" s="12" t="e">
        <f>#REF!</f>
        <v>#REF!</v>
      </c>
      <c r="AT190" s="2"/>
    </row>
    <row r="191" spans="1:46" s="2" customFormat="1" ht="17.25" customHeight="1" x14ac:dyDescent="0.2">
      <c r="A191" s="24"/>
      <c r="B191" s="201"/>
      <c r="C191" s="204"/>
      <c r="D191" s="63"/>
      <c r="E191" s="64"/>
      <c r="F191" s="64"/>
      <c r="G191" s="64"/>
      <c r="H191" s="64"/>
      <c r="I191" s="64"/>
      <c r="J191" s="64"/>
      <c r="K191" s="16"/>
      <c r="L191" s="16"/>
      <c r="M191" s="64"/>
      <c r="N191" s="16"/>
      <c r="O191" s="16"/>
      <c r="P191" s="64"/>
      <c r="Q191" s="46"/>
      <c r="R191" s="46"/>
      <c r="S191" s="39"/>
      <c r="T191" s="16"/>
      <c r="U191" s="16"/>
      <c r="V191" s="16"/>
      <c r="W191" s="16"/>
      <c r="X191" s="16"/>
      <c r="Y191" s="19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43">
        <f>A170</f>
        <v>46032</v>
      </c>
      <c r="AQ191" s="10"/>
      <c r="AR191" s="11"/>
    </row>
    <row r="192" spans="1:46" s="2" customFormat="1" ht="17.25" customHeight="1" thickBot="1" x14ac:dyDescent="0.3">
      <c r="A192" s="56"/>
      <c r="B192" s="101" t="s">
        <v>102</v>
      </c>
      <c r="C192" s="102">
        <f>D193+E193+F193+G193+H193+I193+J193+M193+P193</f>
        <v>123114.72954000003</v>
      </c>
      <c r="D192" s="84"/>
      <c r="E192" s="85"/>
      <c r="F192" s="85"/>
      <c r="G192" s="85"/>
      <c r="H192" s="85"/>
      <c r="I192" s="85"/>
      <c r="J192" s="85"/>
      <c r="K192" s="28"/>
      <c r="L192" s="28"/>
      <c r="M192" s="85"/>
      <c r="N192" s="28"/>
      <c r="O192" s="28"/>
      <c r="P192" s="85"/>
      <c r="Q192" s="48"/>
      <c r="R192" s="48"/>
      <c r="S192" s="51"/>
      <c r="T192" s="28"/>
      <c r="U192" s="28"/>
      <c r="V192" s="28"/>
      <c r="W192" s="28"/>
      <c r="X192" s="28"/>
      <c r="Y192" s="36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42">
        <f>SUM($Q169:AN192)</f>
        <v>-454115.62</v>
      </c>
      <c r="AQ192" s="10"/>
      <c r="AR192" s="11"/>
      <c r="AS192" s="2" t="s">
        <v>5</v>
      </c>
    </row>
    <row r="193" spans="1:46" s="2" customFormat="1" ht="17.25" customHeight="1" thickTop="1" thickBot="1" x14ac:dyDescent="0.3">
      <c r="A193" s="103"/>
      <c r="B193" s="104" t="s">
        <v>103</v>
      </c>
      <c r="C193" s="105">
        <f>AO193</f>
        <v>-331000.89045999997</v>
      </c>
      <c r="D193" s="106">
        <f t="shared" ref="D193:K193" si="17">SUM(D169:D192)</f>
        <v>22694.207040000023</v>
      </c>
      <c r="E193" s="107">
        <f t="shared" si="17"/>
        <v>-26369.350000000006</v>
      </c>
      <c r="F193" s="107">
        <f t="shared" si="17"/>
        <v>0.5</v>
      </c>
      <c r="G193" s="107">
        <f t="shared" si="17"/>
        <v>0</v>
      </c>
      <c r="H193" s="107">
        <f t="shared" si="17"/>
        <v>62021.922500000015</v>
      </c>
      <c r="I193" s="107">
        <f t="shared" si="17"/>
        <v>10654.75</v>
      </c>
      <c r="J193" s="107">
        <f t="shared" si="17"/>
        <v>0</v>
      </c>
      <c r="K193" s="108">
        <f t="shared" si="17"/>
        <v>5486</v>
      </c>
      <c r="L193" s="109">
        <f>M193/K193</f>
        <v>5.2696664236237698</v>
      </c>
      <c r="M193" s="107">
        <f>ROUND(SUM(M169:M192),2)</f>
        <v>28909.39</v>
      </c>
      <c r="N193" s="108">
        <f>SUM(N169:N192)</f>
        <v>6733</v>
      </c>
      <c r="O193" s="109">
        <f>P193/N193</f>
        <v>3.7432511510470818</v>
      </c>
      <c r="P193" s="107">
        <f>ROUND(SUM(P169:P192),2)</f>
        <v>25203.31</v>
      </c>
      <c r="Q193" s="110">
        <f t="shared" ref="Q193:AN193" si="18">SUM(Q169:Q192)</f>
        <v>-501130.23</v>
      </c>
      <c r="R193" s="107">
        <f t="shared" si="18"/>
        <v>50229.299999999996</v>
      </c>
      <c r="S193" s="107">
        <f t="shared" si="18"/>
        <v>0</v>
      </c>
      <c r="T193" s="107">
        <f t="shared" si="18"/>
        <v>-3214.6900000000005</v>
      </c>
      <c r="U193" s="107">
        <f t="shared" si="18"/>
        <v>0</v>
      </c>
      <c r="V193" s="107">
        <f t="shared" si="18"/>
        <v>0</v>
      </c>
      <c r="W193" s="107">
        <f t="shared" si="18"/>
        <v>0</v>
      </c>
      <c r="X193" s="107">
        <f t="shared" si="18"/>
        <v>0</v>
      </c>
      <c r="Y193" s="107">
        <f t="shared" si="18"/>
        <v>0</v>
      </c>
      <c r="Z193" s="107">
        <f t="shared" si="18"/>
        <v>0</v>
      </c>
      <c r="AA193" s="107">
        <f t="shared" si="18"/>
        <v>0</v>
      </c>
      <c r="AB193" s="107">
        <f t="shared" si="18"/>
        <v>0</v>
      </c>
      <c r="AC193" s="107">
        <f t="shared" si="18"/>
        <v>0</v>
      </c>
      <c r="AD193" s="107">
        <f t="shared" si="18"/>
        <v>0</v>
      </c>
      <c r="AE193" s="107">
        <f t="shared" si="18"/>
        <v>0</v>
      </c>
      <c r="AF193" s="107">
        <f t="shared" si="18"/>
        <v>0</v>
      </c>
      <c r="AG193" s="107">
        <f t="shared" si="18"/>
        <v>0</v>
      </c>
      <c r="AH193" s="107">
        <f t="shared" si="18"/>
        <v>0</v>
      </c>
      <c r="AI193" s="107">
        <f t="shared" si="18"/>
        <v>0</v>
      </c>
      <c r="AJ193" s="107">
        <f t="shared" si="18"/>
        <v>0</v>
      </c>
      <c r="AK193" s="107">
        <f t="shared" si="18"/>
        <v>0</v>
      </c>
      <c r="AL193" s="107">
        <f t="shared" si="18"/>
        <v>0</v>
      </c>
      <c r="AM193" s="107">
        <f t="shared" si="18"/>
        <v>0</v>
      </c>
      <c r="AN193" s="107">
        <f t="shared" si="18"/>
        <v>0</v>
      </c>
      <c r="AO193" s="111">
        <f>D193+E193+F193+G193+H193+I193+J193+M193+P193+SUM(Q193:AN193)</f>
        <v>-331000.89045999997</v>
      </c>
      <c r="AP193" s="4"/>
      <c r="AQ193" s="5"/>
      <c r="AR193" s="5"/>
      <c r="AS193" s="2" t="s">
        <v>6</v>
      </c>
    </row>
    <row r="194" spans="1:46" s="2" customFormat="1" ht="17.25" customHeight="1" thickTop="1" x14ac:dyDescent="0.25">
      <c r="A194" s="29">
        <f>A170+1</f>
        <v>46033</v>
      </c>
      <c r="B194" s="210" t="s">
        <v>64</v>
      </c>
      <c r="C194" s="203"/>
      <c r="D194" s="63">
        <v>10209.49</v>
      </c>
      <c r="E194" s="66"/>
      <c r="F194" s="66"/>
      <c r="G194" s="66"/>
      <c r="H194" s="66"/>
      <c r="I194" s="66">
        <f>-D194</f>
        <v>-10209.49</v>
      </c>
      <c r="J194" s="66"/>
      <c r="K194" s="18"/>
      <c r="L194" s="18"/>
      <c r="M194" s="66"/>
      <c r="N194" s="18"/>
      <c r="O194" s="18"/>
      <c r="P194" s="66"/>
      <c r="Q194" s="46"/>
      <c r="R194" s="46"/>
      <c r="S194" s="45"/>
      <c r="T194" s="18"/>
      <c r="U194" s="18"/>
      <c r="V194" s="18"/>
      <c r="W194" s="18"/>
      <c r="X194" s="18"/>
      <c r="Y194" s="14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31"/>
      <c r="AQ194" s="10"/>
      <c r="AR194" s="27"/>
    </row>
    <row r="195" spans="1:46" s="4" customFormat="1" ht="17.25" customHeight="1" x14ac:dyDescent="0.25">
      <c r="A195" s="29"/>
      <c r="B195" s="201" t="s">
        <v>96</v>
      </c>
      <c r="C195" s="202"/>
      <c r="D195" s="63"/>
      <c r="E195" s="64"/>
      <c r="F195" s="64"/>
      <c r="G195" s="64"/>
      <c r="H195" s="64"/>
      <c r="I195" s="64">
        <f>-I193-I194</f>
        <v>-445.26000000000022</v>
      </c>
      <c r="J195" s="64"/>
      <c r="K195" s="16"/>
      <c r="L195" s="92"/>
      <c r="M195" s="64"/>
      <c r="N195" s="16"/>
      <c r="O195" s="92"/>
      <c r="P195" s="64"/>
      <c r="Q195" s="40"/>
      <c r="R195" s="46"/>
      <c r="S195" s="39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22"/>
      <c r="AP195" s="30"/>
    </row>
    <row r="196" spans="1:46" s="2" customFormat="1" ht="17.25" customHeight="1" x14ac:dyDescent="0.25">
      <c r="A196" s="29"/>
      <c r="B196" s="201" t="s">
        <v>327</v>
      </c>
      <c r="C196" s="202"/>
      <c r="D196" s="63">
        <f>50+50+55+120+100+70+100+16</f>
        <v>561</v>
      </c>
      <c r="E196" s="64"/>
      <c r="F196" s="64"/>
      <c r="G196" s="64"/>
      <c r="H196" s="64"/>
      <c r="I196" s="64">
        <f>-D196</f>
        <v>-561</v>
      </c>
      <c r="J196" s="64"/>
      <c r="K196" s="57"/>
      <c r="L196" s="88"/>
      <c r="M196" s="62"/>
      <c r="N196" s="57"/>
      <c r="O196" s="88"/>
      <c r="P196" s="62"/>
      <c r="Q196" s="47"/>
      <c r="R196" s="39"/>
      <c r="S196" s="39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22"/>
      <c r="AQ196" s="10"/>
      <c r="AR196" s="11"/>
    </row>
    <row r="197" spans="1:46" s="2" customFormat="1" ht="17.25" customHeight="1" x14ac:dyDescent="0.25">
      <c r="A197" s="29"/>
      <c r="B197" s="201" t="s">
        <v>328</v>
      </c>
      <c r="C197" s="202"/>
      <c r="D197" s="63">
        <f>-8*0.99</f>
        <v>-7.92</v>
      </c>
      <c r="E197" s="64"/>
      <c r="F197" s="64"/>
      <c r="G197" s="64"/>
      <c r="H197" s="64"/>
      <c r="I197" s="64"/>
      <c r="J197" s="64"/>
      <c r="K197" s="57"/>
      <c r="L197" s="88"/>
      <c r="M197" s="62"/>
      <c r="N197" s="57"/>
      <c r="O197" s="88"/>
      <c r="P197" s="62"/>
      <c r="Q197" s="47"/>
      <c r="R197" s="39"/>
      <c r="S197" s="39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22"/>
      <c r="AQ197" s="10"/>
      <c r="AR197" s="11"/>
    </row>
    <row r="198" spans="1:46" s="2" customFormat="1" ht="17.25" customHeight="1" x14ac:dyDescent="0.25">
      <c r="A198" s="29"/>
      <c r="B198" s="201" t="s">
        <v>72</v>
      </c>
      <c r="C198" s="20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47"/>
      <c r="R198" s="39"/>
      <c r="S198" s="39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22"/>
      <c r="AQ198" s="10" t="s">
        <v>4</v>
      </c>
      <c r="AR198" s="11" t="e">
        <v>#REF!</v>
      </c>
    </row>
    <row r="199" spans="1:46" s="2" customFormat="1" ht="17.25" customHeight="1" thickBot="1" x14ac:dyDescent="0.25">
      <c r="A199" s="24"/>
      <c r="B199" s="216"/>
      <c r="C199" s="242"/>
      <c r="D199" s="83"/>
      <c r="E199" s="81"/>
      <c r="F199" s="81"/>
      <c r="G199" s="81"/>
      <c r="H199" s="81"/>
      <c r="I199" s="81"/>
      <c r="J199" s="81"/>
      <c r="K199" s="37"/>
      <c r="L199" s="93"/>
      <c r="M199" s="81"/>
      <c r="N199" s="37"/>
      <c r="O199" s="93"/>
      <c r="P199" s="81"/>
      <c r="Q199" s="40"/>
      <c r="R199" s="40"/>
      <c r="S199" s="39"/>
      <c r="T199" s="16"/>
      <c r="U199" s="16"/>
      <c r="V199" s="16"/>
      <c r="W199" s="16"/>
      <c r="X199" s="16"/>
      <c r="Y199" s="19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41"/>
      <c r="AQ199" s="10"/>
      <c r="AR199" s="11"/>
    </row>
    <row r="200" spans="1:46" s="4" customFormat="1" ht="17.25" customHeight="1" x14ac:dyDescent="0.25">
      <c r="A200" s="23"/>
      <c r="B200" s="248" t="s">
        <v>94</v>
      </c>
      <c r="C200" s="249"/>
      <c r="D200" s="66"/>
      <c r="E200" s="66"/>
      <c r="F200" s="117"/>
      <c r="G200" s="117"/>
      <c r="H200" s="66"/>
      <c r="I200" s="66"/>
      <c r="J200" s="66">
        <f>-M200</f>
        <v>4313.75</v>
      </c>
      <c r="K200" s="58">
        <v>-725</v>
      </c>
      <c r="L200" s="89">
        <v>5.95</v>
      </c>
      <c r="M200" s="73">
        <f>K200*L200</f>
        <v>-4313.75</v>
      </c>
      <c r="N200" s="58"/>
      <c r="O200" s="89"/>
      <c r="P200" s="73"/>
      <c r="Q200" s="39"/>
      <c r="R200" s="39"/>
      <c r="S200" s="8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35"/>
      <c r="AP200" s="12" t="e">
        <f>#REF!</f>
        <v>#REF!</v>
      </c>
    </row>
    <row r="201" spans="1:46" s="4" customFormat="1" ht="17.25" customHeight="1" x14ac:dyDescent="0.25">
      <c r="A201" s="23"/>
      <c r="B201" s="201" t="s">
        <v>95</v>
      </c>
      <c r="C201" s="202"/>
      <c r="D201" s="64"/>
      <c r="E201" s="64"/>
      <c r="F201" s="117"/>
      <c r="G201" s="117"/>
      <c r="H201" s="64"/>
      <c r="I201" s="64"/>
      <c r="J201" s="64">
        <f>-P201</f>
        <v>5130.22</v>
      </c>
      <c r="K201" s="57"/>
      <c r="L201" s="88"/>
      <c r="M201" s="62"/>
      <c r="N201" s="57">
        <v>-1289</v>
      </c>
      <c r="O201" s="88">
        <v>3.98</v>
      </c>
      <c r="P201" s="62">
        <f>N201*O201</f>
        <v>-5130.22</v>
      </c>
      <c r="Q201" s="39"/>
      <c r="R201" s="39"/>
      <c r="S201" s="8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35"/>
      <c r="AP201" s="12" t="e">
        <f>#REF!</f>
        <v>#REF!</v>
      </c>
    </row>
    <row r="202" spans="1:46" s="4" customFormat="1" ht="17.25" customHeight="1" x14ac:dyDescent="0.25">
      <c r="A202" s="23"/>
      <c r="B202" s="201" t="s">
        <v>97</v>
      </c>
      <c r="C202" s="202"/>
      <c r="D202" s="64"/>
      <c r="E202" s="64"/>
      <c r="F202" s="64"/>
      <c r="G202" s="64"/>
      <c r="H202" s="64">
        <f>-J202-I202</f>
        <v>2110.8100000000013</v>
      </c>
      <c r="I202" s="64">
        <v>7333.16</v>
      </c>
      <c r="J202" s="64">
        <f>-SUM(J200:J201)</f>
        <v>-9443.9700000000012</v>
      </c>
      <c r="K202" s="57"/>
      <c r="L202" s="88"/>
      <c r="M202" s="62"/>
      <c r="N202" s="57"/>
      <c r="O202" s="88"/>
      <c r="P202" s="62"/>
      <c r="Q202" s="39"/>
      <c r="R202" s="39"/>
      <c r="S202" s="39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22"/>
      <c r="AO202" s="43">
        <f>A166</f>
        <v>0</v>
      </c>
      <c r="AP202" s="12" t="e">
        <f>#REF!</f>
        <v>#REF!</v>
      </c>
      <c r="AT202" s="2"/>
    </row>
    <row r="203" spans="1:46" s="4" customFormat="1" ht="17.25" customHeight="1" x14ac:dyDescent="0.25">
      <c r="A203" s="23"/>
      <c r="B203" s="201" t="s">
        <v>93</v>
      </c>
      <c r="C203" s="202"/>
      <c r="D203" s="64"/>
      <c r="E203" s="64"/>
      <c r="F203" s="64"/>
      <c r="G203" s="64"/>
      <c r="H203" s="64"/>
      <c r="I203" s="64"/>
      <c r="J203" s="64"/>
      <c r="K203" s="57">
        <v>47</v>
      </c>
      <c r="L203" s="88"/>
      <c r="M203" s="62">
        <f>(K206*L193)-M193-M200</f>
        <v>740.91616478308424</v>
      </c>
      <c r="N203" s="57">
        <v>47</v>
      </c>
      <c r="O203" s="88"/>
      <c r="P203" s="62">
        <f>(N206*O193)-P193-P201</f>
        <v>481.10207039952638</v>
      </c>
      <c r="Q203" s="39"/>
      <c r="R203" s="39"/>
      <c r="S203" s="39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22"/>
      <c r="AO203" s="43">
        <f>A187</f>
        <v>0</v>
      </c>
      <c r="AP203" s="12" t="e">
        <f>#REF!</f>
        <v>#REF!</v>
      </c>
      <c r="AT203" s="2"/>
    </row>
    <row r="204" spans="1:46" s="2" customFormat="1" ht="17.25" customHeight="1" x14ac:dyDescent="0.2">
      <c r="A204" s="24"/>
      <c r="B204" s="201" t="s">
        <v>110</v>
      </c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46"/>
      <c r="R204" s="46">
        <f>-I204</f>
        <v>0</v>
      </c>
      <c r="S204" s="39"/>
      <c r="T204" s="16"/>
      <c r="U204" s="16"/>
      <c r="V204" s="16"/>
      <c r="W204" s="16"/>
      <c r="X204" s="16"/>
      <c r="Y204" s="19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43">
        <f>A194</f>
        <v>46033</v>
      </c>
      <c r="AQ204" s="10"/>
      <c r="AR204" s="11"/>
    </row>
    <row r="205" spans="1:46" s="2" customFormat="1" ht="17.25" customHeight="1" thickBot="1" x14ac:dyDescent="0.3">
      <c r="A205" s="56"/>
      <c r="B205" s="101" t="s">
        <v>102</v>
      </c>
      <c r="C205" s="102">
        <f>D206+E206+F206+G206+H206+I206+J206+M206+P206</f>
        <v>123883.56954000003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48"/>
      <c r="R205" s="48"/>
      <c r="S205" s="51"/>
      <c r="T205" s="28"/>
      <c r="U205" s="28"/>
      <c r="V205" s="28"/>
      <c r="W205" s="28"/>
      <c r="X205" s="28"/>
      <c r="Y205" s="36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42">
        <f>SUM($Q193:AN205)</f>
        <v>-454115.62</v>
      </c>
      <c r="AQ205" s="10"/>
      <c r="AR205" s="11"/>
      <c r="AS205" s="2" t="s">
        <v>5</v>
      </c>
    </row>
    <row r="206" spans="1:46" s="2" customFormat="1" ht="17.25" customHeight="1" thickTop="1" thickBot="1" x14ac:dyDescent="0.3">
      <c r="A206" s="103"/>
      <c r="B206" s="104" t="s">
        <v>103</v>
      </c>
      <c r="C206" s="105">
        <f>AO206</f>
        <v>-330232.05045999994</v>
      </c>
      <c r="D206" s="106">
        <f t="shared" ref="D206:K206" si="19">SUM(D193:D205)</f>
        <v>33456.777040000023</v>
      </c>
      <c r="E206" s="107">
        <f t="shared" si="19"/>
        <v>-26369.350000000006</v>
      </c>
      <c r="F206" s="107">
        <f t="shared" si="19"/>
        <v>0.5</v>
      </c>
      <c r="G206" s="107">
        <f t="shared" si="19"/>
        <v>0</v>
      </c>
      <c r="H206" s="107">
        <f t="shared" si="19"/>
        <v>64132.732500000013</v>
      </c>
      <c r="I206" s="107">
        <f t="shared" si="19"/>
        <v>6772.16</v>
      </c>
      <c r="J206" s="107">
        <f t="shared" si="19"/>
        <v>0</v>
      </c>
      <c r="K206" s="108">
        <f t="shared" si="19"/>
        <v>4808</v>
      </c>
      <c r="L206" s="109">
        <f>M206/K206</f>
        <v>5.269667221297837</v>
      </c>
      <c r="M206" s="107">
        <f>ROUND(SUM(M193:M205),2)</f>
        <v>25336.560000000001</v>
      </c>
      <c r="N206" s="108">
        <f>SUM(N193:N205)</f>
        <v>5491</v>
      </c>
      <c r="O206" s="109">
        <f>P206/N206</f>
        <v>3.7432507739938079</v>
      </c>
      <c r="P206" s="107">
        <f>ROUND(SUM(P193:P205),2)</f>
        <v>20554.189999999999</v>
      </c>
      <c r="Q206" s="110">
        <f t="shared" ref="Q206:AN206" si="20">SUM(Q193:Q205)</f>
        <v>-501130.23</v>
      </c>
      <c r="R206" s="107">
        <f t="shared" si="20"/>
        <v>50229.299999999996</v>
      </c>
      <c r="S206" s="107">
        <f t="shared" si="20"/>
        <v>0</v>
      </c>
      <c r="T206" s="107">
        <f t="shared" si="20"/>
        <v>-3214.6900000000005</v>
      </c>
      <c r="U206" s="107">
        <f t="shared" si="20"/>
        <v>0</v>
      </c>
      <c r="V206" s="107">
        <f t="shared" si="20"/>
        <v>0</v>
      </c>
      <c r="W206" s="107">
        <f t="shared" si="20"/>
        <v>0</v>
      </c>
      <c r="X206" s="107">
        <f t="shared" si="20"/>
        <v>0</v>
      </c>
      <c r="Y206" s="107">
        <f t="shared" si="20"/>
        <v>0</v>
      </c>
      <c r="Z206" s="107">
        <f t="shared" si="20"/>
        <v>0</v>
      </c>
      <c r="AA206" s="107">
        <f t="shared" si="20"/>
        <v>0</v>
      </c>
      <c r="AB206" s="107">
        <f t="shared" si="20"/>
        <v>0</v>
      </c>
      <c r="AC206" s="107">
        <f t="shared" si="20"/>
        <v>0</v>
      </c>
      <c r="AD206" s="107">
        <f t="shared" si="20"/>
        <v>0</v>
      </c>
      <c r="AE206" s="107">
        <f t="shared" si="20"/>
        <v>0</v>
      </c>
      <c r="AF206" s="107">
        <f t="shared" si="20"/>
        <v>0</v>
      </c>
      <c r="AG206" s="107">
        <f t="shared" si="20"/>
        <v>0</v>
      </c>
      <c r="AH206" s="107">
        <f t="shared" si="20"/>
        <v>0</v>
      </c>
      <c r="AI206" s="107">
        <f t="shared" si="20"/>
        <v>0</v>
      </c>
      <c r="AJ206" s="107">
        <f t="shared" si="20"/>
        <v>0</v>
      </c>
      <c r="AK206" s="107">
        <f t="shared" si="20"/>
        <v>0</v>
      </c>
      <c r="AL206" s="107">
        <f t="shared" si="20"/>
        <v>0</v>
      </c>
      <c r="AM206" s="107">
        <f t="shared" si="20"/>
        <v>0</v>
      </c>
      <c r="AN206" s="107">
        <f t="shared" si="20"/>
        <v>0</v>
      </c>
      <c r="AO206" s="111">
        <f>D206+E206+F206+G206+H206+I206+J206+M206+P206+SUM(Q206:AN206)</f>
        <v>-330232.05045999994</v>
      </c>
      <c r="AP206" s="4"/>
      <c r="AQ206" s="5"/>
      <c r="AR206" s="5"/>
      <c r="AS206" s="2" t="s">
        <v>6</v>
      </c>
    </row>
    <row r="207" spans="1:46" s="2" customFormat="1" ht="17.25" customHeight="1" thickTop="1" x14ac:dyDescent="0.25">
      <c r="A207" s="23">
        <f>A194+1</f>
        <v>46034</v>
      </c>
      <c r="B207" s="210" t="s">
        <v>64</v>
      </c>
      <c r="C207" s="203"/>
      <c r="D207" s="63">
        <v>6610.16</v>
      </c>
      <c r="E207" s="66"/>
      <c r="F207" s="66"/>
      <c r="G207" s="66"/>
      <c r="H207" s="66"/>
      <c r="I207" s="66">
        <f>-D207</f>
        <v>-6610.16</v>
      </c>
      <c r="J207" s="66"/>
      <c r="K207" s="18"/>
      <c r="L207" s="18"/>
      <c r="M207" s="66"/>
      <c r="N207" s="18"/>
      <c r="O207" s="18"/>
      <c r="P207" s="66"/>
      <c r="Q207" s="46"/>
      <c r="R207" s="46"/>
      <c r="S207" s="45"/>
      <c r="T207" s="18"/>
      <c r="U207" s="18"/>
      <c r="V207" s="18"/>
      <c r="W207" s="18"/>
      <c r="X207" s="18"/>
      <c r="Y207" s="14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31"/>
      <c r="AQ207" s="10"/>
      <c r="AR207" s="27"/>
    </row>
    <row r="208" spans="1:46" s="4" customFormat="1" ht="17.25" customHeight="1" x14ac:dyDescent="0.25">
      <c r="A208" s="23"/>
      <c r="B208" s="201" t="s">
        <v>96</v>
      </c>
      <c r="C208" s="202"/>
      <c r="D208" s="63"/>
      <c r="E208" s="64"/>
      <c r="F208" s="64"/>
      <c r="G208" s="64"/>
      <c r="H208" s="64"/>
      <c r="I208" s="64">
        <f>-I206-I207</f>
        <v>-162</v>
      </c>
      <c r="J208" s="64"/>
      <c r="K208" s="16"/>
      <c r="L208" s="92"/>
      <c r="M208" s="64"/>
      <c r="N208" s="16"/>
      <c r="O208" s="92"/>
      <c r="P208" s="64"/>
      <c r="Q208" s="40"/>
      <c r="R208" s="46"/>
      <c r="S208" s="39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22"/>
      <c r="AP208" s="30"/>
    </row>
    <row r="209" spans="1:44" s="2" customFormat="1" ht="17.25" customHeight="1" x14ac:dyDescent="0.25">
      <c r="A209" s="29"/>
      <c r="B209" s="201" t="s">
        <v>327</v>
      </c>
      <c r="C209" s="202"/>
      <c r="D209" s="63">
        <f>100+19+20+80+50+20+14+30+100+61+30+30+30+20+150+10+50+9</f>
        <v>823</v>
      </c>
      <c r="E209" s="64"/>
      <c r="F209" s="64"/>
      <c r="G209" s="64"/>
      <c r="H209" s="64"/>
      <c r="I209" s="64">
        <f>-D209</f>
        <v>-823</v>
      </c>
      <c r="J209" s="64"/>
      <c r="K209" s="57"/>
      <c r="L209" s="88"/>
      <c r="M209" s="62"/>
      <c r="N209" s="57"/>
      <c r="O209" s="88"/>
      <c r="P209" s="62"/>
      <c r="Q209" s="47"/>
      <c r="R209" s="39"/>
      <c r="S209" s="39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22"/>
      <c r="AQ209" s="10"/>
      <c r="AR209" s="11"/>
    </row>
    <row r="210" spans="1:44" s="2" customFormat="1" ht="17.25" customHeight="1" x14ac:dyDescent="0.25">
      <c r="A210" s="29"/>
      <c r="B210" s="201" t="s">
        <v>328</v>
      </c>
      <c r="C210" s="202"/>
      <c r="D210" s="63">
        <f>-17*0.99-1.2</f>
        <v>-18.029999999999998</v>
      </c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47"/>
      <c r="R210" s="39"/>
      <c r="S210" s="39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22"/>
      <c r="AQ210" s="10"/>
      <c r="AR210" s="11"/>
    </row>
    <row r="211" spans="1:44" s="2" customFormat="1" ht="17.25" customHeight="1" x14ac:dyDescent="0.25">
      <c r="A211" s="29"/>
      <c r="B211" s="201" t="s">
        <v>72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47"/>
      <c r="R211" s="39"/>
      <c r="S211" s="39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22"/>
      <c r="AQ211" s="10" t="s">
        <v>4</v>
      </c>
      <c r="AR211" s="11" t="e">
        <v>#REF!</v>
      </c>
    </row>
    <row r="212" spans="1:44" s="2" customFormat="1" ht="17.25" customHeight="1" x14ac:dyDescent="0.2">
      <c r="A212" s="23"/>
      <c r="B212" s="205" t="s">
        <v>299</v>
      </c>
      <c r="C212" s="257"/>
      <c r="D212" s="63">
        <v>-26000</v>
      </c>
      <c r="E212" s="64"/>
      <c r="F212" s="74"/>
      <c r="G212" s="74"/>
      <c r="H212" s="64"/>
      <c r="I212" s="64"/>
      <c r="J212" s="64"/>
      <c r="K212" s="16"/>
      <c r="L212" s="16"/>
      <c r="M212" s="64"/>
      <c r="N212" s="16"/>
      <c r="O212" s="16"/>
      <c r="P212" s="64"/>
      <c r="Q212" s="46">
        <f>-D212</f>
        <v>26000</v>
      </c>
      <c r="R212" s="39"/>
      <c r="S212" s="40"/>
      <c r="T212" s="16"/>
      <c r="U212" s="16"/>
      <c r="V212" s="16"/>
      <c r="W212" s="16"/>
      <c r="X212" s="16"/>
      <c r="Y212" s="19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35"/>
      <c r="AQ212" s="10"/>
      <c r="AR212" s="27"/>
    </row>
    <row r="213" spans="1:44" s="2" customFormat="1" ht="17.25" customHeight="1" x14ac:dyDescent="0.2">
      <c r="A213" s="23"/>
      <c r="B213" s="201" t="s">
        <v>326</v>
      </c>
      <c r="C213" s="204"/>
      <c r="D213" s="63">
        <v>-4.9000000000000004</v>
      </c>
      <c r="E213" s="64"/>
      <c r="F213" s="74"/>
      <c r="G213" s="74"/>
      <c r="H213" s="64"/>
      <c r="I213" s="64"/>
      <c r="J213" s="64"/>
      <c r="K213" s="16"/>
      <c r="L213" s="16"/>
      <c r="M213" s="64"/>
      <c r="N213" s="16"/>
      <c r="O213" s="16"/>
      <c r="P213" s="64"/>
      <c r="Q213" s="46"/>
      <c r="R213" s="39"/>
      <c r="S213" s="40"/>
      <c r="T213" s="16"/>
      <c r="U213" s="16"/>
      <c r="V213" s="16"/>
      <c r="W213" s="16"/>
      <c r="X213" s="16"/>
      <c r="Y213" s="19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35"/>
      <c r="AQ213" s="10"/>
      <c r="AR213" s="27"/>
    </row>
    <row r="214" spans="1:44" s="2" customFormat="1" ht="17.25" customHeight="1" x14ac:dyDescent="0.2">
      <c r="A214" s="23"/>
      <c r="B214" s="205" t="s">
        <v>299</v>
      </c>
      <c r="C214" s="257"/>
      <c r="D214" s="63">
        <v>-14000</v>
      </c>
      <c r="E214" s="64"/>
      <c r="F214" s="74"/>
      <c r="G214" s="74"/>
      <c r="H214" s="64"/>
      <c r="I214" s="64"/>
      <c r="J214" s="64"/>
      <c r="K214" s="16"/>
      <c r="L214" s="16"/>
      <c r="M214" s="64"/>
      <c r="N214" s="16"/>
      <c r="O214" s="16"/>
      <c r="P214" s="64"/>
      <c r="Q214" s="46">
        <f>-D214</f>
        <v>14000</v>
      </c>
      <c r="R214" s="39"/>
      <c r="S214" s="40"/>
      <c r="T214" s="16"/>
      <c r="U214" s="16"/>
      <c r="V214" s="16"/>
      <c r="W214" s="16"/>
      <c r="X214" s="16"/>
      <c r="Y214" s="19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35"/>
      <c r="AQ214" s="10"/>
      <c r="AR214" s="27"/>
    </row>
    <row r="215" spans="1:44" s="2" customFormat="1" ht="17.25" customHeight="1" x14ac:dyDescent="0.2">
      <c r="A215" s="23"/>
      <c r="B215" s="201" t="s">
        <v>326</v>
      </c>
      <c r="C215" s="204"/>
      <c r="D215" s="63">
        <v>-4.9000000000000004</v>
      </c>
      <c r="E215" s="64"/>
      <c r="F215" s="74"/>
      <c r="G215" s="74"/>
      <c r="H215" s="64"/>
      <c r="I215" s="64"/>
      <c r="J215" s="64"/>
      <c r="K215" s="16"/>
      <c r="L215" s="16"/>
      <c r="M215" s="64"/>
      <c r="N215" s="16"/>
      <c r="O215" s="16"/>
      <c r="P215" s="64"/>
      <c r="Q215" s="46"/>
      <c r="R215" s="39"/>
      <c r="S215" s="40"/>
      <c r="T215" s="16"/>
      <c r="U215" s="16"/>
      <c r="V215" s="16"/>
      <c r="W215" s="16"/>
      <c r="X215" s="16"/>
      <c r="Y215" s="19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35"/>
      <c r="AQ215" s="10"/>
      <c r="AR215" s="27"/>
    </row>
    <row r="216" spans="1:44" s="4" customFormat="1" ht="17.25" customHeight="1" x14ac:dyDescent="0.25">
      <c r="A216" s="23"/>
      <c r="B216" s="201" t="s">
        <v>13</v>
      </c>
      <c r="C216" s="203"/>
      <c r="D216" s="63"/>
      <c r="E216" s="64">
        <f>22.27+100+50+30+50+180+13+40+45+15+30+27+100+30+25+20+18+50+110+85+100+1217+1797+100+98+440+1170+60</f>
        <v>6022.27</v>
      </c>
      <c r="F216" s="64"/>
      <c r="G216" s="64"/>
      <c r="H216" s="64">
        <f>-E216</f>
        <v>-6022.27</v>
      </c>
      <c r="I216" s="66"/>
      <c r="J216" s="64"/>
      <c r="K216" s="16"/>
      <c r="L216" s="92"/>
      <c r="M216" s="64"/>
      <c r="N216" s="16"/>
      <c r="O216" s="92"/>
      <c r="P216" s="64"/>
      <c r="Q216" s="40"/>
      <c r="R216" s="46"/>
      <c r="S216" s="39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22"/>
      <c r="AP216" s="30"/>
    </row>
    <row r="217" spans="1:44" s="2" customFormat="1" ht="17.25" customHeight="1" x14ac:dyDescent="0.2">
      <c r="A217" s="23"/>
      <c r="B217" s="201" t="s">
        <v>20</v>
      </c>
      <c r="C217" s="203"/>
      <c r="D217" s="63"/>
      <c r="E217" s="64">
        <v>-1997.5</v>
      </c>
      <c r="F217" s="74"/>
      <c r="G217" s="74"/>
      <c r="H217" s="64"/>
      <c r="I217" s="64"/>
      <c r="J217" s="64"/>
      <c r="K217" s="16"/>
      <c r="L217" s="16"/>
      <c r="M217" s="64"/>
      <c r="N217" s="16"/>
      <c r="O217" s="16"/>
      <c r="P217" s="64"/>
      <c r="Q217" s="46"/>
      <c r="R217" s="39"/>
      <c r="S217" s="40"/>
      <c r="T217" s="16"/>
      <c r="U217" s="16"/>
      <c r="V217" s="16"/>
      <c r="W217" s="16"/>
      <c r="X217" s="16"/>
      <c r="Y217" s="19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35"/>
      <c r="AQ217" s="10"/>
      <c r="AR217" s="27"/>
    </row>
    <row r="218" spans="1:44" s="2" customFormat="1" ht="17.25" customHeight="1" x14ac:dyDescent="0.2">
      <c r="A218" s="23"/>
      <c r="B218" s="201" t="s">
        <v>183</v>
      </c>
      <c r="C218" s="203"/>
      <c r="D218" s="63"/>
      <c r="E218" s="64">
        <v>-188.82</v>
      </c>
      <c r="F218" s="74"/>
      <c r="G218" s="74"/>
      <c r="H218" s="64"/>
      <c r="I218" s="64"/>
      <c r="J218" s="64"/>
      <c r="K218" s="16"/>
      <c r="L218" s="16"/>
      <c r="M218" s="64"/>
      <c r="N218" s="16"/>
      <c r="O218" s="16"/>
      <c r="P218" s="64"/>
      <c r="Q218" s="46"/>
      <c r="R218" s="39"/>
      <c r="S218" s="40"/>
      <c r="T218" s="16"/>
      <c r="U218" s="16"/>
      <c r="V218" s="16"/>
      <c r="W218" s="16"/>
      <c r="X218" s="16"/>
      <c r="Y218" s="19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35"/>
      <c r="AQ218" s="10"/>
      <c r="AR218" s="27"/>
    </row>
    <row r="219" spans="1:44" s="2" customFormat="1" ht="17.25" customHeight="1" x14ac:dyDescent="0.2">
      <c r="A219" s="23"/>
      <c r="B219" s="201" t="s">
        <v>259</v>
      </c>
      <c r="C219" s="203"/>
      <c r="D219" s="63"/>
      <c r="E219" s="64">
        <v>-110.28</v>
      </c>
      <c r="F219" s="74"/>
      <c r="G219" s="74"/>
      <c r="H219" s="64"/>
      <c r="I219" s="64"/>
      <c r="J219" s="64"/>
      <c r="K219" s="16"/>
      <c r="L219" s="16"/>
      <c r="M219" s="64"/>
      <c r="N219" s="16"/>
      <c r="O219" s="16"/>
      <c r="P219" s="64"/>
      <c r="Q219" s="46"/>
      <c r="R219" s="39"/>
      <c r="S219" s="40"/>
      <c r="T219" s="16"/>
      <c r="U219" s="16"/>
      <c r="V219" s="16"/>
      <c r="W219" s="16"/>
      <c r="X219" s="16"/>
      <c r="Y219" s="19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35"/>
      <c r="AQ219" s="10"/>
      <c r="AR219" s="27"/>
    </row>
    <row r="220" spans="1:44" s="2" customFormat="1" ht="17.25" customHeight="1" x14ac:dyDescent="0.25">
      <c r="A220" s="24"/>
      <c r="B220" s="201" t="s">
        <v>29</v>
      </c>
      <c r="C220" s="203"/>
      <c r="D220" s="63"/>
      <c r="E220" s="64">
        <v>-168.3</v>
      </c>
      <c r="F220" s="64"/>
      <c r="G220" s="64"/>
      <c r="H220" s="64"/>
      <c r="I220" s="64"/>
      <c r="J220" s="64"/>
      <c r="K220" s="16"/>
      <c r="L220" s="16"/>
      <c r="M220" s="64"/>
      <c r="N220" s="16"/>
      <c r="O220" s="16"/>
      <c r="P220" s="64"/>
      <c r="Q220" s="46"/>
      <c r="R220" s="40"/>
      <c r="S220" s="39"/>
      <c r="T220" s="16"/>
      <c r="U220" s="16"/>
      <c r="V220" s="16"/>
      <c r="W220" s="16"/>
      <c r="X220" s="16"/>
      <c r="Y220" s="19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22"/>
      <c r="AQ220" s="10"/>
      <c r="AR220" s="11"/>
    </row>
    <row r="221" spans="1:44" s="2" customFormat="1" ht="17.25" customHeight="1" x14ac:dyDescent="0.25">
      <c r="A221" s="24"/>
      <c r="B221" s="201" t="s">
        <v>364</v>
      </c>
      <c r="C221" s="203"/>
      <c r="D221" s="63"/>
      <c r="E221" s="64">
        <v>-695.27</v>
      </c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46"/>
      <c r="R221" s="40"/>
      <c r="S221" s="39"/>
      <c r="T221" s="16"/>
      <c r="U221" s="16"/>
      <c r="V221" s="16"/>
      <c r="W221" s="16"/>
      <c r="X221" s="16"/>
      <c r="Y221" s="19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22"/>
      <c r="AQ221" s="10"/>
      <c r="AR221" s="11"/>
    </row>
    <row r="222" spans="1:44" s="2" customFormat="1" ht="17.25" customHeight="1" x14ac:dyDescent="0.25">
      <c r="A222" s="24"/>
      <c r="B222" s="201" t="s">
        <v>16</v>
      </c>
      <c r="C222" s="203"/>
      <c r="D222" s="63"/>
      <c r="E222" s="64">
        <v>-239.93</v>
      </c>
      <c r="F222" s="64"/>
      <c r="G222" s="64"/>
      <c r="H222" s="64"/>
      <c r="I222" s="64"/>
      <c r="J222" s="64"/>
      <c r="K222" s="16"/>
      <c r="L222" s="16"/>
      <c r="M222" s="64"/>
      <c r="N222" s="16"/>
      <c r="O222" s="16"/>
      <c r="P222" s="64"/>
      <c r="Q222" s="46"/>
      <c r="R222" s="40"/>
      <c r="S222" s="39"/>
      <c r="T222" s="16"/>
      <c r="U222" s="16"/>
      <c r="V222" s="16"/>
      <c r="W222" s="16"/>
      <c r="X222" s="16"/>
      <c r="Y222" s="19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22"/>
      <c r="AQ222" s="10"/>
      <c r="AR222" s="11"/>
    </row>
    <row r="223" spans="1:44" s="2" customFormat="1" ht="17.25" customHeight="1" x14ac:dyDescent="0.25">
      <c r="A223" s="24"/>
      <c r="B223" s="201" t="s">
        <v>365</v>
      </c>
      <c r="C223" s="203"/>
      <c r="D223" s="63"/>
      <c r="E223" s="64">
        <v>-420</v>
      </c>
      <c r="F223" s="64"/>
      <c r="G223" s="64"/>
      <c r="H223" s="64"/>
      <c r="I223" s="64"/>
      <c r="J223" s="64"/>
      <c r="K223" s="16"/>
      <c r="L223" s="16"/>
      <c r="M223" s="64"/>
      <c r="N223" s="16"/>
      <c r="O223" s="16"/>
      <c r="P223" s="64"/>
      <c r="Q223" s="46"/>
      <c r="R223" s="40"/>
      <c r="S223" s="39"/>
      <c r="T223" s="16"/>
      <c r="U223" s="16"/>
      <c r="V223" s="16"/>
      <c r="W223" s="16"/>
      <c r="X223" s="16"/>
      <c r="Y223" s="19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22"/>
      <c r="AQ223" s="10"/>
      <c r="AR223" s="11"/>
    </row>
    <row r="224" spans="1:44" s="2" customFormat="1" ht="17.25" customHeight="1" x14ac:dyDescent="0.25">
      <c r="A224" s="24"/>
      <c r="B224" s="205" t="s">
        <v>263</v>
      </c>
      <c r="C224" s="206"/>
      <c r="D224" s="63"/>
      <c r="E224" s="64">
        <v>-19000</v>
      </c>
      <c r="F224" s="64"/>
      <c r="G224" s="64"/>
      <c r="H224" s="64"/>
      <c r="I224" s="64"/>
      <c r="J224" s="64"/>
      <c r="K224" s="16"/>
      <c r="L224" s="92"/>
      <c r="M224" s="64"/>
      <c r="N224" s="16"/>
      <c r="O224" s="92"/>
      <c r="P224" s="64"/>
      <c r="Q224" s="40">
        <f>-E224</f>
        <v>19000</v>
      </c>
      <c r="R224" s="40"/>
      <c r="S224" s="39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22"/>
      <c r="AQ224" s="10"/>
      <c r="AR224" s="11"/>
    </row>
    <row r="225" spans="1:46" s="2" customFormat="1" ht="17.25" customHeight="1" thickBot="1" x14ac:dyDescent="0.25">
      <c r="A225" s="24"/>
      <c r="B225" s="216"/>
      <c r="C225" s="217"/>
      <c r="D225" s="83"/>
      <c r="E225" s="81"/>
      <c r="F225" s="81"/>
      <c r="G225" s="81"/>
      <c r="H225" s="81"/>
      <c r="I225" s="81"/>
      <c r="J225" s="81"/>
      <c r="K225" s="37"/>
      <c r="L225" s="93"/>
      <c r="M225" s="81"/>
      <c r="N225" s="37"/>
      <c r="O225" s="93"/>
      <c r="P225" s="81"/>
      <c r="Q225" s="40"/>
      <c r="R225" s="40"/>
      <c r="S225" s="39"/>
      <c r="T225" s="16"/>
      <c r="U225" s="16"/>
      <c r="V225" s="16"/>
      <c r="W225" s="16"/>
      <c r="X225" s="16"/>
      <c r="Y225" s="19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41"/>
      <c r="AQ225" s="10"/>
      <c r="AR225" s="11"/>
    </row>
    <row r="226" spans="1:46" s="4" customFormat="1" ht="17.25" customHeight="1" x14ac:dyDescent="0.25">
      <c r="A226" s="23"/>
      <c r="B226" s="210" t="s">
        <v>94</v>
      </c>
      <c r="C226" s="203"/>
      <c r="D226" s="66"/>
      <c r="E226" s="66"/>
      <c r="F226" s="117"/>
      <c r="G226" s="117"/>
      <c r="H226" s="66"/>
      <c r="I226" s="66"/>
      <c r="J226" s="66">
        <f>-M226</f>
        <v>7746.9000000000005</v>
      </c>
      <c r="K226" s="58">
        <v>-1302</v>
      </c>
      <c r="L226" s="89">
        <v>5.95</v>
      </c>
      <c r="M226" s="73">
        <f>K226*L226</f>
        <v>-7746.9000000000005</v>
      </c>
      <c r="N226" s="58"/>
      <c r="O226" s="89"/>
      <c r="P226" s="73"/>
      <c r="Q226" s="39"/>
      <c r="R226" s="39"/>
      <c r="S226" s="8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35"/>
      <c r="AP226" s="12" t="e">
        <f>#REF!</f>
        <v>#REF!</v>
      </c>
    </row>
    <row r="227" spans="1:46" s="4" customFormat="1" ht="17.25" customHeight="1" x14ac:dyDescent="0.25">
      <c r="A227" s="23"/>
      <c r="B227" s="201" t="s">
        <v>95</v>
      </c>
      <c r="C227" s="202"/>
      <c r="D227" s="64"/>
      <c r="E227" s="64"/>
      <c r="F227" s="117"/>
      <c r="G227" s="117"/>
      <c r="H227" s="64"/>
      <c r="I227" s="64"/>
      <c r="J227" s="64">
        <f>-P227</f>
        <v>7347.08</v>
      </c>
      <c r="K227" s="57"/>
      <c r="L227" s="88"/>
      <c r="M227" s="62"/>
      <c r="N227" s="57">
        <v>-1846</v>
      </c>
      <c r="O227" s="88">
        <v>3.98</v>
      </c>
      <c r="P227" s="62">
        <f>N227*O227</f>
        <v>-7347.08</v>
      </c>
      <c r="Q227" s="39"/>
      <c r="R227" s="39"/>
      <c r="S227" s="8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35"/>
      <c r="AP227" s="12" t="e">
        <f>#REF!</f>
        <v>#REF!</v>
      </c>
    </row>
    <row r="228" spans="1:46" s="4" customFormat="1" ht="17.25" customHeight="1" x14ac:dyDescent="0.25">
      <c r="A228" s="23"/>
      <c r="B228" s="201" t="s">
        <v>97</v>
      </c>
      <c r="C228" s="203"/>
      <c r="D228" s="64"/>
      <c r="E228" s="64"/>
      <c r="F228" s="64"/>
      <c r="G228" s="64"/>
      <c r="H228" s="64">
        <f>-J228-I228</f>
        <v>4892.2199999999993</v>
      </c>
      <c r="I228" s="64">
        <v>10201.76</v>
      </c>
      <c r="J228" s="64">
        <f>-SUM(J226:J227)</f>
        <v>-15093.98</v>
      </c>
      <c r="K228" s="57"/>
      <c r="L228" s="88"/>
      <c r="M228" s="62"/>
      <c r="N228" s="57"/>
      <c r="O228" s="88"/>
      <c r="P228" s="62"/>
      <c r="Q228" s="39"/>
      <c r="R228" s="39"/>
      <c r="S228" s="39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22"/>
      <c r="AO228" s="43">
        <f>A190</f>
        <v>0</v>
      </c>
      <c r="AP228" s="12" t="e">
        <f>#REF!</f>
        <v>#REF!</v>
      </c>
      <c r="AT228" s="2"/>
    </row>
    <row r="229" spans="1:46" s="4" customFormat="1" ht="17.25" customHeight="1" x14ac:dyDescent="0.25">
      <c r="A229" s="23"/>
      <c r="B229" s="201" t="s">
        <v>93</v>
      </c>
      <c r="C229" s="202"/>
      <c r="D229" s="64"/>
      <c r="E229" s="64"/>
      <c r="F229" s="64"/>
      <c r="G229" s="64"/>
      <c r="H229" s="64"/>
      <c r="I229" s="64"/>
      <c r="J229" s="64"/>
      <c r="K229" s="57">
        <v>-30</v>
      </c>
      <c r="L229" s="88"/>
      <c r="M229" s="62">
        <f>(K232*L206)-M206-M226</f>
        <v>727.70326123128234</v>
      </c>
      <c r="N229" s="57">
        <v>83</v>
      </c>
      <c r="O229" s="88"/>
      <c r="P229" s="62">
        <f>(N232*O206)-P206-P227</f>
        <v>747.72888544891794</v>
      </c>
      <c r="Q229" s="39"/>
      <c r="R229" s="39"/>
      <c r="S229" s="39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22"/>
      <c r="AO229" s="43">
        <f>A200</f>
        <v>0</v>
      </c>
      <c r="AP229" s="12" t="e">
        <f>#REF!</f>
        <v>#REF!</v>
      </c>
      <c r="AT229" s="2"/>
    </row>
    <row r="230" spans="1:46" s="2" customFormat="1" ht="17.25" customHeight="1" x14ac:dyDescent="0.2">
      <c r="A230" s="24"/>
      <c r="B230" s="201"/>
      <c r="C230" s="204"/>
      <c r="D230" s="63"/>
      <c r="E230" s="64"/>
      <c r="F230" s="64"/>
      <c r="G230" s="64"/>
      <c r="H230" s="64"/>
      <c r="I230" s="64"/>
      <c r="J230" s="64"/>
      <c r="K230" s="16"/>
      <c r="L230" s="16"/>
      <c r="M230" s="64"/>
      <c r="N230" s="16"/>
      <c r="O230" s="16"/>
      <c r="P230" s="64"/>
      <c r="Q230" s="46"/>
      <c r="R230" s="46"/>
      <c r="S230" s="39"/>
      <c r="T230" s="16"/>
      <c r="U230" s="16"/>
      <c r="V230" s="16"/>
      <c r="W230" s="16"/>
      <c r="X230" s="16"/>
      <c r="Y230" s="19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43">
        <f>A207</f>
        <v>46034</v>
      </c>
      <c r="AQ230" s="10"/>
      <c r="AR230" s="11"/>
    </row>
    <row r="231" spans="1:46" s="2" customFormat="1" ht="17.25" customHeight="1" thickBot="1" x14ac:dyDescent="0.3">
      <c r="A231" s="56"/>
      <c r="B231" s="101" t="s">
        <v>102</v>
      </c>
      <c r="C231" s="102">
        <f>D232+E232+F232+G232+H232+I232+J232+M232+P232</f>
        <v>62349.069540000026</v>
      </c>
      <c r="D231" s="84"/>
      <c r="E231" s="85"/>
      <c r="F231" s="85"/>
      <c r="G231" s="85"/>
      <c r="H231" s="85"/>
      <c r="I231" s="85"/>
      <c r="J231" s="85"/>
      <c r="K231" s="28"/>
      <c r="L231" s="28"/>
      <c r="M231" s="85"/>
      <c r="N231" s="28"/>
      <c r="O231" s="28"/>
      <c r="P231" s="85"/>
      <c r="Q231" s="48"/>
      <c r="R231" s="48"/>
      <c r="S231" s="51"/>
      <c r="T231" s="28"/>
      <c r="U231" s="28"/>
      <c r="V231" s="28"/>
      <c r="W231" s="28"/>
      <c r="X231" s="28"/>
      <c r="Y231" s="36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42">
        <f>SUM($Q206:AN231)</f>
        <v>-395115.62</v>
      </c>
      <c r="AQ231" s="10"/>
      <c r="AR231" s="11"/>
      <c r="AS231" s="2" t="s">
        <v>5</v>
      </c>
    </row>
    <row r="232" spans="1:46" s="2" customFormat="1" ht="17.25" customHeight="1" thickTop="1" thickBot="1" x14ac:dyDescent="0.3">
      <c r="A232" s="103"/>
      <c r="B232" s="104" t="s">
        <v>103</v>
      </c>
      <c r="C232" s="105">
        <f>AO232</f>
        <v>-332766.55045999994</v>
      </c>
      <c r="D232" s="106">
        <f t="shared" ref="D232:K232" si="21">SUM(D206:D231)</f>
        <v>862.10704000002045</v>
      </c>
      <c r="E232" s="107">
        <f t="shared" si="21"/>
        <v>-43167.180000000008</v>
      </c>
      <c r="F232" s="107">
        <f t="shared" si="21"/>
        <v>0.5</v>
      </c>
      <c r="G232" s="107">
        <f t="shared" si="21"/>
        <v>0</v>
      </c>
      <c r="H232" s="107">
        <f t="shared" si="21"/>
        <v>63002.68250000001</v>
      </c>
      <c r="I232" s="107">
        <f t="shared" si="21"/>
        <v>9378.76</v>
      </c>
      <c r="J232" s="107">
        <f t="shared" si="21"/>
        <v>0</v>
      </c>
      <c r="K232" s="108">
        <f t="shared" si="21"/>
        <v>3476</v>
      </c>
      <c r="L232" s="109">
        <f>M232/K232</f>
        <v>5.2696662830840051</v>
      </c>
      <c r="M232" s="107">
        <f>ROUND(SUM(M206:M231),2)</f>
        <v>18317.36</v>
      </c>
      <c r="N232" s="108">
        <f>SUM(N206:N231)</f>
        <v>3728</v>
      </c>
      <c r="O232" s="109">
        <f>P232/N232</f>
        <v>3.7432510729613733</v>
      </c>
      <c r="P232" s="107">
        <f>ROUND(SUM(P206:P231),2)</f>
        <v>13954.84</v>
      </c>
      <c r="Q232" s="110">
        <f t="shared" ref="Q232:AN232" si="22">SUM(Q206:Q231)</f>
        <v>-442130.23</v>
      </c>
      <c r="R232" s="107">
        <f t="shared" si="22"/>
        <v>50229.299999999996</v>
      </c>
      <c r="S232" s="107">
        <f t="shared" si="22"/>
        <v>0</v>
      </c>
      <c r="T232" s="107">
        <f t="shared" si="22"/>
        <v>-3214.6900000000005</v>
      </c>
      <c r="U232" s="107">
        <f t="shared" si="22"/>
        <v>0</v>
      </c>
      <c r="V232" s="107">
        <f t="shared" si="22"/>
        <v>0</v>
      </c>
      <c r="W232" s="107">
        <f t="shared" si="22"/>
        <v>0</v>
      </c>
      <c r="X232" s="107">
        <f t="shared" si="22"/>
        <v>0</v>
      </c>
      <c r="Y232" s="107">
        <f t="shared" si="22"/>
        <v>0</v>
      </c>
      <c r="Z232" s="107">
        <f t="shared" si="22"/>
        <v>0</v>
      </c>
      <c r="AA232" s="107">
        <f t="shared" si="22"/>
        <v>0</v>
      </c>
      <c r="AB232" s="107">
        <f t="shared" si="22"/>
        <v>0</v>
      </c>
      <c r="AC232" s="107">
        <f t="shared" si="22"/>
        <v>0</v>
      </c>
      <c r="AD232" s="107">
        <f t="shared" si="22"/>
        <v>0</v>
      </c>
      <c r="AE232" s="107">
        <f t="shared" si="22"/>
        <v>0</v>
      </c>
      <c r="AF232" s="107">
        <f t="shared" si="22"/>
        <v>0</v>
      </c>
      <c r="AG232" s="107">
        <f t="shared" si="22"/>
        <v>0</v>
      </c>
      <c r="AH232" s="107">
        <f t="shared" si="22"/>
        <v>0</v>
      </c>
      <c r="AI232" s="107">
        <f t="shared" si="22"/>
        <v>0</v>
      </c>
      <c r="AJ232" s="107">
        <f t="shared" si="22"/>
        <v>0</v>
      </c>
      <c r="AK232" s="107">
        <f t="shared" si="22"/>
        <v>0</v>
      </c>
      <c r="AL232" s="107">
        <f t="shared" si="22"/>
        <v>0</v>
      </c>
      <c r="AM232" s="107">
        <f t="shared" si="22"/>
        <v>0</v>
      </c>
      <c r="AN232" s="107">
        <f t="shared" si="22"/>
        <v>0</v>
      </c>
      <c r="AO232" s="111">
        <f>D232+E232+F232+G232+H232+I232+J232+M232+P232+SUM(Q232:AN232)</f>
        <v>-332766.55045999994</v>
      </c>
      <c r="AP232" s="4"/>
      <c r="AQ232" s="5"/>
      <c r="AR232" s="5"/>
      <c r="AS232" s="2" t="s">
        <v>6</v>
      </c>
    </row>
    <row r="233" spans="1:46" s="2" customFormat="1" ht="17.25" customHeight="1" thickTop="1" x14ac:dyDescent="0.25">
      <c r="A233" s="23">
        <f>A207+1</f>
        <v>46035</v>
      </c>
      <c r="B233" s="210" t="s">
        <v>64</v>
      </c>
      <c r="C233" s="203"/>
      <c r="D233" s="63">
        <v>9177.2800000000007</v>
      </c>
      <c r="E233" s="66"/>
      <c r="F233" s="66"/>
      <c r="G233" s="66"/>
      <c r="H233" s="66"/>
      <c r="I233" s="66">
        <f>-D233</f>
        <v>-9177.2800000000007</v>
      </c>
      <c r="J233" s="66"/>
      <c r="K233" s="18"/>
      <c r="L233" s="18"/>
      <c r="M233" s="66"/>
      <c r="N233" s="18"/>
      <c r="O233" s="18"/>
      <c r="P233" s="66"/>
      <c r="Q233" s="46"/>
      <c r="R233" s="46"/>
      <c r="S233" s="45"/>
      <c r="T233" s="18"/>
      <c r="U233" s="18"/>
      <c r="V233" s="18"/>
      <c r="W233" s="18"/>
      <c r="X233" s="18"/>
      <c r="Y233" s="14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31"/>
      <c r="AQ233" s="10"/>
      <c r="AR233" s="27"/>
    </row>
    <row r="234" spans="1:46" s="4" customFormat="1" ht="17.25" customHeight="1" x14ac:dyDescent="0.25">
      <c r="A234" s="23"/>
      <c r="B234" s="201" t="s">
        <v>96</v>
      </c>
      <c r="C234" s="202"/>
      <c r="D234" s="63"/>
      <c r="E234" s="64"/>
      <c r="F234" s="64"/>
      <c r="G234" s="64"/>
      <c r="H234" s="64"/>
      <c r="I234" s="64">
        <f>-I232-I233</f>
        <v>-201.47999999999956</v>
      </c>
      <c r="J234" s="64"/>
      <c r="K234" s="16"/>
      <c r="L234" s="92"/>
      <c r="M234" s="64"/>
      <c r="N234" s="16"/>
      <c r="O234" s="92"/>
      <c r="P234" s="64"/>
      <c r="Q234" s="40"/>
      <c r="R234" s="46"/>
      <c r="S234" s="39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22"/>
      <c r="AP234" s="30"/>
    </row>
    <row r="235" spans="1:46" s="2" customFormat="1" ht="17.25" customHeight="1" x14ac:dyDescent="0.25">
      <c r="A235" s="29"/>
      <c r="B235" s="201" t="s">
        <v>327</v>
      </c>
      <c r="C235" s="202"/>
      <c r="D235" s="63">
        <f>50+160.5+12+30+15+10+80+15+10</f>
        <v>382.5</v>
      </c>
      <c r="E235" s="64"/>
      <c r="F235" s="64"/>
      <c r="G235" s="64"/>
      <c r="H235" s="64"/>
      <c r="I235" s="64">
        <f>-D235</f>
        <v>-382.5</v>
      </c>
      <c r="J235" s="64"/>
      <c r="K235" s="57"/>
      <c r="L235" s="88"/>
      <c r="M235" s="62"/>
      <c r="N235" s="57"/>
      <c r="O235" s="88"/>
      <c r="P235" s="62"/>
      <c r="Q235" s="47"/>
      <c r="R235" s="39"/>
      <c r="S235" s="39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22"/>
      <c r="AQ235" s="10"/>
      <c r="AR235" s="11"/>
    </row>
    <row r="236" spans="1:46" s="2" customFormat="1" ht="17.25" customHeight="1" x14ac:dyDescent="0.25">
      <c r="A236" s="29"/>
      <c r="B236" s="201" t="s">
        <v>328</v>
      </c>
      <c r="C236" s="202"/>
      <c r="D236" s="63">
        <f>-8*0.99-1.28</f>
        <v>-9.1999999999999993</v>
      </c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47"/>
      <c r="R236" s="39"/>
      <c r="S236" s="39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22"/>
      <c r="AQ236" s="10"/>
      <c r="AR236" s="11"/>
    </row>
    <row r="237" spans="1:46" s="4" customFormat="1" ht="17.25" customHeight="1" x14ac:dyDescent="0.25">
      <c r="A237" s="23"/>
      <c r="B237" s="201" t="s">
        <v>13</v>
      </c>
      <c r="C237" s="203"/>
      <c r="D237" s="63"/>
      <c r="E237" s="64">
        <f>80+100+50+50+40+50+100+1152+1717</f>
        <v>3339</v>
      </c>
      <c r="F237" s="64"/>
      <c r="G237" s="64"/>
      <c r="H237" s="64">
        <f>-E237</f>
        <v>-3339</v>
      </c>
      <c r="I237" s="66"/>
      <c r="J237" s="64"/>
      <c r="K237" s="16"/>
      <c r="L237" s="92"/>
      <c r="M237" s="64"/>
      <c r="N237" s="16"/>
      <c r="O237" s="92"/>
      <c r="P237" s="64"/>
      <c r="Q237" s="40"/>
      <c r="R237" s="46"/>
      <c r="S237" s="39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22"/>
      <c r="AP237" s="30"/>
    </row>
    <row r="238" spans="1:46" s="2" customFormat="1" ht="17.25" customHeight="1" x14ac:dyDescent="0.25">
      <c r="A238" s="24"/>
      <c r="B238" s="201" t="s">
        <v>366</v>
      </c>
      <c r="C238" s="203"/>
      <c r="D238" s="63"/>
      <c r="E238" s="64">
        <v>-180.87</v>
      </c>
      <c r="F238" s="64"/>
      <c r="G238" s="64"/>
      <c r="H238" s="64"/>
      <c r="I238" s="64"/>
      <c r="J238" s="64"/>
      <c r="K238" s="16"/>
      <c r="L238" s="92"/>
      <c r="M238" s="64"/>
      <c r="N238" s="16"/>
      <c r="O238" s="92"/>
      <c r="P238" s="64"/>
      <c r="Q238" s="40"/>
      <c r="R238" s="40"/>
      <c r="S238" s="39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22"/>
      <c r="AQ238" s="10"/>
      <c r="AR238" s="11"/>
    </row>
    <row r="239" spans="1:46" s="2" customFormat="1" ht="17.25" customHeight="1" x14ac:dyDescent="0.2">
      <c r="A239" s="23"/>
      <c r="B239" s="201" t="s">
        <v>196</v>
      </c>
      <c r="C239" s="203"/>
      <c r="D239" s="63"/>
      <c r="E239" s="64"/>
      <c r="F239" s="74"/>
      <c r="G239" s="74"/>
      <c r="H239" s="64"/>
      <c r="I239" s="64"/>
      <c r="J239" s="64"/>
      <c r="K239" s="16"/>
      <c r="L239" s="16"/>
      <c r="M239" s="64"/>
      <c r="N239" s="16"/>
      <c r="O239" s="16"/>
      <c r="P239" s="64"/>
      <c r="Q239" s="46"/>
      <c r="R239" s="39"/>
      <c r="S239" s="40"/>
      <c r="T239" s="16"/>
      <c r="U239" s="16"/>
      <c r="V239" s="16"/>
      <c r="W239" s="16"/>
      <c r="X239" s="16"/>
      <c r="Y239" s="19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35"/>
      <c r="AQ239" s="10"/>
      <c r="AR239" s="27"/>
    </row>
    <row r="240" spans="1:46" s="2" customFormat="1" ht="17.25" customHeight="1" x14ac:dyDescent="0.25">
      <c r="A240" s="29"/>
      <c r="B240" s="201" t="s">
        <v>72</v>
      </c>
      <c r="C240" s="202"/>
      <c r="D240" s="63"/>
      <c r="E240" s="64"/>
      <c r="F240" s="64"/>
      <c r="G240" s="64"/>
      <c r="H240" s="64"/>
      <c r="I240" s="64"/>
      <c r="J240" s="64"/>
      <c r="K240" s="57"/>
      <c r="L240" s="88"/>
      <c r="M240" s="62"/>
      <c r="N240" s="57"/>
      <c r="O240" s="88"/>
      <c r="P240" s="62"/>
      <c r="Q240" s="47"/>
      <c r="R240" s="39"/>
      <c r="S240" s="39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22"/>
      <c r="AQ240" s="10" t="s">
        <v>4</v>
      </c>
      <c r="AR240" s="11" t="e">
        <v>#REF!</v>
      </c>
    </row>
    <row r="241" spans="1:46" s="2" customFormat="1" ht="17.25" customHeight="1" x14ac:dyDescent="0.2">
      <c r="A241" s="23"/>
      <c r="B241" s="211" t="s">
        <v>321</v>
      </c>
      <c r="C241" s="206"/>
      <c r="D241" s="64"/>
      <c r="E241" s="64"/>
      <c r="F241" s="64"/>
      <c r="G241" s="74"/>
      <c r="H241" s="64"/>
      <c r="I241" s="64"/>
      <c r="J241" s="64"/>
      <c r="K241" s="16"/>
      <c r="L241" s="16"/>
      <c r="M241" s="64"/>
      <c r="N241" s="167">
        <v>10000</v>
      </c>
      <c r="O241" s="92">
        <v>3.8</v>
      </c>
      <c r="P241" s="64">
        <f>N241*O241</f>
        <v>38000</v>
      </c>
      <c r="Q241" s="46">
        <f>-P241</f>
        <v>-38000</v>
      </c>
      <c r="R241" s="39"/>
      <c r="S241" s="40"/>
      <c r="T241" s="16"/>
      <c r="U241" s="16"/>
      <c r="V241" s="16">
        <f>-D241</f>
        <v>0</v>
      </c>
      <c r="W241" s="16"/>
      <c r="X241" s="16"/>
      <c r="Y241" s="19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35"/>
      <c r="AQ241" s="10"/>
      <c r="AR241" s="27"/>
    </row>
    <row r="242" spans="1:46" s="2" customFormat="1" ht="17.25" customHeight="1" thickBot="1" x14ac:dyDescent="0.25">
      <c r="A242" s="24"/>
      <c r="B242" s="216"/>
      <c r="C242" s="242"/>
      <c r="D242" s="83"/>
      <c r="E242" s="81"/>
      <c r="F242" s="81"/>
      <c r="G242" s="81"/>
      <c r="H242" s="81"/>
      <c r="I242" s="81"/>
      <c r="J242" s="81"/>
      <c r="K242" s="37"/>
      <c r="L242" s="93"/>
      <c r="M242" s="81"/>
      <c r="N242" s="37"/>
      <c r="O242" s="93"/>
      <c r="P242" s="81"/>
      <c r="Q242" s="40"/>
      <c r="R242" s="40"/>
      <c r="S242" s="39"/>
      <c r="T242" s="16"/>
      <c r="U242" s="16"/>
      <c r="V242" s="16"/>
      <c r="W242" s="16"/>
      <c r="X242" s="16"/>
      <c r="Y242" s="19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41"/>
      <c r="AQ242" s="10"/>
      <c r="AR242" s="11"/>
    </row>
    <row r="243" spans="1:46" s="4" customFormat="1" ht="17.25" customHeight="1" x14ac:dyDescent="0.25">
      <c r="A243" s="23"/>
      <c r="B243" s="210" t="s">
        <v>94</v>
      </c>
      <c r="C243" s="203"/>
      <c r="D243" s="66"/>
      <c r="E243" s="66"/>
      <c r="F243" s="135"/>
      <c r="G243" s="135"/>
      <c r="H243" s="66"/>
      <c r="I243" s="66"/>
      <c r="J243" s="66">
        <f>-M243</f>
        <v>5575.1500000000005</v>
      </c>
      <c r="K243" s="58">
        <v>-937</v>
      </c>
      <c r="L243" s="89">
        <v>5.95</v>
      </c>
      <c r="M243" s="73">
        <f>K243*L243</f>
        <v>-5575.1500000000005</v>
      </c>
      <c r="N243" s="58"/>
      <c r="O243" s="89"/>
      <c r="P243" s="73"/>
      <c r="Q243" s="39"/>
      <c r="R243" s="39"/>
      <c r="S243" s="8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35"/>
      <c r="AP243" s="12" t="e">
        <f>#REF!</f>
        <v>#REF!</v>
      </c>
    </row>
    <row r="244" spans="1:46" s="4" customFormat="1" ht="17.25" customHeight="1" x14ac:dyDescent="0.25">
      <c r="A244" s="23"/>
      <c r="B244" s="201" t="s">
        <v>95</v>
      </c>
      <c r="C244" s="202"/>
      <c r="D244" s="64"/>
      <c r="E244" s="64"/>
      <c r="F244" s="117"/>
      <c r="G244" s="117"/>
      <c r="H244" s="64"/>
      <c r="I244" s="64"/>
      <c r="J244" s="64">
        <f>-P244</f>
        <v>6965</v>
      </c>
      <c r="K244" s="57"/>
      <c r="L244" s="88"/>
      <c r="M244" s="62"/>
      <c r="N244" s="57">
        <v>-1750</v>
      </c>
      <c r="O244" s="88">
        <v>3.98</v>
      </c>
      <c r="P244" s="62">
        <f>N244*O244</f>
        <v>-6965</v>
      </c>
      <c r="Q244" s="39"/>
      <c r="R244" s="39"/>
      <c r="S244" s="8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35"/>
      <c r="AP244" s="12" t="e">
        <f>#REF!</f>
        <v>#REF!</v>
      </c>
    </row>
    <row r="245" spans="1:46" s="4" customFormat="1" ht="17.25" customHeight="1" x14ac:dyDescent="0.25">
      <c r="A245" s="23"/>
      <c r="B245" s="201" t="s">
        <v>97</v>
      </c>
      <c r="C245" s="203"/>
      <c r="D245" s="64"/>
      <c r="E245" s="64"/>
      <c r="F245" s="64"/>
      <c r="G245" s="64"/>
      <c r="H245" s="64">
        <f>-J245-I245</f>
        <v>3627.6600000000017</v>
      </c>
      <c r="I245" s="64">
        <v>8912.49</v>
      </c>
      <c r="J245" s="64">
        <f>-SUM(J243:J244)</f>
        <v>-12540.150000000001</v>
      </c>
      <c r="K245" s="57"/>
      <c r="L245" s="88"/>
      <c r="M245" s="62"/>
      <c r="N245" s="57"/>
      <c r="O245" s="88"/>
      <c r="P245" s="62"/>
      <c r="Q245" s="39"/>
      <c r="R245" s="39"/>
      <c r="S245" s="39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22"/>
      <c r="AO245" s="43">
        <f>A203</f>
        <v>0</v>
      </c>
      <c r="AP245" s="12" t="e">
        <f>#REF!</f>
        <v>#REF!</v>
      </c>
      <c r="AT245" s="2"/>
    </row>
    <row r="246" spans="1:46" s="4" customFormat="1" ht="17.25" customHeight="1" x14ac:dyDescent="0.25">
      <c r="A246" s="23"/>
      <c r="B246" s="201" t="s">
        <v>93</v>
      </c>
      <c r="C246" s="202"/>
      <c r="D246" s="64"/>
      <c r="E246" s="64"/>
      <c r="F246" s="64"/>
      <c r="G246" s="64"/>
      <c r="H246" s="64"/>
      <c r="I246" s="64"/>
      <c r="J246" s="64"/>
      <c r="K246" s="57">
        <v>3</v>
      </c>
      <c r="L246" s="88"/>
      <c r="M246" s="62">
        <f>(K249*L232)-M232-M243</f>
        <v>653.28169159954177</v>
      </c>
      <c r="N246" s="57">
        <v>-120</v>
      </c>
      <c r="O246" s="88"/>
      <c r="P246" s="62">
        <f>(N249*(P232+P241)/(N232+N241))-P232-P244-P241</f>
        <v>-112.18173076923995</v>
      </c>
      <c r="Q246" s="39"/>
      <c r="R246" s="39"/>
      <c r="S246" s="39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22"/>
      <c r="AO246" s="43">
        <f>A226</f>
        <v>0</v>
      </c>
      <c r="AP246" s="12" t="e">
        <f>#REF!</f>
        <v>#REF!</v>
      </c>
      <c r="AT246" s="2"/>
    </row>
    <row r="247" spans="1:46" s="2" customFormat="1" ht="17.25" customHeight="1" x14ac:dyDescent="0.2">
      <c r="A247" s="24"/>
      <c r="B247" s="201"/>
      <c r="C247" s="204"/>
      <c r="D247" s="63"/>
      <c r="E247" s="64"/>
      <c r="F247" s="64"/>
      <c r="G247" s="64"/>
      <c r="H247" s="64"/>
      <c r="I247" s="64"/>
      <c r="J247" s="64"/>
      <c r="K247" s="16"/>
      <c r="L247" s="16"/>
      <c r="M247" s="64"/>
      <c r="N247" s="16"/>
      <c r="O247" s="16"/>
      <c r="P247" s="64"/>
      <c r="Q247" s="46"/>
      <c r="R247" s="46"/>
      <c r="S247" s="39"/>
      <c r="T247" s="16"/>
      <c r="U247" s="16"/>
      <c r="V247" s="16"/>
      <c r="W247" s="16"/>
      <c r="X247" s="16"/>
      <c r="Y247" s="19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43">
        <f>A233</f>
        <v>46035</v>
      </c>
      <c r="AQ247" s="10"/>
      <c r="AR247" s="11"/>
    </row>
    <row r="248" spans="1:46" s="2" customFormat="1" ht="17.25" customHeight="1" thickBot="1" x14ac:dyDescent="0.3">
      <c r="A248" s="56"/>
      <c r="B248" s="101" t="s">
        <v>102</v>
      </c>
      <c r="C248" s="102">
        <f>D249+E249+F249+G249+H249+I249+J249+M249+P249</f>
        <v>100498.61954000001</v>
      </c>
      <c r="D248" s="84"/>
      <c r="E248" s="85"/>
      <c r="F248" s="85"/>
      <c r="G248" s="85"/>
      <c r="H248" s="85"/>
      <c r="I248" s="85"/>
      <c r="J248" s="85"/>
      <c r="K248" s="28"/>
      <c r="L248" s="28"/>
      <c r="M248" s="85"/>
      <c r="N248" s="28"/>
      <c r="O248" s="28"/>
      <c r="P248" s="85"/>
      <c r="Q248" s="48"/>
      <c r="R248" s="48"/>
      <c r="S248" s="51"/>
      <c r="T248" s="28"/>
      <c r="U248" s="28"/>
      <c r="V248" s="28"/>
      <c r="W248" s="28"/>
      <c r="X248" s="28"/>
      <c r="Y248" s="36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42">
        <f>SUM($Q232:AN248)</f>
        <v>-433115.62</v>
      </c>
      <c r="AQ248" s="10"/>
      <c r="AR248" s="11"/>
      <c r="AS248" s="2" t="s">
        <v>5</v>
      </c>
    </row>
    <row r="249" spans="1:46" s="2" customFormat="1" ht="17.25" customHeight="1" thickTop="1" thickBot="1" x14ac:dyDescent="0.3">
      <c r="A249" s="103"/>
      <c r="B249" s="104" t="s">
        <v>103</v>
      </c>
      <c r="C249" s="105">
        <f>AO249</f>
        <v>-332617.00046000001</v>
      </c>
      <c r="D249" s="106">
        <f t="shared" ref="D249:K249" si="23">SUM(D232:D248)</f>
        <v>10412.687040000021</v>
      </c>
      <c r="E249" s="107">
        <f t="shared" si="23"/>
        <v>-40009.05000000001</v>
      </c>
      <c r="F249" s="107">
        <f t="shared" si="23"/>
        <v>0.5</v>
      </c>
      <c r="G249" s="107">
        <f t="shared" si="23"/>
        <v>0</v>
      </c>
      <c r="H249" s="107">
        <f t="shared" si="23"/>
        <v>63291.342500000013</v>
      </c>
      <c r="I249" s="107">
        <f t="shared" si="23"/>
        <v>8529.99</v>
      </c>
      <c r="J249" s="107">
        <f t="shared" si="23"/>
        <v>0</v>
      </c>
      <c r="K249" s="108">
        <f t="shared" si="23"/>
        <v>2542</v>
      </c>
      <c r="L249" s="109">
        <f>M249/K249</f>
        <v>5.2696656176239181</v>
      </c>
      <c r="M249" s="107">
        <f>ROUND(SUM(M232:M248),2)</f>
        <v>13395.49</v>
      </c>
      <c r="N249" s="108">
        <f>SUM(N232:N248)</f>
        <v>11858</v>
      </c>
      <c r="O249" s="109">
        <f>P249/N249</f>
        <v>3.7845893067970993</v>
      </c>
      <c r="P249" s="107">
        <f>ROUND(SUM(P232:P248),2)</f>
        <v>44877.66</v>
      </c>
      <c r="Q249" s="110">
        <f t="shared" ref="Q249:AN249" si="24">SUM(Q232:Q248)</f>
        <v>-480130.23</v>
      </c>
      <c r="R249" s="107">
        <f t="shared" si="24"/>
        <v>50229.299999999996</v>
      </c>
      <c r="S249" s="107">
        <f t="shared" si="24"/>
        <v>0</v>
      </c>
      <c r="T249" s="107">
        <f t="shared" si="24"/>
        <v>-3214.6900000000005</v>
      </c>
      <c r="U249" s="107">
        <f t="shared" si="24"/>
        <v>0</v>
      </c>
      <c r="V249" s="107">
        <f t="shared" si="24"/>
        <v>0</v>
      </c>
      <c r="W249" s="107">
        <f t="shared" si="24"/>
        <v>0</v>
      </c>
      <c r="X249" s="107">
        <f t="shared" si="24"/>
        <v>0</v>
      </c>
      <c r="Y249" s="107">
        <f t="shared" si="24"/>
        <v>0</v>
      </c>
      <c r="Z249" s="107">
        <f t="shared" si="24"/>
        <v>0</v>
      </c>
      <c r="AA249" s="107">
        <f t="shared" si="24"/>
        <v>0</v>
      </c>
      <c r="AB249" s="107">
        <f t="shared" si="24"/>
        <v>0</v>
      </c>
      <c r="AC249" s="107">
        <f t="shared" si="24"/>
        <v>0</v>
      </c>
      <c r="AD249" s="107">
        <f t="shared" si="24"/>
        <v>0</v>
      </c>
      <c r="AE249" s="107">
        <f t="shared" si="24"/>
        <v>0</v>
      </c>
      <c r="AF249" s="107">
        <f t="shared" si="24"/>
        <v>0</v>
      </c>
      <c r="AG249" s="107">
        <f t="shared" si="24"/>
        <v>0</v>
      </c>
      <c r="AH249" s="107">
        <f t="shared" si="24"/>
        <v>0</v>
      </c>
      <c r="AI249" s="107">
        <f t="shared" si="24"/>
        <v>0</v>
      </c>
      <c r="AJ249" s="107">
        <f t="shared" si="24"/>
        <v>0</v>
      </c>
      <c r="AK249" s="107">
        <f t="shared" si="24"/>
        <v>0</v>
      </c>
      <c r="AL249" s="107">
        <f t="shared" si="24"/>
        <v>0</v>
      </c>
      <c r="AM249" s="107">
        <f t="shared" si="24"/>
        <v>0</v>
      </c>
      <c r="AN249" s="107">
        <f t="shared" si="24"/>
        <v>0</v>
      </c>
      <c r="AO249" s="111">
        <f>D249+E249+F249+G249+H249+I249+J249+M249+P249+SUM(Q249:AN249)</f>
        <v>-332617.00046000001</v>
      </c>
      <c r="AP249" s="4"/>
      <c r="AQ249" s="5"/>
      <c r="AR249" s="5"/>
      <c r="AS249" s="2" t="s">
        <v>6</v>
      </c>
    </row>
    <row r="250" spans="1:46" s="2" customFormat="1" ht="17.25" customHeight="1" thickTop="1" x14ac:dyDescent="0.25">
      <c r="A250" s="23">
        <f>A233+1</f>
        <v>46036</v>
      </c>
      <c r="B250" s="210" t="s">
        <v>64</v>
      </c>
      <c r="C250" s="203"/>
      <c r="D250" s="63">
        <v>8340.9599999999991</v>
      </c>
      <c r="E250" s="66"/>
      <c r="F250" s="66"/>
      <c r="G250" s="66"/>
      <c r="H250" s="66"/>
      <c r="I250" s="66">
        <f>-D250</f>
        <v>-8340.9599999999991</v>
      </c>
      <c r="J250" s="66"/>
      <c r="K250" s="18"/>
      <c r="L250" s="18"/>
      <c r="M250" s="66"/>
      <c r="N250" s="18"/>
      <c r="O250" s="18"/>
      <c r="P250" s="66"/>
      <c r="Q250" s="46"/>
      <c r="R250" s="46"/>
      <c r="S250" s="45"/>
      <c r="T250" s="18"/>
      <c r="U250" s="18"/>
      <c r="V250" s="18"/>
      <c r="W250" s="18"/>
      <c r="X250" s="18"/>
      <c r="Y250" s="14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31"/>
      <c r="AQ250" s="10"/>
      <c r="AR250" s="27"/>
    </row>
    <row r="251" spans="1:46" s="4" customFormat="1" ht="17.25" customHeight="1" x14ac:dyDescent="0.25">
      <c r="A251" s="23"/>
      <c r="B251" s="201" t="s">
        <v>96</v>
      </c>
      <c r="C251" s="202"/>
      <c r="D251" s="63"/>
      <c r="E251" s="64"/>
      <c r="F251" s="64"/>
      <c r="G251" s="64"/>
      <c r="H251" s="64"/>
      <c r="I251" s="64">
        <f>-I249-I250</f>
        <v>-189.03000000000065</v>
      </c>
      <c r="J251" s="64"/>
      <c r="K251" s="16"/>
      <c r="L251" s="92"/>
      <c r="M251" s="64"/>
      <c r="N251" s="16"/>
      <c r="O251" s="92"/>
      <c r="P251" s="64"/>
      <c r="Q251" s="40"/>
      <c r="R251" s="46"/>
      <c r="S251" s="39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22"/>
      <c r="AP251" s="30"/>
    </row>
    <row r="252" spans="1:46" s="2" customFormat="1" ht="17.25" customHeight="1" x14ac:dyDescent="0.25">
      <c r="A252" s="29"/>
      <c r="B252" s="201" t="s">
        <v>327</v>
      </c>
      <c r="C252" s="202"/>
      <c r="D252" s="63">
        <f>10+10+50+50+20+100+100+20+30+100+50+270</f>
        <v>810</v>
      </c>
      <c r="E252" s="64"/>
      <c r="F252" s="64"/>
      <c r="G252" s="64"/>
      <c r="H252" s="64"/>
      <c r="I252" s="64">
        <f>-D252</f>
        <v>-810</v>
      </c>
      <c r="J252" s="64"/>
      <c r="K252" s="57"/>
      <c r="L252" s="88"/>
      <c r="M252" s="62"/>
      <c r="N252" s="57"/>
      <c r="O252" s="88"/>
      <c r="P252" s="62"/>
      <c r="Q252" s="47"/>
      <c r="R252" s="39"/>
      <c r="S252" s="39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22"/>
      <c r="AQ252" s="10"/>
      <c r="AR252" s="11"/>
    </row>
    <row r="253" spans="1:46" s="2" customFormat="1" ht="17.25" customHeight="1" x14ac:dyDescent="0.25">
      <c r="A253" s="29"/>
      <c r="B253" s="201" t="s">
        <v>328</v>
      </c>
      <c r="C253" s="202"/>
      <c r="D253" s="63">
        <f>-11*0.99-2.16</f>
        <v>-13.05</v>
      </c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47"/>
      <c r="R253" s="39"/>
      <c r="S253" s="39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22"/>
      <c r="AQ253" s="10"/>
      <c r="AR253" s="11"/>
    </row>
    <row r="254" spans="1:46" s="4" customFormat="1" ht="17.25" customHeight="1" x14ac:dyDescent="0.25">
      <c r="A254" s="23"/>
      <c r="B254" s="201" t="s">
        <v>13</v>
      </c>
      <c r="C254" s="203"/>
      <c r="D254" s="63"/>
      <c r="E254" s="64">
        <f>138+10+100+24+10+20</f>
        <v>302</v>
      </c>
      <c r="F254" s="64"/>
      <c r="G254" s="64"/>
      <c r="H254" s="64">
        <f>-E254</f>
        <v>-302</v>
      </c>
      <c r="I254" s="66"/>
      <c r="J254" s="64"/>
      <c r="K254" s="16"/>
      <c r="L254" s="92"/>
      <c r="M254" s="64"/>
      <c r="N254" s="16"/>
      <c r="O254" s="92"/>
      <c r="P254" s="64"/>
      <c r="Q254" s="40"/>
      <c r="R254" s="46"/>
      <c r="S254" s="39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22"/>
      <c r="AP254" s="30"/>
    </row>
    <row r="255" spans="1:46" s="2" customFormat="1" ht="17.25" customHeight="1" x14ac:dyDescent="0.25">
      <c r="A255" s="24"/>
      <c r="B255" s="201" t="s">
        <v>181</v>
      </c>
      <c r="C255" s="203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46"/>
      <c r="R255" s="40"/>
      <c r="S255" s="39"/>
      <c r="T255" s="16"/>
      <c r="U255" s="16"/>
      <c r="V255" s="16"/>
      <c r="W255" s="16"/>
      <c r="X255" s="16"/>
      <c r="Y255" s="19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22"/>
      <c r="AQ255" s="10"/>
      <c r="AR255" s="11"/>
    </row>
    <row r="256" spans="1:46" s="2" customFormat="1" ht="17.25" customHeight="1" x14ac:dyDescent="0.25">
      <c r="A256" s="29"/>
      <c r="B256" s="201" t="s">
        <v>72</v>
      </c>
      <c r="C256" s="202"/>
      <c r="D256" s="63"/>
      <c r="E256" s="64"/>
      <c r="F256" s="64"/>
      <c r="G256" s="64"/>
      <c r="H256" s="64"/>
      <c r="I256" s="64"/>
      <c r="J256" s="64"/>
      <c r="K256" s="57"/>
      <c r="L256" s="88"/>
      <c r="M256" s="62"/>
      <c r="N256" s="57"/>
      <c r="O256" s="88"/>
      <c r="P256" s="62"/>
      <c r="Q256" s="47"/>
      <c r="R256" s="39"/>
      <c r="S256" s="39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22"/>
      <c r="AQ256" s="10" t="s">
        <v>4</v>
      </c>
      <c r="AR256" s="11" t="e">
        <v>#REF!</v>
      </c>
    </row>
    <row r="257" spans="1:46" s="2" customFormat="1" ht="17.25" customHeight="1" x14ac:dyDescent="0.2">
      <c r="A257" s="23"/>
      <c r="B257" s="201" t="s">
        <v>210</v>
      </c>
      <c r="C257" s="203"/>
      <c r="D257" s="64"/>
      <c r="E257" s="64"/>
      <c r="F257" s="74"/>
      <c r="G257" s="74"/>
      <c r="H257" s="64"/>
      <c r="I257" s="64"/>
      <c r="J257" s="64"/>
      <c r="K257" s="16"/>
      <c r="L257" s="16"/>
      <c r="M257" s="64"/>
      <c r="N257" s="16"/>
      <c r="O257" s="16"/>
      <c r="P257" s="64"/>
      <c r="Q257" s="46"/>
      <c r="R257" s="39"/>
      <c r="S257" s="40"/>
      <c r="T257" s="16"/>
      <c r="U257" s="16"/>
      <c r="V257" s="16"/>
      <c r="W257" s="16"/>
      <c r="X257" s="16"/>
      <c r="Y257" s="19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35"/>
      <c r="AQ257" s="10"/>
      <c r="AR257" s="27"/>
    </row>
    <row r="258" spans="1:46" s="2" customFormat="1" ht="17.25" customHeight="1" thickBot="1" x14ac:dyDescent="0.25">
      <c r="A258" s="24"/>
      <c r="B258" s="216"/>
      <c r="C258" s="217"/>
      <c r="D258" s="83"/>
      <c r="E258" s="81"/>
      <c r="F258" s="81"/>
      <c r="G258" s="81"/>
      <c r="H258" s="81"/>
      <c r="I258" s="81"/>
      <c r="J258" s="81"/>
      <c r="K258" s="37"/>
      <c r="L258" s="93"/>
      <c r="M258" s="81"/>
      <c r="N258" s="37"/>
      <c r="O258" s="93"/>
      <c r="P258" s="81"/>
      <c r="Q258" s="40"/>
      <c r="R258" s="40"/>
      <c r="S258" s="39"/>
      <c r="T258" s="16"/>
      <c r="U258" s="16"/>
      <c r="V258" s="16"/>
      <c r="W258" s="16"/>
      <c r="X258" s="16"/>
      <c r="Y258" s="19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41"/>
      <c r="AQ258" s="10"/>
      <c r="AR258" s="11"/>
    </row>
    <row r="259" spans="1:46" s="4" customFormat="1" ht="17.25" customHeight="1" x14ac:dyDescent="0.25">
      <c r="A259" s="23"/>
      <c r="B259" s="210" t="s">
        <v>94</v>
      </c>
      <c r="C259" s="203"/>
      <c r="D259" s="66"/>
      <c r="E259" s="66"/>
      <c r="F259" s="117"/>
      <c r="G259" s="117"/>
      <c r="H259" s="66"/>
      <c r="I259" s="66"/>
      <c r="J259" s="66">
        <f>-M259</f>
        <v>7032.9000000000005</v>
      </c>
      <c r="K259" s="58">
        <v>-1182</v>
      </c>
      <c r="L259" s="89">
        <v>5.95</v>
      </c>
      <c r="M259" s="73">
        <f>K259*L259</f>
        <v>-7032.9000000000005</v>
      </c>
      <c r="N259" s="58"/>
      <c r="O259" s="89"/>
      <c r="P259" s="73"/>
      <c r="Q259" s="39"/>
      <c r="R259" s="39"/>
      <c r="S259" s="8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35"/>
      <c r="AP259" s="12" t="e">
        <f>#REF!</f>
        <v>#REF!</v>
      </c>
    </row>
    <row r="260" spans="1:46" s="4" customFormat="1" ht="17.25" customHeight="1" x14ac:dyDescent="0.25">
      <c r="A260" s="23"/>
      <c r="B260" s="201" t="s">
        <v>95</v>
      </c>
      <c r="C260" s="202"/>
      <c r="D260" s="64"/>
      <c r="E260" s="64"/>
      <c r="F260" s="117"/>
      <c r="G260" s="117"/>
      <c r="H260" s="64"/>
      <c r="I260" s="64"/>
      <c r="J260" s="64">
        <f>-P260</f>
        <v>7605.78</v>
      </c>
      <c r="K260" s="57"/>
      <c r="L260" s="88"/>
      <c r="M260" s="62"/>
      <c r="N260" s="57">
        <v>-1911</v>
      </c>
      <c r="O260" s="88">
        <v>3.98</v>
      </c>
      <c r="P260" s="62">
        <f>N260*O260</f>
        <v>-7605.78</v>
      </c>
      <c r="Q260" s="39"/>
      <c r="R260" s="39"/>
      <c r="S260" s="8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35"/>
      <c r="AP260" s="12" t="e">
        <f>#REF!</f>
        <v>#REF!</v>
      </c>
    </row>
    <row r="261" spans="1:46" s="4" customFormat="1" ht="17.25" customHeight="1" x14ac:dyDescent="0.25">
      <c r="A261" s="23"/>
      <c r="B261" s="201" t="s">
        <v>97</v>
      </c>
      <c r="C261" s="203"/>
      <c r="D261" s="64"/>
      <c r="E261" s="64"/>
      <c r="F261" s="64"/>
      <c r="G261" s="64"/>
      <c r="H261" s="64">
        <f>-J261-I261</f>
        <v>4300.2700000000004</v>
      </c>
      <c r="I261" s="64">
        <v>10338.41</v>
      </c>
      <c r="J261" s="64">
        <f>-SUM(J259:J260)</f>
        <v>-14638.68</v>
      </c>
      <c r="K261" s="57"/>
      <c r="L261" s="88"/>
      <c r="M261" s="62"/>
      <c r="N261" s="57"/>
      <c r="O261" s="88"/>
      <c r="P261" s="62"/>
      <c r="Q261" s="39"/>
      <c r="R261" s="39"/>
      <c r="S261" s="39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22"/>
      <c r="AO261" s="43">
        <f>A229</f>
        <v>0</v>
      </c>
      <c r="AP261" s="12" t="e">
        <f>#REF!</f>
        <v>#REF!</v>
      </c>
      <c r="AT261" s="2"/>
    </row>
    <row r="262" spans="1:46" s="4" customFormat="1" ht="17.25" customHeight="1" x14ac:dyDescent="0.25">
      <c r="A262" s="23"/>
      <c r="B262" s="201" t="s">
        <v>93</v>
      </c>
      <c r="C262" s="202"/>
      <c r="D262" s="64"/>
      <c r="E262" s="64"/>
      <c r="F262" s="64"/>
      <c r="G262" s="64"/>
      <c r="H262" s="64"/>
      <c r="I262" s="64"/>
      <c r="J262" s="64"/>
      <c r="K262" s="57">
        <v>86</v>
      </c>
      <c r="L262" s="88"/>
      <c r="M262" s="62">
        <f>(K265*L249)-M249-M259</f>
        <v>1257.3464830841858</v>
      </c>
      <c r="N262" s="57">
        <v>-61</v>
      </c>
      <c r="O262" s="88"/>
      <c r="P262" s="62">
        <f>(N265*O249)-P249-P260</f>
        <v>142.56988699612066</v>
      </c>
      <c r="Q262" s="39"/>
      <c r="R262" s="39"/>
      <c r="S262" s="39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22"/>
      <c r="AO262" s="43">
        <f>A243</f>
        <v>0</v>
      </c>
      <c r="AP262" s="12" t="e">
        <f>#REF!</f>
        <v>#REF!</v>
      </c>
      <c r="AT262" s="2"/>
    </row>
    <row r="263" spans="1:46" s="2" customFormat="1" ht="17.25" customHeight="1" x14ac:dyDescent="0.2">
      <c r="A263" s="24"/>
      <c r="B263" s="201"/>
      <c r="C263" s="204"/>
      <c r="D263" s="63"/>
      <c r="E263" s="64"/>
      <c r="F263" s="64"/>
      <c r="G263" s="64"/>
      <c r="H263" s="64"/>
      <c r="I263" s="64"/>
      <c r="J263" s="64"/>
      <c r="K263" s="16"/>
      <c r="L263" s="16"/>
      <c r="M263" s="64"/>
      <c r="N263" s="16"/>
      <c r="O263" s="16"/>
      <c r="P263" s="64"/>
      <c r="Q263" s="46"/>
      <c r="R263" s="46"/>
      <c r="S263" s="39"/>
      <c r="T263" s="16"/>
      <c r="U263" s="16"/>
      <c r="V263" s="16"/>
      <c r="W263" s="16"/>
      <c r="X263" s="16"/>
      <c r="Y263" s="19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43">
        <f>A250</f>
        <v>46036</v>
      </c>
      <c r="AQ263" s="10"/>
      <c r="AR263" s="11"/>
    </row>
    <row r="264" spans="1:46" s="2" customFormat="1" ht="17.25" customHeight="1" thickBot="1" x14ac:dyDescent="0.3">
      <c r="A264" s="56"/>
      <c r="B264" s="101" t="s">
        <v>102</v>
      </c>
      <c r="C264" s="102">
        <f>D265+E265+F265+G265+H265+I265+J265+M265+P265</f>
        <v>101696.45954000003</v>
      </c>
      <c r="D264" s="84"/>
      <c r="E264" s="85"/>
      <c r="F264" s="85"/>
      <c r="G264" s="85"/>
      <c r="H264" s="85"/>
      <c r="I264" s="85"/>
      <c r="J264" s="85"/>
      <c r="K264" s="28"/>
      <c r="L264" s="28"/>
      <c r="M264" s="85"/>
      <c r="N264" s="28"/>
      <c r="O264" s="28"/>
      <c r="P264" s="85"/>
      <c r="Q264" s="48"/>
      <c r="R264" s="48"/>
      <c r="S264" s="51"/>
      <c r="T264" s="28"/>
      <c r="U264" s="28"/>
      <c r="V264" s="28"/>
      <c r="W264" s="28"/>
      <c r="X264" s="28"/>
      <c r="Y264" s="36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42">
        <f>SUM($Q249:AN264)</f>
        <v>-433115.62</v>
      </c>
      <c r="AQ264" s="10"/>
      <c r="AR264" s="11"/>
      <c r="AS264" s="2" t="s">
        <v>5</v>
      </c>
    </row>
    <row r="265" spans="1:46" s="2" customFormat="1" ht="17.25" customHeight="1" thickTop="1" thickBot="1" x14ac:dyDescent="0.3">
      <c r="A265" s="103"/>
      <c r="B265" s="104" t="s">
        <v>103</v>
      </c>
      <c r="C265" s="105">
        <f>AO265</f>
        <v>-331419.16045999998</v>
      </c>
      <c r="D265" s="106">
        <f t="shared" ref="D265:K265" si="25">SUM(D249:D264)</f>
        <v>19550.597040000019</v>
      </c>
      <c r="E265" s="107">
        <f t="shared" si="25"/>
        <v>-39707.05000000001</v>
      </c>
      <c r="F265" s="107">
        <f t="shared" si="25"/>
        <v>0.5</v>
      </c>
      <c r="G265" s="107">
        <f t="shared" si="25"/>
        <v>0</v>
      </c>
      <c r="H265" s="107">
        <f t="shared" si="25"/>
        <v>67289.612500000017</v>
      </c>
      <c r="I265" s="107">
        <f t="shared" si="25"/>
        <v>9528.41</v>
      </c>
      <c r="J265" s="107">
        <f t="shared" si="25"/>
        <v>0</v>
      </c>
      <c r="K265" s="108">
        <f t="shared" si="25"/>
        <v>1446</v>
      </c>
      <c r="L265" s="109">
        <f>M265/K265</f>
        <v>5.2696680497925312</v>
      </c>
      <c r="M265" s="107">
        <f>ROUND(SUM(M249:M264),2)</f>
        <v>7619.94</v>
      </c>
      <c r="N265" s="108">
        <f>SUM(N249:N264)</f>
        <v>9886</v>
      </c>
      <c r="O265" s="109">
        <f>P265/N265</f>
        <v>3.7845893182277965</v>
      </c>
      <c r="P265" s="107">
        <f>ROUND(SUM(P249:P264),2)</f>
        <v>37414.449999999997</v>
      </c>
      <c r="Q265" s="110">
        <f t="shared" ref="Q265:AN265" si="26">SUM(Q249:Q264)</f>
        <v>-480130.23</v>
      </c>
      <c r="R265" s="107">
        <f t="shared" si="26"/>
        <v>50229.299999999996</v>
      </c>
      <c r="S265" s="107">
        <f t="shared" si="26"/>
        <v>0</v>
      </c>
      <c r="T265" s="107">
        <f t="shared" si="26"/>
        <v>-3214.6900000000005</v>
      </c>
      <c r="U265" s="107">
        <f t="shared" si="26"/>
        <v>0</v>
      </c>
      <c r="V265" s="107">
        <f t="shared" si="26"/>
        <v>0</v>
      </c>
      <c r="W265" s="107">
        <f t="shared" si="26"/>
        <v>0</v>
      </c>
      <c r="X265" s="107">
        <f t="shared" si="26"/>
        <v>0</v>
      </c>
      <c r="Y265" s="107">
        <f t="shared" si="26"/>
        <v>0</v>
      </c>
      <c r="Z265" s="107">
        <f t="shared" si="26"/>
        <v>0</v>
      </c>
      <c r="AA265" s="107">
        <f t="shared" si="26"/>
        <v>0</v>
      </c>
      <c r="AB265" s="107">
        <f t="shared" si="26"/>
        <v>0</v>
      </c>
      <c r="AC265" s="107">
        <f t="shared" si="26"/>
        <v>0</v>
      </c>
      <c r="AD265" s="107">
        <f t="shared" si="26"/>
        <v>0</v>
      </c>
      <c r="AE265" s="107">
        <f t="shared" si="26"/>
        <v>0</v>
      </c>
      <c r="AF265" s="107">
        <f t="shared" si="26"/>
        <v>0</v>
      </c>
      <c r="AG265" s="107">
        <f t="shared" si="26"/>
        <v>0</v>
      </c>
      <c r="AH265" s="107">
        <f t="shared" si="26"/>
        <v>0</v>
      </c>
      <c r="AI265" s="107">
        <f t="shared" si="26"/>
        <v>0</v>
      </c>
      <c r="AJ265" s="107">
        <f t="shared" si="26"/>
        <v>0</v>
      </c>
      <c r="AK265" s="107">
        <f t="shared" si="26"/>
        <v>0</v>
      </c>
      <c r="AL265" s="107">
        <f t="shared" si="26"/>
        <v>0</v>
      </c>
      <c r="AM265" s="107">
        <f t="shared" si="26"/>
        <v>0</v>
      </c>
      <c r="AN265" s="107">
        <f t="shared" si="26"/>
        <v>0</v>
      </c>
      <c r="AO265" s="111">
        <f>D265+E265+F265+G265+H265+I265+J265+M265+P265+SUM(Q265:AN265)</f>
        <v>-331419.16045999998</v>
      </c>
      <c r="AP265" s="4"/>
      <c r="AQ265" s="5"/>
      <c r="AR265" s="5"/>
      <c r="AS265" s="2" t="s">
        <v>6</v>
      </c>
    </row>
    <row r="266" spans="1:46" s="2" customFormat="1" ht="17.25" customHeight="1" thickTop="1" x14ac:dyDescent="0.25">
      <c r="A266" s="23">
        <f>A250+1</f>
        <v>46037</v>
      </c>
      <c r="B266" s="210" t="s">
        <v>64</v>
      </c>
      <c r="C266" s="203"/>
      <c r="D266" s="63">
        <v>9303.99</v>
      </c>
      <c r="E266" s="66"/>
      <c r="F266" s="66"/>
      <c r="G266" s="66"/>
      <c r="H266" s="66"/>
      <c r="I266" s="66">
        <f>-D266</f>
        <v>-9303.99</v>
      </c>
      <c r="J266" s="66"/>
      <c r="K266" s="18"/>
      <c r="L266" s="18"/>
      <c r="M266" s="66"/>
      <c r="N266" s="18"/>
      <c r="O266" s="18"/>
      <c r="P266" s="66"/>
      <c r="Q266" s="46"/>
      <c r="R266" s="46"/>
      <c r="S266" s="45"/>
      <c r="T266" s="18"/>
      <c r="U266" s="18"/>
      <c r="V266" s="18"/>
      <c r="W266" s="18"/>
      <c r="X266" s="18"/>
      <c r="Y266" s="14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31"/>
      <c r="AQ266" s="10"/>
      <c r="AR266" s="27"/>
    </row>
    <row r="267" spans="1:46" s="4" customFormat="1" ht="17.25" customHeight="1" x14ac:dyDescent="0.25">
      <c r="A267" s="23"/>
      <c r="B267" s="201" t="s">
        <v>96</v>
      </c>
      <c r="C267" s="202"/>
      <c r="D267" s="63"/>
      <c r="E267" s="64"/>
      <c r="F267" s="64"/>
      <c r="G267" s="64"/>
      <c r="H267" s="64"/>
      <c r="I267" s="64">
        <f>-I265-I266</f>
        <v>-224.42000000000007</v>
      </c>
      <c r="J267" s="64"/>
      <c r="K267" s="16"/>
      <c r="L267" s="92"/>
      <c r="M267" s="64"/>
      <c r="N267" s="16"/>
      <c r="O267" s="92"/>
      <c r="P267" s="64"/>
      <c r="Q267" s="40"/>
      <c r="R267" s="46"/>
      <c r="S267" s="39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22"/>
      <c r="AP267" s="30"/>
    </row>
    <row r="268" spans="1:46" s="2" customFormat="1" ht="17.25" customHeight="1" x14ac:dyDescent="0.25">
      <c r="A268" s="29"/>
      <c r="B268" s="201" t="s">
        <v>327</v>
      </c>
      <c r="C268" s="202"/>
      <c r="D268" s="63">
        <f>50+16+20+300+11.1+119+70+50+100+30+100+100+265+30+5+80+13+100</f>
        <v>1459.1</v>
      </c>
      <c r="E268" s="64"/>
      <c r="F268" s="64"/>
      <c r="G268" s="64"/>
      <c r="H268" s="64"/>
      <c r="I268" s="64">
        <f>-D268</f>
        <v>-1459.1</v>
      </c>
      <c r="J268" s="64"/>
      <c r="K268" s="57"/>
      <c r="L268" s="88"/>
      <c r="M268" s="62"/>
      <c r="N268" s="57"/>
      <c r="O268" s="88"/>
      <c r="P268" s="62"/>
      <c r="Q268" s="47"/>
      <c r="R268" s="39"/>
      <c r="S268" s="39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22"/>
      <c r="AQ268" s="10"/>
      <c r="AR268" s="11"/>
    </row>
    <row r="269" spans="1:46" s="2" customFormat="1" ht="17.25" customHeight="1" x14ac:dyDescent="0.25">
      <c r="A269" s="29"/>
      <c r="B269" s="201" t="s">
        <v>328</v>
      </c>
      <c r="C269" s="202"/>
      <c r="D269" s="63">
        <f>-16*0.99-2.4-2.12</f>
        <v>-20.36</v>
      </c>
      <c r="E269" s="64"/>
      <c r="F269" s="64"/>
      <c r="G269" s="64"/>
      <c r="H269" s="64"/>
      <c r="I269" s="64"/>
      <c r="J269" s="64"/>
      <c r="K269" s="57"/>
      <c r="L269" s="88"/>
      <c r="M269" s="62"/>
      <c r="N269" s="57"/>
      <c r="O269" s="88"/>
      <c r="P269" s="62"/>
      <c r="Q269" s="47"/>
      <c r="R269" s="39"/>
      <c r="S269" s="39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22"/>
      <c r="AQ269" s="10"/>
      <c r="AR269" s="11"/>
    </row>
    <row r="270" spans="1:46" s="2" customFormat="1" ht="17.25" customHeight="1" x14ac:dyDescent="0.2">
      <c r="A270" s="23"/>
      <c r="B270" s="201" t="s">
        <v>299</v>
      </c>
      <c r="C270" s="204"/>
      <c r="D270" s="63">
        <v>8000</v>
      </c>
      <c r="E270" s="64">
        <f>-D270</f>
        <v>-8000</v>
      </c>
      <c r="F270" s="74"/>
      <c r="G270" s="74"/>
      <c r="H270" s="64"/>
      <c r="I270" s="64"/>
      <c r="J270" s="64"/>
      <c r="K270" s="16"/>
      <c r="L270" s="16"/>
      <c r="M270" s="64"/>
      <c r="N270" s="16"/>
      <c r="O270" s="16"/>
      <c r="P270" s="64"/>
      <c r="Q270" s="46"/>
      <c r="R270" s="39"/>
      <c r="S270" s="40"/>
      <c r="T270" s="16"/>
      <c r="U270" s="16"/>
      <c r="V270" s="16"/>
      <c r="W270" s="16"/>
      <c r="X270" s="16"/>
      <c r="Y270" s="19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35"/>
      <c r="AQ270" s="10"/>
      <c r="AR270" s="27"/>
    </row>
    <row r="271" spans="1:46" s="2" customFormat="1" ht="17.25" customHeight="1" x14ac:dyDescent="0.2">
      <c r="A271" s="23"/>
      <c r="B271" s="201" t="s">
        <v>329</v>
      </c>
      <c r="C271" s="204"/>
      <c r="D271" s="63">
        <v>-64</v>
      </c>
      <c r="E271" s="64"/>
      <c r="F271" s="74"/>
      <c r="G271" s="74"/>
      <c r="H271" s="64"/>
      <c r="I271" s="64"/>
      <c r="J271" s="64"/>
      <c r="K271" s="16"/>
      <c r="L271" s="16"/>
      <c r="M271" s="64"/>
      <c r="N271" s="16"/>
      <c r="O271" s="16"/>
      <c r="P271" s="64"/>
      <c r="Q271" s="46"/>
      <c r="R271" s="39"/>
      <c r="S271" s="40"/>
      <c r="T271" s="16"/>
      <c r="U271" s="16"/>
      <c r="V271" s="16"/>
      <c r="W271" s="16"/>
      <c r="X271" s="16"/>
      <c r="Y271" s="19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35"/>
      <c r="AQ271" s="10"/>
      <c r="AR271" s="27"/>
    </row>
    <row r="272" spans="1:46" s="2" customFormat="1" ht="17.25" customHeight="1" x14ac:dyDescent="0.2">
      <c r="A272" s="23"/>
      <c r="B272" s="205" t="s">
        <v>299</v>
      </c>
      <c r="C272" s="257"/>
      <c r="D272" s="63">
        <v>16200</v>
      </c>
      <c r="E272" s="64"/>
      <c r="F272" s="74"/>
      <c r="G272" s="74"/>
      <c r="H272" s="64"/>
      <c r="I272" s="64"/>
      <c r="J272" s="64"/>
      <c r="K272" s="16"/>
      <c r="L272" s="16"/>
      <c r="M272" s="64"/>
      <c r="N272" s="16"/>
      <c r="O272" s="16"/>
      <c r="P272" s="64"/>
      <c r="Q272" s="46">
        <f>-D272</f>
        <v>-16200</v>
      </c>
      <c r="R272" s="39"/>
      <c r="S272" s="40"/>
      <c r="T272" s="16"/>
      <c r="U272" s="16"/>
      <c r="V272" s="16"/>
      <c r="W272" s="16"/>
      <c r="X272" s="16"/>
      <c r="Y272" s="19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35"/>
      <c r="AQ272" s="10"/>
      <c r="AR272" s="27"/>
    </row>
    <row r="273" spans="1:46" s="2" customFormat="1" ht="17.25" customHeight="1" x14ac:dyDescent="0.2">
      <c r="A273" s="23"/>
      <c r="B273" s="201" t="s">
        <v>329</v>
      </c>
      <c r="C273" s="204"/>
      <c r="D273" s="63">
        <v>-129.6</v>
      </c>
      <c r="E273" s="64"/>
      <c r="F273" s="74"/>
      <c r="G273" s="74"/>
      <c r="H273" s="64"/>
      <c r="I273" s="64"/>
      <c r="J273" s="64"/>
      <c r="K273" s="16"/>
      <c r="L273" s="16"/>
      <c r="M273" s="64"/>
      <c r="N273" s="16"/>
      <c r="O273" s="16"/>
      <c r="P273" s="64"/>
      <c r="Q273" s="46"/>
      <c r="R273" s="39"/>
      <c r="S273" s="40"/>
      <c r="T273" s="16"/>
      <c r="U273" s="16"/>
      <c r="V273" s="16"/>
      <c r="W273" s="16"/>
      <c r="X273" s="16"/>
      <c r="Y273" s="19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35"/>
      <c r="AQ273" s="10"/>
      <c r="AR273" s="27"/>
    </row>
    <row r="274" spans="1:46" s="2" customFormat="1" ht="17.25" customHeight="1" x14ac:dyDescent="0.2">
      <c r="A274" s="23"/>
      <c r="B274" s="201" t="s">
        <v>276</v>
      </c>
      <c r="C274" s="204"/>
      <c r="D274" s="63">
        <v>-4.9000000000000004</v>
      </c>
      <c r="E274" s="64"/>
      <c r="F274" s="74"/>
      <c r="G274" s="74"/>
      <c r="H274" s="64"/>
      <c r="I274" s="64"/>
      <c r="J274" s="64"/>
      <c r="K274" s="16"/>
      <c r="L274" s="16"/>
      <c r="M274" s="64"/>
      <c r="N274" s="16"/>
      <c r="O274" s="16"/>
      <c r="P274" s="64"/>
      <c r="Q274" s="46"/>
      <c r="R274" s="39"/>
      <c r="S274" s="40"/>
      <c r="T274" s="16"/>
      <c r="U274" s="16"/>
      <c r="V274" s="16"/>
      <c r="W274" s="16"/>
      <c r="X274" s="16"/>
      <c r="Y274" s="19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35"/>
      <c r="AQ274" s="10"/>
      <c r="AR274" s="27"/>
    </row>
    <row r="275" spans="1:46" s="4" customFormat="1" ht="17.25" customHeight="1" x14ac:dyDescent="0.25">
      <c r="A275" s="23"/>
      <c r="B275" s="201" t="s">
        <v>13</v>
      </c>
      <c r="C275" s="203"/>
      <c r="D275" s="63"/>
      <c r="E275" s="64">
        <f>1+150+150+917+1326+1780</f>
        <v>4324</v>
      </c>
      <c r="F275" s="64"/>
      <c r="G275" s="64"/>
      <c r="H275" s="64">
        <f>-E275</f>
        <v>-4324</v>
      </c>
      <c r="I275" s="66"/>
      <c r="J275" s="64"/>
      <c r="K275" s="16"/>
      <c r="L275" s="92"/>
      <c r="M275" s="64"/>
      <c r="N275" s="16"/>
      <c r="O275" s="92"/>
      <c r="P275" s="64"/>
      <c r="Q275" s="40"/>
      <c r="R275" s="46"/>
      <c r="S275" s="39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22"/>
      <c r="AP275" s="30"/>
    </row>
    <row r="276" spans="1:46" s="2" customFormat="1" ht="17.25" customHeight="1" x14ac:dyDescent="0.25">
      <c r="A276" s="24"/>
      <c r="B276" s="201" t="s">
        <v>367</v>
      </c>
      <c r="C276" s="203"/>
      <c r="D276" s="63"/>
      <c r="E276" s="64">
        <v>-49</v>
      </c>
      <c r="F276" s="64"/>
      <c r="G276" s="64"/>
      <c r="H276" s="64"/>
      <c r="I276" s="64"/>
      <c r="J276" s="64"/>
      <c r="K276" s="16"/>
      <c r="L276" s="92"/>
      <c r="M276" s="64"/>
      <c r="N276" s="16"/>
      <c r="O276" s="92"/>
      <c r="P276" s="64"/>
      <c r="Q276" s="40"/>
      <c r="R276" s="40"/>
      <c r="S276" s="39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22"/>
      <c r="AQ276" s="10"/>
      <c r="AR276" s="11"/>
    </row>
    <row r="277" spans="1:46" s="2" customFormat="1" ht="17.25" customHeight="1" x14ac:dyDescent="0.2">
      <c r="A277" s="23"/>
      <c r="B277" s="201" t="s">
        <v>368</v>
      </c>
      <c r="C277" s="203"/>
      <c r="D277" s="63"/>
      <c r="E277" s="64">
        <v>-794.17</v>
      </c>
      <c r="F277" s="74"/>
      <c r="G277" s="74"/>
      <c r="H277" s="64"/>
      <c r="I277" s="64"/>
      <c r="J277" s="64"/>
      <c r="K277" s="16"/>
      <c r="L277" s="16"/>
      <c r="M277" s="64"/>
      <c r="N277" s="16"/>
      <c r="O277" s="16"/>
      <c r="P277" s="64"/>
      <c r="Q277" s="46"/>
      <c r="R277" s="39"/>
      <c r="S277" s="40"/>
      <c r="T277" s="16"/>
      <c r="U277" s="16"/>
      <c r="V277" s="16"/>
      <c r="W277" s="16"/>
      <c r="X277" s="16"/>
      <c r="Y277" s="19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35"/>
      <c r="AQ277" s="10"/>
      <c r="AR277" s="27"/>
    </row>
    <row r="278" spans="1:46" s="2" customFormat="1" ht="17.25" customHeight="1" x14ac:dyDescent="0.2">
      <c r="A278" s="23"/>
      <c r="B278" s="201" t="s">
        <v>36</v>
      </c>
      <c r="C278" s="203"/>
      <c r="D278" s="63"/>
      <c r="E278" s="64"/>
      <c r="F278" s="74"/>
      <c r="G278" s="74"/>
      <c r="H278" s="64"/>
      <c r="I278" s="64"/>
      <c r="J278" s="64"/>
      <c r="K278" s="16"/>
      <c r="L278" s="16"/>
      <c r="M278" s="64"/>
      <c r="N278" s="16"/>
      <c r="O278" s="16"/>
      <c r="P278" s="64"/>
      <c r="Q278" s="46"/>
      <c r="R278" s="39"/>
      <c r="S278" s="40"/>
      <c r="T278" s="16"/>
      <c r="U278" s="16"/>
      <c r="V278" s="16"/>
      <c r="W278" s="16"/>
      <c r="X278" s="16"/>
      <c r="Y278" s="19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35"/>
      <c r="AQ278" s="10"/>
      <c r="AR278" s="27"/>
    </row>
    <row r="279" spans="1:46" s="2" customFormat="1" ht="17.25" customHeight="1" x14ac:dyDescent="0.2">
      <c r="A279" s="23"/>
      <c r="B279" s="201" t="s">
        <v>76</v>
      </c>
      <c r="C279" s="202"/>
      <c r="D279" s="63"/>
      <c r="E279" s="64"/>
      <c r="F279" s="74"/>
      <c r="G279" s="74"/>
      <c r="H279" s="64"/>
      <c r="I279" s="64"/>
      <c r="J279" s="64"/>
      <c r="K279" s="16"/>
      <c r="L279" s="16"/>
      <c r="M279" s="64"/>
      <c r="N279" s="16"/>
      <c r="O279" s="16"/>
      <c r="P279" s="64"/>
      <c r="Q279" s="46"/>
      <c r="R279" s="39"/>
      <c r="S279" s="40"/>
      <c r="T279" s="16"/>
      <c r="U279" s="16"/>
      <c r="V279" s="16"/>
      <c r="W279" s="16"/>
      <c r="X279" s="16"/>
      <c r="Y279" s="19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35"/>
      <c r="AQ279" s="10"/>
      <c r="AR279" s="27"/>
    </row>
    <row r="280" spans="1:46" s="2" customFormat="1" ht="17.25" customHeight="1" x14ac:dyDescent="0.2">
      <c r="A280" s="23"/>
      <c r="B280" s="201" t="s">
        <v>186</v>
      </c>
      <c r="C280" s="202"/>
      <c r="D280" s="64"/>
      <c r="E280" s="64"/>
      <c r="F280" s="74"/>
      <c r="G280" s="74"/>
      <c r="H280" s="64"/>
      <c r="I280" s="64"/>
      <c r="J280" s="64"/>
      <c r="K280" s="16"/>
      <c r="L280" s="16"/>
      <c r="M280" s="64"/>
      <c r="N280" s="16"/>
      <c r="O280" s="16"/>
      <c r="P280" s="64"/>
      <c r="Q280" s="46"/>
      <c r="R280" s="39"/>
      <c r="S280" s="40"/>
      <c r="T280" s="16"/>
      <c r="U280" s="16"/>
      <c r="V280" s="16"/>
      <c r="W280" s="16"/>
      <c r="X280" s="16"/>
      <c r="Y280" s="19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35"/>
      <c r="AQ280" s="10"/>
      <c r="AR280" s="27"/>
    </row>
    <row r="281" spans="1:46" s="2" customFormat="1" ht="17.25" customHeight="1" x14ac:dyDescent="0.2">
      <c r="A281" s="23"/>
      <c r="B281" s="201" t="s">
        <v>185</v>
      </c>
      <c r="C281" s="203"/>
      <c r="D281" s="63"/>
      <c r="E281" s="64"/>
      <c r="F281" s="74"/>
      <c r="G281" s="74"/>
      <c r="H281" s="64"/>
      <c r="I281" s="64"/>
      <c r="J281" s="64"/>
      <c r="K281" s="16"/>
      <c r="L281" s="16"/>
      <c r="M281" s="64"/>
      <c r="N281" s="16"/>
      <c r="O281" s="16"/>
      <c r="P281" s="64"/>
      <c r="Q281" s="46"/>
      <c r="R281" s="39"/>
      <c r="S281" s="40"/>
      <c r="T281" s="16"/>
      <c r="U281" s="16"/>
      <c r="V281" s="16"/>
      <c r="W281" s="16"/>
      <c r="X281" s="16"/>
      <c r="Y281" s="19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35"/>
      <c r="AQ281" s="10"/>
      <c r="AR281" s="27"/>
    </row>
    <row r="282" spans="1:46" s="2" customFormat="1" ht="17.25" customHeight="1" x14ac:dyDescent="0.2">
      <c r="A282" s="23"/>
      <c r="B282" s="205" t="s">
        <v>389</v>
      </c>
      <c r="C282" s="206"/>
      <c r="D282" s="64">
        <f>-M282</f>
        <v>-52699.999999999993</v>
      </c>
      <c r="E282" s="64"/>
      <c r="F282" s="64"/>
      <c r="G282" s="64"/>
      <c r="H282" s="64"/>
      <c r="I282" s="64"/>
      <c r="J282" s="64"/>
      <c r="K282" s="57">
        <v>10000</v>
      </c>
      <c r="L282" s="88">
        <v>5.27</v>
      </c>
      <c r="M282" s="62">
        <f>K282*L282</f>
        <v>52699.999999999993</v>
      </c>
      <c r="N282" s="57"/>
      <c r="O282" s="88"/>
      <c r="P282" s="62"/>
      <c r="Q282" s="39"/>
      <c r="R282" s="39"/>
      <c r="S282" s="39"/>
      <c r="T282" s="16"/>
      <c r="U282" s="16"/>
      <c r="V282" s="16"/>
      <c r="W282" s="16"/>
      <c r="X282" s="16"/>
      <c r="Y282" s="19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35"/>
      <c r="AQ282" s="10"/>
      <c r="AR282" s="27"/>
    </row>
    <row r="283" spans="1:46" s="2" customFormat="1" ht="17.25" customHeight="1" thickBot="1" x14ac:dyDescent="0.25">
      <c r="A283" s="24"/>
      <c r="B283" s="216"/>
      <c r="C283" s="217"/>
      <c r="D283" s="83"/>
      <c r="E283" s="81"/>
      <c r="F283" s="81"/>
      <c r="G283" s="81"/>
      <c r="H283" s="81"/>
      <c r="I283" s="81"/>
      <c r="J283" s="81"/>
      <c r="K283" s="37"/>
      <c r="L283" s="93"/>
      <c r="M283" s="81"/>
      <c r="N283" s="37"/>
      <c r="O283" s="93"/>
      <c r="P283" s="81"/>
      <c r="Q283" s="40"/>
      <c r="R283" s="40"/>
      <c r="S283" s="39"/>
      <c r="T283" s="16"/>
      <c r="U283" s="16"/>
      <c r="V283" s="16"/>
      <c r="W283" s="16"/>
      <c r="X283" s="16"/>
      <c r="Y283" s="19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41"/>
      <c r="AQ283" s="10"/>
      <c r="AR283" s="11"/>
    </row>
    <row r="284" spans="1:46" s="4" customFormat="1" ht="17.25" customHeight="1" x14ac:dyDescent="0.25">
      <c r="A284" s="23"/>
      <c r="B284" s="210" t="s">
        <v>94</v>
      </c>
      <c r="C284" s="203"/>
      <c r="D284" s="66"/>
      <c r="E284" s="66"/>
      <c r="F284" s="117"/>
      <c r="G284" s="117"/>
      <c r="H284" s="66"/>
      <c r="I284" s="66"/>
      <c r="J284" s="66">
        <f>-M284</f>
        <v>7104.3</v>
      </c>
      <c r="K284" s="58">
        <v>-1194</v>
      </c>
      <c r="L284" s="89">
        <v>5.95</v>
      </c>
      <c r="M284" s="73">
        <f>K284*L284</f>
        <v>-7104.3</v>
      </c>
      <c r="N284" s="58"/>
      <c r="O284" s="89"/>
      <c r="P284" s="73"/>
      <c r="Q284" s="39"/>
      <c r="R284" s="39"/>
      <c r="S284" s="8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35"/>
      <c r="AP284" s="12" t="e">
        <f>#REF!</f>
        <v>#REF!</v>
      </c>
    </row>
    <row r="285" spans="1:46" s="4" customFormat="1" ht="17.25" customHeight="1" x14ac:dyDescent="0.25">
      <c r="A285" s="23"/>
      <c r="B285" s="201" t="s">
        <v>95</v>
      </c>
      <c r="C285" s="202"/>
      <c r="D285" s="64"/>
      <c r="E285" s="64"/>
      <c r="F285" s="117"/>
      <c r="G285" s="117"/>
      <c r="H285" s="64"/>
      <c r="I285" s="64"/>
      <c r="J285" s="64">
        <f>-P285</f>
        <v>8298.2999999999993</v>
      </c>
      <c r="K285" s="57"/>
      <c r="L285" s="88"/>
      <c r="M285" s="62"/>
      <c r="N285" s="57">
        <v>-2085</v>
      </c>
      <c r="O285" s="88">
        <v>3.98</v>
      </c>
      <c r="P285" s="62">
        <f>N285*O285</f>
        <v>-8298.2999999999993</v>
      </c>
      <c r="Q285" s="39"/>
      <c r="R285" s="39"/>
      <c r="S285" s="8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35"/>
      <c r="AP285" s="12" t="e">
        <f>#REF!</f>
        <v>#REF!</v>
      </c>
    </row>
    <row r="286" spans="1:46" s="4" customFormat="1" ht="17.25" customHeight="1" x14ac:dyDescent="0.25">
      <c r="A286" s="23"/>
      <c r="B286" s="201" t="s">
        <v>97</v>
      </c>
      <c r="C286" s="203"/>
      <c r="D286" s="64"/>
      <c r="E286" s="64"/>
      <c r="F286" s="64"/>
      <c r="G286" s="64"/>
      <c r="H286" s="64">
        <f>-J286-I286</f>
        <v>4305.0499999999993</v>
      </c>
      <c r="I286" s="64">
        <v>11097.55</v>
      </c>
      <c r="J286" s="64">
        <f>-SUM(J284:J285)</f>
        <v>-15402.599999999999</v>
      </c>
      <c r="K286" s="57"/>
      <c r="L286" s="88"/>
      <c r="M286" s="62"/>
      <c r="N286" s="57"/>
      <c r="O286" s="88"/>
      <c r="P286" s="62"/>
      <c r="Q286" s="39"/>
      <c r="R286" s="39"/>
      <c r="S286" s="39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22"/>
      <c r="AO286" s="43">
        <f>A246</f>
        <v>0</v>
      </c>
      <c r="AP286" s="12" t="e">
        <f>#REF!</f>
        <v>#REF!</v>
      </c>
      <c r="AT286" s="2"/>
    </row>
    <row r="287" spans="1:46" s="4" customFormat="1" ht="17.25" customHeight="1" x14ac:dyDescent="0.25">
      <c r="A287" s="23"/>
      <c r="B287" s="201" t="s">
        <v>93</v>
      </c>
      <c r="C287" s="202"/>
      <c r="D287" s="64"/>
      <c r="E287" s="64"/>
      <c r="F287" s="64"/>
      <c r="G287" s="64"/>
      <c r="H287" s="64"/>
      <c r="I287" s="64"/>
      <c r="J287" s="64"/>
      <c r="K287" s="57">
        <v>-238</v>
      </c>
      <c r="L287" s="88"/>
      <c r="M287" s="62">
        <f>(K290*(M265+M282)/(K265+K282))-M265-M284-M282</f>
        <v>-442.27994757993292</v>
      </c>
      <c r="N287" s="57">
        <v>34</v>
      </c>
      <c r="O287" s="88"/>
      <c r="P287" s="62">
        <f>(N290*(P265)/(N265))-P265-P285</f>
        <v>536.10730831478941</v>
      </c>
      <c r="Q287" s="39"/>
      <c r="R287" s="39"/>
      <c r="S287" s="39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22"/>
      <c r="AO287" s="43">
        <f>A259</f>
        <v>0</v>
      </c>
      <c r="AP287" s="12" t="e">
        <f>#REF!</f>
        <v>#REF!</v>
      </c>
      <c r="AT287" s="2"/>
    </row>
    <row r="288" spans="1:46" s="2" customFormat="1" ht="17.25" customHeight="1" x14ac:dyDescent="0.2">
      <c r="A288" s="24"/>
      <c r="B288" s="201"/>
      <c r="C288" s="204"/>
      <c r="D288" s="63"/>
      <c r="E288" s="64"/>
      <c r="F288" s="64"/>
      <c r="G288" s="64"/>
      <c r="H288" s="64"/>
      <c r="I288" s="64"/>
      <c r="J288" s="64"/>
      <c r="K288" s="16"/>
      <c r="L288" s="16"/>
      <c r="M288" s="64"/>
      <c r="N288" s="16"/>
      <c r="O288" s="16"/>
      <c r="P288" s="64"/>
      <c r="Q288" s="46"/>
      <c r="R288" s="46"/>
      <c r="S288" s="39"/>
      <c r="T288" s="16"/>
      <c r="U288" s="16"/>
      <c r="V288" s="16"/>
      <c r="W288" s="16"/>
      <c r="X288" s="16"/>
      <c r="Y288" s="19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43">
        <f>A266</f>
        <v>46037</v>
      </c>
      <c r="AQ288" s="10"/>
      <c r="AR288" s="11"/>
    </row>
    <row r="289" spans="1:46" s="2" customFormat="1" ht="17.25" customHeight="1" thickBot="1" x14ac:dyDescent="0.3">
      <c r="A289" s="56"/>
      <c r="B289" s="101" t="s">
        <v>102</v>
      </c>
      <c r="C289" s="102">
        <f>D290+E290+F290+G290+H290+I290+J290+M290+P290</f>
        <v>116703.83954000003</v>
      </c>
      <c r="D289" s="84"/>
      <c r="E289" s="85"/>
      <c r="F289" s="85"/>
      <c r="G289" s="85"/>
      <c r="H289" s="85"/>
      <c r="I289" s="85"/>
      <c r="J289" s="85"/>
      <c r="K289" s="28"/>
      <c r="L289" s="28"/>
      <c r="M289" s="85"/>
      <c r="N289" s="28"/>
      <c r="O289" s="28"/>
      <c r="P289" s="85"/>
      <c r="Q289" s="48"/>
      <c r="R289" s="48"/>
      <c r="S289" s="51"/>
      <c r="T289" s="28"/>
      <c r="U289" s="28"/>
      <c r="V289" s="28"/>
      <c r="W289" s="28"/>
      <c r="X289" s="28"/>
      <c r="Y289" s="36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42">
        <f>SUM($Q265:AN289)</f>
        <v>-449315.62</v>
      </c>
      <c r="AQ289" s="10"/>
      <c r="AR289" s="11"/>
      <c r="AS289" s="2" t="s">
        <v>5</v>
      </c>
    </row>
    <row r="290" spans="1:46" s="2" customFormat="1" ht="17.25" customHeight="1" thickTop="1" thickBot="1" x14ac:dyDescent="0.3">
      <c r="A290" s="103"/>
      <c r="B290" s="104" t="s">
        <v>103</v>
      </c>
      <c r="C290" s="105">
        <f>AO290</f>
        <v>-332611.78045999998</v>
      </c>
      <c r="D290" s="106">
        <f t="shared" ref="D290:K290" si="27">SUM(D265:D289)</f>
        <v>1594.8270400000256</v>
      </c>
      <c r="E290" s="107">
        <f t="shared" si="27"/>
        <v>-44226.220000000008</v>
      </c>
      <c r="F290" s="107">
        <f t="shared" si="27"/>
        <v>0.5</v>
      </c>
      <c r="G290" s="107">
        <f t="shared" si="27"/>
        <v>0</v>
      </c>
      <c r="H290" s="107">
        <f t="shared" si="27"/>
        <v>67270.66250000002</v>
      </c>
      <c r="I290" s="107">
        <f t="shared" si="27"/>
        <v>9638.4499999999989</v>
      </c>
      <c r="J290" s="107">
        <f t="shared" si="27"/>
        <v>0</v>
      </c>
      <c r="K290" s="108">
        <f t="shared" si="27"/>
        <v>10014</v>
      </c>
      <c r="L290" s="109">
        <f>M290/K290</f>
        <v>5.269958058717795</v>
      </c>
      <c r="M290" s="107">
        <f>ROUND(SUM(M265:M289),2)</f>
        <v>52773.36</v>
      </c>
      <c r="N290" s="108">
        <f>SUM(N265:N289)</f>
        <v>7835</v>
      </c>
      <c r="O290" s="109">
        <f>P290/N290</f>
        <v>3.7845896617740906</v>
      </c>
      <c r="P290" s="107">
        <f>ROUND(SUM(P265:P289),2)</f>
        <v>29652.26</v>
      </c>
      <c r="Q290" s="110">
        <f t="shared" ref="Q290:AN290" si="28">SUM(Q265:Q289)</f>
        <v>-496330.23</v>
      </c>
      <c r="R290" s="107">
        <f t="shared" si="28"/>
        <v>50229.299999999996</v>
      </c>
      <c r="S290" s="107">
        <f t="shared" si="28"/>
        <v>0</v>
      </c>
      <c r="T290" s="107">
        <f t="shared" si="28"/>
        <v>-3214.6900000000005</v>
      </c>
      <c r="U290" s="107">
        <f t="shared" si="28"/>
        <v>0</v>
      </c>
      <c r="V290" s="107">
        <f t="shared" si="28"/>
        <v>0</v>
      </c>
      <c r="W290" s="107">
        <f t="shared" si="28"/>
        <v>0</v>
      </c>
      <c r="X290" s="107">
        <f t="shared" si="28"/>
        <v>0</v>
      </c>
      <c r="Y290" s="107">
        <f t="shared" si="28"/>
        <v>0</v>
      </c>
      <c r="Z290" s="107">
        <f t="shared" si="28"/>
        <v>0</v>
      </c>
      <c r="AA290" s="107">
        <f t="shared" si="28"/>
        <v>0</v>
      </c>
      <c r="AB290" s="107">
        <f t="shared" si="28"/>
        <v>0</v>
      </c>
      <c r="AC290" s="107">
        <f t="shared" si="28"/>
        <v>0</v>
      </c>
      <c r="AD290" s="107">
        <f t="shared" si="28"/>
        <v>0</v>
      </c>
      <c r="AE290" s="107">
        <f t="shared" si="28"/>
        <v>0</v>
      </c>
      <c r="AF290" s="107">
        <f t="shared" si="28"/>
        <v>0</v>
      </c>
      <c r="AG290" s="107">
        <f t="shared" si="28"/>
        <v>0</v>
      </c>
      <c r="AH290" s="107">
        <f t="shared" si="28"/>
        <v>0</v>
      </c>
      <c r="AI290" s="107">
        <f t="shared" si="28"/>
        <v>0</v>
      </c>
      <c r="AJ290" s="107">
        <f t="shared" si="28"/>
        <v>0</v>
      </c>
      <c r="AK290" s="107">
        <f t="shared" si="28"/>
        <v>0</v>
      </c>
      <c r="AL290" s="107">
        <f t="shared" si="28"/>
        <v>0</v>
      </c>
      <c r="AM290" s="107">
        <f t="shared" si="28"/>
        <v>0</v>
      </c>
      <c r="AN290" s="107">
        <f t="shared" si="28"/>
        <v>0</v>
      </c>
      <c r="AO290" s="111">
        <f>D290+E290+F290+G290+H290+I290+J290+M290+P290+SUM(Q290:AN290)</f>
        <v>-332611.78045999998</v>
      </c>
      <c r="AP290" s="4"/>
      <c r="AQ290" s="5"/>
      <c r="AR290" s="5"/>
      <c r="AS290" s="2" t="s">
        <v>6</v>
      </c>
    </row>
    <row r="291" spans="1:46" s="2" customFormat="1" ht="17.25" customHeight="1" thickTop="1" x14ac:dyDescent="0.25">
      <c r="A291" s="23">
        <f>A266+1</f>
        <v>46038</v>
      </c>
      <c r="B291" s="210" t="s">
        <v>64</v>
      </c>
      <c r="C291" s="203"/>
      <c r="D291" s="63">
        <v>9399.67</v>
      </c>
      <c r="E291" s="66"/>
      <c r="F291" s="66"/>
      <c r="G291" s="66"/>
      <c r="H291" s="66"/>
      <c r="I291" s="66">
        <f>-D291</f>
        <v>-9399.67</v>
      </c>
      <c r="J291" s="66"/>
      <c r="K291" s="18"/>
      <c r="L291" s="18"/>
      <c r="M291" s="66"/>
      <c r="N291" s="18"/>
      <c r="O291" s="18"/>
      <c r="P291" s="66"/>
      <c r="Q291" s="46"/>
      <c r="R291" s="46"/>
      <c r="S291" s="45"/>
      <c r="T291" s="18"/>
      <c r="U291" s="18"/>
      <c r="V291" s="18"/>
      <c r="W291" s="18"/>
      <c r="X291" s="18"/>
      <c r="Y291" s="14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31"/>
      <c r="AQ291" s="10"/>
      <c r="AR291" s="27"/>
    </row>
    <row r="292" spans="1:46" s="4" customFormat="1" ht="17.25" customHeight="1" x14ac:dyDescent="0.25">
      <c r="A292" s="23"/>
      <c r="B292" s="201" t="s">
        <v>96</v>
      </c>
      <c r="C292" s="202"/>
      <c r="D292" s="63"/>
      <c r="E292" s="64"/>
      <c r="F292" s="64"/>
      <c r="G292" s="64"/>
      <c r="H292" s="64"/>
      <c r="I292" s="64">
        <f>-I290-I291</f>
        <v>-238.77999999999884</v>
      </c>
      <c r="J292" s="64"/>
      <c r="K292" s="16"/>
      <c r="L292" s="92"/>
      <c r="M292" s="64"/>
      <c r="N292" s="16"/>
      <c r="O292" s="92"/>
      <c r="P292" s="64"/>
      <c r="Q292" s="40"/>
      <c r="R292" s="46"/>
      <c r="S292" s="39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22"/>
      <c r="AP292" s="30"/>
    </row>
    <row r="293" spans="1:46" s="2" customFormat="1" ht="17.25" customHeight="1" x14ac:dyDescent="0.25">
      <c r="A293" s="29"/>
      <c r="B293" s="201" t="s">
        <v>327</v>
      </c>
      <c r="C293" s="202"/>
      <c r="D293" s="63">
        <f>5+100+50+50+32+150+10+50+50+59.5+10+50</f>
        <v>616.5</v>
      </c>
      <c r="E293" s="64"/>
      <c r="F293" s="64"/>
      <c r="G293" s="64"/>
      <c r="H293" s="64"/>
      <c r="I293" s="64">
        <f>-D293</f>
        <v>-616.5</v>
      </c>
      <c r="J293" s="64"/>
      <c r="K293" s="57"/>
      <c r="L293" s="88"/>
      <c r="M293" s="62"/>
      <c r="N293" s="57"/>
      <c r="O293" s="88"/>
      <c r="P293" s="62"/>
      <c r="Q293" s="47"/>
      <c r="R293" s="39"/>
      <c r="S293" s="39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22"/>
      <c r="AQ293" s="10"/>
      <c r="AR293" s="11"/>
    </row>
    <row r="294" spans="1:46" s="2" customFormat="1" ht="17.25" customHeight="1" x14ac:dyDescent="0.25">
      <c r="A294" s="29"/>
      <c r="B294" s="201" t="s">
        <v>328</v>
      </c>
      <c r="C294" s="202"/>
      <c r="D294" s="63">
        <f>-11*0.99-1.2</f>
        <v>-12.09</v>
      </c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47"/>
      <c r="R294" s="39"/>
      <c r="S294" s="39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22"/>
      <c r="AQ294" s="10"/>
      <c r="AR294" s="11"/>
    </row>
    <row r="295" spans="1:46" s="2" customFormat="1" ht="17.25" customHeight="1" x14ac:dyDescent="0.2">
      <c r="A295" s="23"/>
      <c r="B295" s="205" t="s">
        <v>299</v>
      </c>
      <c r="C295" s="257"/>
      <c r="D295" s="63">
        <v>-263.10000000000002</v>
      </c>
      <c r="E295" s="64"/>
      <c r="F295" s="74"/>
      <c r="G295" s="74"/>
      <c r="H295" s="64"/>
      <c r="I295" s="64"/>
      <c r="J295" s="64"/>
      <c r="K295" s="16"/>
      <c r="L295" s="16"/>
      <c r="M295" s="64"/>
      <c r="N295" s="16"/>
      <c r="O295" s="16"/>
      <c r="P295" s="64"/>
      <c r="Q295" s="46">
        <f>-D295</f>
        <v>263.10000000000002</v>
      </c>
      <c r="R295" s="39"/>
      <c r="S295" s="40"/>
      <c r="T295" s="16"/>
      <c r="U295" s="16"/>
      <c r="V295" s="16"/>
      <c r="W295" s="16"/>
      <c r="X295" s="16"/>
      <c r="Y295" s="19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35"/>
      <c r="AQ295" s="10"/>
      <c r="AR295" s="27"/>
    </row>
    <row r="296" spans="1:46" s="2" customFormat="1" ht="17.25" customHeight="1" x14ac:dyDescent="0.2">
      <c r="A296" s="23"/>
      <c r="B296" s="201" t="s">
        <v>326</v>
      </c>
      <c r="C296" s="204"/>
      <c r="D296" s="63">
        <v>-4.9000000000000004</v>
      </c>
      <c r="E296" s="64"/>
      <c r="F296" s="74"/>
      <c r="G296" s="74"/>
      <c r="H296" s="64"/>
      <c r="I296" s="64"/>
      <c r="J296" s="64"/>
      <c r="K296" s="16"/>
      <c r="L296" s="16"/>
      <c r="M296" s="64"/>
      <c r="N296" s="16"/>
      <c r="O296" s="16"/>
      <c r="P296" s="64"/>
      <c r="Q296" s="46"/>
      <c r="R296" s="39"/>
      <c r="S296" s="40"/>
      <c r="T296" s="16"/>
      <c r="U296" s="16"/>
      <c r="V296" s="16"/>
      <c r="W296" s="16"/>
      <c r="X296" s="16"/>
      <c r="Y296" s="19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35"/>
      <c r="AQ296" s="10"/>
      <c r="AR296" s="27"/>
    </row>
    <row r="297" spans="1:46" s="4" customFormat="1" ht="17.25" customHeight="1" x14ac:dyDescent="0.25">
      <c r="A297" s="23"/>
      <c r="B297" s="201" t="s">
        <v>13</v>
      </c>
      <c r="C297" s="203"/>
      <c r="D297" s="63"/>
      <c r="E297" s="64">
        <f>100+50+50+30+50+50+20+157.55+150+120+12+201+1110.9+849+996+1582+1802+60</f>
        <v>7390.45</v>
      </c>
      <c r="F297" s="64"/>
      <c r="G297" s="64"/>
      <c r="H297" s="64">
        <f>-E297</f>
        <v>-7390.45</v>
      </c>
      <c r="I297" s="66"/>
      <c r="J297" s="64"/>
      <c r="K297" s="16"/>
      <c r="L297" s="92"/>
      <c r="M297" s="64"/>
      <c r="N297" s="16"/>
      <c r="O297" s="92"/>
      <c r="P297" s="64"/>
      <c r="Q297" s="40"/>
      <c r="R297" s="46"/>
      <c r="S297" s="39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22"/>
      <c r="AP297" s="30"/>
    </row>
    <row r="298" spans="1:46" s="2" customFormat="1" ht="17.25" customHeight="1" x14ac:dyDescent="0.2">
      <c r="A298" s="23"/>
      <c r="B298" s="201" t="s">
        <v>369</v>
      </c>
      <c r="C298" s="203"/>
      <c r="D298" s="63"/>
      <c r="E298" s="64">
        <v>-1250</v>
      </c>
      <c r="F298" s="74"/>
      <c r="G298" s="74"/>
      <c r="H298" s="64"/>
      <c r="I298" s="64"/>
      <c r="J298" s="64"/>
      <c r="K298" s="16"/>
      <c r="L298" s="16"/>
      <c r="M298" s="64"/>
      <c r="N298" s="16"/>
      <c r="O298" s="16"/>
      <c r="P298" s="64"/>
      <c r="Q298" s="46"/>
      <c r="R298" s="39"/>
      <c r="S298" s="40"/>
      <c r="T298" s="16"/>
      <c r="U298" s="16"/>
      <c r="V298" s="16"/>
      <c r="W298" s="16"/>
      <c r="X298" s="16"/>
      <c r="Y298" s="19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35"/>
      <c r="AQ298" s="10"/>
      <c r="AR298" s="27"/>
    </row>
    <row r="299" spans="1:46" s="2" customFormat="1" ht="17.25" customHeight="1" x14ac:dyDescent="0.2">
      <c r="A299" s="23"/>
      <c r="B299" s="201" t="s">
        <v>188</v>
      </c>
      <c r="C299" s="203"/>
      <c r="D299" s="63"/>
      <c r="E299" s="64"/>
      <c r="F299" s="74"/>
      <c r="G299" s="74"/>
      <c r="H299" s="64"/>
      <c r="I299" s="64"/>
      <c r="J299" s="64"/>
      <c r="K299" s="16"/>
      <c r="L299" s="16"/>
      <c r="M299" s="64"/>
      <c r="N299" s="16"/>
      <c r="O299" s="16"/>
      <c r="P299" s="64"/>
      <c r="Q299" s="46"/>
      <c r="R299" s="39"/>
      <c r="S299" s="40"/>
      <c r="T299" s="16"/>
      <c r="U299" s="16"/>
      <c r="V299" s="16"/>
      <c r="W299" s="16"/>
      <c r="X299" s="16"/>
      <c r="Y299" s="19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35"/>
      <c r="AQ299" s="10"/>
      <c r="AR299" s="27"/>
    </row>
    <row r="300" spans="1:46" s="2" customFormat="1" ht="17.25" customHeight="1" x14ac:dyDescent="0.2">
      <c r="A300" s="23"/>
      <c r="B300" s="201" t="s">
        <v>210</v>
      </c>
      <c r="C300" s="203"/>
      <c r="D300" s="63"/>
      <c r="E300" s="64"/>
      <c r="F300" s="74"/>
      <c r="G300" s="74"/>
      <c r="H300" s="64"/>
      <c r="I300" s="64"/>
      <c r="J300" s="64"/>
      <c r="K300" s="16"/>
      <c r="L300" s="16"/>
      <c r="M300" s="64"/>
      <c r="N300" s="16"/>
      <c r="O300" s="16"/>
      <c r="P300" s="64"/>
      <c r="Q300" s="46"/>
      <c r="R300" s="39"/>
      <c r="S300" s="40"/>
      <c r="T300" s="16"/>
      <c r="U300" s="16"/>
      <c r="V300" s="16"/>
      <c r="W300" s="16"/>
      <c r="X300" s="16"/>
      <c r="Y300" s="19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35"/>
      <c r="AQ300" s="10"/>
      <c r="AR300" s="27"/>
    </row>
    <row r="301" spans="1:46" s="2" customFormat="1" ht="17.25" customHeight="1" thickBot="1" x14ac:dyDescent="0.25">
      <c r="A301" s="24"/>
      <c r="B301" s="216"/>
      <c r="C301" s="217"/>
      <c r="D301" s="83"/>
      <c r="E301" s="81"/>
      <c r="F301" s="81"/>
      <c r="G301" s="81"/>
      <c r="H301" s="81"/>
      <c r="I301" s="81"/>
      <c r="J301" s="81"/>
      <c r="K301" s="37"/>
      <c r="L301" s="93"/>
      <c r="M301" s="81"/>
      <c r="N301" s="37"/>
      <c r="O301" s="93"/>
      <c r="P301" s="81"/>
      <c r="Q301" s="40"/>
      <c r="R301" s="40"/>
      <c r="S301" s="39"/>
      <c r="T301" s="16"/>
      <c r="U301" s="16"/>
      <c r="V301" s="16"/>
      <c r="W301" s="16"/>
      <c r="X301" s="16"/>
      <c r="Y301" s="19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41"/>
      <c r="AQ301" s="10"/>
      <c r="AR301" s="11"/>
    </row>
    <row r="302" spans="1:46" s="4" customFormat="1" ht="17.25" customHeight="1" x14ac:dyDescent="0.25">
      <c r="A302" s="23"/>
      <c r="B302" s="210" t="s">
        <v>94</v>
      </c>
      <c r="C302" s="203"/>
      <c r="D302" s="66"/>
      <c r="E302" s="66"/>
      <c r="F302" s="117"/>
      <c r="G302" s="117"/>
      <c r="H302" s="66"/>
      <c r="I302" s="66"/>
      <c r="J302" s="66">
        <f>-M302</f>
        <v>7330.4000000000005</v>
      </c>
      <c r="K302" s="58">
        <v>-1232</v>
      </c>
      <c r="L302" s="89">
        <v>5.95</v>
      </c>
      <c r="M302" s="73">
        <f>K302*L302</f>
        <v>-7330.4000000000005</v>
      </c>
      <c r="N302" s="58"/>
      <c r="O302" s="89"/>
      <c r="P302" s="73"/>
      <c r="Q302" s="39"/>
      <c r="R302" s="39"/>
      <c r="S302" s="8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35"/>
      <c r="AP302" s="12" t="e">
        <f>#REF!</f>
        <v>#REF!</v>
      </c>
    </row>
    <row r="303" spans="1:46" s="4" customFormat="1" ht="17.25" customHeight="1" x14ac:dyDescent="0.25">
      <c r="A303" s="23"/>
      <c r="B303" s="201" t="s">
        <v>95</v>
      </c>
      <c r="C303" s="202"/>
      <c r="D303" s="64"/>
      <c r="E303" s="64"/>
      <c r="F303" s="117"/>
      <c r="G303" s="117"/>
      <c r="H303" s="64"/>
      <c r="I303" s="64"/>
      <c r="J303" s="64">
        <f>-P303</f>
        <v>9404.74</v>
      </c>
      <c r="K303" s="57"/>
      <c r="L303" s="88"/>
      <c r="M303" s="62"/>
      <c r="N303" s="57">
        <v>-2363</v>
      </c>
      <c r="O303" s="88">
        <v>3.98</v>
      </c>
      <c r="P303" s="62">
        <f>N303*O303</f>
        <v>-9404.74</v>
      </c>
      <c r="Q303" s="39"/>
      <c r="R303" s="39"/>
      <c r="S303" s="8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35"/>
      <c r="AP303" s="12" t="e">
        <f>#REF!</f>
        <v>#REF!</v>
      </c>
    </row>
    <row r="304" spans="1:46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>
        <f>-J304-I304</f>
        <v>5563.869999999999</v>
      </c>
      <c r="I304" s="64">
        <v>11171.27</v>
      </c>
      <c r="J304" s="64">
        <f>-SUM(J302:J303)</f>
        <v>-16735.14</v>
      </c>
      <c r="K304" s="57"/>
      <c r="L304" s="88"/>
      <c r="M304" s="62"/>
      <c r="N304" s="57"/>
      <c r="O304" s="88"/>
      <c r="P304" s="62"/>
      <c r="Q304" s="39"/>
      <c r="R304" s="39"/>
      <c r="S304" s="39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22"/>
      <c r="AO304" s="43">
        <f>A262</f>
        <v>0</v>
      </c>
      <c r="AP304" s="12" t="e">
        <f>#REF!</f>
        <v>#REF!</v>
      </c>
      <c r="AT304" s="2"/>
    </row>
    <row r="305" spans="1:46" s="4" customFormat="1" ht="17.25" customHeight="1" x14ac:dyDescent="0.25">
      <c r="A305" s="23"/>
      <c r="B305" s="201" t="s">
        <v>93</v>
      </c>
      <c r="C305" s="202"/>
      <c r="D305" s="64"/>
      <c r="E305" s="64"/>
      <c r="F305" s="64"/>
      <c r="G305" s="64"/>
      <c r="H305" s="64"/>
      <c r="I305" s="64"/>
      <c r="J305" s="64"/>
      <c r="K305" s="57">
        <v>-7</v>
      </c>
      <c r="L305" s="88"/>
      <c r="M305" s="62">
        <f>(K308*L290)-M290-M302</f>
        <v>800.92196524864903</v>
      </c>
      <c r="N305" s="57">
        <v>19</v>
      </c>
      <c r="O305" s="88"/>
      <c r="P305" s="62">
        <f>(N308*O290)-P290-P303</f>
        <v>533.66183280153382</v>
      </c>
      <c r="Q305" s="39"/>
      <c r="R305" s="39"/>
      <c r="S305" s="39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22"/>
      <c r="AO305" s="43">
        <f>A284</f>
        <v>0</v>
      </c>
      <c r="AP305" s="12" t="e">
        <f>#REF!</f>
        <v>#REF!</v>
      </c>
      <c r="AT305" s="2"/>
    </row>
    <row r="306" spans="1:46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46"/>
      <c r="R306" s="46"/>
      <c r="S306" s="39"/>
      <c r="T306" s="16"/>
      <c r="U306" s="16"/>
      <c r="V306" s="16"/>
      <c r="W306" s="16"/>
      <c r="X306" s="16"/>
      <c r="Y306" s="19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43">
        <f>A291</f>
        <v>46038</v>
      </c>
      <c r="AQ306" s="10"/>
      <c r="AR306" s="11"/>
    </row>
    <row r="307" spans="1:46" s="2" customFormat="1" ht="17.25" customHeight="1" thickBot="1" x14ac:dyDescent="0.3">
      <c r="A307" s="56"/>
      <c r="B307" s="101" t="s">
        <v>102</v>
      </c>
      <c r="C307" s="102">
        <f>D308+E308+F308+G308+H308+I308+J308+M308+P308</f>
        <v>116269.54954000004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48"/>
      <c r="R307" s="48"/>
      <c r="S307" s="51"/>
      <c r="T307" s="28"/>
      <c r="U307" s="28"/>
      <c r="V307" s="28"/>
      <c r="W307" s="28"/>
      <c r="X307" s="28"/>
      <c r="Y307" s="36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42">
        <f>SUM($Q290:AN307)</f>
        <v>-449052.52</v>
      </c>
      <c r="AQ307" s="10"/>
      <c r="AR307" s="11"/>
      <c r="AS307" s="2" t="s">
        <v>5</v>
      </c>
    </row>
    <row r="308" spans="1:46" s="2" customFormat="1" ht="17.25" customHeight="1" thickTop="1" thickBot="1" x14ac:dyDescent="0.3">
      <c r="A308" s="103"/>
      <c r="B308" s="104" t="s">
        <v>103</v>
      </c>
      <c r="C308" s="105">
        <f>AO308</f>
        <v>-332782.97045999998</v>
      </c>
      <c r="D308" s="106">
        <f t="shared" ref="D308:K308" si="29">SUM(D290:D307)</f>
        <v>11330.907040000026</v>
      </c>
      <c r="E308" s="107">
        <f t="shared" si="29"/>
        <v>-38085.770000000011</v>
      </c>
      <c r="F308" s="107">
        <f t="shared" si="29"/>
        <v>0.5</v>
      </c>
      <c r="G308" s="107">
        <f t="shared" si="29"/>
        <v>0</v>
      </c>
      <c r="H308" s="107">
        <f t="shared" si="29"/>
        <v>65444.082500000019</v>
      </c>
      <c r="I308" s="107">
        <f t="shared" si="29"/>
        <v>10554.77</v>
      </c>
      <c r="J308" s="107">
        <f t="shared" si="29"/>
        <v>0</v>
      </c>
      <c r="K308" s="108">
        <f t="shared" si="29"/>
        <v>8775</v>
      </c>
      <c r="L308" s="109">
        <f>M308/K308</f>
        <v>5.2699578347578342</v>
      </c>
      <c r="M308" s="107">
        <f>ROUND(SUM(M290:M307),2)</f>
        <v>46243.88</v>
      </c>
      <c r="N308" s="108">
        <f>SUM(N290:N307)</f>
        <v>5491</v>
      </c>
      <c r="O308" s="109">
        <f>P308/N308</f>
        <v>3.7845893279912586</v>
      </c>
      <c r="P308" s="107">
        <f>ROUND(SUM(P290:P307),2)</f>
        <v>20781.18</v>
      </c>
      <c r="Q308" s="110">
        <f t="shared" ref="Q308:AN308" si="30">SUM(Q290:Q307)</f>
        <v>-496067.13</v>
      </c>
      <c r="R308" s="107">
        <f t="shared" si="30"/>
        <v>50229.299999999996</v>
      </c>
      <c r="S308" s="107">
        <f t="shared" si="30"/>
        <v>0</v>
      </c>
      <c r="T308" s="107">
        <f t="shared" si="30"/>
        <v>-3214.6900000000005</v>
      </c>
      <c r="U308" s="107">
        <f t="shared" si="30"/>
        <v>0</v>
      </c>
      <c r="V308" s="107">
        <f t="shared" si="30"/>
        <v>0</v>
      </c>
      <c r="W308" s="107">
        <f t="shared" si="30"/>
        <v>0</v>
      </c>
      <c r="X308" s="107">
        <f t="shared" si="30"/>
        <v>0</v>
      </c>
      <c r="Y308" s="107">
        <f t="shared" si="30"/>
        <v>0</v>
      </c>
      <c r="Z308" s="107">
        <f t="shared" si="30"/>
        <v>0</v>
      </c>
      <c r="AA308" s="107">
        <f t="shared" si="30"/>
        <v>0</v>
      </c>
      <c r="AB308" s="107">
        <f t="shared" si="30"/>
        <v>0</v>
      </c>
      <c r="AC308" s="107">
        <f t="shared" si="30"/>
        <v>0</v>
      </c>
      <c r="AD308" s="107">
        <f t="shared" si="30"/>
        <v>0</v>
      </c>
      <c r="AE308" s="107">
        <f t="shared" si="30"/>
        <v>0</v>
      </c>
      <c r="AF308" s="107">
        <f t="shared" si="30"/>
        <v>0</v>
      </c>
      <c r="AG308" s="107">
        <f t="shared" si="30"/>
        <v>0</v>
      </c>
      <c r="AH308" s="107">
        <f t="shared" si="30"/>
        <v>0</v>
      </c>
      <c r="AI308" s="107">
        <f t="shared" si="30"/>
        <v>0</v>
      </c>
      <c r="AJ308" s="107">
        <f t="shared" si="30"/>
        <v>0</v>
      </c>
      <c r="AK308" s="107">
        <f t="shared" si="30"/>
        <v>0</v>
      </c>
      <c r="AL308" s="107">
        <f t="shared" si="30"/>
        <v>0</v>
      </c>
      <c r="AM308" s="107">
        <f t="shared" si="30"/>
        <v>0</v>
      </c>
      <c r="AN308" s="107">
        <f t="shared" si="30"/>
        <v>0</v>
      </c>
      <c r="AO308" s="111">
        <f>D308+E308+F308+G308+H308+I308+J308+M308+P308+SUM(Q308:AN308)</f>
        <v>-332782.97045999998</v>
      </c>
      <c r="AP308" s="4"/>
      <c r="AQ308" s="5"/>
      <c r="AR308" s="5"/>
      <c r="AS308" s="2" t="s">
        <v>6</v>
      </c>
    </row>
    <row r="309" spans="1:46" s="2" customFormat="1" ht="17.25" customHeight="1" thickTop="1" x14ac:dyDescent="0.25">
      <c r="A309" s="23">
        <f>A291+1</f>
        <v>46039</v>
      </c>
      <c r="B309" s="210" t="s">
        <v>64</v>
      </c>
      <c r="C309" s="203"/>
      <c r="D309" s="63">
        <v>10307.469999999999</v>
      </c>
      <c r="E309" s="66"/>
      <c r="F309" s="66"/>
      <c r="G309" s="66"/>
      <c r="H309" s="66"/>
      <c r="I309" s="66">
        <f>-D309</f>
        <v>-10307.469999999999</v>
      </c>
      <c r="J309" s="66"/>
      <c r="K309" s="18"/>
      <c r="L309" s="18"/>
      <c r="M309" s="66"/>
      <c r="N309" s="18"/>
      <c r="O309" s="18"/>
      <c r="P309" s="66"/>
      <c r="Q309" s="46"/>
      <c r="R309" s="46"/>
      <c r="S309" s="45"/>
      <c r="T309" s="18"/>
      <c r="U309" s="18"/>
      <c r="V309" s="18"/>
      <c r="W309" s="18"/>
      <c r="X309" s="18"/>
      <c r="Y309" s="14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31"/>
      <c r="AQ309" s="10"/>
      <c r="AR309" s="27"/>
    </row>
    <row r="310" spans="1:46" s="4" customFormat="1" ht="17.25" customHeight="1" x14ac:dyDescent="0.25">
      <c r="A310" s="23"/>
      <c r="B310" s="201" t="s">
        <v>96</v>
      </c>
      <c r="C310" s="202"/>
      <c r="D310" s="63"/>
      <c r="E310" s="64"/>
      <c r="F310" s="64"/>
      <c r="G310" s="64"/>
      <c r="H310" s="64"/>
      <c r="I310" s="64">
        <f>-I308-I309</f>
        <v>-247.30000000000109</v>
      </c>
      <c r="J310" s="64"/>
      <c r="K310" s="16"/>
      <c r="L310" s="92"/>
      <c r="M310" s="64"/>
      <c r="N310" s="16"/>
      <c r="O310" s="92"/>
      <c r="P310" s="64"/>
      <c r="Q310" s="40"/>
      <c r="R310" s="46"/>
      <c r="S310" s="39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22"/>
      <c r="AP310" s="30"/>
    </row>
    <row r="311" spans="1:46" s="2" customFormat="1" ht="17.25" customHeight="1" x14ac:dyDescent="0.25">
      <c r="A311" s="29"/>
      <c r="B311" s="201" t="s">
        <v>327</v>
      </c>
      <c r="C311" s="202"/>
      <c r="D311" s="63">
        <f>91+13+13+30+100+60+158+38+30+12</f>
        <v>545</v>
      </c>
      <c r="E311" s="64"/>
      <c r="F311" s="64"/>
      <c r="G311" s="64"/>
      <c r="H311" s="64"/>
      <c r="I311" s="64">
        <f>-D311</f>
        <v>-545</v>
      </c>
      <c r="J311" s="64"/>
      <c r="K311" s="57"/>
      <c r="L311" s="88"/>
      <c r="M311" s="62"/>
      <c r="N311" s="57"/>
      <c r="O311" s="88"/>
      <c r="P311" s="62"/>
      <c r="Q311" s="47"/>
      <c r="R311" s="39"/>
      <c r="S311" s="39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22"/>
      <c r="AQ311" s="10"/>
      <c r="AR311" s="11"/>
    </row>
    <row r="312" spans="1:46" s="2" customFormat="1" ht="17.25" customHeight="1" x14ac:dyDescent="0.25">
      <c r="A312" s="29"/>
      <c r="B312" s="201" t="s">
        <v>328</v>
      </c>
      <c r="C312" s="202"/>
      <c r="D312" s="63">
        <f>-9*0.99-1.26</f>
        <v>-10.17</v>
      </c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47"/>
      <c r="R312" s="39"/>
      <c r="S312" s="39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22"/>
      <c r="AQ312" s="10"/>
      <c r="AR312" s="11"/>
    </row>
    <row r="313" spans="1:46" s="2" customFormat="1" ht="17.25" customHeight="1" x14ac:dyDescent="0.25">
      <c r="A313" s="29"/>
      <c r="B313" s="201" t="s">
        <v>72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47"/>
      <c r="R313" s="39"/>
      <c r="S313" s="39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22"/>
      <c r="AQ313" s="10" t="s">
        <v>4</v>
      </c>
      <c r="AR313" s="11" t="e">
        <v>#REF!</v>
      </c>
    </row>
    <row r="314" spans="1:46" s="2" customFormat="1" ht="17.25" customHeight="1" thickBot="1" x14ac:dyDescent="0.25">
      <c r="A314" s="24"/>
      <c r="B314" s="216"/>
      <c r="C314" s="217"/>
      <c r="D314" s="83"/>
      <c r="E314" s="81"/>
      <c r="F314" s="81"/>
      <c r="G314" s="81"/>
      <c r="H314" s="81"/>
      <c r="I314" s="81"/>
      <c r="J314" s="81"/>
      <c r="K314" s="37"/>
      <c r="L314" s="93"/>
      <c r="M314" s="81"/>
      <c r="N314" s="37"/>
      <c r="O314" s="93"/>
      <c r="P314" s="81"/>
      <c r="Q314" s="40"/>
      <c r="R314" s="40"/>
      <c r="S314" s="39"/>
      <c r="T314" s="16"/>
      <c r="U314" s="16"/>
      <c r="V314" s="16"/>
      <c r="W314" s="16"/>
      <c r="X314" s="16"/>
      <c r="Y314" s="19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41"/>
      <c r="AQ314" s="10"/>
      <c r="AR314" s="11"/>
    </row>
    <row r="315" spans="1:46" s="4" customFormat="1" ht="17.25" customHeight="1" x14ac:dyDescent="0.25">
      <c r="A315" s="23"/>
      <c r="B315" s="210" t="s">
        <v>94</v>
      </c>
      <c r="C315" s="203"/>
      <c r="D315" s="66"/>
      <c r="E315" s="66"/>
      <c r="F315" s="117"/>
      <c r="G315" s="117"/>
      <c r="H315" s="66"/>
      <c r="I315" s="66"/>
      <c r="J315" s="66">
        <f>-M315</f>
        <v>7461.3</v>
      </c>
      <c r="K315" s="58">
        <v>-1254</v>
      </c>
      <c r="L315" s="89">
        <v>5.95</v>
      </c>
      <c r="M315" s="73">
        <f>K315*L315</f>
        <v>-7461.3</v>
      </c>
      <c r="N315" s="58"/>
      <c r="O315" s="89"/>
      <c r="P315" s="73"/>
      <c r="Q315" s="39"/>
      <c r="R315" s="39"/>
      <c r="S315" s="8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35"/>
      <c r="AP315" s="12" t="e">
        <f>#REF!</f>
        <v>#REF!</v>
      </c>
    </row>
    <row r="316" spans="1:46" s="4" customFormat="1" ht="17.25" customHeight="1" x14ac:dyDescent="0.25">
      <c r="A316" s="23"/>
      <c r="B316" s="201" t="s">
        <v>95</v>
      </c>
      <c r="C316" s="202"/>
      <c r="D316" s="64"/>
      <c r="E316" s="64"/>
      <c r="F316" s="117"/>
      <c r="G316" s="117"/>
      <c r="H316" s="64"/>
      <c r="I316" s="64"/>
      <c r="J316" s="64">
        <f>-P316</f>
        <v>7745.08</v>
      </c>
      <c r="K316" s="57"/>
      <c r="L316" s="88"/>
      <c r="M316" s="62"/>
      <c r="N316" s="57">
        <v>-1946</v>
      </c>
      <c r="O316" s="88">
        <v>3.98</v>
      </c>
      <c r="P316" s="62">
        <f>N316*O316</f>
        <v>-7745.08</v>
      </c>
      <c r="Q316" s="39"/>
      <c r="R316" s="39"/>
      <c r="S316" s="8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35"/>
      <c r="AP316" s="12" t="e">
        <f>#REF!</f>
        <v>#REF!</v>
      </c>
    </row>
    <row r="317" spans="1:46" s="4" customFormat="1" ht="17.25" customHeight="1" x14ac:dyDescent="0.25">
      <c r="A317" s="23"/>
      <c r="B317" s="201" t="s">
        <v>97</v>
      </c>
      <c r="C317" s="203"/>
      <c r="D317" s="64"/>
      <c r="E317" s="64"/>
      <c r="F317" s="64"/>
      <c r="G317" s="64"/>
      <c r="H317" s="64">
        <f>-J317-I317</f>
        <v>4333.6500000000015</v>
      </c>
      <c r="I317" s="64">
        <v>10872.73</v>
      </c>
      <c r="J317" s="64">
        <f>-SUM(J315:J316)</f>
        <v>-15206.380000000001</v>
      </c>
      <c r="K317" s="57"/>
      <c r="L317" s="88"/>
      <c r="M317" s="62"/>
      <c r="N317" s="57"/>
      <c r="O317" s="88"/>
      <c r="P317" s="62"/>
      <c r="Q317" s="39"/>
      <c r="R317" s="39"/>
      <c r="S317" s="39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22"/>
      <c r="AO317" s="43">
        <f>A287</f>
        <v>0</v>
      </c>
      <c r="AP317" s="12" t="e">
        <f>#REF!</f>
        <v>#REF!</v>
      </c>
      <c r="AT317" s="2"/>
    </row>
    <row r="318" spans="1:46" s="4" customFormat="1" ht="17.25" customHeight="1" x14ac:dyDescent="0.25">
      <c r="A318" s="23"/>
      <c r="B318" s="201" t="s">
        <v>93</v>
      </c>
      <c r="C318" s="202"/>
      <c r="D318" s="64"/>
      <c r="E318" s="64"/>
      <c r="F318" s="64"/>
      <c r="G318" s="64"/>
      <c r="H318" s="64"/>
      <c r="I318" s="64"/>
      <c r="J318" s="64"/>
      <c r="K318" s="57">
        <v>26</v>
      </c>
      <c r="L318" s="88"/>
      <c r="M318" s="62">
        <f>(K321*L308)-M308-M315</f>
        <v>989.791778917378</v>
      </c>
      <c r="N318" s="57">
        <v>-15</v>
      </c>
      <c r="O318" s="88"/>
      <c r="P318" s="62">
        <f>(N321*O308)-P308-P316</f>
        <v>323.50032780914262</v>
      </c>
      <c r="Q318" s="39"/>
      <c r="R318" s="39"/>
      <c r="S318" s="39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22"/>
      <c r="AO318" s="43">
        <f>A302</f>
        <v>0</v>
      </c>
      <c r="AP318" s="12" t="e">
        <f>#REF!</f>
        <v>#REF!</v>
      </c>
      <c r="AT318" s="2"/>
    </row>
    <row r="319" spans="1:46" s="2" customFormat="1" ht="17.25" customHeight="1" x14ac:dyDescent="0.2">
      <c r="A319" s="24"/>
      <c r="B319" s="201"/>
      <c r="C319" s="204"/>
      <c r="D319" s="63"/>
      <c r="E319" s="64"/>
      <c r="F319" s="64"/>
      <c r="G319" s="64"/>
      <c r="H319" s="64"/>
      <c r="I319" s="64"/>
      <c r="J319" s="64"/>
      <c r="K319" s="16"/>
      <c r="L319" s="16"/>
      <c r="M319" s="64"/>
      <c r="N319" s="16"/>
      <c r="O319" s="16"/>
      <c r="P319" s="64"/>
      <c r="Q319" s="46"/>
      <c r="R319" s="46"/>
      <c r="S319" s="39"/>
      <c r="T319" s="16"/>
      <c r="U319" s="16"/>
      <c r="V319" s="16"/>
      <c r="W319" s="16"/>
      <c r="X319" s="16"/>
      <c r="Y319" s="19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43">
        <f>A309</f>
        <v>46039</v>
      </c>
      <c r="AQ319" s="10"/>
      <c r="AR319" s="11"/>
    </row>
    <row r="320" spans="1:46" s="2" customFormat="1" ht="17.25" customHeight="1" thickBot="1" x14ac:dyDescent="0.3">
      <c r="A320" s="56"/>
      <c r="B320" s="101" t="s">
        <v>102</v>
      </c>
      <c r="C320" s="102">
        <f>D321+E321+F321+G321+H321+I321+J321+M321+P321</f>
        <v>117325.36954000004</v>
      </c>
      <c r="D320" s="84"/>
      <c r="E320" s="85"/>
      <c r="F320" s="85"/>
      <c r="G320" s="85"/>
      <c r="H320" s="85"/>
      <c r="I320" s="85"/>
      <c r="J320" s="85"/>
      <c r="K320" s="28"/>
      <c r="L320" s="28"/>
      <c r="M320" s="85"/>
      <c r="N320" s="28"/>
      <c r="O320" s="28"/>
      <c r="P320" s="85"/>
      <c r="Q320" s="48"/>
      <c r="R320" s="48"/>
      <c r="S320" s="51"/>
      <c r="T320" s="28"/>
      <c r="U320" s="28"/>
      <c r="V320" s="28"/>
      <c r="W320" s="28"/>
      <c r="X320" s="28"/>
      <c r="Y320" s="36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42">
        <f>SUM($Q308:AN320)</f>
        <v>-449052.52</v>
      </c>
      <c r="AQ320" s="10"/>
      <c r="AR320" s="11"/>
      <c r="AS320" s="2" t="s">
        <v>5</v>
      </c>
    </row>
    <row r="321" spans="1:46" s="2" customFormat="1" ht="17.25" customHeight="1" thickTop="1" thickBot="1" x14ac:dyDescent="0.3">
      <c r="A321" s="103"/>
      <c r="B321" s="104" t="s">
        <v>103</v>
      </c>
      <c r="C321" s="105">
        <f>AO321</f>
        <v>-331727.15045999998</v>
      </c>
      <c r="D321" s="106">
        <f t="shared" ref="D321:K321" si="31">SUM(D308:D320)</f>
        <v>22173.207040000027</v>
      </c>
      <c r="E321" s="107">
        <f t="shared" si="31"/>
        <v>-38085.770000000011</v>
      </c>
      <c r="F321" s="107">
        <f t="shared" si="31"/>
        <v>0.5</v>
      </c>
      <c r="G321" s="107">
        <f t="shared" si="31"/>
        <v>0</v>
      </c>
      <c r="H321" s="107">
        <f t="shared" si="31"/>
        <v>69777.732500000013</v>
      </c>
      <c r="I321" s="107">
        <f t="shared" si="31"/>
        <v>10327.73</v>
      </c>
      <c r="J321" s="107">
        <f t="shared" si="31"/>
        <v>0</v>
      </c>
      <c r="K321" s="108">
        <f t="shared" si="31"/>
        <v>7547</v>
      </c>
      <c r="L321" s="109">
        <f>M321/K321</f>
        <v>5.2699575990459788</v>
      </c>
      <c r="M321" s="107">
        <f>ROUND(SUM(M308:M320),2)</f>
        <v>39772.370000000003</v>
      </c>
      <c r="N321" s="108">
        <f>SUM(N308:N320)</f>
        <v>3530</v>
      </c>
      <c r="O321" s="109">
        <f>P321/N321</f>
        <v>3.7845892351274788</v>
      </c>
      <c r="P321" s="107">
        <f>ROUND(SUM(P308:P320),2)</f>
        <v>13359.6</v>
      </c>
      <c r="Q321" s="110">
        <f t="shared" ref="Q321:AN321" si="32">SUM(Q308:Q320)</f>
        <v>-496067.13</v>
      </c>
      <c r="R321" s="107">
        <f t="shared" si="32"/>
        <v>50229.299999999996</v>
      </c>
      <c r="S321" s="107">
        <f t="shared" si="32"/>
        <v>0</v>
      </c>
      <c r="T321" s="107">
        <f t="shared" si="32"/>
        <v>-3214.6900000000005</v>
      </c>
      <c r="U321" s="107">
        <f t="shared" si="32"/>
        <v>0</v>
      </c>
      <c r="V321" s="107">
        <f t="shared" si="32"/>
        <v>0</v>
      </c>
      <c r="W321" s="107">
        <f t="shared" si="32"/>
        <v>0</v>
      </c>
      <c r="X321" s="107">
        <f t="shared" si="32"/>
        <v>0</v>
      </c>
      <c r="Y321" s="107">
        <f t="shared" si="32"/>
        <v>0</v>
      </c>
      <c r="Z321" s="107">
        <f t="shared" si="32"/>
        <v>0</v>
      </c>
      <c r="AA321" s="107">
        <f t="shared" si="32"/>
        <v>0</v>
      </c>
      <c r="AB321" s="107">
        <f t="shared" si="32"/>
        <v>0</v>
      </c>
      <c r="AC321" s="107">
        <f t="shared" si="32"/>
        <v>0</v>
      </c>
      <c r="AD321" s="107">
        <f t="shared" si="32"/>
        <v>0</v>
      </c>
      <c r="AE321" s="107">
        <f t="shared" si="32"/>
        <v>0</v>
      </c>
      <c r="AF321" s="107">
        <f t="shared" si="32"/>
        <v>0</v>
      </c>
      <c r="AG321" s="107">
        <f t="shared" si="32"/>
        <v>0</v>
      </c>
      <c r="AH321" s="107">
        <f t="shared" si="32"/>
        <v>0</v>
      </c>
      <c r="AI321" s="107">
        <f t="shared" si="32"/>
        <v>0</v>
      </c>
      <c r="AJ321" s="107">
        <f t="shared" si="32"/>
        <v>0</v>
      </c>
      <c r="AK321" s="107">
        <f t="shared" si="32"/>
        <v>0</v>
      </c>
      <c r="AL321" s="107">
        <f t="shared" si="32"/>
        <v>0</v>
      </c>
      <c r="AM321" s="107">
        <f t="shared" si="32"/>
        <v>0</v>
      </c>
      <c r="AN321" s="107">
        <f t="shared" si="32"/>
        <v>0</v>
      </c>
      <c r="AO321" s="111">
        <f>D321+E321+F321+G321+H321+I321+J321+M321+P321+SUM(Q321:AN321)</f>
        <v>-331727.15045999998</v>
      </c>
      <c r="AP321" s="4"/>
      <c r="AQ321" s="5"/>
      <c r="AR321" s="5"/>
      <c r="AS321" s="2" t="s">
        <v>6</v>
      </c>
    </row>
    <row r="322" spans="1:46" s="2" customFormat="1" ht="17.25" customHeight="1" thickTop="1" x14ac:dyDescent="0.25">
      <c r="A322" s="23">
        <f>A309+1</f>
        <v>46040</v>
      </c>
      <c r="B322" s="210" t="s">
        <v>64</v>
      </c>
      <c r="C322" s="203"/>
      <c r="D322" s="63">
        <v>10068.209999999999</v>
      </c>
      <c r="E322" s="66"/>
      <c r="F322" s="66"/>
      <c r="G322" s="66"/>
      <c r="H322" s="66"/>
      <c r="I322" s="66">
        <f>-D322</f>
        <v>-10068.209999999999</v>
      </c>
      <c r="J322" s="66"/>
      <c r="K322" s="18"/>
      <c r="L322" s="18"/>
      <c r="M322" s="66"/>
      <c r="N322" s="18"/>
      <c r="O322" s="18"/>
      <c r="P322" s="66"/>
      <c r="Q322" s="46"/>
      <c r="R322" s="46"/>
      <c r="S322" s="45"/>
      <c r="T322" s="18"/>
      <c r="U322" s="18"/>
      <c r="V322" s="18"/>
      <c r="W322" s="18"/>
      <c r="X322" s="18"/>
      <c r="Y322" s="14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31"/>
      <c r="AQ322" s="10"/>
      <c r="AR322" s="27"/>
    </row>
    <row r="323" spans="1:46" s="4" customFormat="1" ht="17.25" customHeight="1" x14ac:dyDescent="0.25">
      <c r="A323" s="23"/>
      <c r="B323" s="201" t="s">
        <v>96</v>
      </c>
      <c r="C323" s="202"/>
      <c r="D323" s="63"/>
      <c r="E323" s="64"/>
      <c r="F323" s="64"/>
      <c r="G323" s="64"/>
      <c r="H323" s="64"/>
      <c r="I323" s="64">
        <f>-I321-I322</f>
        <v>-259.52000000000044</v>
      </c>
      <c r="J323" s="64"/>
      <c r="K323" s="16"/>
      <c r="L323" s="92"/>
      <c r="M323" s="64"/>
      <c r="N323" s="16"/>
      <c r="O323" s="92"/>
      <c r="P323" s="64"/>
      <c r="Q323" s="40"/>
      <c r="R323" s="46"/>
      <c r="S323" s="39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22"/>
      <c r="AP323" s="30"/>
    </row>
    <row r="324" spans="1:46" s="2" customFormat="1" ht="17.25" customHeight="1" x14ac:dyDescent="0.25">
      <c r="A324" s="29"/>
      <c r="B324" s="201" t="s">
        <v>327</v>
      </c>
      <c r="C324" s="202"/>
      <c r="D324" s="63">
        <f>197+26+60+15+10+30+50+15+300+20+100+55</f>
        <v>878</v>
      </c>
      <c r="E324" s="64"/>
      <c r="F324" s="64"/>
      <c r="G324" s="64"/>
      <c r="H324" s="64"/>
      <c r="I324" s="64">
        <f>-D324</f>
        <v>-878</v>
      </c>
      <c r="J324" s="64"/>
      <c r="K324" s="57"/>
      <c r="L324" s="88"/>
      <c r="M324" s="62"/>
      <c r="N324" s="57"/>
      <c r="O324" s="88"/>
      <c r="P324" s="62"/>
      <c r="Q324" s="47"/>
      <c r="R324" s="39"/>
      <c r="S324" s="39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22"/>
      <c r="AQ324" s="10"/>
      <c r="AR324" s="11"/>
    </row>
    <row r="325" spans="1:46" s="2" customFormat="1" ht="17.25" customHeight="1" x14ac:dyDescent="0.25">
      <c r="A325" s="29"/>
      <c r="B325" s="201" t="s">
        <v>328</v>
      </c>
      <c r="C325" s="202"/>
      <c r="D325" s="63">
        <f>-10*0.99-1.58-2.4</f>
        <v>-13.88</v>
      </c>
      <c r="E325" s="64"/>
      <c r="F325" s="64"/>
      <c r="G325" s="64"/>
      <c r="H325" s="64"/>
      <c r="I325" s="64"/>
      <c r="J325" s="64"/>
      <c r="K325" s="57"/>
      <c r="L325" s="88"/>
      <c r="M325" s="62"/>
      <c r="N325" s="57"/>
      <c r="O325" s="88"/>
      <c r="P325" s="62"/>
      <c r="Q325" s="47"/>
      <c r="R325" s="39"/>
      <c r="S325" s="39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22"/>
      <c r="AQ325" s="10"/>
      <c r="AR325" s="11"/>
    </row>
    <row r="326" spans="1:46" s="2" customFormat="1" ht="17.25" customHeight="1" thickBot="1" x14ac:dyDescent="0.25">
      <c r="A326" s="24"/>
      <c r="B326" s="216"/>
      <c r="C326" s="217"/>
      <c r="D326" s="83"/>
      <c r="E326" s="81"/>
      <c r="F326" s="81"/>
      <c r="G326" s="81"/>
      <c r="H326" s="81"/>
      <c r="I326" s="81"/>
      <c r="J326" s="81"/>
      <c r="K326" s="37"/>
      <c r="L326" s="93"/>
      <c r="M326" s="81"/>
      <c r="N326" s="37"/>
      <c r="O326" s="93"/>
      <c r="P326" s="81"/>
      <c r="Q326" s="40"/>
      <c r="R326" s="40"/>
      <c r="S326" s="39"/>
      <c r="T326" s="16"/>
      <c r="U326" s="16"/>
      <c r="V326" s="16"/>
      <c r="W326" s="16"/>
      <c r="X326" s="16"/>
      <c r="Y326" s="19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41"/>
      <c r="AQ326" s="10"/>
      <c r="AR326" s="11"/>
    </row>
    <row r="327" spans="1:46" s="4" customFormat="1" ht="17.25" customHeight="1" x14ac:dyDescent="0.25">
      <c r="A327" s="23"/>
      <c r="B327" s="210" t="s">
        <v>94</v>
      </c>
      <c r="C327" s="203"/>
      <c r="D327" s="66"/>
      <c r="E327" s="66"/>
      <c r="F327" s="117"/>
      <c r="G327" s="117"/>
      <c r="H327" s="66"/>
      <c r="I327" s="66"/>
      <c r="J327" s="66">
        <f>-M327</f>
        <v>5402.6</v>
      </c>
      <c r="K327" s="58">
        <v>-908</v>
      </c>
      <c r="L327" s="89">
        <v>5.95</v>
      </c>
      <c r="M327" s="73">
        <f>K327*L327</f>
        <v>-5402.6</v>
      </c>
      <c r="N327" s="58"/>
      <c r="O327" s="89"/>
      <c r="P327" s="73"/>
      <c r="Q327" s="39"/>
      <c r="R327" s="39"/>
      <c r="S327" s="8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35"/>
      <c r="AP327" s="12" t="e">
        <f>#REF!</f>
        <v>#REF!</v>
      </c>
    </row>
    <row r="328" spans="1:46" s="4" customFormat="1" ht="17.25" customHeight="1" x14ac:dyDescent="0.25">
      <c r="A328" s="23"/>
      <c r="B328" s="201" t="s">
        <v>95</v>
      </c>
      <c r="C328" s="202"/>
      <c r="D328" s="64"/>
      <c r="E328" s="64"/>
      <c r="F328" s="117"/>
      <c r="G328" s="117"/>
      <c r="H328" s="64"/>
      <c r="I328" s="64"/>
      <c r="J328" s="64">
        <f>-P328</f>
        <v>4748.1400000000003</v>
      </c>
      <c r="K328" s="57"/>
      <c r="L328" s="88"/>
      <c r="M328" s="62"/>
      <c r="N328" s="57">
        <v>-1193</v>
      </c>
      <c r="O328" s="88">
        <v>3.98</v>
      </c>
      <c r="P328" s="62">
        <f>N328*O328</f>
        <v>-4748.1400000000003</v>
      </c>
      <c r="Q328" s="39"/>
      <c r="R328" s="39"/>
      <c r="S328" s="8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35"/>
      <c r="AP328" s="12" t="e">
        <f>#REF!</f>
        <v>#REF!</v>
      </c>
    </row>
    <row r="329" spans="1:46" s="4" customFormat="1" ht="17.25" customHeight="1" x14ac:dyDescent="0.25">
      <c r="A329" s="23"/>
      <c r="B329" s="201" t="s">
        <v>97</v>
      </c>
      <c r="C329" s="203"/>
      <c r="D329" s="64"/>
      <c r="E329" s="64"/>
      <c r="F329" s="64"/>
      <c r="G329" s="64"/>
      <c r="H329" s="64">
        <f>-J329-I329</f>
        <v>2307.5700000000015</v>
      </c>
      <c r="I329" s="64">
        <v>7843.17</v>
      </c>
      <c r="J329" s="64">
        <f>-SUM(J327:J328)</f>
        <v>-10150.740000000002</v>
      </c>
      <c r="K329" s="57"/>
      <c r="L329" s="88"/>
      <c r="M329" s="62"/>
      <c r="N329" s="57"/>
      <c r="O329" s="88"/>
      <c r="P329" s="62"/>
      <c r="Q329" s="39"/>
      <c r="R329" s="39"/>
      <c r="S329" s="39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22"/>
      <c r="AO329" s="43">
        <f>A305</f>
        <v>0</v>
      </c>
      <c r="AP329" s="12" t="e">
        <f>#REF!</f>
        <v>#REF!</v>
      </c>
      <c r="AT329" s="2"/>
    </row>
    <row r="330" spans="1:46" s="4" customFormat="1" ht="17.25" customHeight="1" x14ac:dyDescent="0.25">
      <c r="A330" s="23"/>
      <c r="B330" s="201" t="s">
        <v>93</v>
      </c>
      <c r="C330" s="202"/>
      <c r="D330" s="64"/>
      <c r="E330" s="64"/>
      <c r="F330" s="64"/>
      <c r="G330" s="64"/>
      <c r="H330" s="64"/>
      <c r="I330" s="64"/>
      <c r="J330" s="64"/>
      <c r="K330" s="57">
        <v>-85</v>
      </c>
      <c r="L330" s="88"/>
      <c r="M330" s="62">
        <f>(K333*L321)-M321-M327</f>
        <v>169.53210414734531</v>
      </c>
      <c r="N330" s="57">
        <v>41</v>
      </c>
      <c r="O330" s="88"/>
      <c r="P330" s="62">
        <f>(N333*O321)-P321-P328</f>
        <v>388.29320113314407</v>
      </c>
      <c r="Q330" s="39"/>
      <c r="R330" s="39"/>
      <c r="S330" s="39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22"/>
      <c r="AO330" s="43">
        <f>A315</f>
        <v>0</v>
      </c>
      <c r="AP330" s="12" t="e">
        <f>#REF!</f>
        <v>#REF!</v>
      </c>
      <c r="AT330" s="2"/>
    </row>
    <row r="331" spans="1:46" s="2" customFormat="1" ht="17.25" customHeight="1" x14ac:dyDescent="0.2">
      <c r="A331" s="24"/>
      <c r="B331" s="201"/>
      <c r="C331" s="204"/>
      <c r="D331" s="63"/>
      <c r="E331" s="64"/>
      <c r="F331" s="64"/>
      <c r="G331" s="64"/>
      <c r="H331" s="64"/>
      <c r="I331" s="64"/>
      <c r="J331" s="64"/>
      <c r="K331" s="16"/>
      <c r="L331" s="16"/>
      <c r="M331" s="64"/>
      <c r="N331" s="16"/>
      <c r="O331" s="16"/>
      <c r="P331" s="64"/>
      <c r="Q331" s="46"/>
      <c r="R331" s="46"/>
      <c r="S331" s="39"/>
      <c r="T331" s="16"/>
      <c r="U331" s="16"/>
      <c r="V331" s="16"/>
      <c r="W331" s="16"/>
      <c r="X331" s="16"/>
      <c r="Y331" s="19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43">
        <f>A322</f>
        <v>46040</v>
      </c>
      <c r="AQ331" s="10"/>
      <c r="AR331" s="11"/>
    </row>
    <row r="332" spans="1:46" s="2" customFormat="1" ht="17.25" customHeight="1" thickBot="1" x14ac:dyDescent="0.3">
      <c r="A332" s="56"/>
      <c r="B332" s="101" t="s">
        <v>102</v>
      </c>
      <c r="C332" s="102">
        <f>D333+E333+F333+G333+H333+I333+J333+M333+P333</f>
        <v>117609.78954000004</v>
      </c>
      <c r="D332" s="84"/>
      <c r="E332" s="85"/>
      <c r="F332" s="85"/>
      <c r="G332" s="85"/>
      <c r="H332" s="85"/>
      <c r="I332" s="85"/>
      <c r="J332" s="85"/>
      <c r="K332" s="28"/>
      <c r="L332" s="28"/>
      <c r="M332" s="85"/>
      <c r="N332" s="28"/>
      <c r="O332" s="28"/>
      <c r="P332" s="85"/>
      <c r="Q332" s="48"/>
      <c r="R332" s="48"/>
      <c r="S332" s="51"/>
      <c r="T332" s="28"/>
      <c r="U332" s="28"/>
      <c r="V332" s="28"/>
      <c r="W332" s="28"/>
      <c r="X332" s="28"/>
      <c r="Y332" s="36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42">
        <f>SUM($Q321:AN332)</f>
        <v>-449052.52</v>
      </c>
      <c r="AQ332" s="10"/>
      <c r="AR332" s="11"/>
      <c r="AS332" s="2" t="s">
        <v>5</v>
      </c>
    </row>
    <row r="333" spans="1:46" s="2" customFormat="1" ht="17.25" customHeight="1" thickTop="1" thickBot="1" x14ac:dyDescent="0.3">
      <c r="A333" s="103"/>
      <c r="B333" s="104" t="s">
        <v>103</v>
      </c>
      <c r="C333" s="105">
        <f>AO333</f>
        <v>-331442.73045999999</v>
      </c>
      <c r="D333" s="106">
        <f t="shared" ref="D333:K333" si="33">SUM(D321:D332)</f>
        <v>33105.537040000032</v>
      </c>
      <c r="E333" s="107">
        <f t="shared" si="33"/>
        <v>-38085.770000000011</v>
      </c>
      <c r="F333" s="107">
        <f t="shared" si="33"/>
        <v>0.5</v>
      </c>
      <c r="G333" s="107">
        <f t="shared" si="33"/>
        <v>0</v>
      </c>
      <c r="H333" s="107">
        <f t="shared" si="33"/>
        <v>72085.30250000002</v>
      </c>
      <c r="I333" s="107">
        <f t="shared" si="33"/>
        <v>6965.17</v>
      </c>
      <c r="J333" s="107">
        <f t="shared" si="33"/>
        <v>0</v>
      </c>
      <c r="K333" s="108">
        <f t="shared" si="33"/>
        <v>6554</v>
      </c>
      <c r="L333" s="109">
        <f>M333/K333</f>
        <v>5.2699572779981692</v>
      </c>
      <c r="M333" s="107">
        <f>ROUND(SUM(M321:M332),2)</f>
        <v>34539.300000000003</v>
      </c>
      <c r="N333" s="108">
        <f>SUM(N321:N332)</f>
        <v>2378</v>
      </c>
      <c r="O333" s="109">
        <f>P333/N333</f>
        <v>3.7845878889823381</v>
      </c>
      <c r="P333" s="107">
        <f>ROUND(SUM(P321:P332),2)</f>
        <v>8999.75</v>
      </c>
      <c r="Q333" s="110">
        <f t="shared" ref="Q333:AN333" si="34">SUM(Q321:Q332)</f>
        <v>-496067.13</v>
      </c>
      <c r="R333" s="107">
        <f t="shared" si="34"/>
        <v>50229.299999999996</v>
      </c>
      <c r="S333" s="107">
        <f t="shared" si="34"/>
        <v>0</v>
      </c>
      <c r="T333" s="107">
        <f t="shared" si="34"/>
        <v>-3214.6900000000005</v>
      </c>
      <c r="U333" s="107">
        <f t="shared" si="34"/>
        <v>0</v>
      </c>
      <c r="V333" s="107">
        <f t="shared" si="34"/>
        <v>0</v>
      </c>
      <c r="W333" s="107">
        <f t="shared" si="34"/>
        <v>0</v>
      </c>
      <c r="X333" s="107">
        <f t="shared" si="34"/>
        <v>0</v>
      </c>
      <c r="Y333" s="107">
        <f t="shared" si="34"/>
        <v>0</v>
      </c>
      <c r="Z333" s="107">
        <f t="shared" si="34"/>
        <v>0</v>
      </c>
      <c r="AA333" s="107">
        <f t="shared" si="34"/>
        <v>0</v>
      </c>
      <c r="AB333" s="107">
        <f t="shared" si="34"/>
        <v>0</v>
      </c>
      <c r="AC333" s="107">
        <f t="shared" si="34"/>
        <v>0</v>
      </c>
      <c r="AD333" s="107">
        <f t="shared" si="34"/>
        <v>0</v>
      </c>
      <c r="AE333" s="107">
        <f t="shared" si="34"/>
        <v>0</v>
      </c>
      <c r="AF333" s="107">
        <f t="shared" si="34"/>
        <v>0</v>
      </c>
      <c r="AG333" s="107">
        <f t="shared" si="34"/>
        <v>0</v>
      </c>
      <c r="AH333" s="107">
        <f t="shared" si="34"/>
        <v>0</v>
      </c>
      <c r="AI333" s="107">
        <f t="shared" si="34"/>
        <v>0</v>
      </c>
      <c r="AJ333" s="107">
        <f t="shared" si="34"/>
        <v>0</v>
      </c>
      <c r="AK333" s="107">
        <f t="shared" si="34"/>
        <v>0</v>
      </c>
      <c r="AL333" s="107">
        <f t="shared" si="34"/>
        <v>0</v>
      </c>
      <c r="AM333" s="107">
        <f t="shared" si="34"/>
        <v>0</v>
      </c>
      <c r="AN333" s="107">
        <f t="shared" si="34"/>
        <v>0</v>
      </c>
      <c r="AO333" s="111">
        <f>D333+E333+F333+G333+H333+I333+J333+M333+P333+SUM(Q333:AN333)</f>
        <v>-331442.73045999999</v>
      </c>
      <c r="AP333" s="4"/>
      <c r="AQ333" s="5"/>
      <c r="AR333" s="5"/>
      <c r="AS333" s="2" t="s">
        <v>6</v>
      </c>
    </row>
    <row r="334" spans="1:46" s="2" customFormat="1" ht="17.25" customHeight="1" thickTop="1" x14ac:dyDescent="0.25">
      <c r="A334" s="23">
        <f>A322+1</f>
        <v>46041</v>
      </c>
      <c r="B334" s="210" t="s">
        <v>64</v>
      </c>
      <c r="C334" s="203"/>
      <c r="D334" s="63">
        <v>6818.04</v>
      </c>
      <c r="E334" s="66"/>
      <c r="F334" s="66"/>
      <c r="G334" s="66"/>
      <c r="H334" s="66"/>
      <c r="I334" s="66">
        <f>-D334</f>
        <v>-6818.04</v>
      </c>
      <c r="J334" s="66"/>
      <c r="K334" s="18"/>
      <c r="L334" s="18"/>
      <c r="M334" s="66"/>
      <c r="N334" s="18"/>
      <c r="O334" s="18"/>
      <c r="P334" s="66"/>
      <c r="Q334" s="46"/>
      <c r="R334" s="46"/>
      <c r="S334" s="45"/>
      <c r="T334" s="18"/>
      <c r="U334" s="18"/>
      <c r="V334" s="18"/>
      <c r="W334" s="18"/>
      <c r="X334" s="18"/>
      <c r="Y334" s="14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31"/>
      <c r="AQ334" s="10"/>
      <c r="AR334" s="27"/>
    </row>
    <row r="335" spans="1:46" s="4" customFormat="1" ht="17.25" customHeight="1" x14ac:dyDescent="0.25">
      <c r="A335" s="23"/>
      <c r="B335" s="201" t="s">
        <v>96</v>
      </c>
      <c r="C335" s="202"/>
      <c r="D335" s="63"/>
      <c r="E335" s="64"/>
      <c r="F335" s="64"/>
      <c r="G335" s="64"/>
      <c r="H335" s="64"/>
      <c r="I335" s="64">
        <f>-I333-I334</f>
        <v>-147.13000000000011</v>
      </c>
      <c r="J335" s="64"/>
      <c r="K335" s="16"/>
      <c r="L335" s="92"/>
      <c r="M335" s="64"/>
      <c r="N335" s="16"/>
      <c r="O335" s="92"/>
      <c r="P335" s="64"/>
      <c r="Q335" s="40"/>
      <c r="R335" s="46"/>
      <c r="S335" s="39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22"/>
      <c r="AP335" s="30"/>
    </row>
    <row r="336" spans="1:46" s="2" customFormat="1" ht="17.25" customHeight="1" x14ac:dyDescent="0.25">
      <c r="A336" s="29"/>
      <c r="B336" s="201" t="s">
        <v>327</v>
      </c>
      <c r="C336" s="202"/>
      <c r="D336" s="63">
        <f>50+10+30+10+178.5+30+50+78.3+50+161.6+50+140+28+100+3.5</f>
        <v>969.9</v>
      </c>
      <c r="E336" s="64"/>
      <c r="F336" s="64"/>
      <c r="G336" s="64"/>
      <c r="H336" s="64"/>
      <c r="I336" s="64">
        <f>-D336</f>
        <v>-969.9</v>
      </c>
      <c r="J336" s="64"/>
      <c r="K336" s="57"/>
      <c r="L336" s="88"/>
      <c r="M336" s="62"/>
      <c r="N336" s="57"/>
      <c r="O336" s="88"/>
      <c r="P336" s="62"/>
      <c r="Q336" s="47"/>
      <c r="R336" s="39"/>
      <c r="S336" s="39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22"/>
      <c r="AQ336" s="10"/>
      <c r="AR336" s="11"/>
    </row>
    <row r="337" spans="1:46" s="2" customFormat="1" ht="17.25" customHeight="1" x14ac:dyDescent="0.25">
      <c r="A337" s="29"/>
      <c r="B337" s="201" t="s">
        <v>328</v>
      </c>
      <c r="C337" s="202"/>
      <c r="D337" s="63">
        <f>-12*0.99-1.43-1.29-1.12</f>
        <v>-15.719999999999999</v>
      </c>
      <c r="E337" s="64"/>
      <c r="F337" s="64"/>
      <c r="G337" s="64"/>
      <c r="H337" s="64"/>
      <c r="I337" s="64"/>
      <c r="J337" s="64"/>
      <c r="K337" s="57"/>
      <c r="L337" s="88"/>
      <c r="M337" s="62"/>
      <c r="N337" s="57"/>
      <c r="O337" s="88"/>
      <c r="P337" s="62"/>
      <c r="Q337" s="47"/>
      <c r="R337" s="39"/>
      <c r="S337" s="39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22"/>
      <c r="AQ337" s="10"/>
      <c r="AR337" s="11"/>
    </row>
    <row r="338" spans="1:46" s="2" customFormat="1" ht="17.25" customHeight="1" x14ac:dyDescent="0.25">
      <c r="A338" s="29"/>
      <c r="B338" s="201" t="s">
        <v>72</v>
      </c>
      <c r="C338" s="202"/>
      <c r="D338" s="63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47"/>
      <c r="R338" s="39"/>
      <c r="S338" s="39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22"/>
      <c r="AQ338" s="10" t="s">
        <v>4</v>
      </c>
      <c r="AR338" s="11" t="e">
        <v>#REF!</v>
      </c>
    </row>
    <row r="339" spans="1:46" s="2" customFormat="1" ht="17.25" customHeight="1" x14ac:dyDescent="0.2">
      <c r="A339" s="23"/>
      <c r="B339" s="211" t="s">
        <v>330</v>
      </c>
      <c r="C339" s="206"/>
      <c r="D339" s="64">
        <f>-P339</f>
        <v>-38600</v>
      </c>
      <c r="E339" s="64"/>
      <c r="F339" s="64"/>
      <c r="G339" s="74"/>
      <c r="H339" s="64"/>
      <c r="I339" s="64"/>
      <c r="J339" s="64"/>
      <c r="K339" s="16"/>
      <c r="L339" s="16"/>
      <c r="M339" s="64"/>
      <c r="N339" s="167">
        <v>10000</v>
      </c>
      <c r="O339" s="92">
        <v>3.86</v>
      </c>
      <c r="P339" s="64">
        <f>N339*O339</f>
        <v>38600</v>
      </c>
      <c r="Q339" s="46"/>
      <c r="R339" s="39"/>
      <c r="S339" s="40"/>
      <c r="T339" s="16"/>
      <c r="U339" s="16"/>
      <c r="V339" s="16"/>
      <c r="W339" s="16"/>
      <c r="X339" s="16"/>
      <c r="Y339" s="19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35"/>
      <c r="AQ339" s="10"/>
      <c r="AR339" s="27"/>
    </row>
    <row r="340" spans="1:46" s="2" customFormat="1" ht="17.25" customHeight="1" x14ac:dyDescent="0.2">
      <c r="A340" s="23"/>
      <c r="B340" s="201" t="s">
        <v>326</v>
      </c>
      <c r="C340" s="204"/>
      <c r="D340" s="63">
        <v>-4.9000000000000004</v>
      </c>
      <c r="E340" s="64"/>
      <c r="F340" s="74"/>
      <c r="G340" s="74"/>
      <c r="H340" s="64"/>
      <c r="I340" s="64"/>
      <c r="J340" s="64"/>
      <c r="K340" s="16"/>
      <c r="L340" s="16"/>
      <c r="M340" s="64"/>
      <c r="N340" s="16"/>
      <c r="O340" s="16"/>
      <c r="P340" s="64"/>
      <c r="Q340" s="46"/>
      <c r="R340" s="39"/>
      <c r="S340" s="40"/>
      <c r="T340" s="16"/>
      <c r="U340" s="16"/>
      <c r="V340" s="16"/>
      <c r="W340" s="16"/>
      <c r="X340" s="16"/>
      <c r="Y340" s="19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35"/>
      <c r="AQ340" s="10"/>
      <c r="AR340" s="27"/>
    </row>
    <row r="341" spans="1:46" s="4" customFormat="1" ht="17.25" customHeight="1" x14ac:dyDescent="0.25">
      <c r="A341" s="23"/>
      <c r="B341" s="201" t="s">
        <v>13</v>
      </c>
      <c r="C341" s="203"/>
      <c r="D341" s="63"/>
      <c r="E341" s="64">
        <f>175+50+30+100+50+50+15+40+150+10+50+50+13+5+30+205+10+50+139.56+100+40+880+20+934+127+1394+2+1365+60</f>
        <v>6144.5599999999995</v>
      </c>
      <c r="F341" s="64"/>
      <c r="G341" s="64"/>
      <c r="H341" s="64">
        <f>-E341</f>
        <v>-6144.5599999999995</v>
      </c>
      <c r="I341" s="66"/>
      <c r="J341" s="64"/>
      <c r="K341" s="16"/>
      <c r="L341" s="92"/>
      <c r="M341" s="64"/>
      <c r="N341" s="16"/>
      <c r="O341" s="92"/>
      <c r="P341" s="64"/>
      <c r="Q341" s="40"/>
      <c r="R341" s="46"/>
      <c r="S341" s="39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22"/>
      <c r="AP341" s="30"/>
    </row>
    <row r="342" spans="1:46" s="2" customFormat="1" ht="17.25" customHeight="1" thickBot="1" x14ac:dyDescent="0.25">
      <c r="A342" s="24"/>
      <c r="B342" s="216"/>
      <c r="C342" s="217"/>
      <c r="D342" s="83"/>
      <c r="E342" s="81"/>
      <c r="F342" s="81"/>
      <c r="G342" s="81"/>
      <c r="H342" s="81"/>
      <c r="I342" s="81"/>
      <c r="J342" s="81"/>
      <c r="K342" s="37"/>
      <c r="L342" s="93"/>
      <c r="M342" s="81"/>
      <c r="N342" s="37"/>
      <c r="O342" s="93"/>
      <c r="P342" s="81"/>
      <c r="Q342" s="40"/>
      <c r="R342" s="40"/>
      <c r="S342" s="39"/>
      <c r="T342" s="16"/>
      <c r="U342" s="16"/>
      <c r="V342" s="16"/>
      <c r="W342" s="16"/>
      <c r="X342" s="16"/>
      <c r="Y342" s="19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41"/>
      <c r="AQ342" s="10"/>
      <c r="AR342" s="11"/>
    </row>
    <row r="343" spans="1:46" s="4" customFormat="1" ht="17.25" customHeight="1" x14ac:dyDescent="0.25">
      <c r="A343" s="23"/>
      <c r="B343" s="210" t="s">
        <v>94</v>
      </c>
      <c r="C343" s="203"/>
      <c r="D343" s="66"/>
      <c r="E343" s="66"/>
      <c r="F343" s="117"/>
      <c r="G343" s="117"/>
      <c r="H343" s="66"/>
      <c r="I343" s="66"/>
      <c r="J343" s="66">
        <f>-M343</f>
        <v>5545.4000000000005</v>
      </c>
      <c r="K343" s="58">
        <v>-932</v>
      </c>
      <c r="L343" s="89">
        <v>5.95</v>
      </c>
      <c r="M343" s="73">
        <f>K343*L343</f>
        <v>-5545.4000000000005</v>
      </c>
      <c r="N343" s="58"/>
      <c r="O343" s="89"/>
      <c r="P343" s="73"/>
      <c r="Q343" s="39"/>
      <c r="R343" s="39"/>
      <c r="S343" s="8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35"/>
      <c r="AP343" s="12" t="e">
        <f>#REF!</f>
        <v>#REF!</v>
      </c>
    </row>
    <row r="344" spans="1:46" s="4" customFormat="1" ht="17.25" customHeight="1" x14ac:dyDescent="0.25">
      <c r="A344" s="23"/>
      <c r="B344" s="201" t="s">
        <v>95</v>
      </c>
      <c r="C344" s="202"/>
      <c r="D344" s="64"/>
      <c r="E344" s="64"/>
      <c r="F344" s="117"/>
      <c r="G344" s="117"/>
      <c r="H344" s="64"/>
      <c r="I344" s="64"/>
      <c r="J344" s="64">
        <f>-P344</f>
        <v>6474.96</v>
      </c>
      <c r="K344" s="57"/>
      <c r="L344" s="88"/>
      <c r="M344" s="62"/>
      <c r="N344" s="57">
        <v>-1587</v>
      </c>
      <c r="O344" s="88">
        <v>4.08</v>
      </c>
      <c r="P344" s="62">
        <f>N344*O344</f>
        <v>-6474.96</v>
      </c>
      <c r="Q344" s="39"/>
      <c r="R344" s="39"/>
      <c r="S344" s="8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35"/>
      <c r="AP344" s="12" t="e">
        <f>#REF!</f>
        <v>#REF!</v>
      </c>
    </row>
    <row r="345" spans="1:46" s="4" customFormat="1" ht="17.25" customHeight="1" x14ac:dyDescent="0.25">
      <c r="A345" s="23"/>
      <c r="B345" s="201" t="s">
        <v>97</v>
      </c>
      <c r="C345" s="203"/>
      <c r="D345" s="64"/>
      <c r="E345" s="64"/>
      <c r="F345" s="64"/>
      <c r="G345" s="64"/>
      <c r="H345" s="64">
        <f>-J345-I345</f>
        <v>2861.5500000000011</v>
      </c>
      <c r="I345" s="64">
        <v>9158.81</v>
      </c>
      <c r="J345" s="64">
        <f>-SUM(J343:J344)</f>
        <v>-12020.36</v>
      </c>
      <c r="K345" s="57"/>
      <c r="L345" s="88"/>
      <c r="M345" s="62"/>
      <c r="N345" s="57"/>
      <c r="O345" s="88"/>
      <c r="P345" s="62"/>
      <c r="Q345" s="39"/>
      <c r="R345" s="39"/>
      <c r="S345" s="39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22"/>
      <c r="AO345" s="43">
        <f>A318</f>
        <v>0</v>
      </c>
      <c r="AP345" s="12" t="e">
        <f>#REF!</f>
        <v>#REF!</v>
      </c>
      <c r="AT345" s="2"/>
    </row>
    <row r="346" spans="1:46" s="4" customFormat="1" ht="17.25" customHeight="1" x14ac:dyDescent="0.25">
      <c r="A346" s="23"/>
      <c r="B346" s="201" t="s">
        <v>93</v>
      </c>
      <c r="C346" s="202"/>
      <c r="D346" s="64"/>
      <c r="E346" s="64"/>
      <c r="F346" s="64"/>
      <c r="G346" s="64"/>
      <c r="H346" s="64"/>
      <c r="I346" s="64"/>
      <c r="J346" s="64"/>
      <c r="K346" s="57">
        <v>58</v>
      </c>
      <c r="L346" s="88"/>
      <c r="M346" s="62">
        <f>(K349*L333)-M333-M343</f>
        <v>939.45733902959819</v>
      </c>
      <c r="N346" s="57">
        <v>-152</v>
      </c>
      <c r="O346" s="88"/>
      <c r="P346" s="118">
        <f>(N349*(P333+P339)/(N333+N339))-P333-P344-P339</f>
        <v>-212.38571417030471</v>
      </c>
      <c r="Q346" s="39"/>
      <c r="R346" s="39"/>
      <c r="S346" s="39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22"/>
      <c r="AO346" s="43">
        <f>A327</f>
        <v>0</v>
      </c>
      <c r="AP346" s="12" t="e">
        <f>#REF!</f>
        <v>#REF!</v>
      </c>
      <c r="AT346" s="2"/>
    </row>
    <row r="347" spans="1:46" s="2" customFormat="1" ht="17.25" customHeight="1" x14ac:dyDescent="0.2">
      <c r="A347" s="24"/>
      <c r="B347" s="201"/>
      <c r="C347" s="204"/>
      <c r="D347" s="63"/>
      <c r="E347" s="64"/>
      <c r="F347" s="64"/>
      <c r="G347" s="64"/>
      <c r="H347" s="64"/>
      <c r="I347" s="64"/>
      <c r="J347" s="64"/>
      <c r="K347" s="16"/>
      <c r="L347" s="16"/>
      <c r="M347" s="64"/>
      <c r="N347" s="16"/>
      <c r="O347" s="16"/>
      <c r="P347" s="64"/>
      <c r="Q347" s="46"/>
      <c r="R347" s="46"/>
      <c r="S347" s="39"/>
      <c r="T347" s="16"/>
      <c r="U347" s="16"/>
      <c r="V347" s="16"/>
      <c r="W347" s="16"/>
      <c r="X347" s="16"/>
      <c r="Y347" s="19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43">
        <f>A334</f>
        <v>46041</v>
      </c>
      <c r="AQ347" s="10"/>
      <c r="AR347" s="11"/>
    </row>
    <row r="348" spans="1:46" s="2" customFormat="1" ht="17.25" customHeight="1" thickBot="1" x14ac:dyDescent="0.3">
      <c r="A348" s="56"/>
      <c r="B348" s="101" t="s">
        <v>102</v>
      </c>
      <c r="C348" s="102">
        <f>D349+E349+F349+G349+H349+I349+J349+M349+P349</f>
        <v>118169.10954000003</v>
      </c>
      <c r="D348" s="84"/>
      <c r="E348" s="85"/>
      <c r="F348" s="85"/>
      <c r="G348" s="85"/>
      <c r="H348" s="85"/>
      <c r="I348" s="85"/>
      <c r="J348" s="85"/>
      <c r="K348" s="28"/>
      <c r="L348" s="28"/>
      <c r="M348" s="85"/>
      <c r="N348" s="28"/>
      <c r="O348" s="28"/>
      <c r="P348" s="85"/>
      <c r="Q348" s="48"/>
      <c r="R348" s="48"/>
      <c r="S348" s="51"/>
      <c r="T348" s="28"/>
      <c r="U348" s="28"/>
      <c r="V348" s="28"/>
      <c r="W348" s="28"/>
      <c r="X348" s="28"/>
      <c r="Y348" s="36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42">
        <f>SUM($Q333:AN348)</f>
        <v>-449052.52</v>
      </c>
      <c r="AQ348" s="10"/>
      <c r="AR348" s="11"/>
      <c r="AS348" s="2" t="s">
        <v>5</v>
      </c>
    </row>
    <row r="349" spans="1:46" s="2" customFormat="1" ht="17.25" customHeight="1" thickTop="1" thickBot="1" x14ac:dyDescent="0.3">
      <c r="A349" s="103"/>
      <c r="B349" s="104" t="s">
        <v>103</v>
      </c>
      <c r="C349" s="105">
        <f>AO349</f>
        <v>-330883.41045999998</v>
      </c>
      <c r="D349" s="106">
        <f t="shared" ref="D349:K349" si="35">SUM(D333:D348)</f>
        <v>2272.8570400000331</v>
      </c>
      <c r="E349" s="107">
        <f t="shared" si="35"/>
        <v>-31941.210000000014</v>
      </c>
      <c r="F349" s="107">
        <f t="shared" si="35"/>
        <v>0.5</v>
      </c>
      <c r="G349" s="107">
        <f t="shared" si="35"/>
        <v>0</v>
      </c>
      <c r="H349" s="107">
        <f t="shared" si="35"/>
        <v>68802.292500000025</v>
      </c>
      <c r="I349" s="107">
        <f t="shared" si="35"/>
        <v>8188.91</v>
      </c>
      <c r="J349" s="107">
        <f t="shared" si="35"/>
        <v>0</v>
      </c>
      <c r="K349" s="108">
        <f t="shared" si="35"/>
        <v>5680</v>
      </c>
      <c r="L349" s="109">
        <f>M349/K349</f>
        <v>5.2699577464788732</v>
      </c>
      <c r="M349" s="107">
        <f>ROUND(SUM(M333:M348),2)</f>
        <v>29933.360000000001</v>
      </c>
      <c r="N349" s="108">
        <f>SUM(N333:N348)</f>
        <v>10639</v>
      </c>
      <c r="O349" s="109">
        <f>P349/N349</f>
        <v>3.8455117962214493</v>
      </c>
      <c r="P349" s="107">
        <f>ROUND(SUM(P333:P348),2)</f>
        <v>40912.400000000001</v>
      </c>
      <c r="Q349" s="110">
        <f t="shared" ref="Q349:AN349" si="36">SUM(Q333:Q348)</f>
        <v>-496067.13</v>
      </c>
      <c r="R349" s="107">
        <f t="shared" si="36"/>
        <v>50229.299999999996</v>
      </c>
      <c r="S349" s="107">
        <f t="shared" si="36"/>
        <v>0</v>
      </c>
      <c r="T349" s="107">
        <f t="shared" si="36"/>
        <v>-3214.6900000000005</v>
      </c>
      <c r="U349" s="107">
        <f t="shared" si="36"/>
        <v>0</v>
      </c>
      <c r="V349" s="107">
        <f t="shared" si="36"/>
        <v>0</v>
      </c>
      <c r="W349" s="107">
        <f t="shared" si="36"/>
        <v>0</v>
      </c>
      <c r="X349" s="107">
        <f t="shared" si="36"/>
        <v>0</v>
      </c>
      <c r="Y349" s="107">
        <f t="shared" si="36"/>
        <v>0</v>
      </c>
      <c r="Z349" s="107">
        <f t="shared" si="36"/>
        <v>0</v>
      </c>
      <c r="AA349" s="107">
        <f t="shared" si="36"/>
        <v>0</v>
      </c>
      <c r="AB349" s="107">
        <f t="shared" si="36"/>
        <v>0</v>
      </c>
      <c r="AC349" s="107">
        <f t="shared" si="36"/>
        <v>0</v>
      </c>
      <c r="AD349" s="107">
        <f t="shared" si="36"/>
        <v>0</v>
      </c>
      <c r="AE349" s="107">
        <f t="shared" si="36"/>
        <v>0</v>
      </c>
      <c r="AF349" s="107">
        <f t="shared" si="36"/>
        <v>0</v>
      </c>
      <c r="AG349" s="107">
        <f t="shared" si="36"/>
        <v>0</v>
      </c>
      <c r="AH349" s="107">
        <f t="shared" si="36"/>
        <v>0</v>
      </c>
      <c r="AI349" s="107">
        <f t="shared" si="36"/>
        <v>0</v>
      </c>
      <c r="AJ349" s="107">
        <f t="shared" si="36"/>
        <v>0</v>
      </c>
      <c r="AK349" s="107">
        <f t="shared" si="36"/>
        <v>0</v>
      </c>
      <c r="AL349" s="107">
        <f t="shared" si="36"/>
        <v>0</v>
      </c>
      <c r="AM349" s="107">
        <f t="shared" si="36"/>
        <v>0</v>
      </c>
      <c r="AN349" s="107">
        <f t="shared" si="36"/>
        <v>0</v>
      </c>
      <c r="AO349" s="111">
        <f>D349+E349+F349+G349+H349+I349+J349+M349+P349+SUM(Q349:AN349)</f>
        <v>-330883.41045999998</v>
      </c>
      <c r="AP349" s="4"/>
      <c r="AQ349" s="5"/>
      <c r="AR349" s="5"/>
      <c r="AS349" s="2" t="s">
        <v>6</v>
      </c>
    </row>
    <row r="350" spans="1:46" s="2" customFormat="1" ht="17.25" customHeight="1" thickTop="1" x14ac:dyDescent="0.25">
      <c r="A350" s="23">
        <f>A334+1</f>
        <v>46042</v>
      </c>
      <c r="B350" s="210" t="s">
        <v>64</v>
      </c>
      <c r="C350" s="203"/>
      <c r="D350" s="63">
        <v>8007.1</v>
      </c>
      <c r="E350" s="66"/>
      <c r="F350" s="66"/>
      <c r="G350" s="66"/>
      <c r="H350" s="66"/>
      <c r="I350" s="66">
        <f>-D350</f>
        <v>-8007.1</v>
      </c>
      <c r="J350" s="66"/>
      <c r="K350" s="18"/>
      <c r="L350" s="18"/>
      <c r="M350" s="66"/>
      <c r="N350" s="18"/>
      <c r="O350" s="18"/>
      <c r="P350" s="66"/>
      <c r="Q350" s="46"/>
      <c r="R350" s="46"/>
      <c r="S350" s="45"/>
      <c r="T350" s="18"/>
      <c r="U350" s="18"/>
      <c r="V350" s="18"/>
      <c r="W350" s="18"/>
      <c r="X350" s="18"/>
      <c r="Y350" s="14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31"/>
      <c r="AQ350" s="10"/>
      <c r="AR350" s="27"/>
    </row>
    <row r="351" spans="1:46" s="4" customFormat="1" ht="17.25" customHeight="1" x14ac:dyDescent="0.25">
      <c r="A351" s="23"/>
      <c r="B351" s="201" t="s">
        <v>96</v>
      </c>
      <c r="C351" s="202"/>
      <c r="D351" s="63"/>
      <c r="E351" s="64"/>
      <c r="F351" s="64"/>
      <c r="G351" s="64"/>
      <c r="H351" s="64"/>
      <c r="I351" s="64">
        <f>-I349-I350</f>
        <v>-181.80999999999949</v>
      </c>
      <c r="J351" s="64"/>
      <c r="K351" s="16"/>
      <c r="L351" s="92"/>
      <c r="M351" s="64"/>
      <c r="N351" s="16"/>
      <c r="O351" s="92"/>
      <c r="P351" s="64"/>
      <c r="Q351" s="40"/>
      <c r="R351" s="46"/>
      <c r="S351" s="39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22"/>
      <c r="AP351" s="30"/>
    </row>
    <row r="352" spans="1:46" s="2" customFormat="1" ht="17.25" customHeight="1" x14ac:dyDescent="0.25">
      <c r="A352" s="29"/>
      <c r="B352" s="201" t="s">
        <v>327</v>
      </c>
      <c r="C352" s="202"/>
      <c r="D352" s="63">
        <f>55+50+70+19+60+100+17+30+50</f>
        <v>451</v>
      </c>
      <c r="E352" s="64"/>
      <c r="F352" s="64"/>
      <c r="G352" s="64"/>
      <c r="H352" s="64"/>
      <c r="I352" s="64">
        <f>-D352</f>
        <v>-451</v>
      </c>
      <c r="J352" s="64"/>
      <c r="K352" s="57"/>
      <c r="L352" s="88"/>
      <c r="M352" s="62"/>
      <c r="N352" s="57"/>
      <c r="O352" s="88"/>
      <c r="P352" s="62"/>
      <c r="Q352" s="47"/>
      <c r="R352" s="39"/>
      <c r="S352" s="39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22"/>
      <c r="AQ352" s="10"/>
      <c r="AR352" s="11"/>
    </row>
    <row r="353" spans="1:46" s="2" customFormat="1" ht="17.25" customHeight="1" x14ac:dyDescent="0.25">
      <c r="A353" s="29"/>
      <c r="B353" s="201" t="s">
        <v>328</v>
      </c>
      <c r="C353" s="202"/>
      <c r="D353" s="63">
        <f>-9*0.99</f>
        <v>-8.91</v>
      </c>
      <c r="E353" s="64"/>
      <c r="F353" s="64"/>
      <c r="G353" s="64"/>
      <c r="H353" s="64"/>
      <c r="I353" s="64"/>
      <c r="J353" s="64"/>
      <c r="K353" s="57"/>
      <c r="L353" s="88"/>
      <c r="M353" s="62"/>
      <c r="N353" s="57"/>
      <c r="O353" s="88"/>
      <c r="P353" s="62"/>
      <c r="Q353" s="47"/>
      <c r="R353" s="39"/>
      <c r="S353" s="39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22"/>
      <c r="AQ353" s="10"/>
      <c r="AR353" s="11"/>
    </row>
    <row r="354" spans="1:46" s="2" customFormat="1" ht="17.25" customHeight="1" x14ac:dyDescent="0.25">
      <c r="A354" s="29"/>
      <c r="B354" s="201" t="s">
        <v>72</v>
      </c>
      <c r="C354" s="202"/>
      <c r="D354" s="63">
        <v>-10500</v>
      </c>
      <c r="E354" s="64"/>
      <c r="F354" s="64">
        <f>-D354</f>
        <v>10500</v>
      </c>
      <c r="G354" s="64"/>
      <c r="H354" s="64"/>
      <c r="I354" s="64"/>
      <c r="J354" s="64"/>
      <c r="K354" s="57"/>
      <c r="L354" s="88"/>
      <c r="M354" s="62"/>
      <c r="N354" s="57"/>
      <c r="O354" s="88"/>
      <c r="P354" s="62"/>
      <c r="Q354" s="47"/>
      <c r="R354" s="39"/>
      <c r="S354" s="39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22"/>
      <c r="AQ354" s="10" t="s">
        <v>4</v>
      </c>
      <c r="AR354" s="11" t="e">
        <v>#REF!</v>
      </c>
    </row>
    <row r="355" spans="1:46" s="4" customFormat="1" ht="17.25" customHeight="1" x14ac:dyDescent="0.25">
      <c r="A355" s="23"/>
      <c r="B355" s="201" t="s">
        <v>13</v>
      </c>
      <c r="C355" s="203"/>
      <c r="D355" s="63"/>
      <c r="E355" s="64">
        <f>235.99+60+121.45+30+14+100+20+20+30+100+10.04+24+20+30</f>
        <v>815.48</v>
      </c>
      <c r="F355" s="64"/>
      <c r="G355" s="64"/>
      <c r="H355" s="64">
        <f>-E355</f>
        <v>-815.48</v>
      </c>
      <c r="I355" s="66"/>
      <c r="J355" s="64"/>
      <c r="K355" s="16"/>
      <c r="L355" s="92"/>
      <c r="M355" s="64"/>
      <c r="N355" s="16"/>
      <c r="O355" s="92"/>
      <c r="P355" s="64"/>
      <c r="Q355" s="40"/>
      <c r="R355" s="46"/>
      <c r="S355" s="39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22"/>
      <c r="AP355" s="30"/>
    </row>
    <row r="356" spans="1:46" s="2" customFormat="1" ht="17.25" customHeight="1" x14ac:dyDescent="0.25">
      <c r="A356" s="24"/>
      <c r="B356" s="201" t="s">
        <v>370</v>
      </c>
      <c r="C356" s="203"/>
      <c r="D356" s="63"/>
      <c r="E356" s="64">
        <v>-383.32</v>
      </c>
      <c r="F356" s="64"/>
      <c r="G356" s="64"/>
      <c r="H356" s="64"/>
      <c r="I356" s="64"/>
      <c r="J356" s="64"/>
      <c r="K356" s="16"/>
      <c r="L356" s="92"/>
      <c r="M356" s="64"/>
      <c r="N356" s="16"/>
      <c r="O356" s="92"/>
      <c r="P356" s="64"/>
      <c r="Q356" s="40"/>
      <c r="R356" s="40"/>
      <c r="S356" s="39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22"/>
      <c r="AQ356" s="10"/>
      <c r="AR356" s="11"/>
    </row>
    <row r="357" spans="1:46" s="2" customFormat="1" ht="17.25" customHeight="1" x14ac:dyDescent="0.2">
      <c r="A357" s="23"/>
      <c r="B357" s="201" t="s">
        <v>53</v>
      </c>
      <c r="C357" s="203"/>
      <c r="D357" s="63"/>
      <c r="E357" s="64">
        <v>-1634.63</v>
      </c>
      <c r="F357" s="74"/>
      <c r="G357" s="74"/>
      <c r="H357" s="64"/>
      <c r="I357" s="64"/>
      <c r="J357" s="64"/>
      <c r="K357" s="16"/>
      <c r="L357" s="16"/>
      <c r="M357" s="64"/>
      <c r="N357" s="16"/>
      <c r="O357" s="16"/>
      <c r="P357" s="64"/>
      <c r="Q357" s="46"/>
      <c r="R357" s="39"/>
      <c r="S357" s="40"/>
      <c r="T357" s="16"/>
      <c r="U357" s="16"/>
      <c r="V357" s="16"/>
      <c r="W357" s="16"/>
      <c r="X357" s="16"/>
      <c r="Y357" s="19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35"/>
      <c r="AQ357" s="10"/>
      <c r="AR357" s="27"/>
    </row>
    <row r="358" spans="1:46" s="2" customFormat="1" ht="17.25" customHeight="1" x14ac:dyDescent="0.25">
      <c r="A358" s="29"/>
      <c r="B358" s="52" t="s">
        <v>72</v>
      </c>
      <c r="C358" s="54"/>
      <c r="D358" s="63"/>
      <c r="E358" s="64"/>
      <c r="F358" s="64"/>
      <c r="G358" s="64"/>
      <c r="H358" s="64"/>
      <c r="I358" s="64"/>
      <c r="J358" s="64"/>
      <c r="K358" s="57"/>
      <c r="L358" s="88"/>
      <c r="M358" s="62"/>
      <c r="N358" s="57"/>
      <c r="O358" s="88"/>
      <c r="P358" s="62"/>
      <c r="Q358" s="47"/>
      <c r="R358" s="39"/>
      <c r="S358" s="39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22"/>
      <c r="AQ358" s="10" t="s">
        <v>4</v>
      </c>
      <c r="AR358" s="11" t="e">
        <v>#REF!</v>
      </c>
    </row>
    <row r="359" spans="1:46" s="2" customFormat="1" ht="17.25" customHeight="1" x14ac:dyDescent="0.25">
      <c r="A359" s="29"/>
      <c r="B359" s="52" t="s">
        <v>72</v>
      </c>
      <c r="C359" s="54"/>
      <c r="D359" s="63"/>
      <c r="E359" s="64"/>
      <c r="F359" s="64"/>
      <c r="G359" s="64"/>
      <c r="H359" s="64"/>
      <c r="I359" s="64"/>
      <c r="J359" s="64"/>
      <c r="K359" s="57"/>
      <c r="L359" s="88"/>
      <c r="M359" s="62"/>
      <c r="N359" s="57"/>
      <c r="O359" s="88"/>
      <c r="P359" s="62"/>
      <c r="Q359" s="47"/>
      <c r="R359" s="39"/>
      <c r="S359" s="39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22"/>
      <c r="AQ359" s="10" t="s">
        <v>4</v>
      </c>
      <c r="AR359" s="11" t="e">
        <v>#REF!</v>
      </c>
    </row>
    <row r="360" spans="1:46" s="2" customFormat="1" ht="17.25" customHeight="1" x14ac:dyDescent="0.2">
      <c r="A360" s="23"/>
      <c r="B360" s="205" t="s">
        <v>224</v>
      </c>
      <c r="C360" s="206"/>
      <c r="D360" s="64"/>
      <c r="E360" s="64"/>
      <c r="F360" s="74"/>
      <c r="G360" s="74"/>
      <c r="H360" s="64"/>
      <c r="I360" s="64"/>
      <c r="J360" s="64"/>
      <c r="K360" s="16"/>
      <c r="L360" s="16"/>
      <c r="M360" s="64"/>
      <c r="N360" s="16"/>
      <c r="O360" s="16"/>
      <c r="P360" s="64"/>
      <c r="Q360" s="46"/>
      <c r="R360" s="39"/>
      <c r="S360" s="40"/>
      <c r="T360" s="16"/>
      <c r="U360" s="16"/>
      <c r="V360" s="16"/>
      <c r="W360" s="16"/>
      <c r="X360" s="16"/>
      <c r="Y360" s="19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35"/>
      <c r="AQ360" s="10"/>
      <c r="AR360" s="27"/>
    </row>
    <row r="361" spans="1:46" s="2" customFormat="1" ht="17.25" customHeight="1" x14ac:dyDescent="0.2">
      <c r="A361" s="23"/>
      <c r="B361" s="201" t="s">
        <v>65</v>
      </c>
      <c r="C361" s="203"/>
      <c r="D361" s="63"/>
      <c r="E361" s="64"/>
      <c r="F361" s="74"/>
      <c r="G361" s="74"/>
      <c r="H361" s="64"/>
      <c r="I361" s="64"/>
      <c r="J361" s="64"/>
      <c r="K361" s="16"/>
      <c r="L361" s="16"/>
      <c r="M361" s="64"/>
      <c r="N361" s="16"/>
      <c r="O361" s="16"/>
      <c r="P361" s="64"/>
      <c r="Q361" s="46"/>
      <c r="R361" s="39"/>
      <c r="S361" s="40"/>
      <c r="T361" s="16"/>
      <c r="U361" s="16"/>
      <c r="V361" s="16"/>
      <c r="W361" s="16"/>
      <c r="X361" s="16"/>
      <c r="Y361" s="19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35"/>
      <c r="AQ361" s="10"/>
      <c r="AR361" s="27"/>
    </row>
    <row r="362" spans="1:46" s="2" customFormat="1" ht="17.25" customHeight="1" x14ac:dyDescent="0.2">
      <c r="A362" s="23"/>
      <c r="B362" s="201" t="s">
        <v>217</v>
      </c>
      <c r="C362" s="203"/>
      <c r="D362" s="63"/>
      <c r="E362" s="64"/>
      <c r="F362" s="74"/>
      <c r="G362" s="74"/>
      <c r="H362" s="64"/>
      <c r="I362" s="64"/>
      <c r="J362" s="64"/>
      <c r="K362" s="16"/>
      <c r="L362" s="16"/>
      <c r="M362" s="64"/>
      <c r="N362" s="16"/>
      <c r="O362" s="16"/>
      <c r="P362" s="64"/>
      <c r="Q362" s="46"/>
      <c r="R362" s="39"/>
      <c r="S362" s="40"/>
      <c r="T362" s="16"/>
      <c r="U362" s="16"/>
      <c r="V362" s="16"/>
      <c r="W362" s="16"/>
      <c r="X362" s="16"/>
      <c r="Y362" s="19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35"/>
      <c r="AQ362" s="10"/>
      <c r="AR362" s="27"/>
    </row>
    <row r="363" spans="1:46" s="2" customFormat="1" ht="17.25" customHeight="1" x14ac:dyDescent="0.2">
      <c r="A363" s="23"/>
      <c r="B363" s="205" t="s">
        <v>226</v>
      </c>
      <c r="C363" s="206"/>
      <c r="D363" s="64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39"/>
      <c r="R363" s="39"/>
      <c r="S363" s="39"/>
      <c r="T363" s="16"/>
      <c r="U363" s="16"/>
      <c r="V363" s="16"/>
      <c r="W363" s="16"/>
      <c r="X363" s="16"/>
      <c r="Y363" s="19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35"/>
      <c r="AQ363" s="10"/>
      <c r="AR363" s="27"/>
    </row>
    <row r="364" spans="1:46" s="2" customFormat="1" ht="17.25" customHeight="1" x14ac:dyDescent="0.2">
      <c r="A364" s="23"/>
      <c r="B364" s="201"/>
      <c r="C364" s="203"/>
      <c r="D364" s="63"/>
      <c r="E364" s="64"/>
      <c r="F364" s="74"/>
      <c r="G364" s="74"/>
      <c r="H364" s="64"/>
      <c r="I364" s="64"/>
      <c r="J364" s="64"/>
      <c r="K364" s="16"/>
      <c r="L364" s="16"/>
      <c r="M364" s="64"/>
      <c r="N364" s="16"/>
      <c r="O364" s="16"/>
      <c r="P364" s="64"/>
      <c r="Q364" s="46"/>
      <c r="R364" s="39"/>
      <c r="S364" s="40"/>
      <c r="T364" s="16"/>
      <c r="U364" s="16"/>
      <c r="V364" s="16"/>
      <c r="W364" s="16"/>
      <c r="X364" s="16"/>
      <c r="Y364" s="19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35"/>
      <c r="AQ364" s="10"/>
      <c r="AR364" s="27"/>
    </row>
    <row r="365" spans="1:46" s="2" customFormat="1" ht="17.25" customHeight="1" thickBot="1" x14ac:dyDescent="0.25">
      <c r="A365" s="24"/>
      <c r="B365" s="216"/>
      <c r="C365" s="217"/>
      <c r="D365" s="83"/>
      <c r="E365" s="81"/>
      <c r="F365" s="81"/>
      <c r="G365" s="81"/>
      <c r="H365" s="81"/>
      <c r="I365" s="81"/>
      <c r="J365" s="81"/>
      <c r="K365" s="37"/>
      <c r="L365" s="93"/>
      <c r="M365" s="81"/>
      <c r="N365" s="37"/>
      <c r="O365" s="93"/>
      <c r="P365" s="81"/>
      <c r="Q365" s="40"/>
      <c r="R365" s="40"/>
      <c r="S365" s="39"/>
      <c r="T365" s="16"/>
      <c r="U365" s="16"/>
      <c r="V365" s="16"/>
      <c r="W365" s="16"/>
      <c r="X365" s="16"/>
      <c r="Y365" s="19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41"/>
      <c r="AQ365" s="10"/>
      <c r="AR365" s="11"/>
    </row>
    <row r="366" spans="1:46" s="4" customFormat="1" ht="17.25" customHeight="1" x14ac:dyDescent="0.25">
      <c r="A366" s="23"/>
      <c r="B366" s="210" t="s">
        <v>94</v>
      </c>
      <c r="C366" s="203"/>
      <c r="D366" s="66"/>
      <c r="E366" s="66"/>
      <c r="F366" s="117"/>
      <c r="G366" s="117"/>
      <c r="H366" s="66"/>
      <c r="I366" s="66"/>
      <c r="J366" s="66">
        <f>-M366</f>
        <v>8300.25</v>
      </c>
      <c r="K366" s="58">
        <v>-1395</v>
      </c>
      <c r="L366" s="89">
        <v>5.95</v>
      </c>
      <c r="M366" s="73">
        <f>K366*L366</f>
        <v>-8300.25</v>
      </c>
      <c r="N366" s="58"/>
      <c r="O366" s="89"/>
      <c r="P366" s="73"/>
      <c r="Q366" s="39"/>
      <c r="R366" s="39"/>
      <c r="S366" s="8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35"/>
      <c r="AP366" s="12" t="e">
        <f>#REF!</f>
        <v>#REF!</v>
      </c>
    </row>
    <row r="367" spans="1:46" s="4" customFormat="1" ht="17.25" customHeight="1" x14ac:dyDescent="0.25">
      <c r="A367" s="23"/>
      <c r="B367" s="201" t="s">
        <v>95</v>
      </c>
      <c r="C367" s="202"/>
      <c r="D367" s="64"/>
      <c r="E367" s="64"/>
      <c r="F367" s="117"/>
      <c r="G367" s="117"/>
      <c r="H367" s="64"/>
      <c r="I367" s="64"/>
      <c r="J367" s="64">
        <f>-P367</f>
        <v>8588.4</v>
      </c>
      <c r="K367" s="57"/>
      <c r="L367" s="88"/>
      <c r="M367" s="62"/>
      <c r="N367" s="57">
        <v>-2105</v>
      </c>
      <c r="O367" s="88">
        <v>4.08</v>
      </c>
      <c r="P367" s="62">
        <f>N367*O367</f>
        <v>-8588.4</v>
      </c>
      <c r="Q367" s="39"/>
      <c r="R367" s="39"/>
      <c r="S367" s="8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35"/>
      <c r="AP367" s="12" t="e">
        <f>#REF!</f>
        <v>#REF!</v>
      </c>
    </row>
    <row r="368" spans="1:46" s="4" customFormat="1" ht="17.25" customHeight="1" x14ac:dyDescent="0.25">
      <c r="A368" s="23"/>
      <c r="B368" s="201" t="s">
        <v>97</v>
      </c>
      <c r="C368" s="203"/>
      <c r="D368" s="64"/>
      <c r="E368" s="64"/>
      <c r="F368" s="64"/>
      <c r="G368" s="64"/>
      <c r="H368" s="64">
        <f>-J368-I368</f>
        <v>5676.510000000002</v>
      </c>
      <c r="I368" s="64">
        <v>11212.14</v>
      </c>
      <c r="J368" s="64">
        <f>-SUM(J366:J367)</f>
        <v>-16888.650000000001</v>
      </c>
      <c r="K368" s="57"/>
      <c r="L368" s="88"/>
      <c r="M368" s="62"/>
      <c r="N368" s="57"/>
      <c r="O368" s="88"/>
      <c r="P368" s="62"/>
      <c r="Q368" s="39"/>
      <c r="R368" s="39"/>
      <c r="S368" s="39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22"/>
      <c r="AO368" s="43">
        <f>A330</f>
        <v>0</v>
      </c>
      <c r="AP368" s="12" t="e">
        <f>#REF!</f>
        <v>#REF!</v>
      </c>
      <c r="AT368" s="2"/>
    </row>
    <row r="369" spans="1:46" s="4" customFormat="1" ht="17.25" customHeight="1" x14ac:dyDescent="0.25">
      <c r="A369" s="23"/>
      <c r="B369" s="201" t="s">
        <v>93</v>
      </c>
      <c r="C369" s="202"/>
      <c r="D369" s="64"/>
      <c r="E369" s="64"/>
      <c r="F369" s="64"/>
      <c r="G369" s="64"/>
      <c r="H369" s="64"/>
      <c r="I369" s="64"/>
      <c r="J369" s="64"/>
      <c r="K369" s="57">
        <v>-17</v>
      </c>
      <c r="L369" s="88"/>
      <c r="M369" s="62">
        <f>(K372*L349)-M349-M366</f>
        <v>859.06966197182919</v>
      </c>
      <c r="N369" s="57">
        <v>23</v>
      </c>
      <c r="O369" s="88"/>
      <c r="P369" s="62">
        <f>(N372*(P349)/(N349))-P349-P367</f>
        <v>582.04444026694364</v>
      </c>
      <c r="Q369" s="39"/>
      <c r="R369" s="39"/>
      <c r="S369" s="39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22"/>
      <c r="AO369" s="43">
        <f>A343</f>
        <v>0</v>
      </c>
      <c r="AP369" s="12" t="e">
        <f>#REF!</f>
        <v>#REF!</v>
      </c>
      <c r="AT369" s="2"/>
    </row>
    <row r="370" spans="1:46" s="2" customFormat="1" ht="17.25" customHeight="1" x14ac:dyDescent="0.2">
      <c r="A370" s="24"/>
      <c r="B370" s="201"/>
      <c r="C370" s="204"/>
      <c r="D370" s="63"/>
      <c r="E370" s="64"/>
      <c r="F370" s="64"/>
      <c r="G370" s="64"/>
      <c r="H370" s="64"/>
      <c r="I370" s="64"/>
      <c r="J370" s="64"/>
      <c r="K370" s="16"/>
      <c r="L370" s="16"/>
      <c r="M370" s="64"/>
      <c r="N370" s="16"/>
      <c r="O370" s="16"/>
      <c r="P370" s="64"/>
      <c r="Q370" s="46"/>
      <c r="R370" s="46"/>
      <c r="S370" s="39"/>
      <c r="T370" s="16"/>
      <c r="U370" s="16"/>
      <c r="V370" s="16"/>
      <c r="W370" s="16"/>
      <c r="X370" s="16"/>
      <c r="Y370" s="19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43">
        <f>A350</f>
        <v>46042</v>
      </c>
      <c r="AQ370" s="10"/>
      <c r="AR370" s="11"/>
    </row>
    <row r="371" spans="1:46" s="2" customFormat="1" ht="17.25" customHeight="1" thickBot="1" x14ac:dyDescent="0.3">
      <c r="A371" s="56"/>
      <c r="B371" s="101" t="s">
        <v>102</v>
      </c>
      <c r="C371" s="102">
        <f>D372+E372+F372+G372+H372+I372+J372+M372+P372</f>
        <v>117401.54954000007</v>
      </c>
      <c r="D371" s="84"/>
      <c r="E371" s="85"/>
      <c r="F371" s="85"/>
      <c r="G371" s="85"/>
      <c r="H371" s="85"/>
      <c r="I371" s="85"/>
      <c r="J371" s="85"/>
      <c r="K371" s="28"/>
      <c r="L371" s="28"/>
      <c r="M371" s="85"/>
      <c r="N371" s="28"/>
      <c r="O371" s="28"/>
      <c r="P371" s="85"/>
      <c r="Q371" s="48"/>
      <c r="R371" s="48"/>
      <c r="S371" s="51"/>
      <c r="T371" s="28"/>
      <c r="U371" s="28"/>
      <c r="V371" s="28"/>
      <c r="W371" s="28"/>
      <c r="X371" s="28"/>
      <c r="Y371" s="36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42">
        <f>SUM($Q349:AN371)</f>
        <v>-449052.52</v>
      </c>
      <c r="AQ371" s="10"/>
      <c r="AR371" s="11"/>
      <c r="AS371" s="2" t="s">
        <v>5</v>
      </c>
    </row>
    <row r="372" spans="1:46" s="2" customFormat="1" ht="17.25" customHeight="1" thickTop="1" thickBot="1" x14ac:dyDescent="0.3">
      <c r="A372" s="103"/>
      <c r="B372" s="104" t="s">
        <v>103</v>
      </c>
      <c r="C372" s="105">
        <f>AO372</f>
        <v>-331650.97045999998</v>
      </c>
      <c r="D372" s="106">
        <f t="shared" ref="D372:K372" si="37">SUM(D349:D371)</f>
        <v>222.04704000003403</v>
      </c>
      <c r="E372" s="107">
        <f t="shared" si="37"/>
        <v>-33143.680000000015</v>
      </c>
      <c r="F372" s="107">
        <f t="shared" si="37"/>
        <v>10500.5</v>
      </c>
      <c r="G372" s="107">
        <f t="shared" si="37"/>
        <v>0</v>
      </c>
      <c r="H372" s="107">
        <f t="shared" si="37"/>
        <v>73663.322500000038</v>
      </c>
      <c r="I372" s="107">
        <f t="shared" si="37"/>
        <v>10761.14</v>
      </c>
      <c r="J372" s="107">
        <f t="shared" si="37"/>
        <v>0</v>
      </c>
      <c r="K372" s="108">
        <f t="shared" si="37"/>
        <v>4268</v>
      </c>
      <c r="L372" s="109">
        <f>M372/K372</f>
        <v>5.2699578256794748</v>
      </c>
      <c r="M372" s="107">
        <f>ROUND(SUM(M349:M371),2)</f>
        <v>22492.18</v>
      </c>
      <c r="N372" s="108">
        <f>SUM(N349:N371)</f>
        <v>8557</v>
      </c>
      <c r="O372" s="109">
        <f>P372/N372</f>
        <v>3.8455112773168167</v>
      </c>
      <c r="P372" s="107">
        <f>ROUND(SUM(P349:P371),2)</f>
        <v>32906.04</v>
      </c>
      <c r="Q372" s="110">
        <f t="shared" ref="Q372:AN372" si="38">SUM(Q349:Q371)</f>
        <v>-496067.13</v>
      </c>
      <c r="R372" s="107">
        <f t="shared" si="38"/>
        <v>50229.299999999996</v>
      </c>
      <c r="S372" s="107">
        <f t="shared" si="38"/>
        <v>0</v>
      </c>
      <c r="T372" s="107">
        <f t="shared" si="38"/>
        <v>-3214.6900000000005</v>
      </c>
      <c r="U372" s="107">
        <f t="shared" si="38"/>
        <v>0</v>
      </c>
      <c r="V372" s="107">
        <f t="shared" si="38"/>
        <v>0</v>
      </c>
      <c r="W372" s="107">
        <f t="shared" si="38"/>
        <v>0</v>
      </c>
      <c r="X372" s="107">
        <f t="shared" si="38"/>
        <v>0</v>
      </c>
      <c r="Y372" s="107">
        <f t="shared" si="38"/>
        <v>0</v>
      </c>
      <c r="Z372" s="107">
        <f t="shared" si="38"/>
        <v>0</v>
      </c>
      <c r="AA372" s="107">
        <f t="shared" si="38"/>
        <v>0</v>
      </c>
      <c r="AB372" s="107">
        <f t="shared" si="38"/>
        <v>0</v>
      </c>
      <c r="AC372" s="107">
        <f t="shared" si="38"/>
        <v>0</v>
      </c>
      <c r="AD372" s="107">
        <f t="shared" si="38"/>
        <v>0</v>
      </c>
      <c r="AE372" s="107">
        <f t="shared" si="38"/>
        <v>0</v>
      </c>
      <c r="AF372" s="107">
        <f t="shared" si="38"/>
        <v>0</v>
      </c>
      <c r="AG372" s="107">
        <f t="shared" si="38"/>
        <v>0</v>
      </c>
      <c r="AH372" s="107">
        <f t="shared" si="38"/>
        <v>0</v>
      </c>
      <c r="AI372" s="107">
        <f t="shared" si="38"/>
        <v>0</v>
      </c>
      <c r="AJ372" s="107">
        <f t="shared" si="38"/>
        <v>0</v>
      </c>
      <c r="AK372" s="107">
        <f t="shared" si="38"/>
        <v>0</v>
      </c>
      <c r="AL372" s="107">
        <f t="shared" si="38"/>
        <v>0</v>
      </c>
      <c r="AM372" s="107">
        <f t="shared" si="38"/>
        <v>0</v>
      </c>
      <c r="AN372" s="107">
        <f t="shared" si="38"/>
        <v>0</v>
      </c>
      <c r="AO372" s="111">
        <f>D372+E372+F372+G372+H372+I372+J372+M372+P372+SUM(Q372:AN372)</f>
        <v>-331650.97045999998</v>
      </c>
      <c r="AP372" s="4"/>
      <c r="AQ372" s="5"/>
      <c r="AR372" s="5"/>
      <c r="AS372" s="2" t="s">
        <v>6</v>
      </c>
    </row>
    <row r="373" spans="1:46" s="2" customFormat="1" ht="17.25" customHeight="1" thickTop="1" x14ac:dyDescent="0.25">
      <c r="A373" s="23">
        <f>A350+1</f>
        <v>46043</v>
      </c>
      <c r="B373" s="210" t="s">
        <v>64</v>
      </c>
      <c r="C373" s="203"/>
      <c r="D373" s="63">
        <v>10471.43</v>
      </c>
      <c r="E373" s="66"/>
      <c r="F373" s="66"/>
      <c r="G373" s="66"/>
      <c r="H373" s="66"/>
      <c r="I373" s="66">
        <f>-D373</f>
        <v>-10471.43</v>
      </c>
      <c r="J373" s="66"/>
      <c r="K373" s="18"/>
      <c r="L373" s="18"/>
      <c r="M373" s="66"/>
      <c r="N373" s="18"/>
      <c r="O373" s="18"/>
      <c r="P373" s="66"/>
      <c r="Q373" s="46"/>
      <c r="R373" s="46"/>
      <c r="S373" s="45"/>
      <c r="T373" s="18"/>
      <c r="U373" s="18"/>
      <c r="V373" s="18"/>
      <c r="W373" s="18"/>
      <c r="X373" s="18"/>
      <c r="Y373" s="14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31"/>
      <c r="AQ373" s="10"/>
      <c r="AR373" s="27"/>
    </row>
    <row r="374" spans="1:46" s="4" customFormat="1" ht="17.25" customHeight="1" x14ac:dyDescent="0.25">
      <c r="A374" s="23"/>
      <c r="B374" s="201" t="s">
        <v>96</v>
      </c>
      <c r="C374" s="202"/>
      <c r="D374" s="63"/>
      <c r="E374" s="64"/>
      <c r="F374" s="64"/>
      <c r="G374" s="64"/>
      <c r="H374" s="64"/>
      <c r="I374" s="64">
        <f>-I372-I373</f>
        <v>-289.70999999999913</v>
      </c>
      <c r="J374" s="64"/>
      <c r="K374" s="16"/>
      <c r="L374" s="92"/>
      <c r="M374" s="64"/>
      <c r="N374" s="16"/>
      <c r="O374" s="92"/>
      <c r="P374" s="64"/>
      <c r="Q374" s="40"/>
      <c r="R374" s="46"/>
      <c r="S374" s="39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22"/>
      <c r="AP374" s="30"/>
    </row>
    <row r="375" spans="1:46" s="2" customFormat="1" ht="17.25" customHeight="1" x14ac:dyDescent="0.25">
      <c r="A375" s="29"/>
      <c r="B375" s="201" t="s">
        <v>327</v>
      </c>
      <c r="C375" s="202"/>
      <c r="D375" s="63">
        <f>50+35+100+65+30+15+50+31+175+50+20+50+100+20+45+10+50</f>
        <v>896</v>
      </c>
      <c r="E375" s="64"/>
      <c r="F375" s="64"/>
      <c r="G375" s="64"/>
      <c r="H375" s="64"/>
      <c r="I375" s="64">
        <f>-D375</f>
        <v>-896</v>
      </c>
      <c r="J375" s="64"/>
      <c r="K375" s="57"/>
      <c r="L375" s="88"/>
      <c r="M375" s="62"/>
      <c r="N375" s="57"/>
      <c r="O375" s="88"/>
      <c r="P375" s="62"/>
      <c r="Q375" s="47"/>
      <c r="R375" s="39"/>
      <c r="S375" s="39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22"/>
      <c r="AQ375" s="10"/>
      <c r="AR375" s="11"/>
    </row>
    <row r="376" spans="1:46" s="2" customFormat="1" ht="17.25" customHeight="1" x14ac:dyDescent="0.25">
      <c r="A376" s="29"/>
      <c r="B376" s="201" t="s">
        <v>328</v>
      </c>
      <c r="C376" s="202"/>
      <c r="D376" s="63">
        <f>-16*0.99-1.4</f>
        <v>-17.239999999999998</v>
      </c>
      <c r="E376" s="64"/>
      <c r="F376" s="64"/>
      <c r="G376" s="64"/>
      <c r="H376" s="64"/>
      <c r="I376" s="64"/>
      <c r="J376" s="64"/>
      <c r="K376" s="57"/>
      <c r="L376" s="88"/>
      <c r="M376" s="62"/>
      <c r="N376" s="57"/>
      <c r="O376" s="88"/>
      <c r="P376" s="62"/>
      <c r="Q376" s="47"/>
      <c r="R376" s="39"/>
      <c r="S376" s="39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22"/>
      <c r="AQ376" s="10"/>
      <c r="AR376" s="11"/>
    </row>
    <row r="377" spans="1:46" s="2" customFormat="1" ht="17.25" customHeight="1" x14ac:dyDescent="0.25">
      <c r="A377" s="29"/>
      <c r="B377" s="201" t="s">
        <v>72</v>
      </c>
      <c r="C377" s="202"/>
      <c r="D377" s="63">
        <v>-10470</v>
      </c>
      <c r="E377" s="64"/>
      <c r="F377" s="64">
        <f>-D377</f>
        <v>10470</v>
      </c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47"/>
      <c r="R377" s="39"/>
      <c r="S377" s="39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22"/>
      <c r="AQ377" s="10" t="s">
        <v>4</v>
      </c>
      <c r="AR377" s="11" t="e">
        <v>#REF!</v>
      </c>
    </row>
    <row r="378" spans="1:46" s="4" customFormat="1" ht="17.25" customHeight="1" x14ac:dyDescent="0.25">
      <c r="A378" s="23"/>
      <c r="B378" s="201" t="s">
        <v>13</v>
      </c>
      <c r="C378" s="203"/>
      <c r="D378" s="63"/>
      <c r="E378" s="64">
        <f>50+50+50+20+50+25+120+100+47.05+50+273+60</f>
        <v>895.05</v>
      </c>
      <c r="F378" s="64"/>
      <c r="G378" s="64"/>
      <c r="H378" s="64">
        <f>-E378</f>
        <v>-895.05</v>
      </c>
      <c r="I378" s="66"/>
      <c r="J378" s="64"/>
      <c r="K378" s="16"/>
      <c r="L378" s="92"/>
      <c r="M378" s="64"/>
      <c r="N378" s="16"/>
      <c r="O378" s="92"/>
      <c r="P378" s="64"/>
      <c r="Q378" s="40"/>
      <c r="R378" s="46"/>
      <c r="S378" s="39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22"/>
      <c r="AP378" s="30"/>
    </row>
    <row r="379" spans="1:46" s="2" customFormat="1" ht="17.25" customHeight="1" x14ac:dyDescent="0.2">
      <c r="A379" s="23"/>
      <c r="B379" s="201" t="s">
        <v>190</v>
      </c>
      <c r="C379" s="203"/>
      <c r="D379" s="63"/>
      <c r="E379" s="64"/>
      <c r="F379" s="74"/>
      <c r="G379" s="74"/>
      <c r="H379" s="64"/>
      <c r="I379" s="64"/>
      <c r="J379" s="64"/>
      <c r="K379" s="16"/>
      <c r="L379" s="16"/>
      <c r="M379" s="64"/>
      <c r="N379" s="16"/>
      <c r="O379" s="16"/>
      <c r="P379" s="64"/>
      <c r="Q379" s="46"/>
      <c r="R379" s="39"/>
      <c r="S379" s="40"/>
      <c r="T379" s="16"/>
      <c r="U379" s="16"/>
      <c r="V379" s="16"/>
      <c r="W379" s="16"/>
      <c r="X379" s="16"/>
      <c r="Y379" s="19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35"/>
      <c r="AQ379" s="10"/>
      <c r="AR379" s="27"/>
    </row>
    <row r="380" spans="1:46" s="2" customFormat="1" ht="17.25" customHeight="1" x14ac:dyDescent="0.2">
      <c r="A380" s="23"/>
      <c r="B380" s="201" t="s">
        <v>188</v>
      </c>
      <c r="C380" s="203"/>
      <c r="D380" s="63"/>
      <c r="E380" s="64"/>
      <c r="F380" s="74"/>
      <c r="G380" s="74"/>
      <c r="H380" s="64"/>
      <c r="I380" s="64"/>
      <c r="J380" s="64"/>
      <c r="K380" s="16"/>
      <c r="L380" s="16"/>
      <c r="M380" s="64"/>
      <c r="N380" s="16"/>
      <c r="O380" s="16"/>
      <c r="P380" s="64"/>
      <c r="Q380" s="46"/>
      <c r="R380" s="39"/>
      <c r="S380" s="40"/>
      <c r="T380" s="16"/>
      <c r="U380" s="16"/>
      <c r="V380" s="16"/>
      <c r="W380" s="16"/>
      <c r="X380" s="16"/>
      <c r="Y380" s="19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35"/>
      <c r="AQ380" s="10"/>
      <c r="AR380" s="27"/>
    </row>
    <row r="381" spans="1:46" s="2" customFormat="1" ht="17.25" customHeight="1" x14ac:dyDescent="0.2">
      <c r="A381" s="24"/>
      <c r="B381" s="201" t="s">
        <v>53</v>
      </c>
      <c r="C381" s="203"/>
      <c r="D381" s="63"/>
      <c r="E381" s="64"/>
      <c r="F381" s="64"/>
      <c r="G381" s="64"/>
      <c r="H381" s="64"/>
      <c r="I381" s="64"/>
      <c r="J381" s="64"/>
      <c r="K381" s="16"/>
      <c r="L381" s="16"/>
      <c r="M381" s="64"/>
      <c r="N381" s="16"/>
      <c r="O381" s="16"/>
      <c r="P381" s="64"/>
      <c r="Q381" s="40"/>
      <c r="R381" s="40"/>
      <c r="S381" s="39"/>
      <c r="T381" s="16"/>
      <c r="U381" s="16"/>
      <c r="V381" s="16"/>
      <c r="W381" s="16"/>
      <c r="X381" s="16"/>
      <c r="Y381" s="19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41"/>
      <c r="AQ381" s="10"/>
      <c r="AR381" s="11"/>
    </row>
    <row r="382" spans="1:46" s="2" customFormat="1" ht="17.25" customHeight="1" x14ac:dyDescent="0.2">
      <c r="A382" s="23"/>
      <c r="B382" s="201" t="s">
        <v>227</v>
      </c>
      <c r="C382" s="203"/>
      <c r="D382" s="63"/>
      <c r="E382" s="64"/>
      <c r="F382" s="74"/>
      <c r="G382" s="74"/>
      <c r="H382" s="64"/>
      <c r="I382" s="64"/>
      <c r="J382" s="64"/>
      <c r="K382" s="16"/>
      <c r="L382" s="16"/>
      <c r="M382" s="64"/>
      <c r="N382" s="16"/>
      <c r="O382" s="16"/>
      <c r="P382" s="64"/>
      <c r="Q382" s="46">
        <f>-D382</f>
        <v>0</v>
      </c>
      <c r="R382" s="39"/>
      <c r="S382" s="40"/>
      <c r="T382" s="16"/>
      <c r="U382" s="16"/>
      <c r="V382" s="16"/>
      <c r="W382" s="16"/>
      <c r="X382" s="16"/>
      <c r="Y382" s="19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35"/>
      <c r="AQ382" s="10"/>
      <c r="AR382" s="27"/>
    </row>
    <row r="383" spans="1:46" s="2" customFormat="1" ht="17.25" customHeight="1" x14ac:dyDescent="0.2">
      <c r="A383" s="23"/>
      <c r="B383" s="201" t="s">
        <v>218</v>
      </c>
      <c r="C383" s="203"/>
      <c r="D383" s="63"/>
      <c r="E383" s="64"/>
      <c r="F383" s="74"/>
      <c r="G383" s="74"/>
      <c r="H383" s="64"/>
      <c r="I383" s="64"/>
      <c r="J383" s="64"/>
      <c r="K383" s="16"/>
      <c r="L383" s="16"/>
      <c r="M383" s="64"/>
      <c r="N383" s="16"/>
      <c r="O383" s="16"/>
      <c r="P383" s="64"/>
      <c r="Q383" s="46"/>
      <c r="R383" s="39"/>
      <c r="S383" s="40"/>
      <c r="T383" s="16"/>
      <c r="U383" s="16"/>
      <c r="V383" s="16"/>
      <c r="W383" s="16"/>
      <c r="X383" s="16"/>
      <c r="Y383" s="19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35"/>
      <c r="AQ383" s="10"/>
      <c r="AR383" s="27"/>
    </row>
    <row r="384" spans="1:46" s="2" customFormat="1" ht="17.25" customHeight="1" x14ac:dyDescent="0.2">
      <c r="A384" s="23"/>
      <c r="B384" s="201" t="s">
        <v>65</v>
      </c>
      <c r="C384" s="203"/>
      <c r="D384" s="63"/>
      <c r="E384" s="64"/>
      <c r="F384" s="74"/>
      <c r="G384" s="74"/>
      <c r="H384" s="64"/>
      <c r="I384" s="64"/>
      <c r="J384" s="64"/>
      <c r="K384" s="16"/>
      <c r="L384" s="16"/>
      <c r="M384" s="64"/>
      <c r="N384" s="16"/>
      <c r="O384" s="16"/>
      <c r="P384" s="64"/>
      <c r="Q384" s="46"/>
      <c r="R384" s="39"/>
      <c r="S384" s="40"/>
      <c r="T384" s="16"/>
      <c r="U384" s="16"/>
      <c r="V384" s="16"/>
      <c r="W384" s="16"/>
      <c r="X384" s="16"/>
      <c r="Y384" s="19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35"/>
      <c r="AQ384" s="10"/>
      <c r="AR384" s="27"/>
    </row>
    <row r="385" spans="1:46" s="2" customFormat="1" ht="17.25" customHeight="1" x14ac:dyDescent="0.25">
      <c r="A385" s="24"/>
      <c r="B385" s="205" t="s">
        <v>228</v>
      </c>
      <c r="C385" s="206"/>
      <c r="D385" s="64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39"/>
      <c r="R385" s="39"/>
      <c r="S385" s="39"/>
      <c r="T385" s="16"/>
      <c r="U385" s="16">
        <f>-P385</f>
        <v>0</v>
      </c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22"/>
      <c r="AQ385" s="10"/>
      <c r="AR385" s="11"/>
    </row>
    <row r="386" spans="1:46" s="2" customFormat="1" ht="17.25" customHeight="1" x14ac:dyDescent="0.2">
      <c r="A386" s="23"/>
      <c r="B386" s="205" t="s">
        <v>225</v>
      </c>
      <c r="C386" s="206"/>
      <c r="D386" s="64"/>
      <c r="E386" s="64"/>
      <c r="F386" s="64"/>
      <c r="G386" s="64"/>
      <c r="H386" s="64"/>
      <c r="I386" s="64"/>
      <c r="J386" s="64"/>
      <c r="K386" s="57"/>
      <c r="L386" s="88"/>
      <c r="M386" s="62"/>
      <c r="N386" s="57"/>
      <c r="O386" s="88"/>
      <c r="P386" s="62"/>
      <c r="Q386" s="39"/>
      <c r="R386" s="39"/>
      <c r="S386" s="39"/>
      <c r="T386" s="16"/>
      <c r="U386" s="16"/>
      <c r="V386" s="16"/>
      <c r="W386" s="16"/>
      <c r="X386" s="16"/>
      <c r="Y386" s="19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35"/>
      <c r="AQ386" s="10"/>
      <c r="AR386" s="27"/>
    </row>
    <row r="387" spans="1:46" s="2" customFormat="1" ht="17.25" customHeight="1" thickBot="1" x14ac:dyDescent="0.25">
      <c r="A387" s="24"/>
      <c r="B387" s="216"/>
      <c r="C387" s="217"/>
      <c r="D387" s="83"/>
      <c r="E387" s="81"/>
      <c r="F387" s="81"/>
      <c r="G387" s="81"/>
      <c r="H387" s="81"/>
      <c r="I387" s="81"/>
      <c r="J387" s="81"/>
      <c r="K387" s="37"/>
      <c r="L387" s="93"/>
      <c r="M387" s="81"/>
      <c r="N387" s="37"/>
      <c r="O387" s="93"/>
      <c r="P387" s="81"/>
      <c r="Q387" s="40"/>
      <c r="R387" s="40"/>
      <c r="S387" s="39"/>
      <c r="T387" s="16"/>
      <c r="U387" s="16"/>
      <c r="V387" s="16"/>
      <c r="W387" s="16"/>
      <c r="X387" s="16"/>
      <c r="Y387" s="19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41"/>
      <c r="AQ387" s="10"/>
      <c r="AR387" s="11"/>
    </row>
    <row r="388" spans="1:46" s="4" customFormat="1" ht="17.25" customHeight="1" x14ac:dyDescent="0.25">
      <c r="A388" s="23"/>
      <c r="B388" s="210" t="s">
        <v>94</v>
      </c>
      <c r="C388" s="203"/>
      <c r="D388" s="66"/>
      <c r="E388" s="66"/>
      <c r="F388" s="117"/>
      <c r="G388" s="117"/>
      <c r="H388" s="66"/>
      <c r="I388" s="66"/>
      <c r="J388" s="66">
        <f>-M388</f>
        <v>7187.6</v>
      </c>
      <c r="K388" s="58">
        <v>-1208</v>
      </c>
      <c r="L388" s="89">
        <v>5.95</v>
      </c>
      <c r="M388" s="73">
        <f>K388*L388</f>
        <v>-7187.6</v>
      </c>
      <c r="N388" s="58"/>
      <c r="O388" s="89"/>
      <c r="P388" s="73"/>
      <c r="Q388" s="39"/>
      <c r="R388" s="39"/>
      <c r="S388" s="8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35"/>
      <c r="AP388" s="12" t="e">
        <f>#REF!</f>
        <v>#REF!</v>
      </c>
    </row>
    <row r="389" spans="1:46" s="4" customFormat="1" ht="17.25" customHeight="1" x14ac:dyDescent="0.25">
      <c r="A389" s="23"/>
      <c r="B389" s="201" t="s">
        <v>95</v>
      </c>
      <c r="C389" s="202"/>
      <c r="D389" s="64"/>
      <c r="E389" s="64"/>
      <c r="F389" s="117"/>
      <c r="G389" s="117"/>
      <c r="H389" s="64"/>
      <c r="I389" s="64"/>
      <c r="J389" s="64">
        <f>-P389</f>
        <v>7503.12</v>
      </c>
      <c r="K389" s="57"/>
      <c r="L389" s="88"/>
      <c r="M389" s="62"/>
      <c r="N389" s="57">
        <v>-1839</v>
      </c>
      <c r="O389" s="88">
        <v>4.08</v>
      </c>
      <c r="P389" s="62">
        <f>N389*O389</f>
        <v>-7503.12</v>
      </c>
      <c r="Q389" s="39"/>
      <c r="R389" s="39"/>
      <c r="S389" s="8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35"/>
      <c r="AP389" s="12" t="e">
        <f>#REF!</f>
        <v>#REF!</v>
      </c>
    </row>
    <row r="390" spans="1:46" s="4" customFormat="1" ht="17.25" customHeight="1" x14ac:dyDescent="0.25">
      <c r="A390" s="23"/>
      <c r="B390" s="201" t="s">
        <v>97</v>
      </c>
      <c r="C390" s="203"/>
      <c r="D390" s="64"/>
      <c r="E390" s="64"/>
      <c r="F390" s="64"/>
      <c r="G390" s="64"/>
      <c r="H390" s="64">
        <f>-J390-I390</f>
        <v>4477.7500000000018</v>
      </c>
      <c r="I390" s="64">
        <v>10212.969999999999</v>
      </c>
      <c r="J390" s="64">
        <f>-SUM(J388:J389)</f>
        <v>-14690.720000000001</v>
      </c>
      <c r="K390" s="57"/>
      <c r="L390" s="88"/>
      <c r="M390" s="62"/>
      <c r="N390" s="57"/>
      <c r="O390" s="88"/>
      <c r="P390" s="62"/>
      <c r="Q390" s="39"/>
      <c r="R390" s="39"/>
      <c r="S390" s="39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22"/>
      <c r="AO390" s="43">
        <f>A346</f>
        <v>0</v>
      </c>
      <c r="AP390" s="12" t="e">
        <f>#REF!</f>
        <v>#REF!</v>
      </c>
      <c r="AT390" s="2"/>
    </row>
    <row r="391" spans="1:46" s="4" customFormat="1" ht="17.25" customHeight="1" x14ac:dyDescent="0.25">
      <c r="A391" s="23"/>
      <c r="B391" s="201" t="s">
        <v>93</v>
      </c>
      <c r="C391" s="202"/>
      <c r="D391" s="64"/>
      <c r="E391" s="64"/>
      <c r="F391" s="64"/>
      <c r="G391" s="64"/>
      <c r="H391" s="64"/>
      <c r="I391" s="64"/>
      <c r="J391" s="64"/>
      <c r="K391" s="57">
        <v>-18</v>
      </c>
      <c r="L391" s="88"/>
      <c r="M391" s="62">
        <f>(K394*(M372)/(K372))-M372-M388</f>
        <v>726.63170571696355</v>
      </c>
      <c r="N391" s="57">
        <v>-9</v>
      </c>
      <c r="O391" s="88"/>
      <c r="P391" s="62">
        <f>(N394*(P372)/(N372))-P372-P389</f>
        <v>396.61515951852289</v>
      </c>
      <c r="Q391" s="39"/>
      <c r="R391" s="39"/>
      <c r="S391" s="39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22"/>
      <c r="AO391" s="43">
        <f>A366</f>
        <v>0</v>
      </c>
      <c r="AP391" s="12" t="e">
        <f>#REF!</f>
        <v>#REF!</v>
      </c>
      <c r="AT391" s="2"/>
    </row>
    <row r="392" spans="1:46" s="2" customFormat="1" ht="17.25" customHeight="1" x14ac:dyDescent="0.2">
      <c r="A392" s="24"/>
      <c r="B392" s="201"/>
      <c r="C392" s="204"/>
      <c r="D392" s="63"/>
      <c r="E392" s="64"/>
      <c r="F392" s="64"/>
      <c r="G392" s="64"/>
      <c r="H392" s="64"/>
      <c r="I392" s="64"/>
      <c r="J392" s="64"/>
      <c r="K392" s="16"/>
      <c r="L392" s="16"/>
      <c r="M392" s="64"/>
      <c r="N392" s="16"/>
      <c r="O392" s="16"/>
      <c r="P392" s="64"/>
      <c r="Q392" s="46"/>
      <c r="R392" s="46"/>
      <c r="S392" s="39"/>
      <c r="T392" s="16"/>
      <c r="U392" s="16"/>
      <c r="V392" s="16"/>
      <c r="W392" s="16"/>
      <c r="X392" s="16"/>
      <c r="Y392" s="19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43">
        <f>A358</f>
        <v>0</v>
      </c>
      <c r="AQ392" s="10"/>
      <c r="AR392" s="11"/>
    </row>
    <row r="393" spans="1:46" s="2" customFormat="1" ht="17.25" customHeight="1" thickBot="1" x14ac:dyDescent="0.3">
      <c r="A393" s="56"/>
      <c r="B393" s="101" t="s">
        <v>102</v>
      </c>
      <c r="C393" s="102">
        <f>D394+E394+F394+G394+H394+I394+J394+M394+P394</f>
        <v>118217.84954000005</v>
      </c>
      <c r="D393" s="84"/>
      <c r="E393" s="85"/>
      <c r="F393" s="85"/>
      <c r="G393" s="85"/>
      <c r="H393" s="85"/>
      <c r="I393" s="85"/>
      <c r="J393" s="85"/>
      <c r="K393" s="28"/>
      <c r="L393" s="28"/>
      <c r="M393" s="85"/>
      <c r="N393" s="28"/>
      <c r="O393" s="28"/>
      <c r="P393" s="85"/>
      <c r="Q393" s="48"/>
      <c r="R393" s="48"/>
      <c r="S393" s="51"/>
      <c r="T393" s="28"/>
      <c r="U393" s="28"/>
      <c r="V393" s="28"/>
      <c r="W393" s="28"/>
      <c r="X393" s="28"/>
      <c r="Y393" s="36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42">
        <f>SUM($Q372:AN393)</f>
        <v>-449052.52</v>
      </c>
      <c r="AQ393" s="10"/>
      <c r="AR393" s="11"/>
      <c r="AS393" s="2" t="s">
        <v>5</v>
      </c>
    </row>
    <row r="394" spans="1:46" s="2" customFormat="1" ht="17.25" customHeight="1" thickTop="1" thickBot="1" x14ac:dyDescent="0.3">
      <c r="A394" s="103"/>
      <c r="B394" s="104" t="s">
        <v>103</v>
      </c>
      <c r="C394" s="105">
        <f>AO394</f>
        <v>-330834.67045999994</v>
      </c>
      <c r="D394" s="106">
        <f t="shared" ref="D394:K394" si="39">SUM(D372:D393)</f>
        <v>1102.2370400000345</v>
      </c>
      <c r="E394" s="107">
        <f t="shared" si="39"/>
        <v>-32248.630000000016</v>
      </c>
      <c r="F394" s="107">
        <f t="shared" si="39"/>
        <v>20970.5</v>
      </c>
      <c r="G394" s="107">
        <f t="shared" si="39"/>
        <v>0</v>
      </c>
      <c r="H394" s="107">
        <f t="shared" si="39"/>
        <v>77246.022500000036</v>
      </c>
      <c r="I394" s="107">
        <f t="shared" si="39"/>
        <v>9316.9699999999993</v>
      </c>
      <c r="J394" s="107">
        <f t="shared" si="39"/>
        <v>0</v>
      </c>
      <c r="K394" s="108">
        <f t="shared" si="39"/>
        <v>3042</v>
      </c>
      <c r="L394" s="109">
        <f>M394/K394</f>
        <v>5.2699572649572648</v>
      </c>
      <c r="M394" s="107">
        <f>ROUND(SUM(M372:M393),2)</f>
        <v>16031.21</v>
      </c>
      <c r="N394" s="108">
        <f>SUM(N372:N393)</f>
        <v>6709</v>
      </c>
      <c r="O394" s="109">
        <f>P394/N394</f>
        <v>3.8455119988075719</v>
      </c>
      <c r="P394" s="107">
        <f>ROUND(SUM(P372:P393),2)</f>
        <v>25799.54</v>
      </c>
      <c r="Q394" s="110">
        <f t="shared" ref="Q394:AN394" si="40">SUM(Q372:Q393)</f>
        <v>-496067.13</v>
      </c>
      <c r="R394" s="107">
        <f t="shared" si="40"/>
        <v>50229.299999999996</v>
      </c>
      <c r="S394" s="107">
        <f t="shared" si="40"/>
        <v>0</v>
      </c>
      <c r="T394" s="107">
        <f t="shared" si="40"/>
        <v>-3214.6900000000005</v>
      </c>
      <c r="U394" s="107">
        <f t="shared" si="40"/>
        <v>0</v>
      </c>
      <c r="V394" s="107">
        <f t="shared" si="40"/>
        <v>0</v>
      </c>
      <c r="W394" s="107">
        <f t="shared" si="40"/>
        <v>0</v>
      </c>
      <c r="X394" s="107">
        <f t="shared" si="40"/>
        <v>0</v>
      </c>
      <c r="Y394" s="107">
        <f t="shared" si="40"/>
        <v>0</v>
      </c>
      <c r="Z394" s="107">
        <f t="shared" si="40"/>
        <v>0</v>
      </c>
      <c r="AA394" s="107">
        <f t="shared" si="40"/>
        <v>0</v>
      </c>
      <c r="AB394" s="107">
        <f t="shared" si="40"/>
        <v>0</v>
      </c>
      <c r="AC394" s="107">
        <f t="shared" si="40"/>
        <v>0</v>
      </c>
      <c r="AD394" s="107">
        <f t="shared" si="40"/>
        <v>0</v>
      </c>
      <c r="AE394" s="107">
        <f t="shared" si="40"/>
        <v>0</v>
      </c>
      <c r="AF394" s="107">
        <f t="shared" si="40"/>
        <v>0</v>
      </c>
      <c r="AG394" s="107">
        <f t="shared" si="40"/>
        <v>0</v>
      </c>
      <c r="AH394" s="107">
        <f t="shared" si="40"/>
        <v>0</v>
      </c>
      <c r="AI394" s="107">
        <f t="shared" si="40"/>
        <v>0</v>
      </c>
      <c r="AJ394" s="107">
        <f t="shared" si="40"/>
        <v>0</v>
      </c>
      <c r="AK394" s="107">
        <f t="shared" si="40"/>
        <v>0</v>
      </c>
      <c r="AL394" s="107">
        <f t="shared" si="40"/>
        <v>0</v>
      </c>
      <c r="AM394" s="107">
        <f t="shared" si="40"/>
        <v>0</v>
      </c>
      <c r="AN394" s="107">
        <f t="shared" si="40"/>
        <v>0</v>
      </c>
      <c r="AO394" s="111">
        <f>D394+E394+F394+G394+H394+I394+J394+M394+P394+SUM(Q394:AN394)</f>
        <v>-330834.67045999994</v>
      </c>
      <c r="AP394" s="4"/>
      <c r="AQ394" s="5"/>
      <c r="AR394" s="5"/>
      <c r="AS394" s="2" t="s">
        <v>6</v>
      </c>
    </row>
    <row r="395" spans="1:46" s="2" customFormat="1" ht="17.25" customHeight="1" thickTop="1" x14ac:dyDescent="0.25">
      <c r="A395" s="23">
        <f>A373+1</f>
        <v>46044</v>
      </c>
      <c r="B395" s="210" t="s">
        <v>64</v>
      </c>
      <c r="C395" s="203"/>
      <c r="D395" s="63">
        <v>9090.7900000000009</v>
      </c>
      <c r="E395" s="66"/>
      <c r="F395" s="66"/>
      <c r="G395" s="66"/>
      <c r="H395" s="66"/>
      <c r="I395" s="66">
        <f>-D395</f>
        <v>-9090.7900000000009</v>
      </c>
      <c r="J395" s="66"/>
      <c r="K395" s="18"/>
      <c r="L395" s="18"/>
      <c r="M395" s="66"/>
      <c r="N395" s="18"/>
      <c r="O395" s="18"/>
      <c r="P395" s="66"/>
      <c r="Q395" s="46"/>
      <c r="R395" s="46"/>
      <c r="S395" s="45"/>
      <c r="T395" s="18"/>
      <c r="U395" s="18"/>
      <c r="V395" s="18"/>
      <c r="W395" s="18"/>
      <c r="X395" s="18"/>
      <c r="Y395" s="14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31"/>
      <c r="AQ395" s="10"/>
      <c r="AR395" s="27"/>
    </row>
    <row r="396" spans="1:46" s="4" customFormat="1" ht="17.25" customHeight="1" x14ac:dyDescent="0.25">
      <c r="A396" s="23"/>
      <c r="B396" s="201" t="s">
        <v>96</v>
      </c>
      <c r="C396" s="202"/>
      <c r="D396" s="63"/>
      <c r="E396" s="64"/>
      <c r="F396" s="64"/>
      <c r="G396" s="64"/>
      <c r="H396" s="64"/>
      <c r="I396" s="64">
        <f>-I394-I395</f>
        <v>-226.17999999999847</v>
      </c>
      <c r="J396" s="64"/>
      <c r="K396" s="16"/>
      <c r="L396" s="92"/>
      <c r="M396" s="64"/>
      <c r="N396" s="16"/>
      <c r="O396" s="92"/>
      <c r="P396" s="64"/>
      <c r="Q396" s="40"/>
      <c r="R396" s="46"/>
      <c r="S396" s="39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22"/>
      <c r="AP396" s="30"/>
    </row>
    <row r="397" spans="1:46" s="2" customFormat="1" ht="17.25" customHeight="1" x14ac:dyDescent="0.25">
      <c r="A397" s="29"/>
      <c r="B397" s="201" t="s">
        <v>327</v>
      </c>
      <c r="C397" s="202"/>
      <c r="D397" s="63">
        <f>50+20+100+100+20+20+140.5+100+40+15+15+50+50+100+55+100</f>
        <v>975.5</v>
      </c>
      <c r="E397" s="64"/>
      <c r="F397" s="64"/>
      <c r="G397" s="64"/>
      <c r="H397" s="64"/>
      <c r="I397" s="64">
        <f>-D397</f>
        <v>-975.5</v>
      </c>
      <c r="J397" s="64"/>
      <c r="K397" s="57"/>
      <c r="L397" s="88"/>
      <c r="M397" s="62"/>
      <c r="N397" s="57"/>
      <c r="O397" s="88"/>
      <c r="P397" s="62"/>
      <c r="Q397" s="47"/>
      <c r="R397" s="39"/>
      <c r="S397" s="39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22"/>
      <c r="AQ397" s="10"/>
      <c r="AR397" s="11"/>
    </row>
    <row r="398" spans="1:46" s="2" customFormat="1" ht="17.25" customHeight="1" x14ac:dyDescent="0.25">
      <c r="A398" s="29"/>
      <c r="B398" s="201" t="s">
        <v>328</v>
      </c>
      <c r="C398" s="202"/>
      <c r="D398" s="63">
        <f>-15*0.99-1.12</f>
        <v>-15.969999999999999</v>
      </c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47"/>
      <c r="R398" s="39"/>
      <c r="S398" s="39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22"/>
      <c r="AQ398" s="10"/>
      <c r="AR398" s="11"/>
    </row>
    <row r="399" spans="1:46" s="2" customFormat="1" ht="17.25" customHeight="1" x14ac:dyDescent="0.25">
      <c r="A399" s="29"/>
      <c r="B399" s="201" t="s">
        <v>72</v>
      </c>
      <c r="C399" s="202"/>
      <c r="D399" s="63">
        <v>-10190</v>
      </c>
      <c r="E399" s="64"/>
      <c r="F399" s="64">
        <f>-D399</f>
        <v>10190</v>
      </c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47"/>
      <c r="R399" s="39"/>
      <c r="S399" s="39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22"/>
      <c r="AQ399" s="10" t="s">
        <v>4</v>
      </c>
      <c r="AR399" s="11" t="e">
        <v>#REF!</v>
      </c>
    </row>
    <row r="400" spans="1:46" s="4" customFormat="1" ht="17.25" customHeight="1" x14ac:dyDescent="0.25">
      <c r="A400" s="23"/>
      <c r="B400" s="201" t="s">
        <v>13</v>
      </c>
      <c r="C400" s="203"/>
      <c r="D400" s="63"/>
      <c r="E400" s="64">
        <f>50+20+19.9+60+40+50+16+1460+1281</f>
        <v>2996.9</v>
      </c>
      <c r="F400" s="64"/>
      <c r="G400" s="64"/>
      <c r="H400" s="64">
        <f>-E400</f>
        <v>-2996.9</v>
      </c>
      <c r="I400" s="66"/>
      <c r="J400" s="64"/>
      <c r="K400" s="16"/>
      <c r="L400" s="92"/>
      <c r="M400" s="64"/>
      <c r="N400" s="16"/>
      <c r="O400" s="92"/>
      <c r="P400" s="64"/>
      <c r="Q400" s="40"/>
      <c r="R400" s="46"/>
      <c r="S400" s="39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22"/>
      <c r="AP400" s="30"/>
    </row>
    <row r="401" spans="1:46" s="2" customFormat="1" ht="17.25" customHeight="1" x14ac:dyDescent="0.2">
      <c r="A401" s="23"/>
      <c r="B401" s="201" t="s">
        <v>191</v>
      </c>
      <c r="C401" s="202"/>
      <c r="D401" s="63"/>
      <c r="E401" s="64"/>
      <c r="F401" s="74"/>
      <c r="G401" s="74"/>
      <c r="H401" s="64"/>
      <c r="I401" s="64"/>
      <c r="J401" s="64"/>
      <c r="K401" s="16"/>
      <c r="L401" s="16"/>
      <c r="M401" s="64"/>
      <c r="N401" s="16"/>
      <c r="O401" s="16"/>
      <c r="P401" s="64"/>
      <c r="Q401" s="46"/>
      <c r="R401" s="39"/>
      <c r="S401" s="40"/>
      <c r="T401" s="16"/>
      <c r="U401" s="16"/>
      <c r="V401" s="16"/>
      <c r="W401" s="16"/>
      <c r="X401" s="16"/>
      <c r="Y401" s="19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35"/>
      <c r="AQ401" s="10"/>
      <c r="AR401" s="27"/>
    </row>
    <row r="402" spans="1:46" s="2" customFormat="1" ht="17.25" customHeight="1" thickBot="1" x14ac:dyDescent="0.25">
      <c r="A402" s="24"/>
      <c r="B402" s="216"/>
      <c r="C402" s="217"/>
      <c r="D402" s="83"/>
      <c r="E402" s="81"/>
      <c r="F402" s="81"/>
      <c r="G402" s="81"/>
      <c r="H402" s="81"/>
      <c r="I402" s="81"/>
      <c r="J402" s="81"/>
      <c r="K402" s="37"/>
      <c r="L402" s="93"/>
      <c r="M402" s="81"/>
      <c r="N402" s="37"/>
      <c r="O402" s="93"/>
      <c r="P402" s="81"/>
      <c r="Q402" s="40"/>
      <c r="R402" s="40"/>
      <c r="S402" s="39"/>
      <c r="T402" s="16"/>
      <c r="U402" s="16"/>
      <c r="V402" s="16"/>
      <c r="W402" s="16"/>
      <c r="X402" s="16"/>
      <c r="Y402" s="19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41"/>
      <c r="AQ402" s="10"/>
      <c r="AR402" s="11"/>
    </row>
    <row r="403" spans="1:46" s="4" customFormat="1" ht="17.25" customHeight="1" x14ac:dyDescent="0.25">
      <c r="A403" s="23"/>
      <c r="B403" s="210" t="s">
        <v>94</v>
      </c>
      <c r="C403" s="203"/>
      <c r="D403" s="66"/>
      <c r="E403" s="66"/>
      <c r="F403" s="117"/>
      <c r="G403" s="117"/>
      <c r="H403" s="66"/>
      <c r="I403" s="66"/>
      <c r="J403" s="66">
        <f>-M403</f>
        <v>7669.55</v>
      </c>
      <c r="K403" s="58">
        <v>-1289</v>
      </c>
      <c r="L403" s="89">
        <v>5.95</v>
      </c>
      <c r="M403" s="73">
        <f>K403*L403</f>
        <v>-7669.55</v>
      </c>
      <c r="N403" s="58"/>
      <c r="O403" s="89"/>
      <c r="P403" s="73"/>
      <c r="Q403" s="39"/>
      <c r="R403" s="39"/>
      <c r="S403" s="8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35"/>
      <c r="AP403" s="12" t="e">
        <f>#REF!</f>
        <v>#REF!</v>
      </c>
    </row>
    <row r="404" spans="1:46" s="4" customFormat="1" ht="17.25" customHeight="1" x14ac:dyDescent="0.25">
      <c r="A404" s="23"/>
      <c r="B404" s="201" t="s">
        <v>95</v>
      </c>
      <c r="C404" s="202"/>
      <c r="D404" s="64"/>
      <c r="E404" s="64"/>
      <c r="F404" s="117"/>
      <c r="G404" s="117"/>
      <c r="H404" s="64"/>
      <c r="I404" s="64"/>
      <c r="J404" s="64">
        <f>-P404</f>
        <v>7172.64</v>
      </c>
      <c r="K404" s="57"/>
      <c r="L404" s="88"/>
      <c r="M404" s="62"/>
      <c r="N404" s="57">
        <v>-1758</v>
      </c>
      <c r="O404" s="88">
        <v>4.08</v>
      </c>
      <c r="P404" s="62">
        <f>N404*O404</f>
        <v>-7172.64</v>
      </c>
      <c r="Q404" s="39"/>
      <c r="R404" s="39"/>
      <c r="S404" s="8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35"/>
      <c r="AP404" s="12" t="e">
        <f>#REF!</f>
        <v>#REF!</v>
      </c>
    </row>
    <row r="405" spans="1:46" s="4" customFormat="1" ht="17.25" customHeight="1" x14ac:dyDescent="0.25">
      <c r="A405" s="23"/>
      <c r="B405" s="201" t="s">
        <v>97</v>
      </c>
      <c r="C405" s="203"/>
      <c r="D405" s="64"/>
      <c r="E405" s="64"/>
      <c r="F405" s="64"/>
      <c r="G405" s="64"/>
      <c r="H405" s="64">
        <f>-J405-I405</f>
        <v>5475.43</v>
      </c>
      <c r="I405" s="64">
        <v>9366.76</v>
      </c>
      <c r="J405" s="64">
        <f>-SUM(J403:J404)</f>
        <v>-14842.19</v>
      </c>
      <c r="K405" s="57"/>
      <c r="L405" s="88"/>
      <c r="M405" s="62"/>
      <c r="N405" s="57"/>
      <c r="O405" s="88"/>
      <c r="P405" s="62"/>
      <c r="Q405" s="39"/>
      <c r="R405" s="39"/>
      <c r="S405" s="39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22"/>
      <c r="AO405" s="43">
        <f>A369</f>
        <v>0</v>
      </c>
      <c r="AP405" s="12" t="e">
        <f>#REF!</f>
        <v>#REF!</v>
      </c>
      <c r="AT405" s="2"/>
    </row>
    <row r="406" spans="1:46" s="4" customFormat="1" ht="17.25" customHeight="1" x14ac:dyDescent="0.25">
      <c r="A406" s="23"/>
      <c r="B406" s="201" t="s">
        <v>93</v>
      </c>
      <c r="C406" s="202"/>
      <c r="D406" s="64"/>
      <c r="E406" s="64"/>
      <c r="F406" s="64"/>
      <c r="G406" s="64"/>
      <c r="H406" s="64"/>
      <c r="I406" s="64"/>
      <c r="J406" s="64"/>
      <c r="K406" s="57">
        <v>33</v>
      </c>
      <c r="L406" s="88"/>
      <c r="M406" s="62">
        <f>(K409*L394)-M394-M403</f>
        <v>1050.4836752136753</v>
      </c>
      <c r="N406" s="57">
        <v>19</v>
      </c>
      <c r="O406" s="88"/>
      <c r="P406" s="62">
        <f>(N409*O394)-P394-P404</f>
        <v>485.29463407363164</v>
      </c>
      <c r="Q406" s="39"/>
      <c r="R406" s="39"/>
      <c r="S406" s="39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22"/>
      <c r="AO406" s="43">
        <f>A388</f>
        <v>0</v>
      </c>
      <c r="AP406" s="12" t="e">
        <f>#REF!</f>
        <v>#REF!</v>
      </c>
      <c r="AT406" s="2"/>
    </row>
    <row r="407" spans="1:46" s="2" customFormat="1" ht="17.25" customHeight="1" x14ac:dyDescent="0.2">
      <c r="A407" s="24"/>
      <c r="B407" s="201"/>
      <c r="C407" s="204"/>
      <c r="D407" s="63"/>
      <c r="E407" s="64"/>
      <c r="F407" s="64"/>
      <c r="G407" s="64"/>
      <c r="H407" s="64"/>
      <c r="I407" s="64"/>
      <c r="J407" s="64"/>
      <c r="K407" s="16"/>
      <c r="L407" s="16"/>
      <c r="M407" s="64"/>
      <c r="N407" s="16"/>
      <c r="O407" s="16"/>
      <c r="P407" s="64"/>
      <c r="Q407" s="46"/>
      <c r="R407" s="46"/>
      <c r="S407" s="39"/>
      <c r="T407" s="16"/>
      <c r="U407" s="16"/>
      <c r="V407" s="16"/>
      <c r="W407" s="16"/>
      <c r="X407" s="16"/>
      <c r="Y407" s="19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43">
        <f>A395</f>
        <v>46044</v>
      </c>
      <c r="AQ407" s="10"/>
      <c r="AR407" s="11"/>
    </row>
    <row r="408" spans="1:46" s="2" customFormat="1" ht="17.25" customHeight="1" thickBot="1" x14ac:dyDescent="0.3">
      <c r="A408" s="56"/>
      <c r="B408" s="101" t="s">
        <v>102</v>
      </c>
      <c r="C408" s="102">
        <f>D409+E409+F409+G409+H409+I409+J409+M409+P409</f>
        <v>119511.46954000006</v>
      </c>
      <c r="D408" s="84"/>
      <c r="E408" s="85"/>
      <c r="F408" s="85"/>
      <c r="G408" s="85"/>
      <c r="H408" s="85"/>
      <c r="I408" s="85"/>
      <c r="J408" s="85"/>
      <c r="K408" s="28"/>
      <c r="L408" s="28"/>
      <c r="M408" s="85"/>
      <c r="N408" s="28"/>
      <c r="O408" s="28"/>
      <c r="P408" s="85"/>
      <c r="Q408" s="48"/>
      <c r="R408" s="48"/>
      <c r="S408" s="51"/>
      <c r="T408" s="28"/>
      <c r="U408" s="28"/>
      <c r="V408" s="28"/>
      <c r="W408" s="28"/>
      <c r="X408" s="28"/>
      <c r="Y408" s="36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42">
        <f>SUM($Q394:AN408)</f>
        <v>-449052.52</v>
      </c>
      <c r="AQ408" s="10"/>
      <c r="AR408" s="11"/>
      <c r="AS408" s="2" t="s">
        <v>5</v>
      </c>
    </row>
    <row r="409" spans="1:46" s="2" customFormat="1" ht="17.25" customHeight="1" thickTop="1" thickBot="1" x14ac:dyDescent="0.3">
      <c r="A409" s="103"/>
      <c r="B409" s="104" t="s">
        <v>103</v>
      </c>
      <c r="C409" s="105">
        <f>AO409</f>
        <v>-329541.05045999994</v>
      </c>
      <c r="D409" s="106">
        <f t="shared" ref="D409:K409" si="41">SUM(D394:D408)</f>
        <v>962.55704000003607</v>
      </c>
      <c r="E409" s="107">
        <f t="shared" si="41"/>
        <v>-29251.730000000014</v>
      </c>
      <c r="F409" s="107">
        <f t="shared" si="41"/>
        <v>31160.5</v>
      </c>
      <c r="G409" s="107">
        <f t="shared" si="41"/>
        <v>0</v>
      </c>
      <c r="H409" s="107">
        <f t="shared" si="41"/>
        <v>79724.552500000049</v>
      </c>
      <c r="I409" s="107">
        <f t="shared" si="41"/>
        <v>8391.26</v>
      </c>
      <c r="J409" s="107">
        <f t="shared" si="41"/>
        <v>0</v>
      </c>
      <c r="K409" s="108">
        <f t="shared" si="41"/>
        <v>1786</v>
      </c>
      <c r="L409" s="109">
        <f>M409/K409</f>
        <v>5.269955207166853</v>
      </c>
      <c r="M409" s="107">
        <f>ROUND(SUM(M394:M408),2)</f>
        <v>9412.14</v>
      </c>
      <c r="N409" s="108">
        <f>SUM(N394:N408)</f>
        <v>4970</v>
      </c>
      <c r="O409" s="109">
        <f>P409/N409</f>
        <v>3.84551106639839</v>
      </c>
      <c r="P409" s="107">
        <f>ROUND(SUM(P394:P408),2)</f>
        <v>19112.189999999999</v>
      </c>
      <c r="Q409" s="110">
        <f t="shared" ref="Q409:AN409" si="42">SUM(Q394:Q408)</f>
        <v>-496067.13</v>
      </c>
      <c r="R409" s="107">
        <f t="shared" si="42"/>
        <v>50229.299999999996</v>
      </c>
      <c r="S409" s="107">
        <f t="shared" si="42"/>
        <v>0</v>
      </c>
      <c r="T409" s="107">
        <f t="shared" si="42"/>
        <v>-3214.6900000000005</v>
      </c>
      <c r="U409" s="107">
        <f t="shared" si="42"/>
        <v>0</v>
      </c>
      <c r="V409" s="107">
        <f t="shared" si="42"/>
        <v>0</v>
      </c>
      <c r="W409" s="107">
        <f t="shared" si="42"/>
        <v>0</v>
      </c>
      <c r="X409" s="107">
        <f t="shared" si="42"/>
        <v>0</v>
      </c>
      <c r="Y409" s="107">
        <f t="shared" si="42"/>
        <v>0</v>
      </c>
      <c r="Z409" s="107">
        <f t="shared" si="42"/>
        <v>0</v>
      </c>
      <c r="AA409" s="107">
        <f t="shared" si="42"/>
        <v>0</v>
      </c>
      <c r="AB409" s="107">
        <f t="shared" si="42"/>
        <v>0</v>
      </c>
      <c r="AC409" s="107">
        <f t="shared" si="42"/>
        <v>0</v>
      </c>
      <c r="AD409" s="107">
        <f t="shared" si="42"/>
        <v>0</v>
      </c>
      <c r="AE409" s="107">
        <f t="shared" si="42"/>
        <v>0</v>
      </c>
      <c r="AF409" s="107">
        <f t="shared" si="42"/>
        <v>0</v>
      </c>
      <c r="AG409" s="107">
        <f t="shared" si="42"/>
        <v>0</v>
      </c>
      <c r="AH409" s="107">
        <f t="shared" si="42"/>
        <v>0</v>
      </c>
      <c r="AI409" s="107">
        <f t="shared" si="42"/>
        <v>0</v>
      </c>
      <c r="AJ409" s="107">
        <f t="shared" si="42"/>
        <v>0</v>
      </c>
      <c r="AK409" s="107">
        <f t="shared" si="42"/>
        <v>0</v>
      </c>
      <c r="AL409" s="107">
        <f t="shared" si="42"/>
        <v>0</v>
      </c>
      <c r="AM409" s="107">
        <f t="shared" si="42"/>
        <v>0</v>
      </c>
      <c r="AN409" s="107">
        <f t="shared" si="42"/>
        <v>0</v>
      </c>
      <c r="AO409" s="111">
        <f>D409+E409+F409+G409+H409+I409+J409+M409+P409+SUM(Q409:AN409)</f>
        <v>-329541.05045999994</v>
      </c>
      <c r="AP409" s="4"/>
      <c r="AQ409" s="5"/>
      <c r="AR409" s="5"/>
      <c r="AS409" s="2" t="s">
        <v>6</v>
      </c>
    </row>
    <row r="410" spans="1:46" s="2" customFormat="1" ht="17.25" customHeight="1" thickTop="1" x14ac:dyDescent="0.25">
      <c r="A410" s="23">
        <f>A395+1</f>
        <v>46045</v>
      </c>
      <c r="B410" s="210" t="s">
        <v>64</v>
      </c>
      <c r="C410" s="203"/>
      <c r="D410" s="63">
        <v>8173.44</v>
      </c>
      <c r="E410" s="66"/>
      <c r="F410" s="66"/>
      <c r="G410" s="66"/>
      <c r="H410" s="66"/>
      <c r="I410" s="66">
        <f>-D410</f>
        <v>-8173.44</v>
      </c>
      <c r="J410" s="66"/>
      <c r="K410" s="18"/>
      <c r="L410" s="18"/>
      <c r="M410" s="66"/>
      <c r="N410" s="18"/>
      <c r="O410" s="18"/>
      <c r="P410" s="66"/>
      <c r="Q410" s="46"/>
      <c r="R410" s="46"/>
      <c r="S410" s="45"/>
      <c r="T410" s="18"/>
      <c r="U410" s="18"/>
      <c r="V410" s="18"/>
      <c r="W410" s="18"/>
      <c r="X410" s="18"/>
      <c r="Y410" s="14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31"/>
      <c r="AQ410" s="10"/>
      <c r="AR410" s="27"/>
    </row>
    <row r="411" spans="1:46" s="4" customFormat="1" ht="17.25" customHeight="1" x14ac:dyDescent="0.25">
      <c r="A411" s="23"/>
      <c r="B411" s="201" t="s">
        <v>96</v>
      </c>
      <c r="C411" s="202"/>
      <c r="D411" s="63"/>
      <c r="E411" s="64"/>
      <c r="F411" s="64"/>
      <c r="G411" s="64"/>
      <c r="H411" s="64"/>
      <c r="I411" s="64">
        <f>-I409-I410</f>
        <v>-217.82000000000062</v>
      </c>
      <c r="J411" s="64"/>
      <c r="K411" s="16"/>
      <c r="L411" s="92"/>
      <c r="M411" s="64"/>
      <c r="N411" s="16"/>
      <c r="O411" s="92"/>
      <c r="P411" s="64"/>
      <c r="Q411" s="40"/>
      <c r="R411" s="46"/>
      <c r="S411" s="39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22"/>
      <c r="AP411" s="30"/>
    </row>
    <row r="412" spans="1:46" s="2" customFormat="1" ht="17.25" customHeight="1" x14ac:dyDescent="0.25">
      <c r="A412" s="29"/>
      <c r="B412" s="201" t="s">
        <v>327</v>
      </c>
      <c r="C412" s="202"/>
      <c r="D412" s="63">
        <f>100+100+50+20+56+30+30+20+130+20+50+30+13+15+30+100+120.5+100</f>
        <v>1014.5</v>
      </c>
      <c r="E412" s="64"/>
      <c r="F412" s="64"/>
      <c r="G412" s="64"/>
      <c r="H412" s="64"/>
      <c r="I412" s="64">
        <f>-D412</f>
        <v>-1014.5</v>
      </c>
      <c r="J412" s="64"/>
      <c r="K412" s="57"/>
      <c r="L412" s="88"/>
      <c r="M412" s="62"/>
      <c r="N412" s="57"/>
      <c r="O412" s="88"/>
      <c r="P412" s="62"/>
      <c r="Q412" s="47"/>
      <c r="R412" s="39"/>
      <c r="S412" s="39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22"/>
      <c r="AQ412" s="10"/>
      <c r="AR412" s="11"/>
    </row>
    <row r="413" spans="1:46" s="2" customFormat="1" ht="17.25" customHeight="1" x14ac:dyDescent="0.25">
      <c r="A413" s="29"/>
      <c r="B413" s="201" t="s">
        <v>328</v>
      </c>
      <c r="C413" s="202"/>
      <c r="D413" s="63">
        <f>-17*0.99-1.04</f>
        <v>-17.869999999999997</v>
      </c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47"/>
      <c r="R413" s="39"/>
      <c r="S413" s="39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22"/>
      <c r="AQ413" s="10"/>
      <c r="AR413" s="11"/>
    </row>
    <row r="414" spans="1:46" s="2" customFormat="1" ht="17.25" customHeight="1" x14ac:dyDescent="0.25">
      <c r="A414" s="29"/>
      <c r="B414" s="201" t="s">
        <v>72</v>
      </c>
      <c r="C414" s="202"/>
      <c r="D414" s="63">
        <v>-9100</v>
      </c>
      <c r="E414" s="64"/>
      <c r="F414" s="64">
        <f>-D414</f>
        <v>9100</v>
      </c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47"/>
      <c r="R414" s="39"/>
      <c r="S414" s="39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22"/>
      <c r="AQ414" s="10" t="s">
        <v>4</v>
      </c>
      <c r="AR414" s="11" t="e">
        <v>#REF!</v>
      </c>
    </row>
    <row r="415" spans="1:46" s="2" customFormat="1" ht="17.25" customHeight="1" x14ac:dyDescent="0.25">
      <c r="A415" s="29"/>
      <c r="B415" s="201" t="s">
        <v>331</v>
      </c>
      <c r="C415" s="202"/>
      <c r="D415" s="63">
        <v>13000</v>
      </c>
      <c r="E415" s="64">
        <f>-D415</f>
        <v>-13000</v>
      </c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47"/>
      <c r="R415" s="39"/>
      <c r="S415" s="39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22"/>
      <c r="AQ415" s="10" t="s">
        <v>4</v>
      </c>
      <c r="AR415" s="11" t="e">
        <v>#REF!</v>
      </c>
    </row>
    <row r="416" spans="1:46" s="2" customFormat="1" ht="17.25" customHeight="1" x14ac:dyDescent="0.25">
      <c r="A416" s="29"/>
      <c r="B416" s="201" t="s">
        <v>332</v>
      </c>
      <c r="C416" s="202"/>
      <c r="D416" s="63">
        <v>-104</v>
      </c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47"/>
      <c r="R416" s="39"/>
      <c r="S416" s="39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22"/>
      <c r="AQ416" s="10" t="s">
        <v>4</v>
      </c>
      <c r="AR416" s="11" t="e">
        <v>#REF!</v>
      </c>
    </row>
    <row r="417" spans="1:46" s="2" customFormat="1" ht="17.25" customHeight="1" x14ac:dyDescent="0.25">
      <c r="A417" s="29"/>
      <c r="B417" s="201" t="s">
        <v>72</v>
      </c>
      <c r="C417" s="202"/>
      <c r="D417" s="63">
        <v>40260.5</v>
      </c>
      <c r="E417" s="64"/>
      <c r="F417" s="64">
        <f>-D417</f>
        <v>-40260.5</v>
      </c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47"/>
      <c r="R417" s="39"/>
      <c r="S417" s="39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22"/>
      <c r="AQ417" s="10" t="s">
        <v>4</v>
      </c>
      <c r="AR417" s="11" t="e">
        <v>#REF!</v>
      </c>
    </row>
    <row r="418" spans="1:46" s="4" customFormat="1" ht="17.25" customHeight="1" x14ac:dyDescent="0.25">
      <c r="A418" s="23"/>
      <c r="B418" s="201" t="s">
        <v>13</v>
      </c>
      <c r="C418" s="203"/>
      <c r="D418" s="63"/>
      <c r="E418" s="64">
        <f>35.7+100+50+20+1275.97+100+100+50+30+180+30+30+60</f>
        <v>2061.67</v>
      </c>
      <c r="F418" s="64"/>
      <c r="G418" s="64"/>
      <c r="H418" s="64">
        <f>-E418</f>
        <v>-2061.67</v>
      </c>
      <c r="I418" s="66"/>
      <c r="J418" s="64"/>
      <c r="K418" s="16"/>
      <c r="L418" s="92"/>
      <c r="M418" s="64"/>
      <c r="N418" s="16"/>
      <c r="O418" s="92"/>
      <c r="P418" s="64"/>
      <c r="Q418" s="40"/>
      <c r="R418" s="46"/>
      <c r="S418" s="39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22"/>
      <c r="AP418" s="30"/>
    </row>
    <row r="419" spans="1:46" s="2" customFormat="1" ht="17.25" customHeight="1" x14ac:dyDescent="0.25">
      <c r="A419" s="24"/>
      <c r="B419" s="201" t="s">
        <v>33</v>
      </c>
      <c r="C419" s="203"/>
      <c r="D419" s="63"/>
      <c r="E419" s="64">
        <v>-95.13</v>
      </c>
      <c r="F419" s="64"/>
      <c r="G419" s="64"/>
      <c r="H419" s="64"/>
      <c r="I419" s="64"/>
      <c r="J419" s="64"/>
      <c r="K419" s="16"/>
      <c r="L419" s="92"/>
      <c r="M419" s="64"/>
      <c r="N419" s="16"/>
      <c r="O419" s="92"/>
      <c r="P419" s="64"/>
      <c r="Q419" s="40"/>
      <c r="R419" s="40"/>
      <c r="S419" s="39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22"/>
      <c r="AQ419" s="10"/>
      <c r="AR419" s="11"/>
    </row>
    <row r="420" spans="1:46" s="2" customFormat="1" ht="17.25" customHeight="1" x14ac:dyDescent="0.25">
      <c r="A420" s="29"/>
      <c r="B420" s="201" t="s">
        <v>72</v>
      </c>
      <c r="C420" s="202"/>
      <c r="D420" s="63"/>
      <c r="E420" s="64"/>
      <c r="F420" s="64"/>
      <c r="G420" s="64"/>
      <c r="H420" s="64"/>
      <c r="I420" s="64"/>
      <c r="J420" s="64"/>
      <c r="K420" s="57"/>
      <c r="L420" s="88"/>
      <c r="M420" s="62"/>
      <c r="N420" s="57"/>
      <c r="O420" s="88"/>
      <c r="P420" s="62"/>
      <c r="Q420" s="47"/>
      <c r="R420" s="39"/>
      <c r="S420" s="39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22"/>
      <c r="AQ420" s="10" t="s">
        <v>4</v>
      </c>
      <c r="AR420" s="11" t="e">
        <v>#REF!</v>
      </c>
    </row>
    <row r="421" spans="1:46" s="2" customFormat="1" ht="17.25" customHeight="1" x14ac:dyDescent="0.2">
      <c r="A421" s="23"/>
      <c r="B421" s="205" t="s">
        <v>333</v>
      </c>
      <c r="C421" s="206"/>
      <c r="D421" s="64">
        <f>-M421</f>
        <v>-52550</v>
      </c>
      <c r="E421" s="64"/>
      <c r="F421" s="64"/>
      <c r="G421" s="64"/>
      <c r="H421" s="64"/>
      <c r="I421" s="64"/>
      <c r="J421" s="64"/>
      <c r="K421" s="57">
        <v>10000</v>
      </c>
      <c r="L421" s="88">
        <v>5.2549999999999999</v>
      </c>
      <c r="M421" s="62">
        <f>K421*L421</f>
        <v>52550</v>
      </c>
      <c r="N421" s="57"/>
      <c r="O421" s="88"/>
      <c r="P421" s="62"/>
      <c r="Q421" s="39"/>
      <c r="R421" s="39"/>
      <c r="S421" s="39"/>
      <c r="T421" s="16"/>
      <c r="U421" s="16"/>
      <c r="V421" s="16"/>
      <c r="W421" s="16"/>
      <c r="X421" s="16"/>
      <c r="Y421" s="19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35"/>
      <c r="AQ421" s="10"/>
      <c r="AR421" s="27"/>
    </row>
    <row r="422" spans="1:46" s="2" customFormat="1" ht="17.25" customHeight="1" x14ac:dyDescent="0.2">
      <c r="A422" s="23"/>
      <c r="B422" s="201" t="s">
        <v>326</v>
      </c>
      <c r="C422" s="204"/>
      <c r="D422" s="63">
        <v>-4.9000000000000004</v>
      </c>
      <c r="E422" s="64"/>
      <c r="F422" s="74"/>
      <c r="G422" s="74"/>
      <c r="H422" s="64"/>
      <c r="I422" s="64"/>
      <c r="J422" s="64"/>
      <c r="K422" s="16"/>
      <c r="L422" s="16"/>
      <c r="M422" s="64"/>
      <c r="N422" s="16"/>
      <c r="O422" s="16"/>
      <c r="P422" s="64"/>
      <c r="Q422" s="46"/>
      <c r="R422" s="39"/>
      <c r="S422" s="40"/>
      <c r="T422" s="16"/>
      <c r="U422" s="16"/>
      <c r="V422" s="16"/>
      <c r="W422" s="16"/>
      <c r="X422" s="16"/>
      <c r="Y422" s="19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35"/>
      <c r="AQ422" s="10"/>
      <c r="AR422" s="27"/>
    </row>
    <row r="423" spans="1:46" s="2" customFormat="1" ht="17.25" customHeight="1" x14ac:dyDescent="0.2">
      <c r="A423" s="23"/>
      <c r="B423" s="211" t="s">
        <v>322</v>
      </c>
      <c r="C423" s="206"/>
      <c r="D423" s="64"/>
      <c r="E423" s="64"/>
      <c r="F423" s="64"/>
      <c r="G423" s="74"/>
      <c r="H423" s="64"/>
      <c r="I423" s="64"/>
      <c r="J423" s="64"/>
      <c r="K423" s="16"/>
      <c r="L423" s="16"/>
      <c r="M423" s="64"/>
      <c r="N423" s="167">
        <v>12000</v>
      </c>
      <c r="O423" s="92">
        <v>3.82</v>
      </c>
      <c r="P423" s="64">
        <f>N423*O423</f>
        <v>45840</v>
      </c>
      <c r="Q423" s="46">
        <f>-P423</f>
        <v>-45840</v>
      </c>
      <c r="R423" s="39"/>
      <c r="S423" s="40"/>
      <c r="T423" s="16"/>
      <c r="U423" s="16"/>
      <c r="V423" s="16">
        <f>-D423</f>
        <v>0</v>
      </c>
      <c r="W423" s="16"/>
      <c r="X423" s="16"/>
      <c r="Y423" s="19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35"/>
      <c r="AQ423" s="10"/>
      <c r="AR423" s="27"/>
    </row>
    <row r="424" spans="1:46" s="2" customFormat="1" ht="17.25" customHeight="1" thickBot="1" x14ac:dyDescent="0.25">
      <c r="A424" s="24"/>
      <c r="B424" s="216"/>
      <c r="C424" s="217"/>
      <c r="D424" s="83"/>
      <c r="E424" s="81"/>
      <c r="F424" s="81"/>
      <c r="G424" s="81"/>
      <c r="H424" s="81"/>
      <c r="I424" s="81"/>
      <c r="J424" s="81"/>
      <c r="K424" s="37"/>
      <c r="L424" s="93"/>
      <c r="M424" s="81"/>
      <c r="N424" s="37"/>
      <c r="O424" s="93"/>
      <c r="P424" s="81"/>
      <c r="Q424" s="40"/>
      <c r="R424" s="40"/>
      <c r="S424" s="39"/>
      <c r="T424" s="16"/>
      <c r="U424" s="16"/>
      <c r="V424" s="16"/>
      <c r="W424" s="16"/>
      <c r="X424" s="16"/>
      <c r="Y424" s="19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41"/>
      <c r="AQ424" s="10"/>
      <c r="AR424" s="11"/>
    </row>
    <row r="425" spans="1:46" s="4" customFormat="1" ht="17.25" customHeight="1" x14ac:dyDescent="0.25">
      <c r="A425" s="23"/>
      <c r="B425" s="210" t="s">
        <v>94</v>
      </c>
      <c r="C425" s="203"/>
      <c r="D425" s="66"/>
      <c r="E425" s="66"/>
      <c r="F425" s="117"/>
      <c r="G425" s="117"/>
      <c r="H425" s="66"/>
      <c r="I425" s="66"/>
      <c r="J425" s="66">
        <f>-M425</f>
        <v>7449.4000000000005</v>
      </c>
      <c r="K425" s="58">
        <v>-1252</v>
      </c>
      <c r="L425" s="89">
        <v>5.95</v>
      </c>
      <c r="M425" s="73">
        <f>K425*L425</f>
        <v>-7449.4000000000005</v>
      </c>
      <c r="N425" s="58"/>
      <c r="O425" s="89"/>
      <c r="P425" s="73"/>
      <c r="Q425" s="39"/>
      <c r="R425" s="39"/>
      <c r="S425" s="8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35"/>
      <c r="AP425" s="12" t="e">
        <f>#REF!</f>
        <v>#REF!</v>
      </c>
    </row>
    <row r="426" spans="1:46" s="4" customFormat="1" ht="17.25" customHeight="1" x14ac:dyDescent="0.25">
      <c r="A426" s="23"/>
      <c r="B426" s="201" t="s">
        <v>95</v>
      </c>
      <c r="C426" s="202"/>
      <c r="D426" s="64"/>
      <c r="E426" s="64"/>
      <c r="F426" s="117"/>
      <c r="G426" s="117"/>
      <c r="H426" s="64"/>
      <c r="I426" s="64"/>
      <c r="J426" s="64">
        <f>-P426</f>
        <v>8519.0400000000009</v>
      </c>
      <c r="K426" s="57"/>
      <c r="L426" s="88"/>
      <c r="M426" s="62"/>
      <c r="N426" s="57">
        <v>-2088</v>
      </c>
      <c r="O426" s="88">
        <v>4.08</v>
      </c>
      <c r="P426" s="62">
        <f>N426*O426</f>
        <v>-8519.0400000000009</v>
      </c>
      <c r="Q426" s="39"/>
      <c r="R426" s="39"/>
      <c r="S426" s="8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35"/>
      <c r="AP426" s="12" t="e">
        <f>#REF!</f>
        <v>#REF!</v>
      </c>
    </row>
    <row r="427" spans="1:46" s="4" customFormat="1" ht="17.25" customHeight="1" x14ac:dyDescent="0.25">
      <c r="A427" s="23"/>
      <c r="B427" s="201" t="s">
        <v>97</v>
      </c>
      <c r="C427" s="203"/>
      <c r="D427" s="64"/>
      <c r="E427" s="64"/>
      <c r="F427" s="64"/>
      <c r="G427" s="64"/>
      <c r="H427" s="64">
        <f>-J427-I427</f>
        <v>4982.8900000000031</v>
      </c>
      <c r="I427" s="64">
        <v>10985.55</v>
      </c>
      <c r="J427" s="64">
        <f>-SUM(J425:J426)</f>
        <v>-15968.440000000002</v>
      </c>
      <c r="K427" s="57"/>
      <c r="L427" s="88"/>
      <c r="M427" s="62"/>
      <c r="N427" s="57"/>
      <c r="O427" s="88"/>
      <c r="P427" s="62"/>
      <c r="Q427" s="39"/>
      <c r="R427" s="39"/>
      <c r="S427" s="39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22"/>
      <c r="AO427" s="43">
        <f>A391</f>
        <v>0</v>
      </c>
      <c r="AP427" s="12" t="e">
        <f>#REF!</f>
        <v>#REF!</v>
      </c>
      <c r="AT427" s="2"/>
    </row>
    <row r="428" spans="1:46" s="4" customFormat="1" ht="17.25" customHeight="1" x14ac:dyDescent="0.25">
      <c r="A428" s="23"/>
      <c r="B428" s="201" t="s">
        <v>93</v>
      </c>
      <c r="C428" s="202"/>
      <c r="D428" s="64"/>
      <c r="E428" s="64"/>
      <c r="F428" s="64"/>
      <c r="G428" s="64"/>
      <c r="H428" s="64"/>
      <c r="I428" s="64"/>
      <c r="J428" s="64"/>
      <c r="K428" s="57">
        <v>-96</v>
      </c>
      <c r="L428" s="88"/>
      <c r="M428" s="62">
        <f>(K431*(M409+M421)/(K409+K421))-M409-M425-M421</f>
        <v>362.60509757339605</v>
      </c>
      <c r="N428" s="57">
        <v>-75</v>
      </c>
      <c r="O428" s="88"/>
      <c r="P428" s="62">
        <f>(N431*(P409+P423)/(N409+N423))-P409-P426-P423</f>
        <v>240.21931820861209</v>
      </c>
      <c r="Q428" s="39"/>
      <c r="R428" s="39"/>
      <c r="S428" s="39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22"/>
      <c r="AO428" s="43">
        <f>A403</f>
        <v>0</v>
      </c>
      <c r="AP428" s="12" t="e">
        <f>#REF!</f>
        <v>#REF!</v>
      </c>
      <c r="AT428" s="2"/>
    </row>
    <row r="429" spans="1:46" s="2" customFormat="1" ht="17.25" customHeight="1" x14ac:dyDescent="0.2">
      <c r="A429" s="24"/>
      <c r="B429" s="201"/>
      <c r="C429" s="204"/>
      <c r="D429" s="63"/>
      <c r="E429" s="64"/>
      <c r="F429" s="64"/>
      <c r="G429" s="64"/>
      <c r="H429" s="64"/>
      <c r="I429" s="64"/>
      <c r="J429" s="64"/>
      <c r="K429" s="16"/>
      <c r="L429" s="16"/>
      <c r="M429" s="64"/>
      <c r="N429" s="16"/>
      <c r="O429" s="16"/>
      <c r="P429" s="64"/>
      <c r="Q429" s="46"/>
      <c r="R429" s="46"/>
      <c r="S429" s="39"/>
      <c r="T429" s="16"/>
      <c r="U429" s="16"/>
      <c r="V429" s="16"/>
      <c r="W429" s="16"/>
      <c r="X429" s="16"/>
      <c r="Y429" s="19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43">
        <f>A410</f>
        <v>46045</v>
      </c>
      <c r="AQ429" s="10"/>
      <c r="AR429" s="11"/>
    </row>
    <row r="430" spans="1:46" s="2" customFormat="1" ht="17.25" customHeight="1" thickBot="1" x14ac:dyDescent="0.3">
      <c r="A430" s="56"/>
      <c r="B430" s="101" t="s">
        <v>102</v>
      </c>
      <c r="C430" s="102">
        <f>D431+E431+F431+G431+H431+I431+J431+M431+P431</f>
        <v>165514.57954000006</v>
      </c>
      <c r="D430" s="84"/>
      <c r="E430" s="85"/>
      <c r="F430" s="85"/>
      <c r="G430" s="85"/>
      <c r="H430" s="85"/>
      <c r="I430" s="85"/>
      <c r="J430" s="85"/>
      <c r="K430" s="28"/>
      <c r="L430" s="28"/>
      <c r="M430" s="85"/>
      <c r="N430" s="28"/>
      <c r="O430" s="28"/>
      <c r="P430" s="85"/>
      <c r="Q430" s="48"/>
      <c r="R430" s="48"/>
      <c r="S430" s="51"/>
      <c r="T430" s="28"/>
      <c r="U430" s="28"/>
      <c r="V430" s="28"/>
      <c r="W430" s="28"/>
      <c r="X430" s="28"/>
      <c r="Y430" s="36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42">
        <f>SUM($Q409:AN430)</f>
        <v>-494892.52</v>
      </c>
      <c r="AQ430" s="10"/>
      <c r="AR430" s="11"/>
      <c r="AS430" s="2" t="s">
        <v>5</v>
      </c>
    </row>
    <row r="431" spans="1:46" s="2" customFormat="1" ht="17.25" customHeight="1" thickTop="1" thickBot="1" x14ac:dyDescent="0.3">
      <c r="A431" s="103"/>
      <c r="B431" s="104" t="s">
        <v>103</v>
      </c>
      <c r="C431" s="105">
        <f>AO431</f>
        <v>-329377.94045999995</v>
      </c>
      <c r="D431" s="106">
        <f t="shared" ref="D431:K431" si="43">SUM(D409:D430)</f>
        <v>1634.2270400000357</v>
      </c>
      <c r="E431" s="107">
        <f t="shared" si="43"/>
        <v>-40285.19000000001</v>
      </c>
      <c r="F431" s="107">
        <f t="shared" si="43"/>
        <v>0</v>
      </c>
      <c r="G431" s="107">
        <f t="shared" si="43"/>
        <v>0</v>
      </c>
      <c r="H431" s="107">
        <f t="shared" si="43"/>
        <v>82645.77250000005</v>
      </c>
      <c r="I431" s="107">
        <f t="shared" si="43"/>
        <v>9971.0499999999993</v>
      </c>
      <c r="J431" s="107">
        <f t="shared" si="43"/>
        <v>0</v>
      </c>
      <c r="K431" s="108">
        <f t="shared" si="43"/>
        <v>10438</v>
      </c>
      <c r="L431" s="109">
        <f>M431/K431</f>
        <v>5.2572667177620236</v>
      </c>
      <c r="M431" s="107">
        <f>ROUND(SUM(M409:M430),2)</f>
        <v>54875.35</v>
      </c>
      <c r="N431" s="108">
        <f>SUM(N409:N430)</f>
        <v>14807</v>
      </c>
      <c r="O431" s="109">
        <f>P431/N431</f>
        <v>3.8274714661984199</v>
      </c>
      <c r="P431" s="107">
        <f>ROUND(SUM(P409:P430),2)</f>
        <v>56673.37</v>
      </c>
      <c r="Q431" s="110">
        <f t="shared" ref="Q431:AN431" si="44">SUM(Q409:Q430)</f>
        <v>-541907.13</v>
      </c>
      <c r="R431" s="107">
        <f t="shared" si="44"/>
        <v>50229.299999999996</v>
      </c>
      <c r="S431" s="107">
        <f t="shared" si="44"/>
        <v>0</v>
      </c>
      <c r="T431" s="107">
        <f t="shared" si="44"/>
        <v>-3214.6900000000005</v>
      </c>
      <c r="U431" s="107">
        <f t="shared" si="44"/>
        <v>0</v>
      </c>
      <c r="V431" s="107">
        <f t="shared" si="44"/>
        <v>0</v>
      </c>
      <c r="W431" s="107">
        <f t="shared" si="44"/>
        <v>0</v>
      </c>
      <c r="X431" s="107">
        <f t="shared" si="44"/>
        <v>0</v>
      </c>
      <c r="Y431" s="107">
        <f t="shared" si="44"/>
        <v>0</v>
      </c>
      <c r="Z431" s="107">
        <f t="shared" si="44"/>
        <v>0</v>
      </c>
      <c r="AA431" s="107">
        <f t="shared" si="44"/>
        <v>0</v>
      </c>
      <c r="AB431" s="107">
        <f t="shared" si="44"/>
        <v>0</v>
      </c>
      <c r="AC431" s="107">
        <f t="shared" si="44"/>
        <v>0</v>
      </c>
      <c r="AD431" s="107">
        <f t="shared" si="44"/>
        <v>0</v>
      </c>
      <c r="AE431" s="107">
        <f t="shared" si="44"/>
        <v>0</v>
      </c>
      <c r="AF431" s="107">
        <f t="shared" si="44"/>
        <v>0</v>
      </c>
      <c r="AG431" s="107">
        <f t="shared" si="44"/>
        <v>0</v>
      </c>
      <c r="AH431" s="107">
        <f t="shared" si="44"/>
        <v>0</v>
      </c>
      <c r="AI431" s="107">
        <f t="shared" si="44"/>
        <v>0</v>
      </c>
      <c r="AJ431" s="107">
        <f t="shared" si="44"/>
        <v>0</v>
      </c>
      <c r="AK431" s="107">
        <f t="shared" si="44"/>
        <v>0</v>
      </c>
      <c r="AL431" s="107">
        <f t="shared" si="44"/>
        <v>0</v>
      </c>
      <c r="AM431" s="107">
        <f t="shared" si="44"/>
        <v>0</v>
      </c>
      <c r="AN431" s="107">
        <f t="shared" si="44"/>
        <v>0</v>
      </c>
      <c r="AO431" s="111">
        <f>D431+E431+F431+G431+H431+I431+J431+M431+P431+SUM(Q431:AN431)</f>
        <v>-329377.94045999995</v>
      </c>
      <c r="AP431" s="4"/>
      <c r="AQ431" s="5"/>
      <c r="AR431" s="5"/>
      <c r="AS431" s="2" t="s">
        <v>6</v>
      </c>
    </row>
    <row r="432" spans="1:46" s="2" customFormat="1" ht="17.25" customHeight="1" thickTop="1" x14ac:dyDescent="0.25">
      <c r="A432" s="23">
        <f>A410+1</f>
        <v>46046</v>
      </c>
      <c r="B432" s="210" t="s">
        <v>64</v>
      </c>
      <c r="C432" s="203"/>
      <c r="D432" s="63">
        <v>9723.5400000000009</v>
      </c>
      <c r="E432" s="66"/>
      <c r="F432" s="66"/>
      <c r="G432" s="66"/>
      <c r="H432" s="66"/>
      <c r="I432" s="66">
        <f>-D432</f>
        <v>-9723.5400000000009</v>
      </c>
      <c r="J432" s="66"/>
      <c r="K432" s="18"/>
      <c r="L432" s="18"/>
      <c r="M432" s="66"/>
      <c r="N432" s="18"/>
      <c r="O432" s="18"/>
      <c r="P432" s="66"/>
      <c r="Q432" s="46"/>
      <c r="R432" s="46"/>
      <c r="S432" s="45"/>
      <c r="T432" s="18"/>
      <c r="U432" s="18"/>
      <c r="V432" s="18"/>
      <c r="W432" s="18"/>
      <c r="X432" s="18"/>
      <c r="Y432" s="14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31"/>
      <c r="AQ432" s="10"/>
      <c r="AR432" s="27"/>
    </row>
    <row r="433" spans="1:46" s="4" customFormat="1" ht="17.25" customHeight="1" x14ac:dyDescent="0.25">
      <c r="A433" s="23"/>
      <c r="B433" s="201" t="s">
        <v>96</v>
      </c>
      <c r="C433" s="202"/>
      <c r="D433" s="63"/>
      <c r="E433" s="64"/>
      <c r="F433" s="64"/>
      <c r="G433" s="64"/>
      <c r="H433" s="64"/>
      <c r="I433" s="64">
        <f>-I431-I432</f>
        <v>-247.5099999999984</v>
      </c>
      <c r="J433" s="64"/>
      <c r="K433" s="16"/>
      <c r="L433" s="92"/>
      <c r="M433" s="64"/>
      <c r="N433" s="16"/>
      <c r="O433" s="92"/>
      <c r="P433" s="64"/>
      <c r="Q433" s="40"/>
      <c r="R433" s="46"/>
      <c r="S433" s="39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22"/>
      <c r="AP433" s="30"/>
    </row>
    <row r="434" spans="1:46" s="2" customFormat="1" ht="17.25" customHeight="1" x14ac:dyDescent="0.25">
      <c r="A434" s="29"/>
      <c r="B434" s="201" t="s">
        <v>327</v>
      </c>
      <c r="C434" s="202"/>
      <c r="D434" s="63">
        <f>100+20+150+30+75+100+20+50+10+40+80+50+15+100+80</f>
        <v>920</v>
      </c>
      <c r="E434" s="64"/>
      <c r="F434" s="64"/>
      <c r="G434" s="64"/>
      <c r="H434" s="64"/>
      <c r="I434" s="64">
        <f>-D434</f>
        <v>-920</v>
      </c>
      <c r="J434" s="64"/>
      <c r="K434" s="57"/>
      <c r="L434" s="88"/>
      <c r="M434" s="62"/>
      <c r="N434" s="57"/>
      <c r="O434" s="88"/>
      <c r="P434" s="62"/>
      <c r="Q434" s="47"/>
      <c r="R434" s="39"/>
      <c r="S434" s="39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22"/>
      <c r="AQ434" s="10"/>
      <c r="AR434" s="11"/>
    </row>
    <row r="435" spans="1:46" s="2" customFormat="1" ht="17.25" customHeight="1" x14ac:dyDescent="0.25">
      <c r="A435" s="29"/>
      <c r="B435" s="201" t="s">
        <v>328</v>
      </c>
      <c r="C435" s="202"/>
      <c r="D435" s="63">
        <f>-14*0.99-1.2</f>
        <v>-15.059999999999999</v>
      </c>
      <c r="E435" s="64"/>
      <c r="F435" s="64"/>
      <c r="G435" s="64"/>
      <c r="H435" s="64"/>
      <c r="I435" s="64"/>
      <c r="J435" s="64"/>
      <c r="K435" s="57"/>
      <c r="L435" s="88"/>
      <c r="M435" s="62"/>
      <c r="N435" s="57"/>
      <c r="O435" s="88"/>
      <c r="P435" s="62"/>
      <c r="Q435" s="47"/>
      <c r="R435" s="39"/>
      <c r="S435" s="39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22"/>
      <c r="AQ435" s="10"/>
      <c r="AR435" s="11"/>
    </row>
    <row r="436" spans="1:46" s="2" customFormat="1" ht="17.25" customHeight="1" x14ac:dyDescent="0.25">
      <c r="A436" s="29"/>
      <c r="B436" s="201" t="s">
        <v>72</v>
      </c>
      <c r="C436" s="202"/>
      <c r="D436" s="63">
        <v>-12000</v>
      </c>
      <c r="E436" s="64"/>
      <c r="F436" s="64">
        <f>-D436</f>
        <v>12000</v>
      </c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47"/>
      <c r="R436" s="39"/>
      <c r="S436" s="39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22"/>
      <c r="AQ436" s="10" t="s">
        <v>4</v>
      </c>
      <c r="AR436" s="11" t="e">
        <v>#REF!</v>
      </c>
    </row>
    <row r="437" spans="1:46" s="2" customFormat="1" ht="17.25" customHeight="1" x14ac:dyDescent="0.2">
      <c r="A437" s="23"/>
      <c r="B437" s="201" t="s">
        <v>13</v>
      </c>
      <c r="C437" s="203"/>
      <c r="D437" s="63"/>
      <c r="E437" s="64"/>
      <c r="F437" s="64"/>
      <c r="G437" s="64"/>
      <c r="H437" s="64"/>
      <c r="I437" s="64"/>
      <c r="J437" s="64"/>
      <c r="K437" s="16"/>
      <c r="L437" s="16"/>
      <c r="M437" s="64"/>
      <c r="N437" s="16"/>
      <c r="O437" s="16"/>
      <c r="P437" s="64"/>
      <c r="Q437" s="46"/>
      <c r="R437" s="39"/>
      <c r="S437" s="40"/>
      <c r="T437" s="16"/>
      <c r="U437" s="16"/>
      <c r="V437" s="16"/>
      <c r="W437" s="16"/>
      <c r="X437" s="16"/>
      <c r="Y437" s="19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35"/>
      <c r="AQ437" s="10"/>
      <c r="AR437" s="27"/>
    </row>
    <row r="438" spans="1:46" s="2" customFormat="1" ht="17.25" customHeight="1" x14ac:dyDescent="0.25">
      <c r="A438" s="29"/>
      <c r="B438" s="201" t="s">
        <v>72</v>
      </c>
      <c r="C438" s="202"/>
      <c r="D438" s="63"/>
      <c r="E438" s="64"/>
      <c r="F438" s="64"/>
      <c r="G438" s="64"/>
      <c r="H438" s="64"/>
      <c r="I438" s="64"/>
      <c r="J438" s="64"/>
      <c r="K438" s="57"/>
      <c r="L438" s="88"/>
      <c r="M438" s="62"/>
      <c r="N438" s="57"/>
      <c r="O438" s="88"/>
      <c r="P438" s="62"/>
      <c r="Q438" s="47"/>
      <c r="R438" s="39"/>
      <c r="S438" s="39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22"/>
      <c r="AQ438" s="10" t="s">
        <v>4</v>
      </c>
      <c r="AR438" s="11" t="e">
        <v>#REF!</v>
      </c>
    </row>
    <row r="439" spans="1:46" s="2" customFormat="1" ht="17.25" customHeight="1" x14ac:dyDescent="0.25">
      <c r="A439" s="29"/>
      <c r="B439" s="201" t="s">
        <v>72</v>
      </c>
      <c r="C439" s="202"/>
      <c r="D439" s="63"/>
      <c r="E439" s="64"/>
      <c r="F439" s="64"/>
      <c r="G439" s="64"/>
      <c r="H439" s="64"/>
      <c r="I439" s="64"/>
      <c r="J439" s="64"/>
      <c r="K439" s="57"/>
      <c r="L439" s="88"/>
      <c r="M439" s="62"/>
      <c r="N439" s="57"/>
      <c r="O439" s="88"/>
      <c r="P439" s="62"/>
      <c r="Q439" s="47"/>
      <c r="R439" s="39"/>
      <c r="S439" s="39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22"/>
      <c r="AQ439" s="10" t="s">
        <v>4</v>
      </c>
      <c r="AR439" s="11" t="e">
        <v>#REF!</v>
      </c>
    </row>
    <row r="440" spans="1:46" s="2" customFormat="1" ht="17.25" customHeight="1" x14ac:dyDescent="0.25">
      <c r="A440" s="24"/>
      <c r="B440" s="205" t="s">
        <v>231</v>
      </c>
      <c r="C440" s="206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39"/>
      <c r="R440" s="39"/>
      <c r="S440" s="39"/>
      <c r="T440" s="16"/>
      <c r="U440" s="16">
        <f>-P440</f>
        <v>0</v>
      </c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22"/>
      <c r="AQ440" s="10"/>
      <c r="AR440" s="11"/>
    </row>
    <row r="441" spans="1:46" s="2" customFormat="1" ht="17.25" customHeight="1" x14ac:dyDescent="0.2">
      <c r="A441" s="23"/>
      <c r="B441" s="205" t="s">
        <v>232</v>
      </c>
      <c r="C441" s="206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39"/>
      <c r="R441" s="39"/>
      <c r="S441" s="39"/>
      <c r="T441" s="16"/>
      <c r="U441" s="16"/>
      <c r="V441" s="16"/>
      <c r="W441" s="16"/>
      <c r="X441" s="16"/>
      <c r="Y441" s="19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35"/>
      <c r="AQ441" s="10"/>
      <c r="AR441" s="27"/>
    </row>
    <row r="442" spans="1:46" s="2" customFormat="1" ht="17.25" customHeight="1" x14ac:dyDescent="0.2">
      <c r="A442" s="23"/>
      <c r="B442" s="201" t="s">
        <v>233</v>
      </c>
      <c r="C442" s="203"/>
      <c r="D442" s="63"/>
      <c r="E442" s="64"/>
      <c r="F442" s="74"/>
      <c r="G442" s="74"/>
      <c r="H442" s="64"/>
      <c r="I442" s="64"/>
      <c r="J442" s="64"/>
      <c r="K442" s="16"/>
      <c r="L442" s="16"/>
      <c r="M442" s="64"/>
      <c r="N442" s="16"/>
      <c r="O442" s="16"/>
      <c r="P442" s="64"/>
      <c r="Q442" s="46"/>
      <c r="R442" s="39"/>
      <c r="S442" s="40"/>
      <c r="T442" s="16"/>
      <c r="U442" s="16"/>
      <c r="V442" s="16"/>
      <c r="W442" s="16"/>
      <c r="X442" s="16"/>
      <c r="Y442" s="19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35"/>
      <c r="AQ442" s="10"/>
      <c r="AR442" s="27"/>
    </row>
    <row r="443" spans="1:46" s="2" customFormat="1" ht="17.25" customHeight="1" thickBot="1" x14ac:dyDescent="0.25">
      <c r="A443" s="24"/>
      <c r="B443" s="216"/>
      <c r="C443" s="217"/>
      <c r="D443" s="83"/>
      <c r="E443" s="81"/>
      <c r="F443" s="81"/>
      <c r="G443" s="81"/>
      <c r="H443" s="81"/>
      <c r="I443" s="81"/>
      <c r="J443" s="81"/>
      <c r="K443" s="37"/>
      <c r="L443" s="93"/>
      <c r="M443" s="81"/>
      <c r="N443" s="37"/>
      <c r="O443" s="93"/>
      <c r="P443" s="81"/>
      <c r="Q443" s="40"/>
      <c r="R443" s="40"/>
      <c r="S443" s="39"/>
      <c r="T443" s="16"/>
      <c r="U443" s="16"/>
      <c r="V443" s="16"/>
      <c r="W443" s="16"/>
      <c r="X443" s="16"/>
      <c r="Y443" s="19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41"/>
      <c r="AQ443" s="10"/>
      <c r="AR443" s="11"/>
    </row>
    <row r="444" spans="1:46" s="4" customFormat="1" ht="17.25" customHeight="1" x14ac:dyDescent="0.25">
      <c r="A444" s="23"/>
      <c r="B444" s="210" t="s">
        <v>94</v>
      </c>
      <c r="C444" s="203"/>
      <c r="D444" s="66"/>
      <c r="E444" s="66"/>
      <c r="F444" s="117"/>
      <c r="G444" s="117"/>
      <c r="H444" s="66"/>
      <c r="I444" s="66"/>
      <c r="J444" s="66">
        <f>-M444</f>
        <v>6092.8</v>
      </c>
      <c r="K444" s="58">
        <v>-1024</v>
      </c>
      <c r="L444" s="89">
        <v>5.95</v>
      </c>
      <c r="M444" s="73">
        <f>K444*L444</f>
        <v>-6092.8</v>
      </c>
      <c r="N444" s="58"/>
      <c r="O444" s="89"/>
      <c r="P444" s="73"/>
      <c r="Q444" s="39"/>
      <c r="R444" s="39"/>
      <c r="S444" s="8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35"/>
      <c r="AP444" s="12" t="e">
        <f>#REF!</f>
        <v>#REF!</v>
      </c>
    </row>
    <row r="445" spans="1:46" s="4" customFormat="1" ht="17.25" customHeight="1" x14ac:dyDescent="0.25">
      <c r="A445" s="23"/>
      <c r="B445" s="201" t="s">
        <v>95</v>
      </c>
      <c r="C445" s="202"/>
      <c r="D445" s="64"/>
      <c r="E445" s="64"/>
      <c r="F445" s="117"/>
      <c r="G445" s="117"/>
      <c r="H445" s="64"/>
      <c r="I445" s="64"/>
      <c r="J445" s="64">
        <f>-P445</f>
        <v>7951.92</v>
      </c>
      <c r="K445" s="57"/>
      <c r="L445" s="88"/>
      <c r="M445" s="62"/>
      <c r="N445" s="57">
        <v>-1949</v>
      </c>
      <c r="O445" s="88">
        <v>4.08</v>
      </c>
      <c r="P445" s="62">
        <f>N445*O445</f>
        <v>-7951.92</v>
      </c>
      <c r="Q445" s="39"/>
      <c r="R445" s="39"/>
      <c r="S445" s="8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35"/>
      <c r="AP445" s="12" t="e">
        <f>#REF!</f>
        <v>#REF!</v>
      </c>
    </row>
    <row r="446" spans="1:46" s="4" customFormat="1" ht="17.25" customHeight="1" x14ac:dyDescent="0.25">
      <c r="A446" s="23"/>
      <c r="B446" s="201" t="s">
        <v>97</v>
      </c>
      <c r="C446" s="203"/>
      <c r="D446" s="64"/>
      <c r="E446" s="64"/>
      <c r="F446" s="64"/>
      <c r="G446" s="64"/>
      <c r="H446" s="64">
        <f>-J446-I446</f>
        <v>3983.4200000000019</v>
      </c>
      <c r="I446" s="64">
        <v>10061.299999999999</v>
      </c>
      <c r="J446" s="64">
        <f>-SUM(J444:J445)</f>
        <v>-14044.720000000001</v>
      </c>
      <c r="K446" s="57"/>
      <c r="L446" s="88"/>
      <c r="M446" s="62"/>
      <c r="N446" s="57"/>
      <c r="O446" s="88"/>
      <c r="P446" s="62"/>
      <c r="Q446" s="39"/>
      <c r="R446" s="39"/>
      <c r="S446" s="39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22"/>
      <c r="AO446" s="43">
        <f>A406</f>
        <v>0</v>
      </c>
      <c r="AP446" s="12" t="e">
        <f>#REF!</f>
        <v>#REF!</v>
      </c>
      <c r="AT446" s="2"/>
    </row>
    <row r="447" spans="1:46" s="4" customFormat="1" ht="17.25" customHeight="1" x14ac:dyDescent="0.25">
      <c r="A447" s="23"/>
      <c r="B447" s="201" t="s">
        <v>93</v>
      </c>
      <c r="C447" s="202"/>
      <c r="D447" s="64"/>
      <c r="E447" s="64"/>
      <c r="F447" s="64"/>
      <c r="G447" s="64"/>
      <c r="H447" s="64"/>
      <c r="I447" s="64"/>
      <c r="J447" s="64"/>
      <c r="K447" s="57">
        <v>-30</v>
      </c>
      <c r="L447" s="88"/>
      <c r="M447" s="62">
        <f>(K450*(M431)/(K431))-M431-M444</f>
        <v>551.64087947882672</v>
      </c>
      <c r="N447" s="57">
        <v>23</v>
      </c>
      <c r="O447" s="88"/>
      <c r="P447" s="62">
        <f>(N450*(P431)/(N431))-P431-P445</f>
        <v>580.20995610184218</v>
      </c>
      <c r="Q447" s="39"/>
      <c r="R447" s="39"/>
      <c r="S447" s="39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22"/>
      <c r="AO447" s="43">
        <f>A425</f>
        <v>0</v>
      </c>
      <c r="AP447" s="12" t="e">
        <f>#REF!</f>
        <v>#REF!</v>
      </c>
      <c r="AT447" s="2"/>
    </row>
    <row r="448" spans="1:46" s="2" customFormat="1" ht="17.25" customHeight="1" x14ac:dyDescent="0.2">
      <c r="A448" s="24"/>
      <c r="B448" s="201"/>
      <c r="C448" s="204"/>
      <c r="D448" s="63"/>
      <c r="E448" s="64"/>
      <c r="F448" s="64"/>
      <c r="G448" s="64"/>
      <c r="H448" s="64"/>
      <c r="I448" s="64"/>
      <c r="J448" s="64"/>
      <c r="K448" s="16"/>
      <c r="L448" s="16"/>
      <c r="M448" s="64"/>
      <c r="N448" s="16"/>
      <c r="O448" s="16"/>
      <c r="P448" s="64"/>
      <c r="Q448" s="46"/>
      <c r="R448" s="46"/>
      <c r="S448" s="39"/>
      <c r="T448" s="16"/>
      <c r="U448" s="16"/>
      <c r="V448" s="16"/>
      <c r="W448" s="16"/>
      <c r="X448" s="16"/>
      <c r="Y448" s="19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43">
        <f>A432</f>
        <v>46046</v>
      </c>
      <c r="AQ448" s="10"/>
      <c r="AR448" s="11"/>
    </row>
    <row r="449" spans="1:46" s="2" customFormat="1" ht="17.25" customHeight="1" thickBot="1" x14ac:dyDescent="0.3">
      <c r="A449" s="56"/>
      <c r="B449" s="101" t="s">
        <v>102</v>
      </c>
      <c r="C449" s="102">
        <f>D450+E450+F450+G450+H450+I450+J450+M450+P450</f>
        <v>166383.85954000009</v>
      </c>
      <c r="D449" s="84"/>
      <c r="E449" s="85"/>
      <c r="F449" s="85"/>
      <c r="G449" s="85"/>
      <c r="H449" s="85"/>
      <c r="I449" s="85"/>
      <c r="J449" s="85"/>
      <c r="K449" s="28"/>
      <c r="L449" s="28"/>
      <c r="M449" s="85"/>
      <c r="N449" s="28"/>
      <c r="O449" s="28"/>
      <c r="P449" s="85"/>
      <c r="Q449" s="48"/>
      <c r="R449" s="48"/>
      <c r="S449" s="51"/>
      <c r="T449" s="28"/>
      <c r="U449" s="28"/>
      <c r="V449" s="28"/>
      <c r="W449" s="28"/>
      <c r="X449" s="28"/>
      <c r="Y449" s="36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42">
        <f>SUM($Q431:AN449)</f>
        <v>-494892.52</v>
      </c>
      <c r="AQ449" s="10"/>
      <c r="AR449" s="11"/>
      <c r="AS449" s="2" t="s">
        <v>5</v>
      </c>
    </row>
    <row r="450" spans="1:46" s="2" customFormat="1" ht="17.25" customHeight="1" thickTop="1" thickBot="1" x14ac:dyDescent="0.3">
      <c r="A450" s="103"/>
      <c r="B450" s="104" t="s">
        <v>103</v>
      </c>
      <c r="C450" s="105">
        <f>AO450</f>
        <v>-328508.66045999993</v>
      </c>
      <c r="D450" s="106">
        <f t="shared" ref="D450:K450" si="45">SUM(D431:D449)</f>
        <v>262.70704000003752</v>
      </c>
      <c r="E450" s="107">
        <f t="shared" si="45"/>
        <v>-40285.19000000001</v>
      </c>
      <c r="F450" s="107">
        <f t="shared" si="45"/>
        <v>12000</v>
      </c>
      <c r="G450" s="107">
        <f t="shared" si="45"/>
        <v>0</v>
      </c>
      <c r="H450" s="107">
        <f t="shared" si="45"/>
        <v>86629.192500000048</v>
      </c>
      <c r="I450" s="107">
        <f t="shared" si="45"/>
        <v>9141.2999999999993</v>
      </c>
      <c r="J450" s="107">
        <f t="shared" si="45"/>
        <v>0</v>
      </c>
      <c r="K450" s="108">
        <f t="shared" si="45"/>
        <v>9384</v>
      </c>
      <c r="L450" s="109">
        <f>M450/K450</f>
        <v>5.2572666240409207</v>
      </c>
      <c r="M450" s="107">
        <f>ROUND(SUM(M431:M449),2)</f>
        <v>49334.19</v>
      </c>
      <c r="N450" s="108">
        <f>SUM(N431:N449)</f>
        <v>12881</v>
      </c>
      <c r="O450" s="109">
        <f>P450/N450</f>
        <v>3.8274714696063974</v>
      </c>
      <c r="P450" s="107">
        <f>ROUND(SUM(P431:P449),2)</f>
        <v>49301.66</v>
      </c>
      <c r="Q450" s="110">
        <f t="shared" ref="Q450:AN450" si="46">SUM(Q431:Q449)</f>
        <v>-541907.13</v>
      </c>
      <c r="R450" s="107">
        <f t="shared" si="46"/>
        <v>50229.299999999996</v>
      </c>
      <c r="S450" s="107">
        <f t="shared" si="46"/>
        <v>0</v>
      </c>
      <c r="T450" s="107">
        <f t="shared" si="46"/>
        <v>-3214.6900000000005</v>
      </c>
      <c r="U450" s="107">
        <f t="shared" si="46"/>
        <v>0</v>
      </c>
      <c r="V450" s="107">
        <f t="shared" si="46"/>
        <v>0</v>
      </c>
      <c r="W450" s="107">
        <f t="shared" si="46"/>
        <v>0</v>
      </c>
      <c r="X450" s="107">
        <f t="shared" si="46"/>
        <v>0</v>
      </c>
      <c r="Y450" s="107">
        <f t="shared" si="46"/>
        <v>0</v>
      </c>
      <c r="Z450" s="107">
        <f t="shared" si="46"/>
        <v>0</v>
      </c>
      <c r="AA450" s="107">
        <f t="shared" si="46"/>
        <v>0</v>
      </c>
      <c r="AB450" s="107">
        <f t="shared" si="46"/>
        <v>0</v>
      </c>
      <c r="AC450" s="107">
        <f t="shared" si="46"/>
        <v>0</v>
      </c>
      <c r="AD450" s="107">
        <f t="shared" si="46"/>
        <v>0</v>
      </c>
      <c r="AE450" s="107">
        <f t="shared" si="46"/>
        <v>0</v>
      </c>
      <c r="AF450" s="107">
        <f t="shared" si="46"/>
        <v>0</v>
      </c>
      <c r="AG450" s="107">
        <f t="shared" si="46"/>
        <v>0</v>
      </c>
      <c r="AH450" s="107">
        <f t="shared" si="46"/>
        <v>0</v>
      </c>
      <c r="AI450" s="107">
        <f t="shared" si="46"/>
        <v>0</v>
      </c>
      <c r="AJ450" s="107">
        <f t="shared" si="46"/>
        <v>0</v>
      </c>
      <c r="AK450" s="107">
        <f t="shared" si="46"/>
        <v>0</v>
      </c>
      <c r="AL450" s="107">
        <f t="shared" si="46"/>
        <v>0</v>
      </c>
      <c r="AM450" s="107">
        <f t="shared" si="46"/>
        <v>0</v>
      </c>
      <c r="AN450" s="107">
        <f t="shared" si="46"/>
        <v>0</v>
      </c>
      <c r="AO450" s="111">
        <f>D450+E450+F450+G450+H450+I450+J450+M450+P450+SUM(Q450:AN450)</f>
        <v>-328508.66045999993</v>
      </c>
      <c r="AP450" s="4"/>
      <c r="AQ450" s="5"/>
      <c r="AR450" s="5"/>
      <c r="AS450" s="2" t="s">
        <v>6</v>
      </c>
    </row>
    <row r="451" spans="1:46" s="2" customFormat="1" ht="17.25" customHeight="1" thickTop="1" x14ac:dyDescent="0.25">
      <c r="A451" s="23">
        <f>A432+1</f>
        <v>46047</v>
      </c>
      <c r="B451" s="210" t="s">
        <v>64</v>
      </c>
      <c r="C451" s="203"/>
      <c r="D451" s="63">
        <v>8912.14</v>
      </c>
      <c r="E451" s="66"/>
      <c r="F451" s="66"/>
      <c r="G451" s="66"/>
      <c r="H451" s="66"/>
      <c r="I451" s="66">
        <f>-D451</f>
        <v>-8912.14</v>
      </c>
      <c r="J451" s="66"/>
      <c r="K451" s="18"/>
      <c r="L451" s="18"/>
      <c r="M451" s="66"/>
      <c r="N451" s="18"/>
      <c r="O451" s="18"/>
      <c r="P451" s="66"/>
      <c r="Q451" s="46"/>
      <c r="R451" s="46"/>
      <c r="S451" s="45"/>
      <c r="T451" s="18"/>
      <c r="U451" s="18"/>
      <c r="V451" s="18"/>
      <c r="W451" s="18"/>
      <c r="X451" s="18"/>
      <c r="Y451" s="14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31"/>
      <c r="AQ451" s="10"/>
      <c r="AR451" s="27"/>
    </row>
    <row r="452" spans="1:46" s="4" customFormat="1" ht="17.25" customHeight="1" x14ac:dyDescent="0.25">
      <c r="A452" s="23"/>
      <c r="B452" s="201" t="s">
        <v>96</v>
      </c>
      <c r="C452" s="202"/>
      <c r="D452" s="63"/>
      <c r="E452" s="64"/>
      <c r="F452" s="64"/>
      <c r="G452" s="64"/>
      <c r="H452" s="64"/>
      <c r="I452" s="64">
        <f>-I450-I451</f>
        <v>-229.15999999999985</v>
      </c>
      <c r="J452" s="64"/>
      <c r="K452" s="16"/>
      <c r="L452" s="92"/>
      <c r="M452" s="64"/>
      <c r="N452" s="16"/>
      <c r="O452" s="92"/>
      <c r="P452" s="64"/>
      <c r="Q452" s="40"/>
      <c r="R452" s="46"/>
      <c r="S452" s="39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22"/>
      <c r="AP452" s="30"/>
    </row>
    <row r="453" spans="1:46" s="2" customFormat="1" ht="17.25" customHeight="1" x14ac:dyDescent="0.25">
      <c r="A453" s="29"/>
      <c r="B453" s="201" t="s">
        <v>327</v>
      </c>
      <c r="C453" s="202"/>
      <c r="D453" s="63">
        <f>50+50+50+100+30+30</f>
        <v>310</v>
      </c>
      <c r="E453" s="64"/>
      <c r="F453" s="64"/>
      <c r="G453" s="64"/>
      <c r="H453" s="64"/>
      <c r="I453" s="64">
        <f>-D453</f>
        <v>-310</v>
      </c>
      <c r="J453" s="64"/>
      <c r="K453" s="57"/>
      <c r="L453" s="88"/>
      <c r="M453" s="62"/>
      <c r="N453" s="57"/>
      <c r="O453" s="88"/>
      <c r="P453" s="62"/>
      <c r="Q453" s="47"/>
      <c r="R453" s="39"/>
      <c r="S453" s="39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22"/>
      <c r="AQ453" s="10"/>
      <c r="AR453" s="11"/>
    </row>
    <row r="454" spans="1:46" s="2" customFormat="1" ht="17.25" customHeight="1" x14ac:dyDescent="0.25">
      <c r="A454" s="29"/>
      <c r="B454" s="201" t="s">
        <v>328</v>
      </c>
      <c r="C454" s="202"/>
      <c r="D454" s="63">
        <f>-6*0.99</f>
        <v>-5.9399999999999995</v>
      </c>
      <c r="E454" s="64"/>
      <c r="F454" s="64"/>
      <c r="G454" s="64"/>
      <c r="H454" s="64"/>
      <c r="I454" s="64"/>
      <c r="J454" s="64"/>
      <c r="K454" s="57"/>
      <c r="L454" s="88"/>
      <c r="M454" s="62"/>
      <c r="N454" s="57"/>
      <c r="O454" s="88"/>
      <c r="P454" s="62"/>
      <c r="Q454" s="47"/>
      <c r="R454" s="39"/>
      <c r="S454" s="39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22"/>
      <c r="AQ454" s="10"/>
      <c r="AR454" s="11"/>
    </row>
    <row r="455" spans="1:46" s="2" customFormat="1" ht="17.25" customHeight="1" x14ac:dyDescent="0.25">
      <c r="A455" s="29"/>
      <c r="B455" s="201" t="s">
        <v>72</v>
      </c>
      <c r="C455" s="202"/>
      <c r="D455" s="63"/>
      <c r="E455" s="64"/>
      <c r="F455" s="64"/>
      <c r="G455" s="64"/>
      <c r="H455" s="64"/>
      <c r="I455" s="64"/>
      <c r="J455" s="64"/>
      <c r="K455" s="57"/>
      <c r="L455" s="88"/>
      <c r="M455" s="62"/>
      <c r="N455" s="57"/>
      <c r="O455" s="88"/>
      <c r="P455" s="62"/>
      <c r="Q455" s="47"/>
      <c r="R455" s="39"/>
      <c r="S455" s="39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22"/>
      <c r="AQ455" s="10" t="s">
        <v>4</v>
      </c>
      <c r="AR455" s="11" t="e">
        <v>#REF!</v>
      </c>
    </row>
    <row r="456" spans="1:46" s="2" customFormat="1" ht="17.25" customHeight="1" thickBot="1" x14ac:dyDescent="0.25">
      <c r="A456" s="24"/>
      <c r="B456" s="216"/>
      <c r="C456" s="217"/>
      <c r="D456" s="83"/>
      <c r="E456" s="81"/>
      <c r="F456" s="81"/>
      <c r="G456" s="81"/>
      <c r="H456" s="81"/>
      <c r="I456" s="81"/>
      <c r="J456" s="81"/>
      <c r="K456" s="37"/>
      <c r="L456" s="93"/>
      <c r="M456" s="81"/>
      <c r="N456" s="37"/>
      <c r="O456" s="93"/>
      <c r="P456" s="81"/>
      <c r="Q456" s="40"/>
      <c r="R456" s="40"/>
      <c r="S456" s="39"/>
      <c r="T456" s="16"/>
      <c r="U456" s="16"/>
      <c r="V456" s="16"/>
      <c r="W456" s="16"/>
      <c r="X456" s="16"/>
      <c r="Y456" s="19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41"/>
      <c r="AQ456" s="10"/>
      <c r="AR456" s="11"/>
    </row>
    <row r="457" spans="1:46" s="4" customFormat="1" ht="17.25" customHeight="1" x14ac:dyDescent="0.25">
      <c r="A457" s="23"/>
      <c r="B457" s="210" t="s">
        <v>94</v>
      </c>
      <c r="C457" s="203"/>
      <c r="D457" s="66"/>
      <c r="E457" s="66"/>
      <c r="F457" s="117"/>
      <c r="G457" s="117"/>
      <c r="H457" s="66"/>
      <c r="I457" s="66"/>
      <c r="J457" s="66">
        <f>-M457</f>
        <v>4385.1500000000005</v>
      </c>
      <c r="K457" s="58">
        <v>-737</v>
      </c>
      <c r="L457" s="89">
        <v>5.95</v>
      </c>
      <c r="M457" s="73">
        <f>K457*L457</f>
        <v>-4385.1500000000005</v>
      </c>
      <c r="N457" s="58"/>
      <c r="O457" s="89"/>
      <c r="P457" s="73"/>
      <c r="Q457" s="39"/>
      <c r="R457" s="39"/>
      <c r="S457" s="8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35"/>
      <c r="AP457" s="12" t="e">
        <f>#REF!</f>
        <v>#REF!</v>
      </c>
    </row>
    <row r="458" spans="1:46" s="4" customFormat="1" ht="17.25" customHeight="1" x14ac:dyDescent="0.25">
      <c r="A458" s="23"/>
      <c r="B458" s="201" t="s">
        <v>95</v>
      </c>
      <c r="C458" s="202"/>
      <c r="D458" s="64"/>
      <c r="E458" s="64"/>
      <c r="F458" s="117"/>
      <c r="G458" s="117"/>
      <c r="H458" s="64"/>
      <c r="I458" s="64"/>
      <c r="J458" s="64">
        <f>-P458</f>
        <v>4847.04</v>
      </c>
      <c r="K458" s="57"/>
      <c r="L458" s="88"/>
      <c r="M458" s="62"/>
      <c r="N458" s="57">
        <v>-1188</v>
      </c>
      <c r="O458" s="88">
        <v>4.08</v>
      </c>
      <c r="P458" s="62">
        <f>N458*O458</f>
        <v>-4847.04</v>
      </c>
      <c r="Q458" s="39"/>
      <c r="R458" s="39"/>
      <c r="S458" s="8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35"/>
      <c r="AP458" s="12" t="e">
        <f>#REF!</f>
        <v>#REF!</v>
      </c>
    </row>
    <row r="459" spans="1:46" s="4" customFormat="1" ht="17.25" customHeight="1" x14ac:dyDescent="0.25">
      <c r="A459" s="23"/>
      <c r="B459" s="201" t="s">
        <v>97</v>
      </c>
      <c r="C459" s="203"/>
      <c r="D459" s="64"/>
      <c r="E459" s="64"/>
      <c r="F459" s="64"/>
      <c r="G459" s="64"/>
      <c r="H459" s="64">
        <f>-J459-I459</f>
        <v>2901.1900000000005</v>
      </c>
      <c r="I459" s="64">
        <v>6331</v>
      </c>
      <c r="J459" s="64">
        <f>-SUM(J457:J458)</f>
        <v>-9232.19</v>
      </c>
      <c r="K459" s="57"/>
      <c r="L459" s="88"/>
      <c r="M459" s="62"/>
      <c r="N459" s="57"/>
      <c r="O459" s="88"/>
      <c r="P459" s="62"/>
      <c r="Q459" s="39"/>
      <c r="R459" s="39"/>
      <c r="S459" s="39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22"/>
      <c r="AO459" s="43">
        <f>A428</f>
        <v>0</v>
      </c>
      <c r="AP459" s="12" t="e">
        <f>#REF!</f>
        <v>#REF!</v>
      </c>
      <c r="AT459" s="2"/>
    </row>
    <row r="460" spans="1:46" s="4" customFormat="1" ht="17.25" customHeight="1" x14ac:dyDescent="0.25">
      <c r="A460" s="23"/>
      <c r="B460" s="201" t="s">
        <v>93</v>
      </c>
      <c r="C460" s="202"/>
      <c r="D460" s="64"/>
      <c r="E460" s="64"/>
      <c r="F460" s="64"/>
      <c r="G460" s="64"/>
      <c r="H460" s="64"/>
      <c r="I460" s="64"/>
      <c r="J460" s="64"/>
      <c r="K460" s="57">
        <v>24</v>
      </c>
      <c r="L460" s="88"/>
      <c r="M460" s="62">
        <f>(K463*L450)-M450-M457</f>
        <v>636.71889705882404</v>
      </c>
      <c r="N460" s="57">
        <v>12</v>
      </c>
      <c r="O460" s="88"/>
      <c r="P460" s="62">
        <f>(N463*O450)-P450-P458</f>
        <v>345.93355174287626</v>
      </c>
      <c r="Q460" s="39"/>
      <c r="R460" s="39"/>
      <c r="S460" s="39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22"/>
      <c r="AO460" s="43">
        <f>A444</f>
        <v>0</v>
      </c>
      <c r="AP460" s="12" t="e">
        <f>#REF!</f>
        <v>#REF!</v>
      </c>
      <c r="AT460" s="2"/>
    </row>
    <row r="461" spans="1:46" s="2" customFormat="1" ht="17.25" customHeight="1" x14ac:dyDescent="0.2">
      <c r="A461" s="24"/>
      <c r="B461" s="201"/>
      <c r="C461" s="204"/>
      <c r="D461" s="63"/>
      <c r="E461" s="64"/>
      <c r="F461" s="64"/>
      <c r="G461" s="64"/>
      <c r="H461" s="64"/>
      <c r="I461" s="64"/>
      <c r="J461" s="64"/>
      <c r="K461" s="16"/>
      <c r="L461" s="16"/>
      <c r="M461" s="64"/>
      <c r="N461" s="16"/>
      <c r="O461" s="16"/>
      <c r="P461" s="64"/>
      <c r="Q461" s="46"/>
      <c r="R461" s="46"/>
      <c r="S461" s="39"/>
      <c r="T461" s="16"/>
      <c r="U461" s="16"/>
      <c r="V461" s="16"/>
      <c r="W461" s="16"/>
      <c r="X461" s="16"/>
      <c r="Y461" s="19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43">
        <f>A451</f>
        <v>46047</v>
      </c>
      <c r="AQ461" s="10"/>
      <c r="AR461" s="11"/>
    </row>
    <row r="462" spans="1:46" s="2" customFormat="1" ht="17.25" customHeight="1" thickBot="1" x14ac:dyDescent="0.3">
      <c r="A462" s="56"/>
      <c r="B462" s="101" t="s">
        <v>102</v>
      </c>
      <c r="C462" s="102">
        <f>D463+E463+F463+G463+H463+I463+J463+M463+P463</f>
        <v>167131.40954000008</v>
      </c>
      <c r="D462" s="84"/>
      <c r="E462" s="85"/>
      <c r="F462" s="85"/>
      <c r="G462" s="85"/>
      <c r="H462" s="85"/>
      <c r="I462" s="85"/>
      <c r="J462" s="85"/>
      <c r="K462" s="28"/>
      <c r="L462" s="28"/>
      <c r="M462" s="85"/>
      <c r="N462" s="28"/>
      <c r="O462" s="28"/>
      <c r="P462" s="85"/>
      <c r="Q462" s="48"/>
      <c r="R462" s="48"/>
      <c r="S462" s="51"/>
      <c r="T462" s="28"/>
      <c r="U462" s="28"/>
      <c r="V462" s="28"/>
      <c r="W462" s="28"/>
      <c r="X462" s="28"/>
      <c r="Y462" s="36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42">
        <f>SUM($Q450:AN462)</f>
        <v>-494892.52</v>
      </c>
      <c r="AQ462" s="10"/>
      <c r="AR462" s="11"/>
      <c r="AS462" s="2" t="s">
        <v>5</v>
      </c>
    </row>
    <row r="463" spans="1:46" s="2" customFormat="1" ht="17.25" customHeight="1" thickTop="1" thickBot="1" x14ac:dyDescent="0.3">
      <c r="A463" s="103"/>
      <c r="B463" s="104" t="s">
        <v>103</v>
      </c>
      <c r="C463" s="105">
        <f>AO463</f>
        <v>-327761.11045999994</v>
      </c>
      <c r="D463" s="106">
        <f t="shared" ref="D463:K463" si="47">SUM(D450:D462)</f>
        <v>9478.9070400000364</v>
      </c>
      <c r="E463" s="107">
        <f t="shared" si="47"/>
        <v>-40285.19000000001</v>
      </c>
      <c r="F463" s="107">
        <f t="shared" si="47"/>
        <v>12000</v>
      </c>
      <c r="G463" s="107">
        <f t="shared" si="47"/>
        <v>0</v>
      </c>
      <c r="H463" s="107">
        <f t="shared" si="47"/>
        <v>89530.382500000051</v>
      </c>
      <c r="I463" s="107">
        <f t="shared" si="47"/>
        <v>6021</v>
      </c>
      <c r="J463" s="107">
        <f t="shared" si="47"/>
        <v>0</v>
      </c>
      <c r="K463" s="108">
        <f t="shared" si="47"/>
        <v>8671</v>
      </c>
      <c r="L463" s="109">
        <f>M463/K463</f>
        <v>5.2572667512397651</v>
      </c>
      <c r="M463" s="107">
        <f>ROUND(SUM(M450:M462),2)</f>
        <v>45585.760000000002</v>
      </c>
      <c r="N463" s="108">
        <f>SUM(N450:N462)</f>
        <v>11705</v>
      </c>
      <c r="O463" s="109">
        <f>P463/N463</f>
        <v>3.8274711661683045</v>
      </c>
      <c r="P463" s="107">
        <f>ROUND(SUM(P450:P462),2)</f>
        <v>44800.55</v>
      </c>
      <c r="Q463" s="110">
        <f t="shared" ref="Q463:AN463" si="48">SUM(Q450:Q462)</f>
        <v>-541907.13</v>
      </c>
      <c r="R463" s="107">
        <f t="shared" si="48"/>
        <v>50229.299999999996</v>
      </c>
      <c r="S463" s="107">
        <f t="shared" si="48"/>
        <v>0</v>
      </c>
      <c r="T463" s="107">
        <f t="shared" si="48"/>
        <v>-3214.6900000000005</v>
      </c>
      <c r="U463" s="107">
        <f t="shared" si="48"/>
        <v>0</v>
      </c>
      <c r="V463" s="107">
        <f t="shared" si="48"/>
        <v>0</v>
      </c>
      <c r="W463" s="107">
        <f t="shared" si="48"/>
        <v>0</v>
      </c>
      <c r="X463" s="107">
        <f t="shared" si="48"/>
        <v>0</v>
      </c>
      <c r="Y463" s="107">
        <f t="shared" si="48"/>
        <v>0</v>
      </c>
      <c r="Z463" s="107">
        <f t="shared" si="48"/>
        <v>0</v>
      </c>
      <c r="AA463" s="107">
        <f t="shared" si="48"/>
        <v>0</v>
      </c>
      <c r="AB463" s="107">
        <f t="shared" si="48"/>
        <v>0</v>
      </c>
      <c r="AC463" s="107">
        <f t="shared" si="48"/>
        <v>0</v>
      </c>
      <c r="AD463" s="107">
        <f t="shared" si="48"/>
        <v>0</v>
      </c>
      <c r="AE463" s="107">
        <f t="shared" si="48"/>
        <v>0</v>
      </c>
      <c r="AF463" s="107">
        <f t="shared" si="48"/>
        <v>0</v>
      </c>
      <c r="AG463" s="107">
        <f t="shared" si="48"/>
        <v>0</v>
      </c>
      <c r="AH463" s="107">
        <f t="shared" si="48"/>
        <v>0</v>
      </c>
      <c r="AI463" s="107">
        <f t="shared" si="48"/>
        <v>0</v>
      </c>
      <c r="AJ463" s="107">
        <f t="shared" si="48"/>
        <v>0</v>
      </c>
      <c r="AK463" s="107">
        <f t="shared" si="48"/>
        <v>0</v>
      </c>
      <c r="AL463" s="107">
        <f t="shared" si="48"/>
        <v>0</v>
      </c>
      <c r="AM463" s="107">
        <f t="shared" si="48"/>
        <v>0</v>
      </c>
      <c r="AN463" s="107">
        <f t="shared" si="48"/>
        <v>0</v>
      </c>
      <c r="AO463" s="111">
        <f>D463+E463+F463+G463+H463+I463+J463+M463+P463+SUM(Q463:AN463)</f>
        <v>-327761.11045999994</v>
      </c>
      <c r="AP463" s="4"/>
      <c r="AQ463" s="5"/>
      <c r="AR463" s="5"/>
      <c r="AS463" s="2" t="s">
        <v>6</v>
      </c>
    </row>
    <row r="464" spans="1:46" s="2" customFormat="1" ht="17.25" customHeight="1" thickTop="1" x14ac:dyDescent="0.25">
      <c r="A464" s="23">
        <f>A451+1</f>
        <v>46048</v>
      </c>
      <c r="B464" s="210" t="s">
        <v>64</v>
      </c>
      <c r="C464" s="203"/>
      <c r="D464" s="63">
        <v>5881.69</v>
      </c>
      <c r="E464" s="66"/>
      <c r="F464" s="66"/>
      <c r="G464" s="66"/>
      <c r="H464" s="66"/>
      <c r="I464" s="66">
        <f>-D464</f>
        <v>-5881.69</v>
      </c>
      <c r="J464" s="66"/>
      <c r="K464" s="18"/>
      <c r="L464" s="18"/>
      <c r="M464" s="66"/>
      <c r="N464" s="18"/>
      <c r="O464" s="18"/>
      <c r="P464" s="66"/>
      <c r="Q464" s="46"/>
      <c r="R464" s="46"/>
      <c r="S464" s="45"/>
      <c r="T464" s="18"/>
      <c r="U464" s="18"/>
      <c r="V464" s="18"/>
      <c r="W464" s="18"/>
      <c r="X464" s="18"/>
      <c r="Y464" s="14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31"/>
      <c r="AQ464" s="10"/>
      <c r="AR464" s="27"/>
    </row>
    <row r="465" spans="1:46" s="4" customFormat="1" ht="17.25" customHeight="1" x14ac:dyDescent="0.25">
      <c r="A465" s="23"/>
      <c r="B465" s="201" t="s">
        <v>96</v>
      </c>
      <c r="C465" s="202"/>
      <c r="D465" s="63"/>
      <c r="E465" s="64"/>
      <c r="F465" s="64"/>
      <c r="G465" s="64"/>
      <c r="H465" s="64"/>
      <c r="I465" s="64">
        <f>-I463-I464</f>
        <v>-139.3100000000004</v>
      </c>
      <c r="J465" s="64"/>
      <c r="K465" s="16"/>
      <c r="L465" s="92"/>
      <c r="M465" s="64"/>
      <c r="N465" s="16"/>
      <c r="O465" s="92"/>
      <c r="P465" s="64"/>
      <c r="Q465" s="40"/>
      <c r="R465" s="46"/>
      <c r="S465" s="39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22"/>
      <c r="AP465" s="30"/>
    </row>
    <row r="466" spans="1:46" s="2" customFormat="1" ht="17.25" customHeight="1" x14ac:dyDescent="0.25">
      <c r="A466" s="29"/>
      <c r="B466" s="201" t="s">
        <v>327</v>
      </c>
      <c r="C466" s="202"/>
      <c r="D466" s="63">
        <f>30+60+20+118+129.5+20+21+20+16+25+20+120</f>
        <v>599.5</v>
      </c>
      <c r="E466" s="64"/>
      <c r="F466" s="64"/>
      <c r="G466" s="64"/>
      <c r="H466" s="64"/>
      <c r="I466" s="64">
        <f>-D466</f>
        <v>-599.5</v>
      </c>
      <c r="J466" s="64"/>
      <c r="K466" s="57"/>
      <c r="L466" s="88"/>
      <c r="M466" s="62"/>
      <c r="N466" s="57"/>
      <c r="O466" s="88"/>
      <c r="P466" s="62"/>
      <c r="Q466" s="47"/>
      <c r="R466" s="39"/>
      <c r="S466" s="39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22"/>
      <c r="AQ466" s="10"/>
      <c r="AR466" s="11"/>
    </row>
    <row r="467" spans="1:46" s="2" customFormat="1" ht="17.25" customHeight="1" x14ac:dyDescent="0.25">
      <c r="A467" s="29"/>
      <c r="B467" s="201" t="s">
        <v>328</v>
      </c>
      <c r="C467" s="202"/>
      <c r="D467" s="63">
        <f>-11*0.99-1.04</f>
        <v>-11.93</v>
      </c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47"/>
      <c r="R467" s="39"/>
      <c r="S467" s="39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22"/>
      <c r="AQ467" s="10"/>
      <c r="AR467" s="11"/>
    </row>
    <row r="468" spans="1:46" s="2" customFormat="1" ht="17.25" customHeight="1" x14ac:dyDescent="0.25">
      <c r="A468" s="29"/>
      <c r="B468" s="201" t="s">
        <v>72</v>
      </c>
      <c r="C468" s="202"/>
      <c r="D468" s="63">
        <v>-15300</v>
      </c>
      <c r="E468" s="64"/>
      <c r="F468" s="64">
        <f>-D468</f>
        <v>15300</v>
      </c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47"/>
      <c r="R468" s="39"/>
      <c r="S468" s="39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22"/>
      <c r="AQ468" s="10" t="s">
        <v>4</v>
      </c>
      <c r="AR468" s="11" t="e">
        <v>#REF!</v>
      </c>
    </row>
    <row r="469" spans="1:46" s="2" customFormat="1" ht="17.25" customHeight="1" x14ac:dyDescent="0.25">
      <c r="A469" s="29"/>
      <c r="B469" s="201" t="s">
        <v>72</v>
      </c>
      <c r="C469" s="202"/>
      <c r="D469" s="63">
        <v>16200</v>
      </c>
      <c r="E469" s="64"/>
      <c r="F469" s="64">
        <f>-D469</f>
        <v>-16200</v>
      </c>
      <c r="G469" s="64"/>
      <c r="H469" s="64"/>
      <c r="I469" s="64"/>
      <c r="J469" s="64"/>
      <c r="K469" s="57"/>
      <c r="L469" s="88"/>
      <c r="M469" s="62"/>
      <c r="N469" s="57"/>
      <c r="O469" s="88"/>
      <c r="P469" s="62"/>
      <c r="Q469" s="47"/>
      <c r="R469" s="39"/>
      <c r="S469" s="39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22"/>
      <c r="AQ469" s="10" t="s">
        <v>4</v>
      </c>
      <c r="AR469" s="11" t="e">
        <v>#REF!</v>
      </c>
    </row>
    <row r="470" spans="1:46" s="2" customFormat="1" ht="17.25" customHeight="1" x14ac:dyDescent="0.2">
      <c r="A470" s="23"/>
      <c r="B470" s="205" t="s">
        <v>299</v>
      </c>
      <c r="C470" s="257"/>
      <c r="D470" s="63">
        <v>-16200</v>
      </c>
      <c r="E470" s="64"/>
      <c r="F470" s="74"/>
      <c r="G470" s="74"/>
      <c r="H470" s="64"/>
      <c r="I470" s="64"/>
      <c r="J470" s="64"/>
      <c r="K470" s="16"/>
      <c r="L470" s="16"/>
      <c r="M470" s="64"/>
      <c r="N470" s="16"/>
      <c r="O470" s="16"/>
      <c r="P470" s="64"/>
      <c r="Q470" s="46">
        <f>-D470</f>
        <v>16200</v>
      </c>
      <c r="R470" s="39"/>
      <c r="S470" s="40"/>
      <c r="T470" s="16"/>
      <c r="U470" s="16"/>
      <c r="V470" s="16"/>
      <c r="W470" s="16"/>
      <c r="X470" s="16"/>
      <c r="Y470" s="19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35"/>
      <c r="AQ470" s="10"/>
      <c r="AR470" s="27"/>
    </row>
    <row r="471" spans="1:46" s="2" customFormat="1" ht="17.25" customHeight="1" x14ac:dyDescent="0.2">
      <c r="A471" s="23"/>
      <c r="B471" s="205" t="s">
        <v>299</v>
      </c>
      <c r="C471" s="257"/>
      <c r="D471" s="63"/>
      <c r="E471" s="64"/>
      <c r="F471" s="74">
        <v>-5000</v>
      </c>
      <c r="G471" s="74"/>
      <c r="H471" s="64"/>
      <c r="I471" s="64"/>
      <c r="J471" s="64"/>
      <c r="K471" s="16"/>
      <c r="L471" s="16"/>
      <c r="M471" s="64"/>
      <c r="N471" s="16"/>
      <c r="O471" s="16"/>
      <c r="P471" s="64"/>
      <c r="Q471" s="46">
        <f>-F471</f>
        <v>5000</v>
      </c>
      <c r="R471" s="39"/>
      <c r="S471" s="40"/>
      <c r="T471" s="16"/>
      <c r="U471" s="16"/>
      <c r="V471" s="16"/>
      <c r="W471" s="16"/>
      <c r="X471" s="16"/>
      <c r="Y471" s="19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35"/>
      <c r="AQ471" s="10"/>
      <c r="AR471" s="27"/>
    </row>
    <row r="472" spans="1:46" s="2" customFormat="1" ht="17.25" customHeight="1" x14ac:dyDescent="0.2">
      <c r="A472" s="23"/>
      <c r="B472" s="205" t="s">
        <v>455</v>
      </c>
      <c r="C472" s="206"/>
      <c r="D472" s="63"/>
      <c r="E472" s="64"/>
      <c r="F472" s="189">
        <v>-5904.35</v>
      </c>
      <c r="G472" s="74"/>
      <c r="H472" s="64"/>
      <c r="I472" s="64"/>
      <c r="J472" s="64"/>
      <c r="K472" s="16"/>
      <c r="L472" s="16"/>
      <c r="M472" s="64"/>
      <c r="N472" s="16"/>
      <c r="O472" s="16"/>
      <c r="P472" s="64"/>
      <c r="Q472" s="46"/>
      <c r="R472" s="39"/>
      <c r="S472" s="40"/>
      <c r="T472" s="16"/>
      <c r="U472" s="16"/>
      <c r="V472" s="16"/>
      <c r="W472" s="16"/>
      <c r="X472" s="16"/>
      <c r="Y472" s="19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35"/>
      <c r="AQ472" s="10"/>
      <c r="AR472" s="27"/>
    </row>
    <row r="473" spans="1:46" s="2" customFormat="1" ht="17.25" customHeight="1" x14ac:dyDescent="0.2">
      <c r="A473" s="23"/>
      <c r="B473" s="201" t="s">
        <v>276</v>
      </c>
      <c r="C473" s="204"/>
      <c r="D473" s="63">
        <v>-4.9000000000000004</v>
      </c>
      <c r="E473" s="64"/>
      <c r="F473" s="74"/>
      <c r="G473" s="74"/>
      <c r="H473" s="64"/>
      <c r="I473" s="64"/>
      <c r="J473" s="64"/>
      <c r="K473" s="16"/>
      <c r="L473" s="16"/>
      <c r="M473" s="64"/>
      <c r="N473" s="16"/>
      <c r="O473" s="16"/>
      <c r="P473" s="64"/>
      <c r="Q473" s="46"/>
      <c r="R473" s="39"/>
      <c r="S473" s="40"/>
      <c r="T473" s="16"/>
      <c r="U473" s="16"/>
      <c r="V473" s="16"/>
      <c r="W473" s="16"/>
      <c r="X473" s="16"/>
      <c r="Y473" s="19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35"/>
      <c r="AQ473" s="10"/>
      <c r="AR473" s="27"/>
    </row>
    <row r="474" spans="1:46" s="4" customFormat="1" ht="17.25" customHeight="1" x14ac:dyDescent="0.25">
      <c r="A474" s="23"/>
      <c r="B474" s="201" t="s">
        <v>13</v>
      </c>
      <c r="C474" s="203"/>
      <c r="D474" s="63"/>
      <c r="E474" s="64">
        <f>50+50+183+18.39+19.41+35+30+60+65+83+1535+736+2000+1406+755+50+15+50+70+30+100+854+1455+30+30+110+125+50+100+1037+60</f>
        <v>11191.8</v>
      </c>
      <c r="F474" s="64"/>
      <c r="G474" s="64"/>
      <c r="H474" s="64">
        <f>-E474</f>
        <v>-11191.8</v>
      </c>
      <c r="I474" s="66"/>
      <c r="J474" s="64"/>
      <c r="K474" s="16"/>
      <c r="L474" s="92"/>
      <c r="M474" s="64"/>
      <c r="N474" s="16"/>
      <c r="O474" s="92"/>
      <c r="P474" s="64"/>
      <c r="Q474" s="40"/>
      <c r="R474" s="46"/>
      <c r="S474" s="39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22"/>
      <c r="AP474" s="30"/>
    </row>
    <row r="475" spans="1:46" s="2" customFormat="1" ht="17.25" customHeight="1" thickBot="1" x14ac:dyDescent="0.25">
      <c r="A475" s="24"/>
      <c r="B475" s="216"/>
      <c r="C475" s="217"/>
      <c r="D475" s="83"/>
      <c r="E475" s="81"/>
      <c r="F475" s="81"/>
      <c r="G475" s="81"/>
      <c r="H475" s="81"/>
      <c r="I475" s="81"/>
      <c r="J475" s="81"/>
      <c r="K475" s="37"/>
      <c r="L475" s="93"/>
      <c r="M475" s="81"/>
      <c r="N475" s="37"/>
      <c r="O475" s="93"/>
      <c r="P475" s="81"/>
      <c r="Q475" s="40"/>
      <c r="R475" s="40"/>
      <c r="S475" s="39"/>
      <c r="T475" s="16"/>
      <c r="U475" s="16"/>
      <c r="V475" s="16"/>
      <c r="W475" s="16"/>
      <c r="X475" s="16"/>
      <c r="Y475" s="19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41"/>
      <c r="AQ475" s="10"/>
      <c r="AR475" s="11"/>
    </row>
    <row r="476" spans="1:46" s="4" customFormat="1" ht="17.25" customHeight="1" x14ac:dyDescent="0.25">
      <c r="A476" s="23"/>
      <c r="B476" s="210" t="s">
        <v>94</v>
      </c>
      <c r="C476" s="203"/>
      <c r="D476" s="66"/>
      <c r="E476" s="66"/>
      <c r="F476" s="117"/>
      <c r="G476" s="117"/>
      <c r="H476" s="66"/>
      <c r="I476" s="66"/>
      <c r="J476" s="66">
        <f>-M476</f>
        <v>6402.2</v>
      </c>
      <c r="K476" s="58">
        <v>-1076</v>
      </c>
      <c r="L476" s="89">
        <v>5.95</v>
      </c>
      <c r="M476" s="73">
        <f>K476*L476</f>
        <v>-6402.2</v>
      </c>
      <c r="N476" s="58"/>
      <c r="O476" s="89"/>
      <c r="P476" s="73"/>
      <c r="Q476" s="39"/>
      <c r="R476" s="39"/>
      <c r="S476" s="8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35"/>
      <c r="AP476" s="12" t="e">
        <f>#REF!</f>
        <v>#REF!</v>
      </c>
    </row>
    <row r="477" spans="1:46" s="4" customFormat="1" ht="17.25" customHeight="1" x14ac:dyDescent="0.25">
      <c r="A477" s="23"/>
      <c r="B477" s="201" t="s">
        <v>95</v>
      </c>
      <c r="C477" s="202"/>
      <c r="D477" s="64"/>
      <c r="E477" s="64"/>
      <c r="F477" s="117"/>
      <c r="G477" s="117"/>
      <c r="H477" s="64"/>
      <c r="I477" s="64"/>
      <c r="J477" s="64">
        <f>-P477</f>
        <v>7446</v>
      </c>
      <c r="K477" s="57"/>
      <c r="L477" s="88"/>
      <c r="M477" s="62"/>
      <c r="N477" s="57">
        <v>-1825</v>
      </c>
      <c r="O477" s="88">
        <v>4.08</v>
      </c>
      <c r="P477" s="62">
        <f>N477*O477</f>
        <v>-7446</v>
      </c>
      <c r="Q477" s="39"/>
      <c r="R477" s="39"/>
      <c r="S477" s="8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35"/>
      <c r="AP477" s="12" t="e">
        <f>#REF!</f>
        <v>#REF!</v>
      </c>
    </row>
    <row r="478" spans="1:46" s="4" customFormat="1" ht="17.25" customHeight="1" x14ac:dyDescent="0.25">
      <c r="A478" s="23"/>
      <c r="B478" s="201" t="s">
        <v>97</v>
      </c>
      <c r="C478" s="203"/>
      <c r="D478" s="64"/>
      <c r="E478" s="64"/>
      <c r="F478" s="64"/>
      <c r="G478" s="64"/>
      <c r="H478" s="64">
        <f>-J478-I478</f>
        <v>4937.6000000000004</v>
      </c>
      <c r="I478" s="64">
        <v>8910.6</v>
      </c>
      <c r="J478" s="64">
        <f>-SUM(J476:J477)</f>
        <v>-13848.2</v>
      </c>
      <c r="K478" s="57"/>
      <c r="L478" s="88"/>
      <c r="M478" s="62"/>
      <c r="N478" s="57"/>
      <c r="O478" s="88"/>
      <c r="P478" s="62"/>
      <c r="Q478" s="39"/>
      <c r="R478" s="39"/>
      <c r="S478" s="39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22"/>
      <c r="AO478" s="43"/>
      <c r="AP478" s="12" t="e">
        <f>#REF!</f>
        <v>#REF!</v>
      </c>
      <c r="AT478" s="2"/>
    </row>
    <row r="479" spans="1:46" s="4" customFormat="1" ht="17.25" customHeight="1" x14ac:dyDescent="0.25">
      <c r="A479" s="23"/>
      <c r="B479" s="201" t="s">
        <v>93</v>
      </c>
      <c r="C479" s="202"/>
      <c r="D479" s="64"/>
      <c r="E479" s="64"/>
      <c r="F479" s="64"/>
      <c r="G479" s="64"/>
      <c r="H479" s="64"/>
      <c r="I479" s="64"/>
      <c r="J479" s="64"/>
      <c r="K479" s="57">
        <v>-44</v>
      </c>
      <c r="L479" s="88"/>
      <c r="M479" s="62">
        <f>(K482*L463)-M463-M476</f>
        <v>514.0612386114617</v>
      </c>
      <c r="N479" s="57">
        <v>6</v>
      </c>
      <c r="O479" s="88"/>
      <c r="P479" s="62">
        <f>(N482*O463)-P463-P477</f>
        <v>483.82994873985444</v>
      </c>
      <c r="Q479" s="39"/>
      <c r="R479" s="39"/>
      <c r="S479" s="39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22"/>
      <c r="AO479" s="43">
        <f>A457</f>
        <v>0</v>
      </c>
      <c r="AP479" s="12" t="e">
        <f>#REF!</f>
        <v>#REF!</v>
      </c>
      <c r="AT479" s="2"/>
    </row>
    <row r="480" spans="1:46" s="2" customFormat="1" ht="17.25" customHeight="1" x14ac:dyDescent="0.2">
      <c r="A480" s="24"/>
      <c r="B480" s="201"/>
      <c r="C480" s="204"/>
      <c r="D480" s="63"/>
      <c r="E480" s="64"/>
      <c r="F480" s="64"/>
      <c r="G480" s="64"/>
      <c r="H480" s="64"/>
      <c r="I480" s="64"/>
      <c r="J480" s="64"/>
      <c r="K480" s="16"/>
      <c r="L480" s="16"/>
      <c r="M480" s="64"/>
      <c r="N480" s="16"/>
      <c r="O480" s="16"/>
      <c r="P480" s="64"/>
      <c r="Q480" s="46"/>
      <c r="R480" s="46"/>
      <c r="S480" s="39"/>
      <c r="T480" s="16"/>
      <c r="U480" s="16"/>
      <c r="V480" s="16"/>
      <c r="W480" s="16"/>
      <c r="X480" s="16"/>
      <c r="Y480" s="19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43">
        <f>A464</f>
        <v>46048</v>
      </c>
      <c r="AQ480" s="10"/>
      <c r="AR480" s="11"/>
    </row>
    <row r="481" spans="1:45" s="2" customFormat="1" ht="17.25" customHeight="1" thickBot="1" x14ac:dyDescent="0.3">
      <c r="A481" s="56"/>
      <c r="B481" s="101" t="s">
        <v>102</v>
      </c>
      <c r="C481" s="102">
        <f>D482+E482+F482+G482+H482+I482+J482+M482+P482</f>
        <v>140868.80954000007</v>
      </c>
      <c r="D481" s="84"/>
      <c r="E481" s="85"/>
      <c r="F481" s="85"/>
      <c r="G481" s="85"/>
      <c r="H481" s="85"/>
      <c r="I481" s="85"/>
      <c r="J481" s="85"/>
      <c r="K481" s="28"/>
      <c r="L481" s="28"/>
      <c r="M481" s="85"/>
      <c r="N481" s="28"/>
      <c r="O481" s="28"/>
      <c r="P481" s="85"/>
      <c r="Q481" s="48"/>
      <c r="R481" s="48"/>
      <c r="S481" s="51"/>
      <c r="T481" s="28"/>
      <c r="U481" s="28"/>
      <c r="V481" s="28"/>
      <c r="W481" s="28"/>
      <c r="X481" s="28"/>
      <c r="Y481" s="36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42">
        <f>SUM($Q463:AN481)</f>
        <v>-473692.52</v>
      </c>
      <c r="AQ481" s="10"/>
      <c r="AR481" s="11"/>
      <c r="AS481" s="2" t="s">
        <v>5</v>
      </c>
    </row>
    <row r="482" spans="1:45" s="2" customFormat="1" ht="17.25" customHeight="1" thickTop="1" thickBot="1" x14ac:dyDescent="0.3">
      <c r="A482" s="103"/>
      <c r="B482" s="104" t="s">
        <v>103</v>
      </c>
      <c r="C482" s="105">
        <f>AO482</f>
        <v>-332823.71045999997</v>
      </c>
      <c r="D482" s="106">
        <f t="shared" ref="D482:K482" si="49">SUM(D463:D481)</f>
        <v>643.26704000003667</v>
      </c>
      <c r="E482" s="107">
        <f t="shared" si="49"/>
        <v>-29093.39000000001</v>
      </c>
      <c r="F482" s="107">
        <f t="shared" si="49"/>
        <v>195.64999999999964</v>
      </c>
      <c r="G482" s="107">
        <f t="shared" si="49"/>
        <v>0</v>
      </c>
      <c r="H482" s="107">
        <f t="shared" si="49"/>
        <v>83276.182500000054</v>
      </c>
      <c r="I482" s="107">
        <f t="shared" si="49"/>
        <v>8311.1</v>
      </c>
      <c r="J482" s="107">
        <f t="shared" si="49"/>
        <v>0</v>
      </c>
      <c r="K482" s="108">
        <f t="shared" si="49"/>
        <v>7551</v>
      </c>
      <c r="L482" s="109">
        <f>M482/K482</f>
        <v>5.2572665872069928</v>
      </c>
      <c r="M482" s="107">
        <f>ROUND(SUM(M463:M481),2)</f>
        <v>39697.620000000003</v>
      </c>
      <c r="N482" s="108">
        <f>SUM(N463:N481)</f>
        <v>9886</v>
      </c>
      <c r="O482" s="109">
        <f>P482/N482</f>
        <v>3.8274711713534288</v>
      </c>
      <c r="P482" s="107">
        <f>ROUND(SUM(P463:P481),2)</f>
        <v>37838.379999999997</v>
      </c>
      <c r="Q482" s="110">
        <f t="shared" ref="Q482:AN482" si="50">SUM(Q463:Q481)</f>
        <v>-520707.13</v>
      </c>
      <c r="R482" s="107">
        <f t="shared" si="50"/>
        <v>50229.299999999996</v>
      </c>
      <c r="S482" s="107">
        <f t="shared" si="50"/>
        <v>0</v>
      </c>
      <c r="T482" s="107">
        <f t="shared" si="50"/>
        <v>-3214.6900000000005</v>
      </c>
      <c r="U482" s="107">
        <f t="shared" si="50"/>
        <v>0</v>
      </c>
      <c r="V482" s="107">
        <f t="shared" si="50"/>
        <v>0</v>
      </c>
      <c r="W482" s="107">
        <f t="shared" si="50"/>
        <v>0</v>
      </c>
      <c r="X482" s="107">
        <f t="shared" si="50"/>
        <v>0</v>
      </c>
      <c r="Y482" s="107">
        <f t="shared" si="50"/>
        <v>0</v>
      </c>
      <c r="Z482" s="107">
        <f t="shared" si="50"/>
        <v>0</v>
      </c>
      <c r="AA482" s="107">
        <f t="shared" si="50"/>
        <v>0</v>
      </c>
      <c r="AB482" s="107">
        <f t="shared" si="50"/>
        <v>0</v>
      </c>
      <c r="AC482" s="107">
        <f t="shared" si="50"/>
        <v>0</v>
      </c>
      <c r="AD482" s="107">
        <f t="shared" si="50"/>
        <v>0</v>
      </c>
      <c r="AE482" s="107">
        <f t="shared" si="50"/>
        <v>0</v>
      </c>
      <c r="AF482" s="107">
        <f t="shared" si="50"/>
        <v>0</v>
      </c>
      <c r="AG482" s="107">
        <f t="shared" si="50"/>
        <v>0</v>
      </c>
      <c r="AH482" s="107">
        <f t="shared" si="50"/>
        <v>0</v>
      </c>
      <c r="AI482" s="107">
        <f t="shared" si="50"/>
        <v>0</v>
      </c>
      <c r="AJ482" s="107">
        <f t="shared" si="50"/>
        <v>0</v>
      </c>
      <c r="AK482" s="107">
        <f t="shared" si="50"/>
        <v>0</v>
      </c>
      <c r="AL482" s="107">
        <f t="shared" si="50"/>
        <v>0</v>
      </c>
      <c r="AM482" s="107">
        <f t="shared" si="50"/>
        <v>0</v>
      </c>
      <c r="AN482" s="107">
        <f t="shared" si="50"/>
        <v>0</v>
      </c>
      <c r="AO482" s="111">
        <f>D482+E482+F482+G482+H482+I482+J482+M482+P482+SUM(Q482:AN482)</f>
        <v>-332823.71045999997</v>
      </c>
      <c r="AP482" s="4"/>
      <c r="AQ482" s="5"/>
      <c r="AR482" s="5"/>
      <c r="AS482" s="2" t="s">
        <v>6</v>
      </c>
    </row>
    <row r="483" spans="1:45" s="2" customFormat="1" ht="17.25" customHeight="1" thickTop="1" x14ac:dyDescent="0.25">
      <c r="A483" s="23">
        <f>A464+1</f>
        <v>46049</v>
      </c>
      <c r="B483" s="210" t="s">
        <v>64</v>
      </c>
      <c r="C483" s="203"/>
      <c r="D483" s="63">
        <v>8125.38</v>
      </c>
      <c r="E483" s="66"/>
      <c r="F483" s="66"/>
      <c r="G483" s="66"/>
      <c r="H483" s="66"/>
      <c r="I483" s="66">
        <f>-D483</f>
        <v>-8125.38</v>
      </c>
      <c r="J483" s="66"/>
      <c r="K483" s="18"/>
      <c r="L483" s="18"/>
      <c r="M483" s="66"/>
      <c r="N483" s="18"/>
      <c r="O483" s="18"/>
      <c r="P483" s="66"/>
      <c r="Q483" s="46"/>
      <c r="R483" s="46"/>
      <c r="S483" s="45"/>
      <c r="T483" s="18"/>
      <c r="U483" s="18"/>
      <c r="V483" s="18"/>
      <c r="W483" s="18"/>
      <c r="X483" s="18"/>
      <c r="Y483" s="14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31"/>
      <c r="AQ483" s="10"/>
      <c r="AR483" s="27"/>
    </row>
    <row r="484" spans="1:45" s="4" customFormat="1" ht="17.25" customHeight="1" x14ac:dyDescent="0.25">
      <c r="A484" s="23"/>
      <c r="B484" s="201" t="s">
        <v>96</v>
      </c>
      <c r="C484" s="202"/>
      <c r="D484" s="63"/>
      <c r="E484" s="64"/>
      <c r="F484" s="64"/>
      <c r="G484" s="64"/>
      <c r="H484" s="64"/>
      <c r="I484" s="64">
        <f>-I482-I483</f>
        <v>-185.72000000000025</v>
      </c>
      <c r="J484" s="64"/>
      <c r="K484" s="16"/>
      <c r="L484" s="92"/>
      <c r="M484" s="64"/>
      <c r="N484" s="16"/>
      <c r="O484" s="92"/>
      <c r="P484" s="64"/>
      <c r="Q484" s="40"/>
      <c r="R484" s="46"/>
      <c r="S484" s="39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22"/>
      <c r="AP484" s="30"/>
    </row>
    <row r="485" spans="1:45" s="2" customFormat="1" ht="17.25" customHeight="1" x14ac:dyDescent="0.25">
      <c r="A485" s="29"/>
      <c r="B485" s="201" t="s">
        <v>327</v>
      </c>
      <c r="C485" s="202"/>
      <c r="D485" s="63">
        <f>50+50+20+20+145+145+30+15+158+100+50+100+60+30-145</f>
        <v>828</v>
      </c>
      <c r="E485" s="64"/>
      <c r="F485" s="64"/>
      <c r="G485" s="64"/>
      <c r="H485" s="64"/>
      <c r="I485" s="64">
        <f>-D485</f>
        <v>-828</v>
      </c>
      <c r="J485" s="64"/>
      <c r="K485" s="57"/>
      <c r="L485" s="88"/>
      <c r="M485" s="62"/>
      <c r="N485" s="57"/>
      <c r="O485" s="88"/>
      <c r="P485" s="62"/>
      <c r="Q485" s="47"/>
      <c r="R485" s="39"/>
      <c r="S485" s="39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22"/>
      <c r="AQ485" s="10"/>
      <c r="AR485" s="11"/>
    </row>
    <row r="486" spans="1:45" s="2" customFormat="1" ht="17.25" customHeight="1" x14ac:dyDescent="0.25">
      <c r="A486" s="29"/>
      <c r="B486" s="201" t="s">
        <v>328</v>
      </c>
      <c r="C486" s="202"/>
      <c r="D486" s="63">
        <f>-11*0.99-1.16-1.16-1.26</f>
        <v>-14.47</v>
      </c>
      <c r="E486" s="64"/>
      <c r="F486" s="64"/>
      <c r="G486" s="64"/>
      <c r="H486" s="64"/>
      <c r="I486" s="64"/>
      <c r="J486" s="64"/>
      <c r="K486" s="57"/>
      <c r="L486" s="88"/>
      <c r="M486" s="62"/>
      <c r="N486" s="57"/>
      <c r="O486" s="88"/>
      <c r="P486" s="62"/>
      <c r="Q486" s="47"/>
      <c r="R486" s="39"/>
      <c r="S486" s="39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22"/>
      <c r="AQ486" s="10"/>
      <c r="AR486" s="11"/>
    </row>
    <row r="487" spans="1:45" s="2" customFormat="1" ht="17.25" customHeight="1" x14ac:dyDescent="0.25">
      <c r="A487" s="29"/>
      <c r="B487" s="201" t="s">
        <v>72</v>
      </c>
      <c r="C487" s="202"/>
      <c r="D487" s="63">
        <v>-8700</v>
      </c>
      <c r="E487" s="64"/>
      <c r="F487" s="64">
        <f>-D487</f>
        <v>8700</v>
      </c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47"/>
      <c r="R487" s="39"/>
      <c r="S487" s="39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22"/>
      <c r="AQ487" s="10" t="s">
        <v>4</v>
      </c>
      <c r="AR487" s="11" t="e">
        <v>#REF!</v>
      </c>
    </row>
    <row r="488" spans="1:45" s="4" customFormat="1" ht="17.25" customHeight="1" x14ac:dyDescent="0.25">
      <c r="A488" s="23"/>
      <c r="B488" s="201" t="s">
        <v>13</v>
      </c>
      <c r="C488" s="203"/>
      <c r="D488" s="63"/>
      <c r="E488" s="64">
        <f>50+150+35+190+50+30+30+25+98+1538+1059+20</f>
        <v>3275</v>
      </c>
      <c r="F488" s="64"/>
      <c r="G488" s="64"/>
      <c r="H488" s="64">
        <f>-E488</f>
        <v>-3275</v>
      </c>
      <c r="I488" s="66"/>
      <c r="J488" s="64"/>
      <c r="K488" s="16"/>
      <c r="L488" s="92"/>
      <c r="M488" s="64"/>
      <c r="N488" s="16"/>
      <c r="O488" s="92"/>
      <c r="P488" s="64"/>
      <c r="Q488" s="40"/>
      <c r="R488" s="46"/>
      <c r="S488" s="39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22"/>
      <c r="AP488" s="30"/>
    </row>
    <row r="489" spans="1:45" s="2" customFormat="1" ht="17.25" customHeight="1" x14ac:dyDescent="0.25">
      <c r="A489" s="24"/>
      <c r="B489" s="201" t="s">
        <v>76</v>
      </c>
      <c r="C489" s="203"/>
      <c r="D489" s="63"/>
      <c r="E489" s="64"/>
      <c r="F489" s="64"/>
      <c r="G489" s="64"/>
      <c r="H489" s="64"/>
      <c r="I489" s="64"/>
      <c r="J489" s="64"/>
      <c r="K489" s="16"/>
      <c r="L489" s="92"/>
      <c r="M489" s="64"/>
      <c r="N489" s="16"/>
      <c r="O489" s="92"/>
      <c r="P489" s="64"/>
      <c r="Q489" s="40"/>
      <c r="R489" s="40"/>
      <c r="S489" s="39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22"/>
      <c r="AQ489" s="10"/>
      <c r="AR489" s="11"/>
    </row>
    <row r="490" spans="1:45" s="2" customFormat="1" ht="17.25" customHeight="1" x14ac:dyDescent="0.2">
      <c r="A490" s="23"/>
      <c r="B490" s="201" t="s">
        <v>192</v>
      </c>
      <c r="C490" s="203"/>
      <c r="D490" s="63"/>
      <c r="E490" s="64"/>
      <c r="F490" s="74"/>
      <c r="G490" s="74"/>
      <c r="H490" s="64"/>
      <c r="I490" s="64"/>
      <c r="J490" s="64"/>
      <c r="K490" s="16"/>
      <c r="L490" s="16"/>
      <c r="M490" s="64"/>
      <c r="N490" s="16"/>
      <c r="O490" s="16"/>
      <c r="P490" s="64"/>
      <c r="Q490" s="46"/>
      <c r="R490" s="39">
        <f>-E490</f>
        <v>0</v>
      </c>
      <c r="S490" s="40"/>
      <c r="T490" s="16"/>
      <c r="U490" s="16"/>
      <c r="V490" s="16"/>
      <c r="W490" s="16"/>
      <c r="X490" s="16"/>
      <c r="Y490" s="19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35"/>
      <c r="AQ490" s="10"/>
      <c r="AR490" s="27"/>
    </row>
    <row r="491" spans="1:45" s="2" customFormat="1" ht="17.25" customHeight="1" x14ac:dyDescent="0.2">
      <c r="A491" s="23"/>
      <c r="B491" s="201" t="s">
        <v>235</v>
      </c>
      <c r="C491" s="202"/>
      <c r="D491" s="63"/>
      <c r="E491" s="64"/>
      <c r="F491" s="74"/>
      <c r="G491" s="74"/>
      <c r="H491" s="64"/>
      <c r="I491" s="64"/>
      <c r="J491" s="64"/>
      <c r="K491" s="16"/>
      <c r="L491" s="16"/>
      <c r="M491" s="64"/>
      <c r="N491" s="16"/>
      <c r="O491" s="16"/>
      <c r="P491" s="64"/>
      <c r="Q491" s="46"/>
      <c r="R491" s="39"/>
      <c r="S491" s="40"/>
      <c r="T491" s="16"/>
      <c r="U491" s="16"/>
      <c r="V491" s="16"/>
      <c r="W491" s="16"/>
      <c r="X491" s="16"/>
      <c r="Y491" s="19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35"/>
      <c r="AQ491" s="10"/>
      <c r="AR491" s="27"/>
    </row>
    <row r="492" spans="1:45" s="2" customFormat="1" ht="17.25" customHeight="1" x14ac:dyDescent="0.2">
      <c r="A492" s="23"/>
      <c r="B492" s="201" t="s">
        <v>236</v>
      </c>
      <c r="C492" s="203"/>
      <c r="D492" s="74"/>
      <c r="E492" s="64"/>
      <c r="F492" s="74"/>
      <c r="G492" s="74"/>
      <c r="H492" s="64"/>
      <c r="I492" s="64"/>
      <c r="J492" s="64"/>
      <c r="K492" s="16"/>
      <c r="L492" s="16"/>
      <c r="M492" s="64"/>
      <c r="N492" s="16"/>
      <c r="O492" s="16"/>
      <c r="P492" s="64"/>
      <c r="Q492" s="46"/>
      <c r="R492" s="39"/>
      <c r="S492" s="40"/>
      <c r="T492" s="16"/>
      <c r="U492" s="16"/>
      <c r="V492" s="16"/>
      <c r="W492" s="16"/>
      <c r="X492" s="16"/>
      <c r="Y492" s="19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35"/>
      <c r="AQ492" s="10"/>
      <c r="AR492" s="27"/>
    </row>
    <row r="493" spans="1:45" s="2" customFormat="1" ht="17.25" customHeight="1" x14ac:dyDescent="0.25">
      <c r="A493" s="29"/>
      <c r="B493" s="201" t="s">
        <v>72</v>
      </c>
      <c r="C493" s="202"/>
      <c r="D493" s="63"/>
      <c r="E493" s="64"/>
      <c r="F493" s="64"/>
      <c r="G493" s="64"/>
      <c r="H493" s="64"/>
      <c r="I493" s="64"/>
      <c r="J493" s="64"/>
      <c r="K493" s="57"/>
      <c r="L493" s="88"/>
      <c r="M493" s="62"/>
      <c r="N493" s="57"/>
      <c r="O493" s="88"/>
      <c r="P493" s="62"/>
      <c r="Q493" s="47"/>
      <c r="R493" s="39"/>
      <c r="S493" s="39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22"/>
      <c r="AQ493" s="10" t="s">
        <v>4</v>
      </c>
      <c r="AR493" s="11" t="e">
        <v>#REF!</v>
      </c>
    </row>
    <row r="494" spans="1:45" s="2" customFormat="1" ht="17.25" customHeight="1" x14ac:dyDescent="0.25">
      <c r="A494" s="29"/>
      <c r="B494" s="201" t="s">
        <v>72</v>
      </c>
      <c r="C494" s="202"/>
      <c r="D494" s="63"/>
      <c r="E494" s="64"/>
      <c r="F494" s="64"/>
      <c r="G494" s="64"/>
      <c r="H494" s="64"/>
      <c r="I494" s="64"/>
      <c r="J494" s="64"/>
      <c r="K494" s="57"/>
      <c r="L494" s="88"/>
      <c r="M494" s="62"/>
      <c r="N494" s="57"/>
      <c r="O494" s="88"/>
      <c r="P494" s="62"/>
      <c r="Q494" s="47"/>
      <c r="R494" s="39"/>
      <c r="S494" s="39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22"/>
      <c r="AQ494" s="10" t="s">
        <v>4</v>
      </c>
      <c r="AR494" s="11" t="e">
        <v>#REF!</v>
      </c>
    </row>
    <row r="495" spans="1:45" s="2" customFormat="1" ht="17.25" customHeight="1" x14ac:dyDescent="0.2">
      <c r="A495" s="23"/>
      <c r="B495" s="211" t="s">
        <v>323</v>
      </c>
      <c r="C495" s="206"/>
      <c r="D495" s="64"/>
      <c r="E495" s="64"/>
      <c r="F495" s="64"/>
      <c r="G495" s="74"/>
      <c r="H495" s="64"/>
      <c r="I495" s="64"/>
      <c r="J495" s="64"/>
      <c r="K495" s="16"/>
      <c r="L495" s="16"/>
      <c r="M495" s="64"/>
      <c r="N495" s="167">
        <v>15000</v>
      </c>
      <c r="O495" s="92">
        <v>3.77</v>
      </c>
      <c r="P495" s="64">
        <f>N495*O495</f>
        <v>56550</v>
      </c>
      <c r="Q495" s="46">
        <f>-P495</f>
        <v>-56550</v>
      </c>
      <c r="R495" s="39"/>
      <c r="S495" s="40"/>
      <c r="T495" s="16"/>
      <c r="U495" s="16"/>
      <c r="V495" s="16">
        <f>-D495</f>
        <v>0</v>
      </c>
      <c r="W495" s="16"/>
      <c r="X495" s="16"/>
      <c r="Y495" s="19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35"/>
      <c r="AQ495" s="10"/>
      <c r="AR495" s="27"/>
    </row>
    <row r="496" spans="1:45" s="2" customFormat="1" ht="17.25" customHeight="1" thickBot="1" x14ac:dyDescent="0.25">
      <c r="A496" s="24"/>
      <c r="B496" s="216"/>
      <c r="C496" s="217"/>
      <c r="D496" s="83"/>
      <c r="E496" s="81"/>
      <c r="F496" s="81"/>
      <c r="G496" s="81"/>
      <c r="H496" s="81"/>
      <c r="I496" s="81"/>
      <c r="J496" s="81"/>
      <c r="K496" s="37"/>
      <c r="L496" s="93"/>
      <c r="M496" s="81"/>
      <c r="N496" s="37"/>
      <c r="O496" s="93"/>
      <c r="P496" s="81"/>
      <c r="Q496" s="40"/>
      <c r="R496" s="40"/>
      <c r="S496" s="39"/>
      <c r="T496" s="16"/>
      <c r="U496" s="16"/>
      <c r="V496" s="16"/>
      <c r="W496" s="16"/>
      <c r="X496" s="16"/>
      <c r="Y496" s="19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41"/>
      <c r="AQ496" s="10"/>
      <c r="AR496" s="11"/>
    </row>
    <row r="497" spans="1:46" s="4" customFormat="1" ht="17.25" customHeight="1" x14ac:dyDescent="0.25">
      <c r="A497" s="23"/>
      <c r="B497" s="210" t="s">
        <v>94</v>
      </c>
      <c r="C497" s="203"/>
      <c r="D497" s="66"/>
      <c r="E497" s="66"/>
      <c r="F497" s="117"/>
      <c r="G497" s="117"/>
      <c r="H497" s="66"/>
      <c r="I497" s="66"/>
      <c r="J497" s="66">
        <f>-M497</f>
        <v>7270.9000000000005</v>
      </c>
      <c r="K497" s="58">
        <v>-1222</v>
      </c>
      <c r="L497" s="89">
        <v>5.95</v>
      </c>
      <c r="M497" s="73">
        <f>K497*L497</f>
        <v>-7270.9000000000005</v>
      </c>
      <c r="N497" s="58"/>
      <c r="O497" s="89"/>
      <c r="P497" s="73"/>
      <c r="Q497" s="39"/>
      <c r="R497" s="39"/>
      <c r="S497" s="8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35"/>
      <c r="AP497" s="12" t="e">
        <f>#REF!</f>
        <v>#REF!</v>
      </c>
    </row>
    <row r="498" spans="1:46" s="4" customFormat="1" ht="17.25" customHeight="1" x14ac:dyDescent="0.25">
      <c r="A498" s="23"/>
      <c r="B498" s="201" t="s">
        <v>95</v>
      </c>
      <c r="C498" s="202"/>
      <c r="D498" s="64"/>
      <c r="E498" s="64"/>
      <c r="F498" s="117"/>
      <c r="G498" s="117"/>
      <c r="H498" s="64"/>
      <c r="I498" s="64"/>
      <c r="J498" s="64">
        <f>-P498</f>
        <v>7384.8</v>
      </c>
      <c r="K498" s="57"/>
      <c r="L498" s="88"/>
      <c r="M498" s="62"/>
      <c r="N498" s="57">
        <v>-1810</v>
      </c>
      <c r="O498" s="88">
        <v>4.08</v>
      </c>
      <c r="P498" s="62">
        <f>N498*O498</f>
        <v>-7384.8</v>
      </c>
      <c r="Q498" s="39"/>
      <c r="R498" s="39"/>
      <c r="S498" s="8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35"/>
      <c r="AP498" s="12" t="e">
        <f>#REF!</f>
        <v>#REF!</v>
      </c>
    </row>
    <row r="499" spans="1:46" s="4" customFormat="1" ht="17.25" customHeight="1" x14ac:dyDescent="0.25">
      <c r="A499" s="23"/>
      <c r="B499" s="201" t="s">
        <v>97</v>
      </c>
      <c r="C499" s="203"/>
      <c r="D499" s="64"/>
      <c r="E499" s="64"/>
      <c r="F499" s="64"/>
      <c r="G499" s="64"/>
      <c r="H499" s="64">
        <f>-J499-I499</f>
        <v>4273.880000000001</v>
      </c>
      <c r="I499" s="64">
        <v>10381.82</v>
      </c>
      <c r="J499" s="64">
        <f>-SUM(J497:J498)</f>
        <v>-14655.7</v>
      </c>
      <c r="K499" s="57"/>
      <c r="L499" s="88"/>
      <c r="M499" s="62"/>
      <c r="N499" s="57"/>
      <c r="O499" s="88"/>
      <c r="P499" s="62"/>
      <c r="Q499" s="39"/>
      <c r="R499" s="39"/>
      <c r="S499" s="39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22"/>
      <c r="AO499" s="43"/>
      <c r="AP499" s="12" t="e">
        <f>#REF!</f>
        <v>#REF!</v>
      </c>
      <c r="AT499" s="2"/>
    </row>
    <row r="500" spans="1:46" s="4" customFormat="1" ht="17.25" customHeight="1" x14ac:dyDescent="0.25">
      <c r="A500" s="23"/>
      <c r="B500" s="201" t="s">
        <v>93</v>
      </c>
      <c r="C500" s="202"/>
      <c r="D500" s="64"/>
      <c r="E500" s="64"/>
      <c r="F500" s="64"/>
      <c r="G500" s="64"/>
      <c r="H500" s="64"/>
      <c r="I500" s="64"/>
      <c r="J500" s="64"/>
      <c r="K500" s="57">
        <v>23</v>
      </c>
      <c r="L500" s="88"/>
      <c r="M500" s="62">
        <f>(K503*L482)-M482-M497</f>
        <v>967.43736193881978</v>
      </c>
      <c r="N500" s="57">
        <v>-9</v>
      </c>
      <c r="O500" s="88"/>
      <c r="P500" s="62">
        <f>(N503*(P482+P495)/(N482+N495))-P482-P498-P495</f>
        <v>485.64130756249506</v>
      </c>
      <c r="Q500" s="39"/>
      <c r="R500" s="39"/>
      <c r="S500" s="39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22"/>
      <c r="AO500" s="43">
        <f>A476</f>
        <v>0</v>
      </c>
      <c r="AP500" s="12" t="e">
        <f>#REF!</f>
        <v>#REF!</v>
      </c>
      <c r="AT500" s="2"/>
    </row>
    <row r="501" spans="1:46" s="2" customFormat="1" ht="17.25" customHeight="1" x14ac:dyDescent="0.2">
      <c r="A501" s="24"/>
      <c r="B501" s="201"/>
      <c r="C501" s="204"/>
      <c r="D501" s="63"/>
      <c r="E501" s="64"/>
      <c r="F501" s="64"/>
      <c r="G501" s="64"/>
      <c r="H501" s="64"/>
      <c r="I501" s="64"/>
      <c r="J501" s="64"/>
      <c r="K501" s="16"/>
      <c r="L501" s="16"/>
      <c r="M501" s="64"/>
      <c r="N501" s="16"/>
      <c r="O501" s="16"/>
      <c r="P501" s="64"/>
      <c r="Q501" s="46"/>
      <c r="R501" s="46"/>
      <c r="S501" s="39"/>
      <c r="T501" s="16"/>
      <c r="U501" s="16"/>
      <c r="V501" s="16"/>
      <c r="W501" s="16"/>
      <c r="X501" s="16"/>
      <c r="Y501" s="19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43">
        <f>A483</f>
        <v>46049</v>
      </c>
      <c r="AQ501" s="10"/>
      <c r="AR501" s="11"/>
    </row>
    <row r="502" spans="1:46" s="2" customFormat="1" ht="17.25" customHeight="1" thickBot="1" x14ac:dyDescent="0.3">
      <c r="A502" s="56"/>
      <c r="B502" s="101" t="s">
        <v>102</v>
      </c>
      <c r="C502" s="102">
        <f>D503+E503+F503+G503+H503+I503+J503+M503+P503</f>
        <v>198671.69954000009</v>
      </c>
      <c r="D502" s="84"/>
      <c r="E502" s="85"/>
      <c r="F502" s="85"/>
      <c r="G502" s="85"/>
      <c r="H502" s="85"/>
      <c r="I502" s="85"/>
      <c r="J502" s="85"/>
      <c r="K502" s="28"/>
      <c r="L502" s="28"/>
      <c r="M502" s="85"/>
      <c r="N502" s="28"/>
      <c r="O502" s="28"/>
      <c r="P502" s="85"/>
      <c r="Q502" s="48"/>
      <c r="R502" s="48"/>
      <c r="S502" s="51"/>
      <c r="T502" s="28"/>
      <c r="U502" s="28"/>
      <c r="V502" s="28"/>
      <c r="W502" s="28"/>
      <c r="X502" s="28"/>
      <c r="Y502" s="36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42">
        <f>SUM($Q482:AN502)</f>
        <v>-530242.52</v>
      </c>
      <c r="AQ502" s="10"/>
      <c r="AR502" s="11"/>
      <c r="AS502" s="2" t="s">
        <v>5</v>
      </c>
    </row>
    <row r="503" spans="1:46" s="2" customFormat="1" ht="17.25" customHeight="1" thickTop="1" thickBot="1" x14ac:dyDescent="0.3">
      <c r="A503" s="103"/>
      <c r="B503" s="104" t="s">
        <v>103</v>
      </c>
      <c r="C503" s="105">
        <f>AO503</f>
        <v>-331570.82045999984</v>
      </c>
      <c r="D503" s="106">
        <f t="shared" ref="D503:K503" si="51">SUM(D482:D502)</f>
        <v>882.17704000003687</v>
      </c>
      <c r="E503" s="107">
        <f t="shared" si="51"/>
        <v>-25818.39000000001</v>
      </c>
      <c r="F503" s="107">
        <f t="shared" si="51"/>
        <v>8895.65</v>
      </c>
      <c r="G503" s="107">
        <f t="shared" si="51"/>
        <v>0</v>
      </c>
      <c r="H503" s="107">
        <f t="shared" si="51"/>
        <v>84275.062500000058</v>
      </c>
      <c r="I503" s="107">
        <f t="shared" si="51"/>
        <v>9553.82</v>
      </c>
      <c r="J503" s="107">
        <f t="shared" si="51"/>
        <v>0</v>
      </c>
      <c r="K503" s="108">
        <f t="shared" si="51"/>
        <v>6352</v>
      </c>
      <c r="L503" s="109">
        <f>M503/K503</f>
        <v>5.2572670025188923</v>
      </c>
      <c r="M503" s="107">
        <f>ROUND(SUM(M482:M502),2)</f>
        <v>33394.160000000003</v>
      </c>
      <c r="N503" s="108">
        <f>SUM(N482:N502)</f>
        <v>23067</v>
      </c>
      <c r="O503" s="109">
        <f>P503/N503</f>
        <v>3.7928304504270169</v>
      </c>
      <c r="P503" s="107">
        <f>ROUND(SUM(P482:P502),2)</f>
        <v>87489.22</v>
      </c>
      <c r="Q503" s="110">
        <f t="shared" ref="Q503:AN503" si="52">SUM(Q482:Q502)</f>
        <v>-577257.13</v>
      </c>
      <c r="R503" s="107">
        <f t="shared" si="52"/>
        <v>50229.299999999996</v>
      </c>
      <c r="S503" s="107">
        <f t="shared" si="52"/>
        <v>0</v>
      </c>
      <c r="T503" s="107">
        <f t="shared" si="52"/>
        <v>-3214.6900000000005</v>
      </c>
      <c r="U503" s="107">
        <f t="shared" si="52"/>
        <v>0</v>
      </c>
      <c r="V503" s="107">
        <f t="shared" si="52"/>
        <v>0</v>
      </c>
      <c r="W503" s="107">
        <f t="shared" si="52"/>
        <v>0</v>
      </c>
      <c r="X503" s="107">
        <f t="shared" si="52"/>
        <v>0</v>
      </c>
      <c r="Y503" s="107">
        <f t="shared" si="52"/>
        <v>0</v>
      </c>
      <c r="Z503" s="107">
        <f t="shared" si="52"/>
        <v>0</v>
      </c>
      <c r="AA503" s="107">
        <f t="shared" si="52"/>
        <v>0</v>
      </c>
      <c r="AB503" s="107">
        <f t="shared" si="52"/>
        <v>0</v>
      </c>
      <c r="AC503" s="107">
        <f t="shared" si="52"/>
        <v>0</v>
      </c>
      <c r="AD503" s="107">
        <f t="shared" si="52"/>
        <v>0</v>
      </c>
      <c r="AE503" s="107">
        <f t="shared" si="52"/>
        <v>0</v>
      </c>
      <c r="AF503" s="107">
        <f t="shared" si="52"/>
        <v>0</v>
      </c>
      <c r="AG503" s="107">
        <f t="shared" si="52"/>
        <v>0</v>
      </c>
      <c r="AH503" s="107">
        <f t="shared" si="52"/>
        <v>0</v>
      </c>
      <c r="AI503" s="107">
        <f t="shared" si="52"/>
        <v>0</v>
      </c>
      <c r="AJ503" s="107">
        <f t="shared" si="52"/>
        <v>0</v>
      </c>
      <c r="AK503" s="107">
        <f t="shared" si="52"/>
        <v>0</v>
      </c>
      <c r="AL503" s="107">
        <f t="shared" si="52"/>
        <v>0</v>
      </c>
      <c r="AM503" s="107">
        <f t="shared" si="52"/>
        <v>0</v>
      </c>
      <c r="AN503" s="107">
        <f t="shared" si="52"/>
        <v>0</v>
      </c>
      <c r="AO503" s="111">
        <f>D503+E503+F503+G503+H503+I503+J503+M503+P503+SUM(Q503:AN503)</f>
        <v>-331570.82045999984</v>
      </c>
      <c r="AP503" s="4"/>
      <c r="AQ503" s="5"/>
      <c r="AR503" s="5"/>
      <c r="AS503" s="2" t="s">
        <v>6</v>
      </c>
    </row>
    <row r="504" spans="1:46" s="2" customFormat="1" ht="17.25" customHeight="1" thickTop="1" x14ac:dyDescent="0.25">
      <c r="A504" s="23">
        <f>A483+1</f>
        <v>46050</v>
      </c>
      <c r="B504" s="210" t="s">
        <v>64</v>
      </c>
      <c r="C504" s="203"/>
      <c r="D504" s="63">
        <v>9209.74</v>
      </c>
      <c r="E504" s="66"/>
      <c r="F504" s="66"/>
      <c r="G504" s="66"/>
      <c r="H504" s="66"/>
      <c r="I504" s="66">
        <f>-D504</f>
        <v>-9209.74</v>
      </c>
      <c r="J504" s="66"/>
      <c r="K504" s="18"/>
      <c r="L504" s="18"/>
      <c r="M504" s="66"/>
      <c r="N504" s="18"/>
      <c r="O504" s="18"/>
      <c r="P504" s="66"/>
      <c r="Q504" s="46"/>
      <c r="R504" s="46"/>
      <c r="S504" s="45"/>
      <c r="T504" s="18"/>
      <c r="U504" s="18"/>
      <c r="V504" s="18"/>
      <c r="W504" s="18"/>
      <c r="X504" s="18"/>
      <c r="Y504" s="14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31"/>
      <c r="AQ504" s="10"/>
      <c r="AR504" s="27"/>
    </row>
    <row r="505" spans="1:46" s="4" customFormat="1" ht="17.25" customHeight="1" x14ac:dyDescent="0.25">
      <c r="A505" s="23"/>
      <c r="B505" s="201" t="s">
        <v>96</v>
      </c>
      <c r="C505" s="202"/>
      <c r="D505" s="63"/>
      <c r="E505" s="64"/>
      <c r="F505" s="64"/>
      <c r="G505" s="64"/>
      <c r="H505" s="64"/>
      <c r="I505" s="64">
        <f>-I503-I504</f>
        <v>-344.07999999999993</v>
      </c>
      <c r="J505" s="64"/>
      <c r="K505" s="16"/>
      <c r="L505" s="92"/>
      <c r="M505" s="64"/>
      <c r="N505" s="16"/>
      <c r="O505" s="92"/>
      <c r="P505" s="64"/>
      <c r="Q505" s="40"/>
      <c r="R505" s="46"/>
      <c r="S505" s="39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22"/>
      <c r="AP505" s="30"/>
    </row>
    <row r="506" spans="1:46" s="2" customFormat="1" ht="17.25" customHeight="1" x14ac:dyDescent="0.25">
      <c r="A506" s="29"/>
      <c r="B506" s="201" t="s">
        <v>327</v>
      </c>
      <c r="C506" s="202"/>
      <c r="D506" s="63">
        <f>100+20+145+50+31+20+30+14+25+40+100+50+30+90+84+40+25</f>
        <v>894</v>
      </c>
      <c r="E506" s="64"/>
      <c r="F506" s="64"/>
      <c r="G506" s="64"/>
      <c r="H506" s="64"/>
      <c r="I506" s="64">
        <f>-D506</f>
        <v>-894</v>
      </c>
      <c r="J506" s="64"/>
      <c r="K506" s="57"/>
      <c r="L506" s="88"/>
      <c r="M506" s="62"/>
      <c r="N506" s="57"/>
      <c r="O506" s="88"/>
      <c r="P506" s="62"/>
      <c r="Q506" s="47"/>
      <c r="R506" s="39"/>
      <c r="S506" s="39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22"/>
      <c r="AQ506" s="10"/>
      <c r="AR506" s="11"/>
    </row>
    <row r="507" spans="1:46" s="2" customFormat="1" ht="17.25" customHeight="1" x14ac:dyDescent="0.25">
      <c r="A507" s="29"/>
      <c r="B507" s="201" t="s">
        <v>328</v>
      </c>
      <c r="C507" s="202"/>
      <c r="D507" s="63">
        <f>-16*0.99</f>
        <v>-15.84</v>
      </c>
      <c r="E507" s="64"/>
      <c r="F507" s="64"/>
      <c r="G507" s="64"/>
      <c r="H507" s="64"/>
      <c r="I507" s="64"/>
      <c r="J507" s="64"/>
      <c r="K507" s="57"/>
      <c r="L507" s="88"/>
      <c r="M507" s="62"/>
      <c r="N507" s="57"/>
      <c r="O507" s="88"/>
      <c r="P507" s="62"/>
      <c r="Q507" s="47"/>
      <c r="R507" s="39"/>
      <c r="S507" s="39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22"/>
      <c r="AQ507" s="10"/>
      <c r="AR507" s="11"/>
    </row>
    <row r="508" spans="1:46" s="2" customFormat="1" ht="17.25" customHeight="1" x14ac:dyDescent="0.25">
      <c r="A508" s="29"/>
      <c r="B508" s="201" t="s">
        <v>72</v>
      </c>
      <c r="C508" s="202"/>
      <c r="D508" s="63">
        <v>-10000</v>
      </c>
      <c r="E508" s="64"/>
      <c r="F508" s="64">
        <f>-D508</f>
        <v>10000</v>
      </c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47"/>
      <c r="R508" s="39"/>
      <c r="S508" s="39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22"/>
      <c r="AQ508" s="10" t="s">
        <v>4</v>
      </c>
      <c r="AR508" s="11" t="e">
        <v>#REF!</v>
      </c>
    </row>
    <row r="509" spans="1:46" s="4" customFormat="1" ht="17.25" customHeight="1" x14ac:dyDescent="0.25">
      <c r="A509" s="23"/>
      <c r="B509" s="201" t="s">
        <v>13</v>
      </c>
      <c r="C509" s="203"/>
      <c r="D509" s="63"/>
      <c r="E509" s="64">
        <f>12.5+50+42+50+25+30+551.05+10</f>
        <v>770.55</v>
      </c>
      <c r="F509" s="64"/>
      <c r="G509" s="64"/>
      <c r="H509" s="64">
        <f>-E509</f>
        <v>-770.55</v>
      </c>
      <c r="I509" s="66"/>
      <c r="J509" s="64"/>
      <c r="K509" s="16"/>
      <c r="L509" s="92"/>
      <c r="M509" s="64"/>
      <c r="N509" s="16"/>
      <c r="O509" s="92"/>
      <c r="P509" s="64"/>
      <c r="Q509" s="40"/>
      <c r="R509" s="46"/>
      <c r="S509" s="39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22"/>
      <c r="AP509" s="30"/>
    </row>
    <row r="510" spans="1:46" s="2" customFormat="1" ht="17.25" customHeight="1" x14ac:dyDescent="0.2">
      <c r="A510" s="23"/>
      <c r="B510" s="211" t="s">
        <v>193</v>
      </c>
      <c r="C510" s="206"/>
      <c r="D510" s="63"/>
      <c r="E510" s="66"/>
      <c r="F510" s="64"/>
      <c r="G510" s="74"/>
      <c r="H510" s="64"/>
      <c r="I510" s="64"/>
      <c r="J510" s="64"/>
      <c r="K510" s="16"/>
      <c r="L510" s="16"/>
      <c r="M510" s="64"/>
      <c r="N510" s="16"/>
      <c r="O510" s="16"/>
      <c r="P510" s="64"/>
      <c r="Q510" s="46"/>
      <c r="R510" s="39"/>
      <c r="S510" s="40"/>
      <c r="T510" s="16"/>
      <c r="U510" s="16"/>
      <c r="V510" s="16"/>
      <c r="W510" s="16"/>
      <c r="X510" s="16"/>
      <c r="Y510" s="19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35"/>
      <c r="AQ510" s="10"/>
      <c r="AR510" s="27"/>
    </row>
    <row r="511" spans="1:46" s="2" customFormat="1" ht="17.25" customHeight="1" x14ac:dyDescent="0.2">
      <c r="A511" s="23"/>
      <c r="B511" s="201"/>
      <c r="C511" s="203"/>
      <c r="D511" s="63"/>
      <c r="E511" s="64"/>
      <c r="F511" s="74"/>
      <c r="G511" s="74"/>
      <c r="H511" s="64"/>
      <c r="I511" s="64"/>
      <c r="J511" s="64"/>
      <c r="K511" s="16"/>
      <c r="L511" s="16"/>
      <c r="M511" s="64"/>
      <c r="N511" s="16"/>
      <c r="O511" s="16"/>
      <c r="P511" s="64"/>
      <c r="Q511" s="46"/>
      <c r="R511" s="39"/>
      <c r="S511" s="40"/>
      <c r="T511" s="16"/>
      <c r="U511" s="16"/>
      <c r="V511" s="16"/>
      <c r="W511" s="16"/>
      <c r="X511" s="16"/>
      <c r="Y511" s="19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35"/>
      <c r="AQ511" s="10"/>
      <c r="AR511" s="27"/>
    </row>
    <row r="512" spans="1:46" s="2" customFormat="1" ht="17.25" customHeight="1" x14ac:dyDescent="0.25">
      <c r="A512" s="29"/>
      <c r="B512" s="201" t="s">
        <v>72</v>
      </c>
      <c r="C512" s="202"/>
      <c r="D512" s="63"/>
      <c r="E512" s="64"/>
      <c r="F512" s="64"/>
      <c r="G512" s="64"/>
      <c r="H512" s="64"/>
      <c r="I512" s="64"/>
      <c r="J512" s="64"/>
      <c r="K512" s="57"/>
      <c r="L512" s="88"/>
      <c r="M512" s="62"/>
      <c r="N512" s="57"/>
      <c r="O512" s="88"/>
      <c r="P512" s="62"/>
      <c r="Q512" s="47"/>
      <c r="R512" s="39"/>
      <c r="S512" s="39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22"/>
      <c r="AQ512" s="10" t="s">
        <v>4</v>
      </c>
      <c r="AR512" s="11" t="e">
        <v>#REF!</v>
      </c>
    </row>
    <row r="513" spans="1:46" s="2" customFormat="1" ht="17.25" customHeight="1" x14ac:dyDescent="0.25">
      <c r="A513" s="29"/>
      <c r="B513" s="201" t="s">
        <v>72</v>
      </c>
      <c r="C513" s="20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47"/>
      <c r="R513" s="39"/>
      <c r="S513" s="39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22"/>
      <c r="AQ513" s="10" t="s">
        <v>4</v>
      </c>
      <c r="AR513" s="11" t="e">
        <v>#REF!</v>
      </c>
    </row>
    <row r="514" spans="1:46" s="2" customFormat="1" ht="17.25" customHeight="1" x14ac:dyDescent="0.2">
      <c r="A514" s="23"/>
      <c r="B514" s="205" t="s">
        <v>237</v>
      </c>
      <c r="C514" s="206"/>
      <c r="D514" s="64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39"/>
      <c r="R514" s="39"/>
      <c r="S514" s="39"/>
      <c r="T514" s="16"/>
      <c r="U514" s="16"/>
      <c r="V514" s="16"/>
      <c r="W514" s="16"/>
      <c r="X514" s="16"/>
      <c r="Y514" s="19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35"/>
      <c r="AQ514" s="10"/>
      <c r="AR514" s="27"/>
    </row>
    <row r="515" spans="1:46" s="2" customFormat="1" ht="17.25" customHeight="1" x14ac:dyDescent="0.2">
      <c r="A515" s="23"/>
      <c r="B515" s="201" t="s">
        <v>233</v>
      </c>
      <c r="C515" s="203"/>
      <c r="D515" s="63"/>
      <c r="E515" s="64"/>
      <c r="F515" s="74"/>
      <c r="G515" s="74"/>
      <c r="H515" s="64"/>
      <c r="I515" s="64"/>
      <c r="J515" s="64"/>
      <c r="K515" s="16"/>
      <c r="L515" s="16"/>
      <c r="M515" s="64"/>
      <c r="N515" s="16"/>
      <c r="O515" s="16"/>
      <c r="P515" s="64"/>
      <c r="Q515" s="46"/>
      <c r="R515" s="39"/>
      <c r="S515" s="40"/>
      <c r="T515" s="16"/>
      <c r="U515" s="16"/>
      <c r="V515" s="16"/>
      <c r="W515" s="16"/>
      <c r="X515" s="16"/>
      <c r="Y515" s="19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35"/>
      <c r="AQ515" s="10"/>
      <c r="AR515" s="27"/>
    </row>
    <row r="516" spans="1:46" s="2" customFormat="1" ht="17.25" customHeight="1" thickBot="1" x14ac:dyDescent="0.25">
      <c r="A516" s="24"/>
      <c r="B516" s="216"/>
      <c r="C516" s="217"/>
      <c r="D516" s="83"/>
      <c r="E516" s="81"/>
      <c r="F516" s="81"/>
      <c r="G516" s="81"/>
      <c r="H516" s="81"/>
      <c r="I516" s="81"/>
      <c r="J516" s="81"/>
      <c r="K516" s="37"/>
      <c r="L516" s="93"/>
      <c r="M516" s="81"/>
      <c r="N516" s="37"/>
      <c r="O516" s="93"/>
      <c r="P516" s="81"/>
      <c r="Q516" s="40"/>
      <c r="R516" s="40"/>
      <c r="S516" s="39"/>
      <c r="T516" s="16"/>
      <c r="U516" s="16"/>
      <c r="V516" s="16"/>
      <c r="W516" s="16"/>
      <c r="X516" s="16"/>
      <c r="Y516" s="19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41"/>
      <c r="AQ516" s="10"/>
      <c r="AR516" s="11"/>
    </row>
    <row r="517" spans="1:46" s="4" customFormat="1" ht="17.25" customHeight="1" x14ac:dyDescent="0.25">
      <c r="A517" s="23"/>
      <c r="B517" s="210" t="s">
        <v>94</v>
      </c>
      <c r="C517" s="203"/>
      <c r="D517" s="66"/>
      <c r="E517" s="66"/>
      <c r="F517" s="117"/>
      <c r="G517" s="117"/>
      <c r="H517" s="66"/>
      <c r="I517" s="66"/>
      <c r="J517" s="66">
        <f>-M517</f>
        <v>7401.8</v>
      </c>
      <c r="K517" s="58">
        <v>-1244</v>
      </c>
      <c r="L517" s="89">
        <v>5.95</v>
      </c>
      <c r="M517" s="73">
        <f>K517*L517</f>
        <v>-7401.8</v>
      </c>
      <c r="N517" s="58"/>
      <c r="O517" s="89"/>
      <c r="P517" s="73"/>
      <c r="Q517" s="39"/>
      <c r="R517" s="39"/>
      <c r="S517" s="8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35"/>
      <c r="AP517" s="12" t="e">
        <f>#REF!</f>
        <v>#REF!</v>
      </c>
    </row>
    <row r="518" spans="1:46" s="4" customFormat="1" ht="17.25" customHeight="1" x14ac:dyDescent="0.25">
      <c r="A518" s="23"/>
      <c r="B518" s="201" t="s">
        <v>95</v>
      </c>
      <c r="C518" s="202"/>
      <c r="D518" s="64"/>
      <c r="E518" s="64"/>
      <c r="F518" s="117"/>
      <c r="G518" s="117"/>
      <c r="H518" s="64"/>
      <c r="I518" s="64"/>
      <c r="J518" s="64">
        <f>-P518</f>
        <v>5548.8</v>
      </c>
      <c r="K518" s="57"/>
      <c r="L518" s="88"/>
      <c r="M518" s="62"/>
      <c r="N518" s="57">
        <v>-1360</v>
      </c>
      <c r="O518" s="88">
        <v>4.08</v>
      </c>
      <c r="P518" s="62">
        <f>N518*O518</f>
        <v>-5548.8</v>
      </c>
      <c r="Q518" s="39"/>
      <c r="R518" s="39"/>
      <c r="S518" s="8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35"/>
      <c r="AP518" s="12" t="e">
        <f>#REF!</f>
        <v>#REF!</v>
      </c>
    </row>
    <row r="519" spans="1:46" s="4" customFormat="1" ht="17.25" customHeight="1" x14ac:dyDescent="0.25">
      <c r="A519" s="23"/>
      <c r="B519" s="201" t="s">
        <v>97</v>
      </c>
      <c r="C519" s="203"/>
      <c r="D519" s="64"/>
      <c r="E519" s="64"/>
      <c r="F519" s="64"/>
      <c r="G519" s="64"/>
      <c r="H519" s="64">
        <f>-J519-I519</f>
        <v>3360.130000000001</v>
      </c>
      <c r="I519" s="64">
        <v>9590.4699999999993</v>
      </c>
      <c r="J519" s="64">
        <f>-SUM(J517:J518)</f>
        <v>-12950.6</v>
      </c>
      <c r="K519" s="57"/>
      <c r="L519" s="88"/>
      <c r="M519" s="62"/>
      <c r="N519" s="57"/>
      <c r="O519" s="88"/>
      <c r="P519" s="62"/>
      <c r="Q519" s="39"/>
      <c r="R519" s="39"/>
      <c r="S519" s="39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22"/>
      <c r="AO519" s="43">
        <f>A488</f>
        <v>0</v>
      </c>
      <c r="AP519" s="12" t="e">
        <f>#REF!</f>
        <v>#REF!</v>
      </c>
      <c r="AT519" s="2"/>
    </row>
    <row r="520" spans="1:46" s="4" customFormat="1" ht="17.25" customHeight="1" x14ac:dyDescent="0.25">
      <c r="A520" s="23"/>
      <c r="B520" s="201" t="s">
        <v>93</v>
      </c>
      <c r="C520" s="202"/>
      <c r="D520" s="64"/>
      <c r="E520" s="64"/>
      <c r="F520" s="64"/>
      <c r="G520" s="64"/>
      <c r="H520" s="64"/>
      <c r="I520" s="64"/>
      <c r="J520" s="64"/>
      <c r="K520" s="57">
        <v>-13</v>
      </c>
      <c r="L520" s="88"/>
      <c r="M520" s="62">
        <f>(K523*L503)-M503-M517</f>
        <v>793.41537783375406</v>
      </c>
      <c r="N520" s="57">
        <v>39</v>
      </c>
      <c r="O520" s="88"/>
      <c r="P520" s="62">
        <f>(N523*(P503+P514)/(N503+N514))-P503-P518-P514</f>
        <v>538.47097498591484</v>
      </c>
      <c r="Q520" s="39"/>
      <c r="R520" s="39"/>
      <c r="S520" s="39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22"/>
      <c r="AO520" s="43">
        <f>A497</f>
        <v>0</v>
      </c>
      <c r="AP520" s="12" t="e">
        <f>#REF!</f>
        <v>#REF!</v>
      </c>
      <c r="AT520" s="2"/>
    </row>
    <row r="521" spans="1:46" s="2" customFormat="1" ht="17.25" customHeight="1" x14ac:dyDescent="0.2">
      <c r="A521" s="24"/>
      <c r="B521" s="201"/>
      <c r="C521" s="204"/>
      <c r="D521" s="63"/>
      <c r="E521" s="64"/>
      <c r="F521" s="64"/>
      <c r="G521" s="64"/>
      <c r="H521" s="64"/>
      <c r="I521" s="64"/>
      <c r="J521" s="64"/>
      <c r="K521" s="16"/>
      <c r="L521" s="16"/>
      <c r="M521" s="64"/>
      <c r="N521" s="16"/>
      <c r="O521" s="16"/>
      <c r="P521" s="64"/>
      <c r="Q521" s="46"/>
      <c r="R521" s="46"/>
      <c r="S521" s="39"/>
      <c r="T521" s="16"/>
      <c r="U521" s="16"/>
      <c r="V521" s="16"/>
      <c r="W521" s="16"/>
      <c r="X521" s="16"/>
      <c r="Y521" s="19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43">
        <f>A504</f>
        <v>46050</v>
      </c>
      <c r="AQ521" s="10"/>
      <c r="AR521" s="11"/>
    </row>
    <row r="522" spans="1:46" s="2" customFormat="1" ht="17.25" customHeight="1" thickBot="1" x14ac:dyDescent="0.3">
      <c r="A522" s="56"/>
      <c r="B522" s="101" t="s">
        <v>102</v>
      </c>
      <c r="C522" s="102">
        <f>D523+E523+F523+G523+H523+I523+J523+M523+P523</f>
        <v>199643.66954000009</v>
      </c>
      <c r="D522" s="84"/>
      <c r="E522" s="85"/>
      <c r="F522" s="85"/>
      <c r="G522" s="85"/>
      <c r="H522" s="85"/>
      <c r="I522" s="85"/>
      <c r="J522" s="85"/>
      <c r="K522" s="28"/>
      <c r="L522" s="28"/>
      <c r="M522" s="85"/>
      <c r="N522" s="28"/>
      <c r="O522" s="28"/>
      <c r="P522" s="85"/>
      <c r="Q522" s="48"/>
      <c r="R522" s="48"/>
      <c r="S522" s="51"/>
      <c r="T522" s="28"/>
      <c r="U522" s="28"/>
      <c r="V522" s="28"/>
      <c r="W522" s="28"/>
      <c r="X522" s="28"/>
      <c r="Y522" s="36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42">
        <f>SUM($Q503:AN522)</f>
        <v>-530242.5199999999</v>
      </c>
      <c r="AQ522" s="10"/>
      <c r="AR522" s="11"/>
      <c r="AS522" s="2" t="s">
        <v>5</v>
      </c>
    </row>
    <row r="523" spans="1:46" s="2" customFormat="1" ht="17.25" customHeight="1" thickTop="1" thickBot="1" x14ac:dyDescent="0.3">
      <c r="A523" s="103"/>
      <c r="B523" s="104" t="s">
        <v>103</v>
      </c>
      <c r="C523" s="105">
        <f>AO523</f>
        <v>-330598.85045999981</v>
      </c>
      <c r="D523" s="106">
        <f t="shared" ref="D523:K523" si="53">SUM(D503:D522)</f>
        <v>970.0770400000365</v>
      </c>
      <c r="E523" s="107">
        <f t="shared" si="53"/>
        <v>-25047.840000000011</v>
      </c>
      <c r="F523" s="107">
        <f t="shared" si="53"/>
        <v>18895.650000000001</v>
      </c>
      <c r="G523" s="107">
        <f t="shared" si="53"/>
        <v>0</v>
      </c>
      <c r="H523" s="107">
        <f t="shared" si="53"/>
        <v>86864.64250000006</v>
      </c>
      <c r="I523" s="107">
        <f t="shared" si="53"/>
        <v>8696.4699999999993</v>
      </c>
      <c r="J523" s="107">
        <f t="shared" si="53"/>
        <v>0</v>
      </c>
      <c r="K523" s="108">
        <f t="shared" si="53"/>
        <v>5095</v>
      </c>
      <c r="L523" s="109">
        <f>M523/K523</f>
        <v>5.2572679097154067</v>
      </c>
      <c r="M523" s="107">
        <f>ROUND(SUM(M503:M522),2)</f>
        <v>26785.78</v>
      </c>
      <c r="N523" s="108">
        <f>SUM(N503:N522)</f>
        <v>21746</v>
      </c>
      <c r="O523" s="109">
        <f>P523/N523</f>
        <v>3.7928304055918329</v>
      </c>
      <c r="P523" s="107">
        <f>ROUND(SUM(P503:P522),2)</f>
        <v>82478.89</v>
      </c>
      <c r="Q523" s="110">
        <f t="shared" ref="Q523:AN523" si="54">SUM(Q503:Q522)</f>
        <v>-577257.13</v>
      </c>
      <c r="R523" s="107">
        <f t="shared" si="54"/>
        <v>50229.299999999996</v>
      </c>
      <c r="S523" s="107">
        <f t="shared" si="54"/>
        <v>0</v>
      </c>
      <c r="T523" s="107">
        <f t="shared" si="54"/>
        <v>-3214.6900000000005</v>
      </c>
      <c r="U523" s="107">
        <f t="shared" si="54"/>
        <v>0</v>
      </c>
      <c r="V523" s="107">
        <f t="shared" si="54"/>
        <v>0</v>
      </c>
      <c r="W523" s="107">
        <f t="shared" si="54"/>
        <v>0</v>
      </c>
      <c r="X523" s="107">
        <f t="shared" si="54"/>
        <v>0</v>
      </c>
      <c r="Y523" s="107">
        <f t="shared" si="54"/>
        <v>0</v>
      </c>
      <c r="Z523" s="107">
        <f t="shared" si="54"/>
        <v>0</v>
      </c>
      <c r="AA523" s="107">
        <f t="shared" si="54"/>
        <v>0</v>
      </c>
      <c r="AB523" s="107">
        <f t="shared" si="54"/>
        <v>0</v>
      </c>
      <c r="AC523" s="107">
        <f t="shared" si="54"/>
        <v>0</v>
      </c>
      <c r="AD523" s="107">
        <f t="shared" si="54"/>
        <v>0</v>
      </c>
      <c r="AE523" s="107">
        <f t="shared" si="54"/>
        <v>0</v>
      </c>
      <c r="AF523" s="107">
        <f t="shared" si="54"/>
        <v>0</v>
      </c>
      <c r="AG523" s="107">
        <f t="shared" si="54"/>
        <v>0</v>
      </c>
      <c r="AH523" s="107">
        <f t="shared" si="54"/>
        <v>0</v>
      </c>
      <c r="AI523" s="107">
        <f t="shared" si="54"/>
        <v>0</v>
      </c>
      <c r="AJ523" s="107">
        <f t="shared" si="54"/>
        <v>0</v>
      </c>
      <c r="AK523" s="107">
        <f t="shared" si="54"/>
        <v>0</v>
      </c>
      <c r="AL523" s="107">
        <f t="shared" si="54"/>
        <v>0</v>
      </c>
      <c r="AM523" s="107">
        <f t="shared" si="54"/>
        <v>0</v>
      </c>
      <c r="AN523" s="107">
        <f t="shared" si="54"/>
        <v>0</v>
      </c>
      <c r="AO523" s="111">
        <f>D523+E523+F523+G523+H523+I523+J523+M523+P523+SUM(Q523:AN523)</f>
        <v>-330598.85045999981</v>
      </c>
      <c r="AP523" s="4"/>
      <c r="AQ523" s="5"/>
      <c r="AR523" s="5"/>
      <c r="AS523" s="2" t="s">
        <v>6</v>
      </c>
    </row>
    <row r="524" spans="1:46" s="2" customFormat="1" ht="17.25" customHeight="1" thickTop="1" x14ac:dyDescent="0.25">
      <c r="A524" s="23">
        <f>A504+1</f>
        <v>46051</v>
      </c>
      <c r="B524" s="210" t="s">
        <v>64</v>
      </c>
      <c r="C524" s="203"/>
      <c r="D524" s="63">
        <v>8617.2099999999991</v>
      </c>
      <c r="E524" s="66"/>
      <c r="F524" s="66"/>
      <c r="G524" s="66"/>
      <c r="H524" s="66"/>
      <c r="I524" s="66">
        <f>-D524</f>
        <v>-8617.2099999999991</v>
      </c>
      <c r="J524" s="66"/>
      <c r="K524" s="18"/>
      <c r="L524" s="18"/>
      <c r="M524" s="66"/>
      <c r="N524" s="18"/>
      <c r="O524" s="18"/>
      <c r="P524" s="66"/>
      <c r="Q524" s="46"/>
      <c r="R524" s="46"/>
      <c r="S524" s="45"/>
      <c r="T524" s="18"/>
      <c r="U524" s="18"/>
      <c r="V524" s="18"/>
      <c r="W524" s="18"/>
      <c r="X524" s="18"/>
      <c r="Y524" s="14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31"/>
      <c r="AQ524" s="10"/>
      <c r="AR524" s="27"/>
    </row>
    <row r="525" spans="1:46" s="4" customFormat="1" ht="17.25" customHeight="1" x14ac:dyDescent="0.25">
      <c r="A525" s="23"/>
      <c r="B525" s="201" t="s">
        <v>96</v>
      </c>
      <c r="C525" s="202"/>
      <c r="D525" s="63"/>
      <c r="E525" s="64"/>
      <c r="F525" s="64"/>
      <c r="G525" s="64"/>
      <c r="H525" s="64"/>
      <c r="I525" s="64">
        <f>-I523-I524</f>
        <v>-79.260000000000218</v>
      </c>
      <c r="J525" s="64"/>
      <c r="K525" s="16"/>
      <c r="L525" s="92"/>
      <c r="M525" s="64"/>
      <c r="N525" s="16"/>
      <c r="O525" s="92"/>
      <c r="P525" s="64"/>
      <c r="Q525" s="40"/>
      <c r="R525" s="46"/>
      <c r="S525" s="39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22"/>
      <c r="AP525" s="30"/>
    </row>
    <row r="526" spans="1:46" s="2" customFormat="1" ht="17.25" customHeight="1" x14ac:dyDescent="0.25">
      <c r="A526" s="29"/>
      <c r="B526" s="201" t="s">
        <v>327</v>
      </c>
      <c r="C526" s="202"/>
      <c r="D526" s="63">
        <f>25+40+100+19.5+30+70+50+15+16+50+60+100+50+49.5+50+40</f>
        <v>765</v>
      </c>
      <c r="E526" s="64"/>
      <c r="F526" s="64"/>
      <c r="G526" s="64"/>
      <c r="H526" s="64"/>
      <c r="I526" s="64">
        <f>-D526</f>
        <v>-765</v>
      </c>
      <c r="J526" s="64"/>
      <c r="K526" s="57"/>
      <c r="L526" s="88"/>
      <c r="M526" s="62"/>
      <c r="N526" s="57"/>
      <c r="O526" s="88"/>
      <c r="P526" s="62"/>
      <c r="Q526" s="47"/>
      <c r="R526" s="39"/>
      <c r="S526" s="39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22"/>
      <c r="AQ526" s="10"/>
      <c r="AR526" s="11"/>
    </row>
    <row r="527" spans="1:46" s="2" customFormat="1" ht="17.25" customHeight="1" x14ac:dyDescent="0.25">
      <c r="A527" s="29"/>
      <c r="B527" s="201" t="s">
        <v>328</v>
      </c>
      <c r="C527" s="202"/>
      <c r="D527" s="63">
        <f>-16*0.99</f>
        <v>-15.84</v>
      </c>
      <c r="E527" s="64"/>
      <c r="F527" s="64"/>
      <c r="G527" s="64"/>
      <c r="H527" s="64"/>
      <c r="I527" s="64"/>
      <c r="J527" s="64"/>
      <c r="K527" s="57"/>
      <c r="L527" s="88"/>
      <c r="M527" s="62"/>
      <c r="N527" s="57"/>
      <c r="O527" s="88"/>
      <c r="P527" s="62"/>
      <c r="Q527" s="47"/>
      <c r="R527" s="39"/>
      <c r="S527" s="39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22"/>
      <c r="AQ527" s="10"/>
      <c r="AR527" s="11"/>
    </row>
    <row r="528" spans="1:46" s="2" customFormat="1" ht="17.25" customHeight="1" x14ac:dyDescent="0.25">
      <c r="A528" s="29"/>
      <c r="B528" s="201" t="s">
        <v>72</v>
      </c>
      <c r="C528" s="202"/>
      <c r="D528" s="63">
        <v>-9500</v>
      </c>
      <c r="E528" s="64"/>
      <c r="F528" s="64">
        <f>-D528</f>
        <v>9500</v>
      </c>
      <c r="G528" s="64"/>
      <c r="H528" s="64"/>
      <c r="I528" s="64"/>
      <c r="J528" s="64"/>
      <c r="K528" s="57"/>
      <c r="L528" s="88"/>
      <c r="M528" s="62"/>
      <c r="N528" s="57"/>
      <c r="O528" s="88"/>
      <c r="P528" s="62"/>
      <c r="Q528" s="47"/>
      <c r="R528" s="39"/>
      <c r="S528" s="39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22"/>
      <c r="AQ528" s="10" t="s">
        <v>4</v>
      </c>
      <c r="AR528" s="11" t="e">
        <v>#REF!</v>
      </c>
    </row>
    <row r="529" spans="1:46" s="4" customFormat="1" ht="17.25" customHeight="1" x14ac:dyDescent="0.25">
      <c r="A529" s="23"/>
      <c r="B529" s="201" t="s">
        <v>13</v>
      </c>
      <c r="C529" s="203"/>
      <c r="D529" s="63"/>
      <c r="E529" s="64">
        <f>100+30+20+50+146+193+1034+10+1912+595+1890</f>
        <v>5980</v>
      </c>
      <c r="F529" s="64"/>
      <c r="G529" s="64"/>
      <c r="H529" s="64">
        <f>-E529</f>
        <v>-5980</v>
      </c>
      <c r="I529" s="66"/>
      <c r="J529" s="64"/>
      <c r="K529" s="16"/>
      <c r="L529" s="92"/>
      <c r="M529" s="64"/>
      <c r="N529" s="16"/>
      <c r="O529" s="92"/>
      <c r="P529" s="64"/>
      <c r="Q529" s="40"/>
      <c r="R529" s="46"/>
      <c r="S529" s="39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22"/>
      <c r="AP529" s="30"/>
    </row>
    <row r="530" spans="1:46" s="2" customFormat="1" ht="17.25" customHeight="1" x14ac:dyDescent="0.25">
      <c r="A530" s="29"/>
      <c r="B530" s="201" t="s">
        <v>72</v>
      </c>
      <c r="C530" s="202"/>
      <c r="D530" s="63"/>
      <c r="E530" s="64"/>
      <c r="F530" s="64"/>
      <c r="G530" s="64"/>
      <c r="H530" s="64"/>
      <c r="I530" s="64"/>
      <c r="J530" s="64"/>
      <c r="K530" s="57"/>
      <c r="L530" s="88"/>
      <c r="M530" s="62"/>
      <c r="N530" s="57"/>
      <c r="O530" s="88"/>
      <c r="P530" s="62"/>
      <c r="Q530" s="47"/>
      <c r="R530" s="39"/>
      <c r="S530" s="39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22"/>
      <c r="AQ530" s="10" t="s">
        <v>4</v>
      </c>
      <c r="AR530" s="11" t="e">
        <v>#REF!</v>
      </c>
    </row>
    <row r="531" spans="1:46" s="2" customFormat="1" ht="17.25" customHeight="1" x14ac:dyDescent="0.2">
      <c r="A531" s="23"/>
      <c r="B531" s="205" t="s">
        <v>239</v>
      </c>
      <c r="C531" s="206"/>
      <c r="D531" s="64"/>
      <c r="E531" s="64"/>
      <c r="F531" s="64"/>
      <c r="G531" s="64"/>
      <c r="H531" s="64"/>
      <c r="I531" s="64"/>
      <c r="J531" s="64"/>
      <c r="K531" s="57"/>
      <c r="L531" s="88"/>
      <c r="M531" s="62"/>
      <c r="N531" s="57"/>
      <c r="O531" s="88"/>
      <c r="P531" s="62"/>
      <c r="Q531" s="39"/>
      <c r="R531" s="39"/>
      <c r="S531" s="39"/>
      <c r="T531" s="16"/>
      <c r="U531" s="16"/>
      <c r="V531" s="16"/>
      <c r="W531" s="16"/>
      <c r="X531" s="16"/>
      <c r="Y531" s="19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35"/>
      <c r="AQ531" s="10"/>
      <c r="AR531" s="27"/>
    </row>
    <row r="532" spans="1:46" s="2" customFormat="1" ht="17.25" customHeight="1" thickBot="1" x14ac:dyDescent="0.25">
      <c r="A532" s="24"/>
      <c r="B532" s="216"/>
      <c r="C532" s="217"/>
      <c r="D532" s="83"/>
      <c r="E532" s="81"/>
      <c r="F532" s="81"/>
      <c r="G532" s="81"/>
      <c r="H532" s="81"/>
      <c r="I532" s="81"/>
      <c r="J532" s="81"/>
      <c r="K532" s="37"/>
      <c r="L532" s="93"/>
      <c r="M532" s="81"/>
      <c r="N532" s="37"/>
      <c r="O532" s="93"/>
      <c r="P532" s="81"/>
      <c r="Q532" s="40"/>
      <c r="R532" s="40"/>
      <c r="S532" s="39"/>
      <c r="T532" s="16"/>
      <c r="U532" s="16"/>
      <c r="V532" s="16"/>
      <c r="W532" s="16"/>
      <c r="X532" s="16"/>
      <c r="Y532" s="19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41"/>
      <c r="AQ532" s="10"/>
      <c r="AR532" s="11"/>
    </row>
    <row r="533" spans="1:46" s="4" customFormat="1" ht="17.25" customHeight="1" x14ac:dyDescent="0.25">
      <c r="A533" s="23"/>
      <c r="B533" s="210" t="s">
        <v>94</v>
      </c>
      <c r="C533" s="203"/>
      <c r="D533" s="66"/>
      <c r="E533" s="66"/>
      <c r="F533" s="117"/>
      <c r="G533" s="117"/>
      <c r="H533" s="66"/>
      <c r="I533" s="66"/>
      <c r="J533" s="66">
        <f>-M533</f>
        <v>6592.6</v>
      </c>
      <c r="K533" s="58">
        <v>-1108</v>
      </c>
      <c r="L533" s="89">
        <v>5.95</v>
      </c>
      <c r="M533" s="73">
        <f>K533*L533</f>
        <v>-6592.6</v>
      </c>
      <c r="N533" s="58"/>
      <c r="O533" s="89"/>
      <c r="P533" s="73"/>
      <c r="Q533" s="39"/>
      <c r="R533" s="39"/>
      <c r="S533" s="8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35"/>
      <c r="AP533" s="12" t="e">
        <f>#REF!</f>
        <v>#REF!</v>
      </c>
    </row>
    <row r="534" spans="1:46" s="4" customFormat="1" ht="17.25" customHeight="1" x14ac:dyDescent="0.25">
      <c r="A534" s="23"/>
      <c r="B534" s="201" t="s">
        <v>95</v>
      </c>
      <c r="C534" s="202"/>
      <c r="D534" s="64"/>
      <c r="E534" s="64"/>
      <c r="F534" s="117"/>
      <c r="G534" s="117"/>
      <c r="H534" s="64"/>
      <c r="I534" s="64"/>
      <c r="J534" s="64">
        <f>-P534</f>
        <v>7862.16</v>
      </c>
      <c r="K534" s="57"/>
      <c r="L534" s="88"/>
      <c r="M534" s="62"/>
      <c r="N534" s="57">
        <v>-1927</v>
      </c>
      <c r="O534" s="88">
        <v>4.08</v>
      </c>
      <c r="P534" s="62">
        <f>N534*O534</f>
        <v>-7862.16</v>
      </c>
      <c r="Q534" s="39"/>
      <c r="R534" s="39"/>
      <c r="S534" s="8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35"/>
      <c r="AP534" s="12" t="e">
        <f>#REF!</f>
        <v>#REF!</v>
      </c>
    </row>
    <row r="535" spans="1:46" s="4" customFormat="1" ht="17.25" customHeight="1" x14ac:dyDescent="0.25">
      <c r="A535" s="23"/>
      <c r="B535" s="201" t="s">
        <v>97</v>
      </c>
      <c r="C535" s="203"/>
      <c r="D535" s="64"/>
      <c r="E535" s="64"/>
      <c r="F535" s="64"/>
      <c r="G535" s="64"/>
      <c r="H535" s="64">
        <f>-J535-I535</f>
        <v>4318.76</v>
      </c>
      <c r="I535" s="64">
        <v>10136</v>
      </c>
      <c r="J535" s="64">
        <f>-SUM(J533:J534)</f>
        <v>-14454.76</v>
      </c>
      <c r="K535" s="57"/>
      <c r="L535" s="88"/>
      <c r="M535" s="62"/>
      <c r="N535" s="57"/>
      <c r="O535" s="88"/>
      <c r="P535" s="62"/>
      <c r="Q535" s="39"/>
      <c r="R535" s="39"/>
      <c r="S535" s="39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22"/>
      <c r="AO535" s="43">
        <f>A509</f>
        <v>0</v>
      </c>
      <c r="AP535" s="12" t="e">
        <f>#REF!</f>
        <v>#REF!</v>
      </c>
      <c r="AT535" s="2"/>
    </row>
    <row r="536" spans="1:46" s="4" customFormat="1" ht="17.25" customHeight="1" x14ac:dyDescent="0.25">
      <c r="A536" s="23"/>
      <c r="B536" s="201" t="s">
        <v>93</v>
      </c>
      <c r="C536" s="202"/>
      <c r="D536" s="64"/>
      <c r="E536" s="64"/>
      <c r="F536" s="64"/>
      <c r="G536" s="64"/>
      <c r="H536" s="64"/>
      <c r="I536" s="64"/>
      <c r="J536" s="64"/>
      <c r="K536" s="57">
        <v>5</v>
      </c>
      <c r="L536" s="88"/>
      <c r="M536" s="62">
        <f>(K539*L523)-M523-M533</f>
        <v>793.83349558390364</v>
      </c>
      <c r="N536" s="57">
        <v>-36</v>
      </c>
      <c r="O536" s="88"/>
      <c r="P536" s="62">
        <f>(N539*(P523+P531)/(N523+N531))-P523-P534-P531</f>
        <v>416.83391382322225</v>
      </c>
      <c r="Q536" s="39"/>
      <c r="R536" s="39"/>
      <c r="S536" s="39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22"/>
      <c r="AO536" s="43">
        <f>A517</f>
        <v>0</v>
      </c>
      <c r="AP536" s="12" t="e">
        <f>#REF!</f>
        <v>#REF!</v>
      </c>
      <c r="AT536" s="2"/>
    </row>
    <row r="537" spans="1:46" s="2" customFormat="1" ht="17.25" customHeight="1" x14ac:dyDescent="0.2">
      <c r="A537" s="24"/>
      <c r="B537" s="201"/>
      <c r="C537" s="204"/>
      <c r="D537" s="63"/>
      <c r="E537" s="64"/>
      <c r="F537" s="64"/>
      <c r="G537" s="64"/>
      <c r="H537" s="64"/>
      <c r="I537" s="64"/>
      <c r="J537" s="64"/>
      <c r="K537" s="16"/>
      <c r="L537" s="16"/>
      <c r="M537" s="64"/>
      <c r="N537" s="16"/>
      <c r="O537" s="16"/>
      <c r="P537" s="64"/>
      <c r="Q537" s="46"/>
      <c r="R537" s="46"/>
      <c r="S537" s="39"/>
      <c r="T537" s="16"/>
      <c r="U537" s="16"/>
      <c r="V537" s="16"/>
      <c r="W537" s="16"/>
      <c r="X537" s="16"/>
      <c r="Y537" s="19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43">
        <f>A524</f>
        <v>46051</v>
      </c>
      <c r="AQ537" s="10"/>
      <c r="AR537" s="11"/>
    </row>
    <row r="538" spans="1:46" s="2" customFormat="1" ht="17.25" customHeight="1" thickBot="1" x14ac:dyDescent="0.3">
      <c r="A538" s="56"/>
      <c r="B538" s="101" t="s">
        <v>102</v>
      </c>
      <c r="C538" s="102">
        <f>D539+E539+F539+G539+H539+I539+J539+M539+P539</f>
        <v>200759.22954000009</v>
      </c>
      <c r="D538" s="84"/>
      <c r="E538" s="85"/>
      <c r="F538" s="85"/>
      <c r="G538" s="85"/>
      <c r="H538" s="85"/>
      <c r="I538" s="85"/>
      <c r="J538" s="85"/>
      <c r="K538" s="28"/>
      <c r="L538" s="28"/>
      <c r="M538" s="85"/>
      <c r="N538" s="28"/>
      <c r="O538" s="28"/>
      <c r="P538" s="85"/>
      <c r="Q538" s="48"/>
      <c r="R538" s="48"/>
      <c r="S538" s="51"/>
      <c r="T538" s="28"/>
      <c r="U538" s="28"/>
      <c r="V538" s="28"/>
      <c r="W538" s="28"/>
      <c r="X538" s="28"/>
      <c r="Y538" s="36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42">
        <f>SUM($Q523:AN538)</f>
        <v>-530242.5199999999</v>
      </c>
      <c r="AQ538" s="10"/>
      <c r="AR538" s="11"/>
      <c r="AS538" s="2" t="s">
        <v>5</v>
      </c>
    </row>
    <row r="539" spans="1:46" s="2" customFormat="1" ht="17.25" customHeight="1" thickTop="1" thickBot="1" x14ac:dyDescent="0.3">
      <c r="A539" s="103"/>
      <c r="B539" s="104" t="s">
        <v>103</v>
      </c>
      <c r="C539" s="105">
        <f>AO539</f>
        <v>-329483.29045999981</v>
      </c>
      <c r="D539" s="106">
        <f t="shared" ref="D539:K539" si="55">SUM(D523:D538)</f>
        <v>836.44704000003549</v>
      </c>
      <c r="E539" s="107">
        <f t="shared" si="55"/>
        <v>-19067.840000000011</v>
      </c>
      <c r="F539" s="107">
        <f t="shared" si="55"/>
        <v>28395.65</v>
      </c>
      <c r="G539" s="107">
        <f t="shared" si="55"/>
        <v>0</v>
      </c>
      <c r="H539" s="107">
        <f t="shared" si="55"/>
        <v>85203.402500000055</v>
      </c>
      <c r="I539" s="107">
        <f t="shared" si="55"/>
        <v>9371</v>
      </c>
      <c r="J539" s="107">
        <f t="shared" si="55"/>
        <v>0</v>
      </c>
      <c r="K539" s="108">
        <f t="shared" si="55"/>
        <v>3992</v>
      </c>
      <c r="L539" s="109">
        <f>M539/K539</f>
        <v>5.2572670340681356</v>
      </c>
      <c r="M539" s="107">
        <f>ROUND(SUM(M523:M538),2)</f>
        <v>20987.01</v>
      </c>
      <c r="N539" s="108">
        <f>SUM(N523:N538)</f>
        <v>19783</v>
      </c>
      <c r="O539" s="109">
        <f>P539/N539</f>
        <v>3.792830207754132</v>
      </c>
      <c r="P539" s="107">
        <f>ROUND(SUM(P523:P538),2)</f>
        <v>75033.56</v>
      </c>
      <c r="Q539" s="110">
        <f t="shared" ref="Q539:AN539" si="56">SUM(Q523:Q538)</f>
        <v>-577257.13</v>
      </c>
      <c r="R539" s="107">
        <f t="shared" si="56"/>
        <v>50229.299999999996</v>
      </c>
      <c r="S539" s="107">
        <f t="shared" si="56"/>
        <v>0</v>
      </c>
      <c r="T539" s="107">
        <f t="shared" si="56"/>
        <v>-3214.6900000000005</v>
      </c>
      <c r="U539" s="107">
        <f t="shared" si="56"/>
        <v>0</v>
      </c>
      <c r="V539" s="107">
        <f t="shared" si="56"/>
        <v>0</v>
      </c>
      <c r="W539" s="107">
        <f t="shared" si="56"/>
        <v>0</v>
      </c>
      <c r="X539" s="107">
        <f t="shared" si="56"/>
        <v>0</v>
      </c>
      <c r="Y539" s="107">
        <f t="shared" si="56"/>
        <v>0</v>
      </c>
      <c r="Z539" s="107">
        <f t="shared" si="56"/>
        <v>0</v>
      </c>
      <c r="AA539" s="107">
        <f t="shared" si="56"/>
        <v>0</v>
      </c>
      <c r="AB539" s="107">
        <f t="shared" si="56"/>
        <v>0</v>
      </c>
      <c r="AC539" s="107">
        <f t="shared" si="56"/>
        <v>0</v>
      </c>
      <c r="AD539" s="107">
        <f t="shared" si="56"/>
        <v>0</v>
      </c>
      <c r="AE539" s="107">
        <f t="shared" si="56"/>
        <v>0</v>
      </c>
      <c r="AF539" s="107">
        <f t="shared" si="56"/>
        <v>0</v>
      </c>
      <c r="AG539" s="107">
        <f t="shared" si="56"/>
        <v>0</v>
      </c>
      <c r="AH539" s="107">
        <f t="shared" si="56"/>
        <v>0</v>
      </c>
      <c r="AI539" s="107">
        <f t="shared" si="56"/>
        <v>0</v>
      </c>
      <c r="AJ539" s="107">
        <f t="shared" si="56"/>
        <v>0</v>
      </c>
      <c r="AK539" s="107">
        <f t="shared" si="56"/>
        <v>0</v>
      </c>
      <c r="AL539" s="107">
        <f t="shared" si="56"/>
        <v>0</v>
      </c>
      <c r="AM539" s="107">
        <f t="shared" si="56"/>
        <v>0</v>
      </c>
      <c r="AN539" s="107">
        <f t="shared" si="56"/>
        <v>0</v>
      </c>
      <c r="AO539" s="111">
        <f>D539+E539+F539+G539+H539+I539+J539+M539+P539+SUM(Q539:AN539)</f>
        <v>-329483.29045999981</v>
      </c>
      <c r="AP539" s="4"/>
      <c r="AQ539" s="5"/>
      <c r="AR539" s="5"/>
      <c r="AS539" s="2" t="s">
        <v>6</v>
      </c>
    </row>
    <row r="540" spans="1:46" s="2" customFormat="1" ht="17.25" customHeight="1" thickTop="1" x14ac:dyDescent="0.25">
      <c r="A540" s="23">
        <f>A524+1</f>
        <v>46052</v>
      </c>
      <c r="B540" s="210" t="s">
        <v>64</v>
      </c>
      <c r="C540" s="203"/>
      <c r="D540" s="63">
        <v>9153.98</v>
      </c>
      <c r="E540" s="66"/>
      <c r="F540" s="66"/>
      <c r="G540" s="66"/>
      <c r="H540" s="66"/>
      <c r="I540" s="66">
        <f>-D540</f>
        <v>-9153.98</v>
      </c>
      <c r="J540" s="66"/>
      <c r="K540" s="18"/>
      <c r="L540" s="18"/>
      <c r="M540" s="66"/>
      <c r="N540" s="18"/>
      <c r="O540" s="18"/>
      <c r="P540" s="66"/>
      <c r="Q540" s="46"/>
      <c r="R540" s="46"/>
      <c r="S540" s="45"/>
      <c r="T540" s="18"/>
      <c r="U540" s="18"/>
      <c r="V540" s="18"/>
      <c r="W540" s="18"/>
      <c r="X540" s="18"/>
      <c r="Y540" s="14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31"/>
      <c r="AQ540" s="10"/>
      <c r="AR540" s="27"/>
    </row>
    <row r="541" spans="1:46" s="4" customFormat="1" ht="17.25" customHeight="1" x14ac:dyDescent="0.25">
      <c r="A541" s="23"/>
      <c r="B541" s="201" t="s">
        <v>96</v>
      </c>
      <c r="C541" s="202"/>
      <c r="D541" s="63"/>
      <c r="E541" s="64"/>
      <c r="F541" s="64"/>
      <c r="G541" s="64"/>
      <c r="H541" s="64"/>
      <c r="I541" s="64">
        <f>-I539-I540</f>
        <v>-217.02000000000044</v>
      </c>
      <c r="J541" s="64"/>
      <c r="K541" s="16"/>
      <c r="L541" s="92"/>
      <c r="M541" s="64"/>
      <c r="N541" s="16"/>
      <c r="O541" s="92"/>
      <c r="P541" s="64"/>
      <c r="Q541" s="40"/>
      <c r="R541" s="46"/>
      <c r="S541" s="39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22"/>
      <c r="AP541" s="30"/>
    </row>
    <row r="542" spans="1:46" s="2" customFormat="1" ht="17.25" customHeight="1" x14ac:dyDescent="0.25">
      <c r="A542" s="29"/>
      <c r="B542" s="201" t="s">
        <v>327</v>
      </c>
      <c r="C542" s="202"/>
      <c r="D542" s="63">
        <f>20+184+100+50+40+20+50+20+50+30+100+130+100+50+150+50+140+100</f>
        <v>1384</v>
      </c>
      <c r="E542" s="64"/>
      <c r="F542" s="64"/>
      <c r="G542" s="64"/>
      <c r="H542" s="64"/>
      <c r="I542" s="64">
        <f>-D542</f>
        <v>-1384</v>
      </c>
      <c r="J542" s="64"/>
      <c r="K542" s="57"/>
      <c r="L542" s="88"/>
      <c r="M542" s="62"/>
      <c r="N542" s="57"/>
      <c r="O542" s="88"/>
      <c r="P542" s="62"/>
      <c r="Q542" s="47"/>
      <c r="R542" s="39"/>
      <c r="S542" s="39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22"/>
      <c r="AQ542" s="10"/>
      <c r="AR542" s="11"/>
    </row>
    <row r="543" spans="1:46" s="2" customFormat="1" ht="17.25" customHeight="1" x14ac:dyDescent="0.25">
      <c r="A543" s="29"/>
      <c r="B543" s="201" t="s">
        <v>328</v>
      </c>
      <c r="C543" s="202"/>
      <c r="D543" s="63">
        <f>-14*0.99-1.47-1.04-1.2-1.12</f>
        <v>-18.690000000000001</v>
      </c>
      <c r="E543" s="64"/>
      <c r="F543" s="64"/>
      <c r="G543" s="64"/>
      <c r="H543" s="64"/>
      <c r="I543" s="64"/>
      <c r="J543" s="64"/>
      <c r="K543" s="57"/>
      <c r="L543" s="88"/>
      <c r="M543" s="62"/>
      <c r="N543" s="57"/>
      <c r="O543" s="88"/>
      <c r="P543" s="62"/>
      <c r="Q543" s="47"/>
      <c r="R543" s="39"/>
      <c r="S543" s="39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22"/>
      <c r="AQ543" s="10"/>
      <c r="AR543" s="11"/>
    </row>
    <row r="544" spans="1:46" s="4" customFormat="1" ht="17.25" customHeight="1" x14ac:dyDescent="0.25">
      <c r="A544" s="23"/>
      <c r="B544" s="201" t="s">
        <v>13</v>
      </c>
      <c r="C544" s="203"/>
      <c r="D544" s="63"/>
      <c r="E544" s="64">
        <f>18.05+30+20+20+9.5+30+50+50+100+1829+500+1162+902</f>
        <v>4720.55</v>
      </c>
      <c r="F544" s="64"/>
      <c r="G544" s="64"/>
      <c r="H544" s="64">
        <f>-E544</f>
        <v>-4720.55</v>
      </c>
      <c r="I544" s="66"/>
      <c r="J544" s="64"/>
      <c r="K544" s="16"/>
      <c r="L544" s="92"/>
      <c r="M544" s="64"/>
      <c r="N544" s="16"/>
      <c r="O544" s="92"/>
      <c r="P544" s="64"/>
      <c r="Q544" s="40"/>
      <c r="R544" s="46"/>
      <c r="S544" s="39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22"/>
      <c r="AP544" s="30"/>
    </row>
    <row r="545" spans="1:46" s="2" customFormat="1" ht="17.25" customHeight="1" x14ac:dyDescent="0.25">
      <c r="A545" s="24"/>
      <c r="B545" s="205" t="s">
        <v>455</v>
      </c>
      <c r="C545" s="206"/>
      <c r="D545" s="63"/>
      <c r="E545" s="20">
        <v>-6640.38</v>
      </c>
      <c r="F545" s="64"/>
      <c r="G545" s="64"/>
      <c r="H545" s="64"/>
      <c r="I545" s="64"/>
      <c r="J545" s="64"/>
      <c r="K545" s="16"/>
      <c r="L545" s="92"/>
      <c r="M545" s="64"/>
      <c r="N545" s="16"/>
      <c r="O545" s="92"/>
      <c r="P545" s="64"/>
      <c r="Q545" s="40"/>
      <c r="R545" s="40"/>
      <c r="S545" s="39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22"/>
      <c r="AQ545" s="10"/>
      <c r="AR545" s="11"/>
    </row>
    <row r="546" spans="1:46" s="2" customFormat="1" ht="17.25" customHeight="1" x14ac:dyDescent="0.2">
      <c r="A546" s="23"/>
      <c r="B546" s="205" t="s">
        <v>452</v>
      </c>
      <c r="C546" s="250"/>
      <c r="D546" s="63"/>
      <c r="E546" s="20">
        <v>-1459.74</v>
      </c>
      <c r="F546" s="74"/>
      <c r="G546" s="74"/>
      <c r="H546" s="64"/>
      <c r="I546" s="64"/>
      <c r="J546" s="64"/>
      <c r="K546" s="16"/>
      <c r="L546" s="16"/>
      <c r="M546" s="64"/>
      <c r="N546" s="16"/>
      <c r="O546" s="16"/>
      <c r="P546" s="64"/>
      <c r="Q546" s="46"/>
      <c r="R546" s="39"/>
      <c r="S546" s="40"/>
      <c r="T546" s="16"/>
      <c r="U546" s="16"/>
      <c r="V546" s="16"/>
      <c r="W546" s="16"/>
      <c r="X546" s="16"/>
      <c r="Y546" s="19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35"/>
      <c r="AQ546" s="10"/>
      <c r="AR546" s="27"/>
    </row>
    <row r="547" spans="1:46" s="2" customFormat="1" ht="17.25" customHeight="1" x14ac:dyDescent="0.2">
      <c r="A547" s="23"/>
      <c r="B547" s="201" t="s">
        <v>240</v>
      </c>
      <c r="C547" s="202"/>
      <c r="D547" s="63"/>
      <c r="E547" s="64"/>
      <c r="F547" s="74"/>
      <c r="G547" s="74"/>
      <c r="H547" s="64"/>
      <c r="I547" s="64"/>
      <c r="J547" s="64"/>
      <c r="K547" s="16"/>
      <c r="L547" s="16"/>
      <c r="M547" s="64"/>
      <c r="N547" s="16"/>
      <c r="O547" s="16"/>
      <c r="P547" s="64"/>
      <c r="Q547" s="46"/>
      <c r="R547" s="39"/>
      <c r="S547" s="40"/>
      <c r="T547" s="16"/>
      <c r="U547" s="16"/>
      <c r="V547" s="16"/>
      <c r="W547" s="16"/>
      <c r="X547" s="16"/>
      <c r="Y547" s="19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35"/>
      <c r="AQ547" s="10"/>
      <c r="AR547" s="27"/>
    </row>
    <row r="548" spans="1:46" s="2" customFormat="1" ht="17.25" customHeight="1" x14ac:dyDescent="0.25">
      <c r="A548" s="29"/>
      <c r="B548" s="201" t="s">
        <v>72</v>
      </c>
      <c r="C548" s="202"/>
      <c r="D548" s="63"/>
      <c r="E548" s="64"/>
      <c r="F548" s="64"/>
      <c r="G548" s="64"/>
      <c r="H548" s="64"/>
      <c r="I548" s="64"/>
      <c r="J548" s="64"/>
      <c r="K548" s="57"/>
      <c r="L548" s="88"/>
      <c r="M548" s="62"/>
      <c r="N548" s="57"/>
      <c r="O548" s="88"/>
      <c r="P548" s="62"/>
      <c r="Q548" s="47"/>
      <c r="R548" s="39"/>
      <c r="S548" s="39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22"/>
      <c r="AQ548" s="10" t="s">
        <v>4</v>
      </c>
      <c r="AR548" s="11" t="e">
        <v>#REF!</v>
      </c>
    </row>
    <row r="549" spans="1:46" s="2" customFormat="1" ht="17.25" customHeight="1" x14ac:dyDescent="0.25">
      <c r="A549" s="29"/>
      <c r="B549" s="201" t="s">
        <v>72</v>
      </c>
      <c r="C549" s="202"/>
      <c r="D549" s="63"/>
      <c r="E549" s="64"/>
      <c r="F549" s="64"/>
      <c r="G549" s="64"/>
      <c r="H549" s="64"/>
      <c r="I549" s="64"/>
      <c r="J549" s="64"/>
      <c r="K549" s="57"/>
      <c r="L549" s="88"/>
      <c r="M549" s="62"/>
      <c r="N549" s="57"/>
      <c r="O549" s="88"/>
      <c r="P549" s="62"/>
      <c r="Q549" s="47"/>
      <c r="R549" s="39"/>
      <c r="S549" s="39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22"/>
      <c r="AQ549" s="10" t="s">
        <v>4</v>
      </c>
      <c r="AR549" s="11" t="e">
        <v>#REF!</v>
      </c>
    </row>
    <row r="550" spans="1:46" s="2" customFormat="1" ht="17.25" customHeight="1" x14ac:dyDescent="0.25">
      <c r="A550" s="29"/>
      <c r="B550" s="201" t="s">
        <v>72</v>
      </c>
      <c r="C550" s="202"/>
      <c r="D550" s="63"/>
      <c r="E550" s="64"/>
      <c r="F550" s="64"/>
      <c r="G550" s="64"/>
      <c r="H550" s="64"/>
      <c r="I550" s="64"/>
      <c r="J550" s="64"/>
      <c r="K550" s="57"/>
      <c r="L550" s="88"/>
      <c r="M550" s="62"/>
      <c r="N550" s="57"/>
      <c r="O550" s="88"/>
      <c r="P550" s="62"/>
      <c r="Q550" s="47"/>
      <c r="R550" s="39"/>
      <c r="S550" s="39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22"/>
      <c r="AQ550" s="10" t="s">
        <v>4</v>
      </c>
      <c r="AR550" s="11" t="e">
        <v>#REF!</v>
      </c>
    </row>
    <row r="551" spans="1:46" s="2" customFormat="1" ht="17.25" customHeight="1" x14ac:dyDescent="0.2">
      <c r="A551" s="23"/>
      <c r="B551" s="201" t="s">
        <v>240</v>
      </c>
      <c r="C551" s="202"/>
      <c r="D551" s="63"/>
      <c r="E551" s="64"/>
      <c r="F551" s="74"/>
      <c r="G551" s="74"/>
      <c r="H551" s="64"/>
      <c r="I551" s="64"/>
      <c r="J551" s="64"/>
      <c r="K551" s="16"/>
      <c r="L551" s="16"/>
      <c r="M551" s="64"/>
      <c r="N551" s="16"/>
      <c r="O551" s="16"/>
      <c r="P551" s="64"/>
      <c r="Q551" s="46"/>
      <c r="R551" s="39"/>
      <c r="S551" s="40"/>
      <c r="T551" s="16"/>
      <c r="U551" s="16"/>
      <c r="V551" s="16"/>
      <c r="W551" s="16"/>
      <c r="X551" s="16"/>
      <c r="Y551" s="19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35"/>
      <c r="AQ551" s="10"/>
      <c r="AR551" s="27"/>
    </row>
    <row r="552" spans="1:46" s="2" customFormat="1" ht="17.25" customHeight="1" thickBot="1" x14ac:dyDescent="0.25">
      <c r="A552" s="24"/>
      <c r="B552" s="216"/>
      <c r="C552" s="217"/>
      <c r="D552" s="83"/>
      <c r="E552" s="81"/>
      <c r="F552" s="81"/>
      <c r="G552" s="81"/>
      <c r="H552" s="81"/>
      <c r="I552" s="81"/>
      <c r="J552" s="81"/>
      <c r="K552" s="37"/>
      <c r="L552" s="93"/>
      <c r="M552" s="81"/>
      <c r="N552" s="37"/>
      <c r="O552" s="93"/>
      <c r="P552" s="81"/>
      <c r="Q552" s="40"/>
      <c r="R552" s="40"/>
      <c r="S552" s="39"/>
      <c r="T552" s="16"/>
      <c r="U552" s="16"/>
      <c r="V552" s="16"/>
      <c r="W552" s="16"/>
      <c r="X552" s="16"/>
      <c r="Y552" s="19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41"/>
      <c r="AQ552" s="10"/>
      <c r="AR552" s="11"/>
    </row>
    <row r="553" spans="1:46" s="4" customFormat="1" ht="17.25" customHeight="1" x14ac:dyDescent="0.25">
      <c r="A553" s="23"/>
      <c r="B553" s="210" t="s">
        <v>94</v>
      </c>
      <c r="C553" s="203"/>
      <c r="D553" s="66"/>
      <c r="E553" s="66"/>
      <c r="F553" s="117"/>
      <c r="G553" s="117"/>
      <c r="H553" s="66"/>
      <c r="I553" s="66"/>
      <c r="J553" s="66">
        <f>-M553</f>
        <v>5259.8</v>
      </c>
      <c r="K553" s="58">
        <v>-884</v>
      </c>
      <c r="L553" s="89">
        <v>5.95</v>
      </c>
      <c r="M553" s="73">
        <f>K553*L553</f>
        <v>-5259.8</v>
      </c>
      <c r="N553" s="58"/>
      <c r="O553" s="89"/>
      <c r="P553" s="73"/>
      <c r="Q553" s="39"/>
      <c r="R553" s="39"/>
      <c r="S553" s="8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35"/>
      <c r="AP553" s="12" t="e">
        <f>#REF!</f>
        <v>#REF!</v>
      </c>
    </row>
    <row r="554" spans="1:46" s="4" customFormat="1" ht="17.25" customHeight="1" x14ac:dyDescent="0.25">
      <c r="A554" s="23"/>
      <c r="B554" s="201" t="s">
        <v>95</v>
      </c>
      <c r="C554" s="202"/>
      <c r="D554" s="64"/>
      <c r="E554" s="64"/>
      <c r="F554" s="117"/>
      <c r="G554" s="117"/>
      <c r="H554" s="64"/>
      <c r="I554" s="64"/>
      <c r="J554" s="64">
        <f>-P554</f>
        <v>9551.2800000000007</v>
      </c>
      <c r="K554" s="57"/>
      <c r="L554" s="88"/>
      <c r="M554" s="62"/>
      <c r="N554" s="57">
        <v>-2341</v>
      </c>
      <c r="O554" s="88">
        <v>4.08</v>
      </c>
      <c r="P554" s="62">
        <f>N554*O554</f>
        <v>-9551.2800000000007</v>
      </c>
      <c r="Q554" s="39"/>
      <c r="R554" s="39"/>
      <c r="S554" s="8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35"/>
      <c r="AP554" s="12" t="e">
        <f>#REF!</f>
        <v>#REF!</v>
      </c>
    </row>
    <row r="555" spans="1:46" s="4" customFormat="1" ht="17.25" customHeight="1" x14ac:dyDescent="0.25">
      <c r="A555" s="23"/>
      <c r="B555" s="201" t="s">
        <v>97</v>
      </c>
      <c r="C555" s="203"/>
      <c r="D555" s="64"/>
      <c r="E555" s="64"/>
      <c r="F555" s="64"/>
      <c r="G555" s="64"/>
      <c r="H555" s="64">
        <f>-J555-I555</f>
        <v>4194.1200000000026</v>
      </c>
      <c r="I555" s="64">
        <v>10616.96</v>
      </c>
      <c r="J555" s="64">
        <f>-SUM(J553:J554)</f>
        <v>-14811.080000000002</v>
      </c>
      <c r="K555" s="57"/>
      <c r="L555" s="88"/>
      <c r="M555" s="62"/>
      <c r="N555" s="57"/>
      <c r="O555" s="88"/>
      <c r="P555" s="62"/>
      <c r="Q555" s="39"/>
      <c r="R555" s="39"/>
      <c r="S555" s="39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22"/>
      <c r="AO555" s="43">
        <f>A529</f>
        <v>0</v>
      </c>
      <c r="AP555" s="12" t="e">
        <f>#REF!</f>
        <v>#REF!</v>
      </c>
      <c r="AT555" s="2"/>
    </row>
    <row r="556" spans="1:46" s="4" customFormat="1" ht="17.25" customHeight="1" x14ac:dyDescent="0.25">
      <c r="A556" s="23"/>
      <c r="B556" s="201" t="s">
        <v>93</v>
      </c>
      <c r="C556" s="202"/>
      <c r="D556" s="64"/>
      <c r="E556" s="64"/>
      <c r="F556" s="64"/>
      <c r="G556" s="64"/>
      <c r="H556" s="64"/>
      <c r="I556" s="64"/>
      <c r="J556" s="64"/>
      <c r="K556" s="57">
        <v>20</v>
      </c>
      <c r="L556" s="88"/>
      <c r="M556" s="62">
        <f>(K559*L539)-M539-M553</f>
        <v>717.5212825651297</v>
      </c>
      <c r="N556" s="57">
        <v>-134</v>
      </c>
      <c r="O556" s="88"/>
      <c r="P556" s="62">
        <f>(N559*O539)-P539-P554</f>
        <v>164.02523580851448</v>
      </c>
      <c r="Q556" s="39"/>
      <c r="R556" s="39"/>
      <c r="S556" s="39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22"/>
      <c r="AO556" s="43">
        <f>A533</f>
        <v>0</v>
      </c>
      <c r="AP556" s="12" t="e">
        <f>#REF!</f>
        <v>#REF!</v>
      </c>
      <c r="AT556" s="2"/>
    </row>
    <row r="557" spans="1:46" s="2" customFormat="1" ht="17.25" customHeight="1" x14ac:dyDescent="0.2">
      <c r="A557" s="24"/>
      <c r="B557" s="201"/>
      <c r="C557" s="204"/>
      <c r="D557" s="63"/>
      <c r="E557" s="64"/>
      <c r="F557" s="64"/>
      <c r="G557" s="64"/>
      <c r="H557" s="64"/>
      <c r="I557" s="64"/>
      <c r="J557" s="64"/>
      <c r="K557" s="16"/>
      <c r="L557" s="16"/>
      <c r="M557" s="64"/>
      <c r="N557" s="16"/>
      <c r="O557" s="16"/>
      <c r="P557" s="64"/>
      <c r="Q557" s="46"/>
      <c r="R557" s="46"/>
      <c r="S557" s="39"/>
      <c r="T557" s="16"/>
      <c r="U557" s="16"/>
      <c r="V557" s="16"/>
      <c r="W557" s="16"/>
      <c r="X557" s="16"/>
      <c r="Y557" s="19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43">
        <f>A540</f>
        <v>46052</v>
      </c>
      <c r="AQ557" s="10"/>
      <c r="AR557" s="11"/>
    </row>
    <row r="558" spans="1:46" s="2" customFormat="1" ht="17.25" customHeight="1" thickBot="1" x14ac:dyDescent="0.3">
      <c r="A558" s="56"/>
      <c r="B558" s="101" t="s">
        <v>102</v>
      </c>
      <c r="C558" s="102">
        <f>D559+E559+F559+G559+H559+I559+J559+M559+P559</f>
        <v>193304.94954000006</v>
      </c>
      <c r="D558" s="84"/>
      <c r="E558" s="85"/>
      <c r="F558" s="85"/>
      <c r="G558" s="85"/>
      <c r="H558" s="85"/>
      <c r="I558" s="85"/>
      <c r="J558" s="85"/>
      <c r="K558" s="28"/>
      <c r="L558" s="28"/>
      <c r="M558" s="85"/>
      <c r="N558" s="28"/>
      <c r="O558" s="28"/>
      <c r="P558" s="85"/>
      <c r="Q558" s="48"/>
      <c r="R558" s="48"/>
      <c r="S558" s="51"/>
      <c r="T558" s="28"/>
      <c r="U558" s="28"/>
      <c r="V558" s="28"/>
      <c r="W558" s="28"/>
      <c r="X558" s="28"/>
      <c r="Y558" s="36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42">
        <f>SUM($Q539:AN558)</f>
        <v>-530242.5199999999</v>
      </c>
      <c r="AQ558" s="10"/>
      <c r="AR558" s="11"/>
      <c r="AS558" s="2" t="s">
        <v>5</v>
      </c>
    </row>
    <row r="559" spans="1:46" s="2" customFormat="1" ht="17.25" customHeight="1" thickTop="1" thickBot="1" x14ac:dyDescent="0.3">
      <c r="A559" s="103"/>
      <c r="B559" s="104" t="s">
        <v>103</v>
      </c>
      <c r="C559" s="105">
        <f>AO559</f>
        <v>-336937.57045999984</v>
      </c>
      <c r="D559" s="106">
        <f t="shared" ref="D559:K559" si="57">SUM(D539:D558)</f>
        <v>11355.737040000035</v>
      </c>
      <c r="E559" s="107">
        <f t="shared" si="57"/>
        <v>-22447.410000000014</v>
      </c>
      <c r="F559" s="107">
        <f t="shared" si="57"/>
        <v>28395.65</v>
      </c>
      <c r="G559" s="107">
        <f t="shared" si="57"/>
        <v>0</v>
      </c>
      <c r="H559" s="107">
        <f t="shared" si="57"/>
        <v>84676.972500000062</v>
      </c>
      <c r="I559" s="107">
        <f t="shared" si="57"/>
        <v>9232.9599999999991</v>
      </c>
      <c r="J559" s="107">
        <f t="shared" si="57"/>
        <v>0</v>
      </c>
      <c r="K559" s="108">
        <f t="shared" si="57"/>
        <v>3128</v>
      </c>
      <c r="L559" s="109">
        <f>M559/K559</f>
        <v>5.2572666240409207</v>
      </c>
      <c r="M559" s="107">
        <f>ROUND(SUM(M539:M558),2)</f>
        <v>16444.73</v>
      </c>
      <c r="N559" s="108">
        <f>SUM(N539:N558)</f>
        <v>17308</v>
      </c>
      <c r="O559" s="109">
        <f>P559/N559</f>
        <v>3.7928304830136352</v>
      </c>
      <c r="P559" s="107">
        <f>ROUND(SUM(P539:P558),2)</f>
        <v>65646.31</v>
      </c>
      <c r="Q559" s="110">
        <f t="shared" ref="Q559:AN559" si="58">SUM(Q539:Q558)</f>
        <v>-577257.13</v>
      </c>
      <c r="R559" s="107">
        <f t="shared" si="58"/>
        <v>50229.299999999996</v>
      </c>
      <c r="S559" s="107">
        <f t="shared" si="58"/>
        <v>0</v>
      </c>
      <c r="T559" s="107">
        <f t="shared" si="58"/>
        <v>-3214.6900000000005</v>
      </c>
      <c r="U559" s="107">
        <f t="shared" si="58"/>
        <v>0</v>
      </c>
      <c r="V559" s="107">
        <f t="shared" si="58"/>
        <v>0</v>
      </c>
      <c r="W559" s="107">
        <f t="shared" si="58"/>
        <v>0</v>
      </c>
      <c r="X559" s="107">
        <f t="shared" si="58"/>
        <v>0</v>
      </c>
      <c r="Y559" s="107">
        <f t="shared" si="58"/>
        <v>0</v>
      </c>
      <c r="Z559" s="107">
        <f t="shared" si="58"/>
        <v>0</v>
      </c>
      <c r="AA559" s="107">
        <f t="shared" si="58"/>
        <v>0</v>
      </c>
      <c r="AB559" s="107">
        <f t="shared" si="58"/>
        <v>0</v>
      </c>
      <c r="AC559" s="107">
        <f t="shared" si="58"/>
        <v>0</v>
      </c>
      <c r="AD559" s="107">
        <f t="shared" si="58"/>
        <v>0</v>
      </c>
      <c r="AE559" s="107">
        <f t="shared" si="58"/>
        <v>0</v>
      </c>
      <c r="AF559" s="107">
        <f t="shared" si="58"/>
        <v>0</v>
      </c>
      <c r="AG559" s="107">
        <f t="shared" si="58"/>
        <v>0</v>
      </c>
      <c r="AH559" s="107">
        <f t="shared" si="58"/>
        <v>0</v>
      </c>
      <c r="AI559" s="107">
        <f t="shared" si="58"/>
        <v>0</v>
      </c>
      <c r="AJ559" s="107">
        <f t="shared" si="58"/>
        <v>0</v>
      </c>
      <c r="AK559" s="107">
        <f t="shared" si="58"/>
        <v>0</v>
      </c>
      <c r="AL559" s="107">
        <f t="shared" si="58"/>
        <v>0</v>
      </c>
      <c r="AM559" s="107">
        <f t="shared" si="58"/>
        <v>0</v>
      </c>
      <c r="AN559" s="107">
        <f t="shared" si="58"/>
        <v>0</v>
      </c>
      <c r="AO559" s="111">
        <f>D559+E559+F559+G559+H559+I559+J559+M559+P559+SUM(Q559:AN559)</f>
        <v>-336937.57045999984</v>
      </c>
      <c r="AP559" s="4"/>
      <c r="AQ559" s="5"/>
      <c r="AR559" s="5"/>
      <c r="AS559" s="2" t="s">
        <v>6</v>
      </c>
    </row>
    <row r="560" spans="1:46" s="2" customFormat="1" ht="17.25" customHeight="1" thickTop="1" x14ac:dyDescent="0.25">
      <c r="A560" s="23">
        <f>A540+1</f>
        <v>46053</v>
      </c>
      <c r="B560" s="210" t="s">
        <v>64</v>
      </c>
      <c r="C560" s="203"/>
      <c r="D560" s="63">
        <v>9034.43</v>
      </c>
      <c r="E560" s="66"/>
      <c r="F560" s="66"/>
      <c r="G560" s="66"/>
      <c r="H560" s="66"/>
      <c r="I560" s="66">
        <f>-D560</f>
        <v>-9034.43</v>
      </c>
      <c r="J560" s="66"/>
      <c r="K560" s="18"/>
      <c r="L560" s="18"/>
      <c r="M560" s="66"/>
      <c r="N560" s="18"/>
      <c r="O560" s="18"/>
      <c r="P560" s="66"/>
      <c r="Q560" s="46"/>
      <c r="R560" s="46"/>
      <c r="S560" s="45"/>
      <c r="T560" s="18"/>
      <c r="U560" s="18"/>
      <c r="V560" s="18"/>
      <c r="W560" s="18"/>
      <c r="X560" s="18"/>
      <c r="Y560" s="14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31"/>
      <c r="AQ560" s="10"/>
      <c r="AR560" s="27"/>
    </row>
    <row r="561" spans="1:46" s="4" customFormat="1" ht="17.25" customHeight="1" x14ac:dyDescent="0.25">
      <c r="A561" s="23"/>
      <c r="B561" s="201" t="s">
        <v>96</v>
      </c>
      <c r="C561" s="202"/>
      <c r="D561" s="63"/>
      <c r="E561" s="64"/>
      <c r="F561" s="64"/>
      <c r="G561" s="64"/>
      <c r="H561" s="64"/>
      <c r="I561" s="64">
        <f>-I559-I560</f>
        <v>-198.52999999999884</v>
      </c>
      <c r="J561" s="64"/>
      <c r="K561" s="16"/>
      <c r="L561" s="92"/>
      <c r="M561" s="64"/>
      <c r="N561" s="16"/>
      <c r="O561" s="92"/>
      <c r="P561" s="64"/>
      <c r="Q561" s="40"/>
      <c r="R561" s="46"/>
      <c r="S561" s="39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22"/>
      <c r="AP561" s="30"/>
    </row>
    <row r="562" spans="1:46" s="2" customFormat="1" ht="17.25" customHeight="1" x14ac:dyDescent="0.25">
      <c r="A562" s="29"/>
      <c r="B562" s="201" t="s">
        <v>327</v>
      </c>
      <c r="C562" s="202"/>
      <c r="D562" s="63">
        <f>50+150+36.5+100+80+40+30+25+5+165.5+10+60+20+12+60+75+50+20+25</f>
        <v>1014</v>
      </c>
      <c r="E562" s="64"/>
      <c r="F562" s="64"/>
      <c r="G562" s="64"/>
      <c r="H562" s="64"/>
      <c r="I562" s="64">
        <f>-D562</f>
        <v>-1014</v>
      </c>
      <c r="J562" s="64"/>
      <c r="K562" s="57"/>
      <c r="L562" s="88"/>
      <c r="M562" s="62"/>
      <c r="N562" s="57"/>
      <c r="O562" s="88"/>
      <c r="P562" s="62"/>
      <c r="Q562" s="47"/>
      <c r="R562" s="39"/>
      <c r="S562" s="39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22"/>
      <c r="AQ562" s="10"/>
      <c r="AR562" s="11"/>
    </row>
    <row r="563" spans="1:46" s="2" customFormat="1" ht="17.25" customHeight="1" x14ac:dyDescent="0.25">
      <c r="A563" s="29"/>
      <c r="B563" s="201" t="s">
        <v>328</v>
      </c>
      <c r="C563" s="202"/>
      <c r="D563" s="63">
        <f>-17*0.99-1.2-1.32</f>
        <v>-19.349999999999998</v>
      </c>
      <c r="E563" s="64"/>
      <c r="F563" s="64"/>
      <c r="G563" s="64"/>
      <c r="H563" s="64"/>
      <c r="I563" s="64"/>
      <c r="J563" s="64"/>
      <c r="K563" s="57"/>
      <c r="L563" s="88"/>
      <c r="M563" s="62"/>
      <c r="N563" s="57"/>
      <c r="O563" s="88"/>
      <c r="P563" s="62"/>
      <c r="Q563" s="47"/>
      <c r="R563" s="39"/>
      <c r="S563" s="39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22"/>
      <c r="AQ563" s="10"/>
      <c r="AR563" s="11"/>
    </row>
    <row r="564" spans="1:46" s="2" customFormat="1" ht="17.25" customHeight="1" x14ac:dyDescent="0.2">
      <c r="A564" s="23"/>
      <c r="B564" s="211" t="s">
        <v>324</v>
      </c>
      <c r="C564" s="206"/>
      <c r="D564" s="64"/>
      <c r="E564" s="64"/>
      <c r="F564" s="64"/>
      <c r="G564" s="74"/>
      <c r="H564" s="64"/>
      <c r="I564" s="64"/>
      <c r="J564" s="64"/>
      <c r="K564" s="16"/>
      <c r="L564" s="16"/>
      <c r="M564" s="64"/>
      <c r="N564" s="167">
        <v>10000</v>
      </c>
      <c r="O564" s="92">
        <v>3.77</v>
      </c>
      <c r="P564" s="64">
        <f>N564*O564</f>
        <v>37700</v>
      </c>
      <c r="Q564" s="46">
        <f>-P564</f>
        <v>-37700</v>
      </c>
      <c r="R564" s="39"/>
      <c r="S564" s="40"/>
      <c r="T564" s="16"/>
      <c r="U564" s="16"/>
      <c r="V564" s="16">
        <f>-D564</f>
        <v>0</v>
      </c>
      <c r="W564" s="16"/>
      <c r="X564" s="16"/>
      <c r="Y564" s="19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35"/>
      <c r="AQ564" s="10"/>
      <c r="AR564" s="27"/>
    </row>
    <row r="565" spans="1:46" s="2" customFormat="1" ht="17.25" customHeight="1" x14ac:dyDescent="0.2">
      <c r="A565" s="23"/>
      <c r="B565" s="201"/>
      <c r="C565" s="202"/>
      <c r="D565" s="63"/>
      <c r="E565" s="64"/>
      <c r="F565" s="74"/>
      <c r="G565" s="74"/>
      <c r="H565" s="64"/>
      <c r="I565" s="64"/>
      <c r="J565" s="64"/>
      <c r="K565" s="16"/>
      <c r="L565" s="16"/>
      <c r="M565" s="64"/>
      <c r="N565" s="16"/>
      <c r="O565" s="16"/>
      <c r="P565" s="64"/>
      <c r="Q565" s="46"/>
      <c r="R565" s="39"/>
      <c r="S565" s="40"/>
      <c r="T565" s="16"/>
      <c r="U565" s="16"/>
      <c r="V565" s="16"/>
      <c r="W565" s="16"/>
      <c r="X565" s="16"/>
      <c r="Y565" s="19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35"/>
      <c r="AQ565" s="10"/>
      <c r="AR565" s="27"/>
    </row>
    <row r="566" spans="1:46" s="2" customFormat="1" ht="17.25" customHeight="1" x14ac:dyDescent="0.2">
      <c r="A566" s="23"/>
      <c r="B566" s="201" t="s">
        <v>168</v>
      </c>
      <c r="C566" s="204"/>
      <c r="D566" s="63"/>
      <c r="E566" s="64"/>
      <c r="F566" s="74"/>
      <c r="G566" s="74"/>
      <c r="H566" s="64">
        <v>-12222.84</v>
      </c>
      <c r="I566" s="64"/>
      <c r="J566" s="64"/>
      <c r="K566" s="16"/>
      <c r="L566" s="16"/>
      <c r="M566" s="64"/>
      <c r="N566" s="16"/>
      <c r="O566" s="16"/>
      <c r="P566" s="64"/>
      <c r="Q566" s="46"/>
      <c r="R566" s="39"/>
      <c r="S566" s="40"/>
      <c r="T566" s="16"/>
      <c r="U566" s="16"/>
      <c r="V566" s="16"/>
      <c r="W566" s="16"/>
      <c r="X566" s="16"/>
      <c r="Y566" s="19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35"/>
      <c r="AQ566" s="10"/>
      <c r="AR566" s="27"/>
    </row>
    <row r="567" spans="1:46" s="2" customFormat="1" ht="17.25" customHeight="1" x14ac:dyDescent="0.2">
      <c r="A567" s="23"/>
      <c r="B567" s="201" t="s">
        <v>169</v>
      </c>
      <c r="C567" s="204"/>
      <c r="D567" s="63"/>
      <c r="E567" s="64"/>
      <c r="F567" s="74"/>
      <c r="G567" s="74"/>
      <c r="H567" s="64">
        <v>-6500</v>
      </c>
      <c r="I567" s="64"/>
      <c r="J567" s="64"/>
      <c r="K567" s="16"/>
      <c r="L567" s="16"/>
      <c r="M567" s="64"/>
      <c r="N567" s="16"/>
      <c r="O567" s="16"/>
      <c r="P567" s="64"/>
      <c r="Q567" s="46"/>
      <c r="R567" s="39"/>
      <c r="S567" s="40"/>
      <c r="T567" s="16"/>
      <c r="U567" s="16"/>
      <c r="V567" s="16"/>
      <c r="W567" s="16"/>
      <c r="X567" s="16"/>
      <c r="Y567" s="19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35"/>
      <c r="AQ567" s="10"/>
      <c r="AR567" s="27"/>
    </row>
    <row r="568" spans="1:46" s="2" customFormat="1" ht="17.25" customHeight="1" x14ac:dyDescent="0.2">
      <c r="A568" s="23"/>
      <c r="B568" s="201" t="s">
        <v>170</v>
      </c>
      <c r="C568" s="204"/>
      <c r="D568" s="63"/>
      <c r="E568" s="64"/>
      <c r="F568" s="74"/>
      <c r="G568" s="74"/>
      <c r="H568" s="64">
        <v>-1920</v>
      </c>
      <c r="I568" s="64"/>
      <c r="J568" s="64"/>
      <c r="K568" s="16"/>
      <c r="L568" s="16"/>
      <c r="M568" s="64"/>
      <c r="N568" s="16"/>
      <c r="O568" s="16"/>
      <c r="P568" s="64"/>
      <c r="Q568" s="46"/>
      <c r="R568" s="39"/>
      <c r="S568" s="40"/>
      <c r="T568" s="16"/>
      <c r="U568" s="16"/>
      <c r="V568" s="16"/>
      <c r="W568" s="16"/>
      <c r="X568" s="16"/>
      <c r="Y568" s="19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35"/>
      <c r="AQ568" s="10"/>
      <c r="AR568" s="27"/>
    </row>
    <row r="569" spans="1:46" s="2" customFormat="1" ht="17.25" customHeight="1" x14ac:dyDescent="0.2">
      <c r="A569" s="23"/>
      <c r="B569" s="201" t="s">
        <v>171</v>
      </c>
      <c r="C569" s="204"/>
      <c r="D569" s="63"/>
      <c r="E569" s="64"/>
      <c r="F569" s="74"/>
      <c r="G569" s="74"/>
      <c r="H569" s="64">
        <v>-600</v>
      </c>
      <c r="I569" s="64"/>
      <c r="J569" s="64"/>
      <c r="K569" s="16"/>
      <c r="L569" s="16"/>
      <c r="M569" s="64"/>
      <c r="N569" s="16"/>
      <c r="O569" s="16"/>
      <c r="P569" s="64"/>
      <c r="Q569" s="46"/>
      <c r="R569" s="39"/>
      <c r="S569" s="40"/>
      <c r="T569" s="16"/>
      <c r="U569" s="16"/>
      <c r="V569" s="16"/>
      <c r="W569" s="16"/>
      <c r="X569" s="16"/>
      <c r="Y569" s="19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35"/>
      <c r="AQ569" s="10"/>
      <c r="AR569" s="27"/>
    </row>
    <row r="570" spans="1:46" s="2" customFormat="1" ht="17.25" customHeight="1" x14ac:dyDescent="0.2">
      <c r="A570" s="23"/>
      <c r="B570" s="201" t="s">
        <v>172</v>
      </c>
      <c r="C570" s="204"/>
      <c r="D570" s="63"/>
      <c r="E570" s="64"/>
      <c r="F570" s="74"/>
      <c r="G570" s="74"/>
      <c r="H570" s="64">
        <v>-480</v>
      </c>
      <c r="I570" s="64"/>
      <c r="J570" s="64"/>
      <c r="K570" s="16"/>
      <c r="L570" s="16"/>
      <c r="M570" s="64"/>
      <c r="N570" s="16"/>
      <c r="O570" s="16"/>
      <c r="P570" s="64"/>
      <c r="Q570" s="46"/>
      <c r="R570" s="39"/>
      <c r="S570" s="40"/>
      <c r="T570" s="16"/>
      <c r="U570" s="16"/>
      <c r="V570" s="16"/>
      <c r="W570" s="16"/>
      <c r="X570" s="16"/>
      <c r="Y570" s="19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35"/>
      <c r="AQ570" s="10"/>
      <c r="AR570" s="27"/>
    </row>
    <row r="571" spans="1:46" s="2" customFormat="1" ht="17.25" customHeight="1" thickBot="1" x14ac:dyDescent="0.25">
      <c r="A571" s="24"/>
      <c r="B571" s="216"/>
      <c r="C571" s="242"/>
      <c r="D571" s="83"/>
      <c r="E571" s="81"/>
      <c r="F571" s="81"/>
      <c r="G571" s="81"/>
      <c r="H571" s="81"/>
      <c r="I571" s="81"/>
      <c r="J571" s="81"/>
      <c r="K571" s="37"/>
      <c r="L571" s="93"/>
      <c r="M571" s="81"/>
      <c r="N571" s="37"/>
      <c r="O571" s="93"/>
      <c r="P571" s="81"/>
      <c r="Q571" s="40"/>
      <c r="R571" s="40"/>
      <c r="S571" s="39"/>
      <c r="T571" s="16"/>
      <c r="U571" s="16"/>
      <c r="V571" s="16"/>
      <c r="W571" s="16"/>
      <c r="X571" s="16"/>
      <c r="Y571" s="19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41"/>
      <c r="AQ571" s="10"/>
      <c r="AR571" s="11"/>
    </row>
    <row r="572" spans="1:46" s="4" customFormat="1" ht="17.25" customHeight="1" x14ac:dyDescent="0.25">
      <c r="A572" s="23"/>
      <c r="B572" s="210" t="s">
        <v>94</v>
      </c>
      <c r="C572" s="203"/>
      <c r="D572" s="66"/>
      <c r="E572" s="66"/>
      <c r="F572" s="117"/>
      <c r="G572" s="117"/>
      <c r="H572" s="66"/>
      <c r="I572" s="66"/>
      <c r="J572" s="66">
        <f>-M572</f>
        <v>6753.25</v>
      </c>
      <c r="K572" s="58">
        <v>-1135</v>
      </c>
      <c r="L572" s="89">
        <v>5.95</v>
      </c>
      <c r="M572" s="73">
        <f>K572*L572</f>
        <v>-6753.25</v>
      </c>
      <c r="N572" s="58"/>
      <c r="O572" s="89"/>
      <c r="P572" s="73"/>
      <c r="Q572" s="39"/>
      <c r="R572" s="39"/>
      <c r="S572" s="8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35"/>
      <c r="AP572" s="12" t="e">
        <f>#REF!</f>
        <v>#REF!</v>
      </c>
    </row>
    <row r="573" spans="1:46" s="4" customFormat="1" ht="17.25" customHeight="1" x14ac:dyDescent="0.25">
      <c r="A573" s="23"/>
      <c r="B573" s="201" t="s">
        <v>95</v>
      </c>
      <c r="C573" s="202"/>
      <c r="D573" s="64"/>
      <c r="E573" s="64"/>
      <c r="F573" s="117"/>
      <c r="G573" s="117"/>
      <c r="H573" s="64"/>
      <c r="I573" s="64"/>
      <c r="J573" s="64">
        <f>-P573</f>
        <v>6336.24</v>
      </c>
      <c r="K573" s="57"/>
      <c r="L573" s="88"/>
      <c r="M573" s="62"/>
      <c r="N573" s="57">
        <v>-1553</v>
      </c>
      <c r="O573" s="88">
        <v>4.08</v>
      </c>
      <c r="P573" s="62">
        <f>N573*O573</f>
        <v>-6336.24</v>
      </c>
      <c r="Q573" s="39"/>
      <c r="R573" s="39"/>
      <c r="S573" s="8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35"/>
      <c r="AP573" s="12" t="e">
        <f>#REF!</f>
        <v>#REF!</v>
      </c>
    </row>
    <row r="574" spans="1:46" s="4" customFormat="1" ht="17.25" customHeight="1" x14ac:dyDescent="0.25">
      <c r="A574" s="23"/>
      <c r="B574" s="201" t="s">
        <v>97</v>
      </c>
      <c r="C574" s="203"/>
      <c r="D574" s="64"/>
      <c r="E574" s="64"/>
      <c r="F574" s="64"/>
      <c r="G574" s="64"/>
      <c r="H574" s="64">
        <f>-J574-I574</f>
        <v>3303.2099999999991</v>
      </c>
      <c r="I574" s="64">
        <v>9786.2800000000007</v>
      </c>
      <c r="J574" s="64">
        <f>-SUM(J572:J573)</f>
        <v>-13089.49</v>
      </c>
      <c r="K574" s="57"/>
      <c r="L574" s="88"/>
      <c r="M574" s="62"/>
      <c r="N574" s="57"/>
      <c r="O574" s="88"/>
      <c r="P574" s="62"/>
      <c r="Q574" s="39"/>
      <c r="R574" s="39"/>
      <c r="S574" s="39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22"/>
      <c r="AO574" s="43">
        <f>A447</f>
        <v>0</v>
      </c>
      <c r="AP574" s="12" t="e">
        <f>#REF!</f>
        <v>#REF!</v>
      </c>
      <c r="AT574" s="2"/>
    </row>
    <row r="575" spans="1:46" s="4" customFormat="1" ht="17.25" customHeight="1" x14ac:dyDescent="0.25">
      <c r="A575" s="23"/>
      <c r="B575" s="201" t="s">
        <v>93</v>
      </c>
      <c r="C575" s="202"/>
      <c r="D575" s="64"/>
      <c r="E575" s="64"/>
      <c r="F575" s="64"/>
      <c r="G575" s="64"/>
      <c r="H575" s="64"/>
      <c r="I575" s="64"/>
      <c r="J575" s="64"/>
      <c r="K575" s="57">
        <v>7</v>
      </c>
      <c r="L575" s="88"/>
      <c r="M575" s="62">
        <f>(K578*(M559+M564)/(K559+K564))-M559-M572-M564</f>
        <v>823.05324808184196</v>
      </c>
      <c r="N575" s="57">
        <v>445</v>
      </c>
      <c r="O575" s="88"/>
      <c r="P575" s="62">
        <f>(N578*(P559+P564)/(N559+N564))-P559-P573-P564</f>
        <v>2143.0471085396202</v>
      </c>
      <c r="Q575" s="39"/>
      <c r="R575" s="39"/>
      <c r="S575" s="39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22"/>
      <c r="AO575" s="43">
        <f>A457</f>
        <v>0</v>
      </c>
      <c r="AP575" s="12" t="e">
        <f>#REF!</f>
        <v>#REF!</v>
      </c>
      <c r="AT575" s="2"/>
    </row>
    <row r="576" spans="1:46" s="2" customFormat="1" ht="17.25" customHeight="1" x14ac:dyDescent="0.2">
      <c r="A576" s="24"/>
      <c r="B576" s="201"/>
      <c r="C576" s="204"/>
      <c r="D576" s="63"/>
      <c r="E576" s="64"/>
      <c r="F576" s="64"/>
      <c r="G576" s="64"/>
      <c r="H576" s="64"/>
      <c r="I576" s="64"/>
      <c r="J576" s="64"/>
      <c r="K576" s="16"/>
      <c r="L576" s="16"/>
      <c r="M576" s="64"/>
      <c r="N576" s="16"/>
      <c r="O576" s="16"/>
      <c r="P576" s="64"/>
      <c r="Q576" s="46"/>
      <c r="R576" s="46"/>
      <c r="S576" s="39"/>
      <c r="T576" s="16"/>
      <c r="U576" s="16"/>
      <c r="V576" s="16"/>
      <c r="W576" s="16"/>
      <c r="X576" s="16"/>
      <c r="Y576" s="19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43">
        <f>A560</f>
        <v>46053</v>
      </c>
      <c r="AQ576" s="10"/>
      <c r="AR576" s="11"/>
    </row>
    <row r="577" spans="1:46" s="2" customFormat="1" ht="17.25" customHeight="1" thickBot="1" x14ac:dyDescent="0.3">
      <c r="A577" s="56"/>
      <c r="B577" s="101" t="s">
        <v>102</v>
      </c>
      <c r="C577" s="102">
        <f>D578+E578+F578+G578+H578+I578+J578+M578+P578</f>
        <v>212030.32954000006</v>
      </c>
      <c r="D577" s="84"/>
      <c r="E577" s="85"/>
      <c r="F577" s="85"/>
      <c r="G577" s="85"/>
      <c r="H577" s="85"/>
      <c r="I577" s="85"/>
      <c r="J577" s="85"/>
      <c r="K577" s="28"/>
      <c r="L577" s="28"/>
      <c r="M577" s="85"/>
      <c r="N577" s="28"/>
      <c r="O577" s="28"/>
      <c r="P577" s="85"/>
      <c r="Q577" s="48"/>
      <c r="R577" s="48"/>
      <c r="S577" s="51"/>
      <c r="T577" s="28"/>
      <c r="U577" s="28"/>
      <c r="V577" s="28"/>
      <c r="W577" s="28"/>
      <c r="X577" s="28"/>
      <c r="Y577" s="36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42">
        <f>SUM($Q559:AN577)</f>
        <v>-567942.5199999999</v>
      </c>
      <c r="AQ577" s="10"/>
      <c r="AR577" s="11"/>
      <c r="AS577" s="2" t="s">
        <v>5</v>
      </c>
    </row>
    <row r="578" spans="1:46" s="2" customFormat="1" ht="17.25" customHeight="1" thickTop="1" thickBot="1" x14ac:dyDescent="0.3">
      <c r="A578" s="103"/>
      <c r="B578" s="104" t="s">
        <v>103</v>
      </c>
      <c r="C578" s="105">
        <f>AO578</f>
        <v>-355912.19045999984</v>
      </c>
      <c r="D578" s="106">
        <f t="shared" ref="D578:K578" si="59">SUM(D559:D577)</f>
        <v>21384.817040000038</v>
      </c>
      <c r="E578" s="106">
        <f t="shared" si="59"/>
        <v>-22447.410000000014</v>
      </c>
      <c r="F578" s="106">
        <f t="shared" si="59"/>
        <v>28395.65</v>
      </c>
      <c r="G578" s="106">
        <f t="shared" si="59"/>
        <v>0</v>
      </c>
      <c r="H578" s="106">
        <f t="shared" si="59"/>
        <v>66257.342500000057</v>
      </c>
      <c r="I578" s="106">
        <f t="shared" si="59"/>
        <v>8772.2800000000007</v>
      </c>
      <c r="J578" s="106">
        <f t="shared" si="59"/>
        <v>0</v>
      </c>
      <c r="K578" s="108">
        <f t="shared" si="59"/>
        <v>2000</v>
      </c>
      <c r="L578" s="109">
        <f>M578/K578</f>
        <v>5.2572650000000003</v>
      </c>
      <c r="M578" s="107">
        <f>ROUND(SUM(M559:M577),2)</f>
        <v>10514.53</v>
      </c>
      <c r="N578" s="108">
        <f>SUM(N559:N577)</f>
        <v>26200</v>
      </c>
      <c r="O578" s="109">
        <f>P578/N578</f>
        <v>3.7844702290076335</v>
      </c>
      <c r="P578" s="107">
        <f>ROUND(SUM(P559:P577),2)</f>
        <v>99153.12</v>
      </c>
      <c r="Q578" s="110">
        <f t="shared" ref="Q578:V578" si="60">SUM(Q559:Q577)</f>
        <v>-614957.13</v>
      </c>
      <c r="R578" s="110">
        <f t="shared" si="60"/>
        <v>50229.299999999996</v>
      </c>
      <c r="S578" s="110">
        <f t="shared" si="60"/>
        <v>0</v>
      </c>
      <c r="T578" s="110">
        <f t="shared" si="60"/>
        <v>-3214.6900000000005</v>
      </c>
      <c r="U578" s="110">
        <f t="shared" si="60"/>
        <v>0</v>
      </c>
      <c r="V578" s="110">
        <f t="shared" si="60"/>
        <v>0</v>
      </c>
      <c r="W578" s="107">
        <f t="shared" ref="W578:AN578" si="61">SUM(W463:W577)</f>
        <v>0</v>
      </c>
      <c r="X578" s="107">
        <f t="shared" si="61"/>
        <v>0</v>
      </c>
      <c r="Y578" s="107">
        <f t="shared" si="61"/>
        <v>0</v>
      </c>
      <c r="Z578" s="107">
        <f t="shared" si="61"/>
        <v>0</v>
      </c>
      <c r="AA578" s="107">
        <f t="shared" si="61"/>
        <v>0</v>
      </c>
      <c r="AB578" s="107">
        <f t="shared" si="61"/>
        <v>0</v>
      </c>
      <c r="AC578" s="107">
        <f t="shared" si="61"/>
        <v>0</v>
      </c>
      <c r="AD578" s="107">
        <f t="shared" si="61"/>
        <v>0</v>
      </c>
      <c r="AE578" s="107">
        <f t="shared" si="61"/>
        <v>0</v>
      </c>
      <c r="AF578" s="107">
        <f t="shared" si="61"/>
        <v>0</v>
      </c>
      <c r="AG578" s="107">
        <f t="shared" si="61"/>
        <v>0</v>
      </c>
      <c r="AH578" s="107">
        <f t="shared" si="61"/>
        <v>0</v>
      </c>
      <c r="AI578" s="107">
        <f t="shared" si="61"/>
        <v>0</v>
      </c>
      <c r="AJ578" s="107">
        <f t="shared" si="61"/>
        <v>0</v>
      </c>
      <c r="AK578" s="107">
        <f t="shared" si="61"/>
        <v>0</v>
      </c>
      <c r="AL578" s="107">
        <f t="shared" si="61"/>
        <v>0</v>
      </c>
      <c r="AM578" s="107">
        <f t="shared" si="61"/>
        <v>0</v>
      </c>
      <c r="AN578" s="107">
        <f t="shared" si="61"/>
        <v>0</v>
      </c>
      <c r="AO578" s="111">
        <f>D578+E578+F578+G578+H578+I578+J578+M578+P578+SUM(Q578:AN578)</f>
        <v>-355912.19045999984</v>
      </c>
      <c r="AP578" s="4"/>
      <c r="AQ578" s="5"/>
      <c r="AR578" s="5"/>
      <c r="AS578" s="2" t="s">
        <v>6</v>
      </c>
    </row>
    <row r="579" spans="1:46" ht="17.25" customHeight="1" thickTop="1" x14ac:dyDescent="0.25">
      <c r="A579" s="127"/>
      <c r="B579" s="125"/>
      <c r="C579" s="125"/>
      <c r="D579" s="128"/>
      <c r="E579" s="128"/>
      <c r="F579" s="128"/>
      <c r="G579" s="128"/>
      <c r="H579" s="128"/>
      <c r="I579" s="128"/>
      <c r="J579" s="128"/>
    </row>
    <row r="580" spans="1:46" ht="17.25" customHeight="1" x14ac:dyDescent="0.25">
      <c r="A580" s="127"/>
      <c r="B580" s="131" t="s">
        <v>150</v>
      </c>
      <c r="C580" s="126">
        <f>N586</f>
        <v>35491.758189433902</v>
      </c>
      <c r="D580" s="128"/>
      <c r="E580" s="218" t="s">
        <v>243</v>
      </c>
      <c r="F580" s="218"/>
      <c r="G580" s="218"/>
      <c r="H580" s="213">
        <f>E79</f>
        <v>-3214.6899999999996</v>
      </c>
      <c r="I580" s="213"/>
      <c r="J580" s="129"/>
      <c r="K580" s="219" t="s">
        <v>87</v>
      </c>
      <c r="L580" s="220"/>
      <c r="M580" s="221"/>
      <c r="N580" s="223" t="s">
        <v>88</v>
      </c>
      <c r="O580" s="224"/>
      <c r="P580" s="225"/>
      <c r="R580" s="121"/>
    </row>
    <row r="581" spans="1:46" ht="17.25" customHeight="1" x14ac:dyDescent="0.25">
      <c r="A581" s="127"/>
      <c r="B581" s="131" t="s">
        <v>151</v>
      </c>
      <c r="C581" s="126">
        <f>I4+I19+I21+I23+I25+I44+I59+I71+I95+I118+I133+I148+I171+I195+I234+I251+I267+I292+I310+I323+I335+I351+I374+I396+I411+I433+I452+I561+I465+I484+I505+I525+I541+I208+D73+D97+D120+D135+D150+D173+D197+D210+D236+D253+D269+D294+D312+D325+D337+D353+D376+D398+D413+D435+D454+D467+D486+D507+D527+D543+D563</f>
        <v>-7622.3599999999969</v>
      </c>
      <c r="D581" s="128"/>
      <c r="E581" s="218" t="s">
        <v>158</v>
      </c>
      <c r="F581" s="218"/>
      <c r="G581" s="218"/>
      <c r="H581" s="213">
        <f>D100+D271+D273+D416</f>
        <v>-505.6</v>
      </c>
      <c r="I581" s="213"/>
      <c r="J581" s="129"/>
      <c r="K581" s="226" t="s">
        <v>143</v>
      </c>
      <c r="L581" s="227"/>
      <c r="M581" s="57">
        <f>(K11+K36+K51+K63+K87+K110+K125+K140+K163+K187+K200+K226+K243+K259+K284+K302+K315+K327+K343+K366+K388+K403+K425+K444+K457+K572+K476+K497+K517+K533+K553)*-1</f>
        <v>33778</v>
      </c>
      <c r="N581" s="226" t="s">
        <v>143</v>
      </c>
      <c r="O581" s="227"/>
      <c r="P581" s="57">
        <f>(N12+N37+N52+N64+N88+N111+N126+N141+N164+N188+N201+N227+N244+N260+N285+N303+N316+N328+N344+N367+N389+N404+N426+N445+N458+N573+N477+N498+N518+N534+N554)*-1</f>
        <v>54895</v>
      </c>
      <c r="R581" s="121">
        <f>I13+I38+I53+I65+I89+I112+I127+I142+I165+I189+I202+I245+I261+I286+I304+I317+I329+I345+I368+I390+I405+I427+I446+I459+I478+I499+I519+I535+I555+I574+I228</f>
        <v>297504.45000000013</v>
      </c>
    </row>
    <row r="582" spans="1:46" ht="17.25" customHeight="1" x14ac:dyDescent="0.25">
      <c r="A582" s="127"/>
      <c r="B582" s="131" t="s">
        <v>160</v>
      </c>
      <c r="C582" s="126">
        <f>E104+E105+E218+E219+E220+E221+E222+E223+E238+E276+E277+E298+E356+E357+E419</f>
        <v>-6983.41</v>
      </c>
      <c r="D582" s="128"/>
      <c r="E582" s="218" t="s">
        <v>157</v>
      </c>
      <c r="F582" s="218"/>
      <c r="G582" s="218"/>
      <c r="H582" s="213">
        <f>D76+D101+D152+D213+D215+D274+D296+D340+D422+D473</f>
        <v>-48.999999999999993</v>
      </c>
      <c r="I582" s="213"/>
      <c r="J582" s="129"/>
      <c r="K582" s="226" t="s">
        <v>144</v>
      </c>
      <c r="L582" s="227"/>
      <c r="M582" s="121">
        <f>(M14+M39+M54+M66+M90+M113+M128+M143+M166+M190+M203+M229+M246+M262+M287+M305+M318+M330+M346+M369+M391+M406+M428+M447+M460+M575+M479+M500+M520+M536+M556)</f>
        <v>21962.55607071755</v>
      </c>
      <c r="N582" s="226" t="s">
        <v>144</v>
      </c>
      <c r="O582" s="227"/>
      <c r="P582" s="121">
        <f>(P14+P39+P54+P66+P90+P113+P128+P143+P166+P190+P203+P229+P246+P262+P287+P305+P318+P330+P346+P369+P391+P406+P428+P447+P460+P575+P479+P500+P520+P536+P556)</f>
        <v>13529.20211871635</v>
      </c>
      <c r="R582" s="121">
        <v>-312909.86</v>
      </c>
    </row>
    <row r="583" spans="1:46" ht="17.25" customHeight="1" x14ac:dyDescent="0.25">
      <c r="A583" s="127"/>
      <c r="B583" s="131" t="s">
        <v>244</v>
      </c>
      <c r="C583" s="126">
        <f>H82+H83+H566+H568+H569+H570</f>
        <v>-19849.12</v>
      </c>
      <c r="D583" s="128"/>
      <c r="E583" s="230" t="s">
        <v>156</v>
      </c>
      <c r="F583" s="230"/>
      <c r="G583" s="230"/>
      <c r="H583" s="213">
        <f>E81+E217</f>
        <v>-2473.9899999999998</v>
      </c>
      <c r="I583" s="213"/>
      <c r="J583" s="133"/>
      <c r="K583" s="226" t="s">
        <v>145</v>
      </c>
      <c r="L583" s="227"/>
      <c r="M583" s="57">
        <f>(K14+K39+K54+K66+K90+K113+K128+K143+K166+K190+K203+K229+K246+K262+K287+K305+K318+K330+K346+K369+K391+K406+K428+K447+K460+K575+K479+K500+K520+K536+K556)</f>
        <v>-374</v>
      </c>
      <c r="N583" s="226" t="s">
        <v>145</v>
      </c>
      <c r="O583" s="227"/>
      <c r="P583" s="57">
        <f>(N14+N39+N54+N66+N90+N113+N128+N143+N166+N190+N203+N229+N246+N262+N287+N305+N318+N330+N346+N369+N391+N406+N428+N447+N460+N575+N479+N500+N520+N536+N556)</f>
        <v>68</v>
      </c>
      <c r="R583" s="121">
        <f>SUM(R581:R582)</f>
        <v>-15405.409999999858</v>
      </c>
    </row>
    <row r="584" spans="1:46" ht="17.25" customHeight="1" x14ac:dyDescent="0.25">
      <c r="A584" s="127"/>
      <c r="B584" s="131" t="s">
        <v>245</v>
      </c>
      <c r="C584" s="126">
        <f>H567</f>
        <v>-6500</v>
      </c>
      <c r="D584" s="3"/>
      <c r="E584" s="230" t="s">
        <v>300</v>
      </c>
      <c r="F584" s="230"/>
      <c r="G584" s="230"/>
      <c r="H584" s="213">
        <f>E80</f>
        <v>-92.5</v>
      </c>
      <c r="I584" s="213"/>
      <c r="J584" s="129"/>
      <c r="K584" s="228"/>
      <c r="L584" s="229"/>
      <c r="M584" s="122"/>
      <c r="N584" s="228"/>
      <c r="O584" s="229"/>
      <c r="P584" s="123"/>
    </row>
    <row r="585" spans="1:46" s="21" customFormat="1" ht="17.25" customHeight="1" x14ac:dyDescent="0.25">
      <c r="A585" s="127"/>
      <c r="B585" s="137" t="s">
        <v>456</v>
      </c>
      <c r="C585" s="138">
        <f>SUM(C580:C584)</f>
        <v>-5463.1318105660939</v>
      </c>
      <c r="D585" s="128"/>
      <c r="E585" s="231" t="s">
        <v>159</v>
      </c>
      <c r="F585" s="232"/>
      <c r="G585" s="232"/>
      <c r="H585" s="233">
        <f>SUM(H580:I584)</f>
        <v>-6335.7799999999988</v>
      </c>
      <c r="I585" s="234"/>
      <c r="J585" s="128"/>
      <c r="K585" s="241" t="s">
        <v>146</v>
      </c>
      <c r="L585" s="241"/>
      <c r="M585" s="241"/>
      <c r="N585" s="235">
        <f>M581+P581</f>
        <v>88673</v>
      </c>
      <c r="O585" s="236"/>
      <c r="P585" s="237"/>
      <c r="AP585" s="3"/>
      <c r="AQ585" s="3"/>
      <c r="AR585" s="3"/>
      <c r="AS585" s="3"/>
      <c r="AT585" s="3"/>
    </row>
    <row r="586" spans="1:46" s="21" customFormat="1" ht="17.25" customHeight="1" x14ac:dyDescent="0.25">
      <c r="J586" s="128"/>
      <c r="K586" s="241" t="s">
        <v>147</v>
      </c>
      <c r="L586" s="241"/>
      <c r="M586" s="241"/>
      <c r="N586" s="238">
        <f>M582+P582</f>
        <v>35491.758189433902</v>
      </c>
      <c r="O586" s="239"/>
      <c r="P586" s="240"/>
      <c r="AP586" s="3"/>
      <c r="AQ586" s="3"/>
      <c r="AR586" s="3"/>
      <c r="AS586" s="3"/>
      <c r="AT586" s="3"/>
    </row>
    <row r="587" spans="1:46" s="21" customFormat="1" ht="17.25" customHeight="1" x14ac:dyDescent="0.25">
      <c r="A587" s="127"/>
      <c r="B587" s="137" t="s">
        <v>150</v>
      </c>
      <c r="C587" s="138">
        <f>C585+H585</f>
        <v>-11798.911810566093</v>
      </c>
      <c r="D587" s="255" t="s">
        <v>457</v>
      </c>
      <c r="E587" s="256"/>
      <c r="F587" s="256"/>
      <c r="G587" s="256"/>
      <c r="H587" s="256"/>
      <c r="I587" s="256"/>
      <c r="J587" s="128"/>
      <c r="K587" s="241" t="s">
        <v>148</v>
      </c>
      <c r="L587" s="241"/>
      <c r="M587" s="241"/>
      <c r="N587" s="235">
        <f>M583+P583</f>
        <v>-306</v>
      </c>
      <c r="O587" s="236"/>
      <c r="P587" s="237"/>
      <c r="AP587" s="3"/>
      <c r="AQ587" s="3"/>
      <c r="AR587" s="3"/>
      <c r="AS587" s="3"/>
      <c r="AT587" s="3"/>
    </row>
    <row r="588" spans="1:46" s="21" customFormat="1" ht="17.25" customHeight="1" x14ac:dyDescent="0.25">
      <c r="A588" s="25"/>
      <c r="B588" s="3"/>
      <c r="C588" s="124"/>
      <c r="E588" s="132"/>
      <c r="F588" s="132"/>
      <c r="G588" s="132"/>
      <c r="H588" s="130"/>
      <c r="I588" s="130"/>
      <c r="AP588" s="3"/>
      <c r="AQ588" s="3"/>
      <c r="AR588" s="3"/>
      <c r="AS588" s="3"/>
      <c r="AT588" s="3"/>
    </row>
    <row r="589" spans="1:46" s="21" customFormat="1" ht="17.25" customHeight="1" x14ac:dyDescent="0.25">
      <c r="A589" s="25"/>
      <c r="B589" s="137" t="s">
        <v>454</v>
      </c>
      <c r="C589" s="138">
        <f>F472+E545+E546</f>
        <v>-14004.47</v>
      </c>
      <c r="E589" s="132"/>
      <c r="F589" s="132"/>
      <c r="G589" s="132"/>
      <c r="H589" s="130"/>
      <c r="I589" s="130"/>
      <c r="AP589" s="3"/>
      <c r="AQ589" s="3"/>
      <c r="AR589" s="3"/>
      <c r="AS589" s="3"/>
      <c r="AT589" s="3"/>
    </row>
    <row r="590" spans="1:46" s="21" customFormat="1" ht="17.25" customHeight="1" x14ac:dyDescent="0.25">
      <c r="A590" s="25"/>
      <c r="B590" s="3"/>
      <c r="C590" s="124"/>
      <c r="E590" s="132"/>
      <c r="F590" s="132"/>
      <c r="G590" s="132"/>
      <c r="H590" s="130"/>
      <c r="I590" s="130"/>
      <c r="AP590" s="3"/>
      <c r="AQ590" s="3"/>
      <c r="AR590" s="3"/>
      <c r="AS590" s="3"/>
      <c r="AT590" s="3"/>
    </row>
    <row r="591" spans="1:46" ht="17.25" customHeight="1" x14ac:dyDescent="0.25">
      <c r="B591" s="137" t="s">
        <v>242</v>
      </c>
      <c r="C591" s="138">
        <f>C578-C2</f>
        <v>-22588.709999999846</v>
      </c>
    </row>
    <row r="592" spans="1:46" ht="17.25" customHeight="1" x14ac:dyDescent="0.25">
      <c r="E592" s="222">
        <f>C587+C589-C591</f>
        <v>-3214.6718105662439</v>
      </c>
      <c r="F592" s="222"/>
      <c r="H592" s="21">
        <f>-E592+H580</f>
        <v>-1.8189433755651407E-2</v>
      </c>
    </row>
  </sheetData>
  <sheetProtection selectLockedCells="1" selectUnlockedCells="1"/>
  <mergeCells count="544">
    <mergeCell ref="H582:I582"/>
    <mergeCell ref="K582:L582"/>
    <mergeCell ref="B108:C108"/>
    <mergeCell ref="B339:C339"/>
    <mergeCell ref="B423:C423"/>
    <mergeCell ref="B495:C495"/>
    <mergeCell ref="H584:I584"/>
    <mergeCell ref="K584:L584"/>
    <mergeCell ref="B404:C404"/>
    <mergeCell ref="B406:C406"/>
    <mergeCell ref="B417:C417"/>
    <mergeCell ref="B422:C422"/>
    <mergeCell ref="B453:C453"/>
    <mergeCell ref="B454:C454"/>
    <mergeCell ref="B434:C434"/>
    <mergeCell ref="B435:C435"/>
    <mergeCell ref="B436:C436"/>
    <mergeCell ref="B445:C445"/>
    <mergeCell ref="B452:C452"/>
    <mergeCell ref="B439:C439"/>
    <mergeCell ref="B440:C440"/>
    <mergeCell ref="B441:C441"/>
    <mergeCell ref="B473:C473"/>
    <mergeCell ref="B485:C485"/>
    <mergeCell ref="N583:O583"/>
    <mergeCell ref="B576:C576"/>
    <mergeCell ref="H580:I580"/>
    <mergeCell ref="K580:M580"/>
    <mergeCell ref="N580:P580"/>
    <mergeCell ref="K587:M587"/>
    <mergeCell ref="N587:P587"/>
    <mergeCell ref="E584:G584"/>
    <mergeCell ref="E581:G581"/>
    <mergeCell ref="H581:I581"/>
    <mergeCell ref="K581:L581"/>
    <mergeCell ref="N581:O581"/>
    <mergeCell ref="H585:I585"/>
    <mergeCell ref="K585:M585"/>
    <mergeCell ref="N584:O584"/>
    <mergeCell ref="E585:G585"/>
    <mergeCell ref="N582:O582"/>
    <mergeCell ref="E583:G583"/>
    <mergeCell ref="H583:I583"/>
    <mergeCell ref="K583:L583"/>
    <mergeCell ref="N586:P586"/>
    <mergeCell ref="K586:M586"/>
    <mergeCell ref="N585:P585"/>
    <mergeCell ref="E582:G582"/>
    <mergeCell ref="B564:C564"/>
    <mergeCell ref="B565:C565"/>
    <mergeCell ref="E580:G580"/>
    <mergeCell ref="B563:C563"/>
    <mergeCell ref="B551:C551"/>
    <mergeCell ref="B552:C552"/>
    <mergeCell ref="B553:C553"/>
    <mergeCell ref="B554:C554"/>
    <mergeCell ref="B555:C555"/>
    <mergeCell ref="B556:C556"/>
    <mergeCell ref="B569:C569"/>
    <mergeCell ref="B570:C570"/>
    <mergeCell ref="B571:C571"/>
    <mergeCell ref="B566:C566"/>
    <mergeCell ref="B567:C567"/>
    <mergeCell ref="B568:C568"/>
    <mergeCell ref="B562:C562"/>
    <mergeCell ref="B557:C557"/>
    <mergeCell ref="B560:C560"/>
    <mergeCell ref="B561:C561"/>
    <mergeCell ref="B572:C572"/>
    <mergeCell ref="B573:C573"/>
    <mergeCell ref="B574:C574"/>
    <mergeCell ref="B575:C575"/>
    <mergeCell ref="B546:C546"/>
    <mergeCell ref="B547:C547"/>
    <mergeCell ref="B548:C548"/>
    <mergeCell ref="B549:C549"/>
    <mergeCell ref="B550:C550"/>
    <mergeCell ref="B535:C535"/>
    <mergeCell ref="B536:C536"/>
    <mergeCell ref="B537:C537"/>
    <mergeCell ref="B540:C540"/>
    <mergeCell ref="B541:C541"/>
    <mergeCell ref="B542:C542"/>
    <mergeCell ref="B543:C543"/>
    <mergeCell ref="B545:C545"/>
    <mergeCell ref="B521:C521"/>
    <mergeCell ref="B524:C524"/>
    <mergeCell ref="B525:C525"/>
    <mergeCell ref="B544:C544"/>
    <mergeCell ref="B529:C529"/>
    <mergeCell ref="B530:C530"/>
    <mergeCell ref="B531:C531"/>
    <mergeCell ref="B532:C532"/>
    <mergeCell ref="B533:C533"/>
    <mergeCell ref="B534:C534"/>
    <mergeCell ref="B526:C526"/>
    <mergeCell ref="B527:C527"/>
    <mergeCell ref="B528:C528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09:C509"/>
    <mergeCell ref="B510:C510"/>
    <mergeCell ref="B511:C511"/>
    <mergeCell ref="B508:C508"/>
    <mergeCell ref="B494:C494"/>
    <mergeCell ref="B496:C496"/>
    <mergeCell ref="B497:C497"/>
    <mergeCell ref="B498:C498"/>
    <mergeCell ref="B499:C499"/>
    <mergeCell ref="B500:C500"/>
    <mergeCell ref="B506:C506"/>
    <mergeCell ref="B507:C507"/>
    <mergeCell ref="B501:C501"/>
    <mergeCell ref="B504:C504"/>
    <mergeCell ref="B505:C505"/>
    <mergeCell ref="B489:C489"/>
    <mergeCell ref="B490:C490"/>
    <mergeCell ref="B491:C491"/>
    <mergeCell ref="B492:C492"/>
    <mergeCell ref="B493:C493"/>
    <mergeCell ref="B477:C477"/>
    <mergeCell ref="B478:C478"/>
    <mergeCell ref="B479:C479"/>
    <mergeCell ref="B480:C480"/>
    <mergeCell ref="B483:C483"/>
    <mergeCell ref="B488:C488"/>
    <mergeCell ref="B486:C486"/>
    <mergeCell ref="B487:C487"/>
    <mergeCell ref="B472:C472"/>
    <mergeCell ref="B455:C455"/>
    <mergeCell ref="B456:C456"/>
    <mergeCell ref="B457:C457"/>
    <mergeCell ref="B458:C458"/>
    <mergeCell ref="B459:C459"/>
    <mergeCell ref="B460:C460"/>
    <mergeCell ref="B484:C484"/>
    <mergeCell ref="B461:C461"/>
    <mergeCell ref="B464:C464"/>
    <mergeCell ref="B465:C465"/>
    <mergeCell ref="B469:C469"/>
    <mergeCell ref="B475:C475"/>
    <mergeCell ref="B476:C476"/>
    <mergeCell ref="B466:C466"/>
    <mergeCell ref="B467:C467"/>
    <mergeCell ref="B468:C468"/>
    <mergeCell ref="B421:C421"/>
    <mergeCell ref="B424:C424"/>
    <mergeCell ref="B398:C398"/>
    <mergeCell ref="B397:C397"/>
    <mergeCell ref="B399:C399"/>
    <mergeCell ref="B412:C412"/>
    <mergeCell ref="B448:C448"/>
    <mergeCell ref="B451:C451"/>
    <mergeCell ref="B425:C425"/>
    <mergeCell ref="B426:C426"/>
    <mergeCell ref="B427:C427"/>
    <mergeCell ref="B420:C420"/>
    <mergeCell ref="B428:C428"/>
    <mergeCell ref="B429:C429"/>
    <mergeCell ref="B442:C442"/>
    <mergeCell ref="B443:C443"/>
    <mergeCell ref="B444:C444"/>
    <mergeCell ref="B446:C446"/>
    <mergeCell ref="B447:C447"/>
    <mergeCell ref="B432:C432"/>
    <mergeCell ref="B433:C433"/>
    <mergeCell ref="B437:C437"/>
    <mergeCell ref="B438:C438"/>
    <mergeCell ref="B388:C388"/>
    <mergeCell ref="B405:C405"/>
    <mergeCell ref="B389:C389"/>
    <mergeCell ref="B390:C390"/>
    <mergeCell ref="B391:C391"/>
    <mergeCell ref="B392:C392"/>
    <mergeCell ref="B395:C395"/>
    <mergeCell ref="B418:C418"/>
    <mergeCell ref="B419:C419"/>
    <mergeCell ref="B400:C400"/>
    <mergeCell ref="B401:C401"/>
    <mergeCell ref="B402:C402"/>
    <mergeCell ref="B403:C403"/>
    <mergeCell ref="B416:C416"/>
    <mergeCell ref="B415:C415"/>
    <mergeCell ref="B413:C413"/>
    <mergeCell ref="B414:C414"/>
    <mergeCell ref="B396:C396"/>
    <mergeCell ref="B407:C407"/>
    <mergeCell ref="B410:C410"/>
    <mergeCell ref="B411:C411"/>
    <mergeCell ref="B380:C380"/>
    <mergeCell ref="B381:C381"/>
    <mergeCell ref="B382:C382"/>
    <mergeCell ref="B377:C377"/>
    <mergeCell ref="B383:C383"/>
    <mergeCell ref="B384:C384"/>
    <mergeCell ref="B385:C385"/>
    <mergeCell ref="B386:C386"/>
    <mergeCell ref="B387:C387"/>
    <mergeCell ref="B367:C367"/>
    <mergeCell ref="B368:C368"/>
    <mergeCell ref="B369:C369"/>
    <mergeCell ref="B370:C370"/>
    <mergeCell ref="B373:C373"/>
    <mergeCell ref="B374:C374"/>
    <mergeCell ref="B378:C378"/>
    <mergeCell ref="B379:C379"/>
    <mergeCell ref="B376:C376"/>
    <mergeCell ref="B375:C375"/>
    <mergeCell ref="B356:C356"/>
    <mergeCell ref="B357:C357"/>
    <mergeCell ref="B360:C360"/>
    <mergeCell ref="B361:C361"/>
    <mergeCell ref="B362:C362"/>
    <mergeCell ref="B363:C363"/>
    <mergeCell ref="B364:C364"/>
    <mergeCell ref="B365:C365"/>
    <mergeCell ref="B366:C366"/>
    <mergeCell ref="B345:C345"/>
    <mergeCell ref="B346:C346"/>
    <mergeCell ref="B347:C347"/>
    <mergeCell ref="B350:C350"/>
    <mergeCell ref="B351:C351"/>
    <mergeCell ref="B355:C355"/>
    <mergeCell ref="B352:C352"/>
    <mergeCell ref="B353:C353"/>
    <mergeCell ref="B354:C354"/>
    <mergeCell ref="B329:C329"/>
    <mergeCell ref="B330:C330"/>
    <mergeCell ref="B331:C331"/>
    <mergeCell ref="B334:C334"/>
    <mergeCell ref="B335:C335"/>
    <mergeCell ref="B338:C338"/>
    <mergeCell ref="B344:C344"/>
    <mergeCell ref="B340:C340"/>
    <mergeCell ref="B342:C342"/>
    <mergeCell ref="B343:C343"/>
    <mergeCell ref="B317:C317"/>
    <mergeCell ref="B318:C318"/>
    <mergeCell ref="B319:C319"/>
    <mergeCell ref="B322:C322"/>
    <mergeCell ref="B323:C323"/>
    <mergeCell ref="B326:C326"/>
    <mergeCell ref="B327:C327"/>
    <mergeCell ref="B328:C328"/>
    <mergeCell ref="B324:C324"/>
    <mergeCell ref="B325:C325"/>
    <mergeCell ref="B298:C298"/>
    <mergeCell ref="B299:C299"/>
    <mergeCell ref="B295:C295"/>
    <mergeCell ref="B296:C296"/>
    <mergeCell ref="B311:C311"/>
    <mergeCell ref="B312:C312"/>
    <mergeCell ref="B314:C314"/>
    <mergeCell ref="B315:C315"/>
    <mergeCell ref="B316:C316"/>
    <mergeCell ref="B281:C281"/>
    <mergeCell ref="B282:C282"/>
    <mergeCell ref="B285:C285"/>
    <mergeCell ref="B286:C286"/>
    <mergeCell ref="B287:C287"/>
    <mergeCell ref="B288:C288"/>
    <mergeCell ref="B291:C291"/>
    <mergeCell ref="B292:C292"/>
    <mergeCell ref="B297:C297"/>
    <mergeCell ref="B294:C294"/>
    <mergeCell ref="B283:C283"/>
    <mergeCell ref="B284:C284"/>
    <mergeCell ref="B293:C293"/>
    <mergeCell ref="B263:C263"/>
    <mergeCell ref="B266:C266"/>
    <mergeCell ref="B267:C267"/>
    <mergeCell ref="B275:C275"/>
    <mergeCell ref="B276:C276"/>
    <mergeCell ref="B277:C277"/>
    <mergeCell ref="B268:C268"/>
    <mergeCell ref="B269:C269"/>
    <mergeCell ref="B272:C272"/>
    <mergeCell ref="B273:C273"/>
    <mergeCell ref="B271:C271"/>
    <mergeCell ref="B274:C274"/>
    <mergeCell ref="B256:C256"/>
    <mergeCell ref="B252:C252"/>
    <mergeCell ref="B253:C253"/>
    <mergeCell ref="B257:C257"/>
    <mergeCell ref="B258:C258"/>
    <mergeCell ref="B259:C259"/>
    <mergeCell ref="B260:C260"/>
    <mergeCell ref="B261:C261"/>
    <mergeCell ref="B262:C262"/>
    <mergeCell ref="B243:C243"/>
    <mergeCell ref="B244:C244"/>
    <mergeCell ref="B245:C245"/>
    <mergeCell ref="B246:C246"/>
    <mergeCell ref="B247:C247"/>
    <mergeCell ref="B250:C250"/>
    <mergeCell ref="B251:C251"/>
    <mergeCell ref="B254:C254"/>
    <mergeCell ref="B255:C255"/>
    <mergeCell ref="B234:C234"/>
    <mergeCell ref="B237:C237"/>
    <mergeCell ref="B238:C238"/>
    <mergeCell ref="B239:C239"/>
    <mergeCell ref="B240:C240"/>
    <mergeCell ref="B235:C235"/>
    <mergeCell ref="B236:C236"/>
    <mergeCell ref="B241:C241"/>
    <mergeCell ref="B242:C242"/>
    <mergeCell ref="B208:C208"/>
    <mergeCell ref="B211:C211"/>
    <mergeCell ref="B225:C225"/>
    <mergeCell ref="B226:C226"/>
    <mergeCell ref="B227:C227"/>
    <mergeCell ref="B228:C228"/>
    <mergeCell ref="B229:C229"/>
    <mergeCell ref="B230:C230"/>
    <mergeCell ref="B233:C233"/>
    <mergeCell ref="B223:C223"/>
    <mergeCell ref="B221:C221"/>
    <mergeCell ref="B220:C220"/>
    <mergeCell ref="B216:C216"/>
    <mergeCell ref="B199:C199"/>
    <mergeCell ref="B200:C200"/>
    <mergeCell ref="B201:C201"/>
    <mergeCell ref="B196:C196"/>
    <mergeCell ref="B197:C197"/>
    <mergeCell ref="B202:C202"/>
    <mergeCell ref="B203:C203"/>
    <mergeCell ref="B204:C204"/>
    <mergeCell ref="B207:C207"/>
    <mergeCell ref="B186:C186"/>
    <mergeCell ref="B187:C187"/>
    <mergeCell ref="B188:C188"/>
    <mergeCell ref="B189:C189"/>
    <mergeCell ref="B190:C190"/>
    <mergeCell ref="B191:C191"/>
    <mergeCell ref="B194:C194"/>
    <mergeCell ref="B195:C195"/>
    <mergeCell ref="B198:C198"/>
    <mergeCell ref="B172:C172"/>
    <mergeCell ref="B173:C173"/>
    <mergeCell ref="B181:C181"/>
    <mergeCell ref="B182:C182"/>
    <mergeCell ref="B183:C183"/>
    <mergeCell ref="B184:C184"/>
    <mergeCell ref="B185:C185"/>
    <mergeCell ref="B175:C175"/>
    <mergeCell ref="B176:C176"/>
    <mergeCell ref="B177:C177"/>
    <mergeCell ref="B178:C178"/>
    <mergeCell ref="B179:C179"/>
    <mergeCell ref="B153:C153"/>
    <mergeCell ref="B154:C154"/>
    <mergeCell ref="B149:C149"/>
    <mergeCell ref="B150:C150"/>
    <mergeCell ref="B151:C151"/>
    <mergeCell ref="B152:C152"/>
    <mergeCell ref="B161:C161"/>
    <mergeCell ref="B162:C162"/>
    <mergeCell ref="B163:C163"/>
    <mergeCell ref="B155:C155"/>
    <mergeCell ref="B156:C156"/>
    <mergeCell ref="B140:C140"/>
    <mergeCell ref="B134:C134"/>
    <mergeCell ref="B135:C135"/>
    <mergeCell ref="B141:C141"/>
    <mergeCell ref="B142:C142"/>
    <mergeCell ref="B143:C143"/>
    <mergeCell ref="B144:C144"/>
    <mergeCell ref="B147:C147"/>
    <mergeCell ref="B148:C148"/>
    <mergeCell ref="B127:C127"/>
    <mergeCell ref="B128:C128"/>
    <mergeCell ref="B129:C129"/>
    <mergeCell ref="B132:C132"/>
    <mergeCell ref="B133:C133"/>
    <mergeCell ref="B136:C136"/>
    <mergeCell ref="B137:C137"/>
    <mergeCell ref="B138:C138"/>
    <mergeCell ref="B139:C139"/>
    <mergeCell ref="B113:C113"/>
    <mergeCell ref="B114:C114"/>
    <mergeCell ref="B117:C117"/>
    <mergeCell ref="B118:C118"/>
    <mergeCell ref="B121:C121"/>
    <mergeCell ref="B122:C122"/>
    <mergeCell ref="B124:C124"/>
    <mergeCell ref="B125:C125"/>
    <mergeCell ref="B126:C126"/>
    <mergeCell ref="B123:C123"/>
    <mergeCell ref="B119:C119"/>
    <mergeCell ref="B120:C120"/>
    <mergeCell ref="B91:C91"/>
    <mergeCell ref="B94:C94"/>
    <mergeCell ref="B95:C95"/>
    <mergeCell ref="B99:C99"/>
    <mergeCell ref="B105:C105"/>
    <mergeCell ref="B106:C106"/>
    <mergeCell ref="B98:C98"/>
    <mergeCell ref="B100:C100"/>
    <mergeCell ref="B101:C101"/>
    <mergeCell ref="B103:C103"/>
    <mergeCell ref="B102:C102"/>
    <mergeCell ref="B104:C104"/>
    <mergeCell ref="B96:C96"/>
    <mergeCell ref="B97:C97"/>
    <mergeCell ref="B86:C86"/>
    <mergeCell ref="B87:C87"/>
    <mergeCell ref="B88:C88"/>
    <mergeCell ref="B89:C89"/>
    <mergeCell ref="B90:C90"/>
    <mergeCell ref="B85:C85"/>
    <mergeCell ref="B84:C84"/>
    <mergeCell ref="B77:C77"/>
    <mergeCell ref="B78:C78"/>
    <mergeCell ref="B79:C79"/>
    <mergeCell ref="B80:C80"/>
    <mergeCell ref="B81:C81"/>
    <mergeCell ref="B82:C82"/>
    <mergeCell ref="B83:C83"/>
    <mergeCell ref="B66:C66"/>
    <mergeCell ref="B67:C67"/>
    <mergeCell ref="B70:C70"/>
    <mergeCell ref="B71:C71"/>
    <mergeCell ref="B74:C74"/>
    <mergeCell ref="B75:C75"/>
    <mergeCell ref="B72:C72"/>
    <mergeCell ref="B73:C73"/>
    <mergeCell ref="B76:C76"/>
    <mergeCell ref="B54:C54"/>
    <mergeCell ref="B55:C55"/>
    <mergeCell ref="B58:C58"/>
    <mergeCell ref="B59:C59"/>
    <mergeCell ref="B61:C61"/>
    <mergeCell ref="B62:C62"/>
    <mergeCell ref="B63:C63"/>
    <mergeCell ref="B64:C64"/>
    <mergeCell ref="B65:C65"/>
    <mergeCell ref="B60:C60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4:C34"/>
    <mergeCell ref="B35:C35"/>
    <mergeCell ref="B36:C36"/>
    <mergeCell ref="B37:C37"/>
    <mergeCell ref="B38:C38"/>
    <mergeCell ref="B39:C39"/>
    <mergeCell ref="B40:C40"/>
    <mergeCell ref="B43:C43"/>
    <mergeCell ref="B44:C44"/>
    <mergeCell ref="B19:C19"/>
    <mergeCell ref="B21:C21"/>
    <mergeCell ref="B23:C23"/>
    <mergeCell ref="B28:C28"/>
    <mergeCell ref="B29:C29"/>
    <mergeCell ref="B30:C30"/>
    <mergeCell ref="B31:C31"/>
    <mergeCell ref="B32:C32"/>
    <mergeCell ref="B33:C33"/>
    <mergeCell ref="B111:C111"/>
    <mergeCell ref="B112:C112"/>
    <mergeCell ref="K1:M1"/>
    <mergeCell ref="N1:P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22:C22"/>
    <mergeCell ref="B20:C20"/>
    <mergeCell ref="B12:C12"/>
    <mergeCell ref="B13:C13"/>
    <mergeCell ref="B14:C14"/>
    <mergeCell ref="B15:C15"/>
    <mergeCell ref="B18:C18"/>
    <mergeCell ref="B25:C25"/>
    <mergeCell ref="B26:C26"/>
    <mergeCell ref="B27:C27"/>
    <mergeCell ref="B278:C278"/>
    <mergeCell ref="B279:C279"/>
    <mergeCell ref="B280:C280"/>
    <mergeCell ref="B157:C157"/>
    <mergeCell ref="B158:C158"/>
    <mergeCell ref="B214:C214"/>
    <mergeCell ref="B215:C215"/>
    <mergeCell ref="B212:C212"/>
    <mergeCell ref="B213:C213"/>
    <mergeCell ref="B209:C209"/>
    <mergeCell ref="B210:C210"/>
    <mergeCell ref="B159:C159"/>
    <mergeCell ref="B160:C160"/>
    <mergeCell ref="B164:C164"/>
    <mergeCell ref="B180:C180"/>
    <mergeCell ref="B165:C165"/>
    <mergeCell ref="B166:C166"/>
    <mergeCell ref="B167:C167"/>
    <mergeCell ref="B170:C170"/>
    <mergeCell ref="B171:C171"/>
    <mergeCell ref="B174:C174"/>
    <mergeCell ref="B217:C217"/>
    <mergeCell ref="B218:C218"/>
    <mergeCell ref="B219:C219"/>
    <mergeCell ref="B107:C107"/>
    <mergeCell ref="B109:C109"/>
    <mergeCell ref="B110:C110"/>
    <mergeCell ref="E592:F592"/>
    <mergeCell ref="D587:I587"/>
    <mergeCell ref="B224:C224"/>
    <mergeCell ref="B222:C222"/>
    <mergeCell ref="B341:C341"/>
    <mergeCell ref="B474:C474"/>
    <mergeCell ref="B470:C470"/>
    <mergeCell ref="B471:C471"/>
    <mergeCell ref="B300:C300"/>
    <mergeCell ref="B301:C301"/>
    <mergeCell ref="B302:C302"/>
    <mergeCell ref="B303:C303"/>
    <mergeCell ref="B336:C336"/>
    <mergeCell ref="B337:C337"/>
    <mergeCell ref="B304:C304"/>
    <mergeCell ref="B305:C305"/>
    <mergeCell ref="B306:C306"/>
    <mergeCell ref="B309:C309"/>
    <mergeCell ref="B310:C310"/>
    <mergeCell ref="B313:C313"/>
    <mergeCell ref="B270:C270"/>
  </mergeCells>
  <pageMargins left="0.31496062992125984" right="0.31496062992125984" top="0.39370078740157483" bottom="0.39370078740157483" header="0.31496062992125984" footer="0.31496062992125984"/>
  <pageSetup paperSize="9" scale="57" fitToHeight="2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483"/>
  <sheetViews>
    <sheetView showGridLines="0" showZeros="0" view="pageBreakPreview" zoomScale="70" zoomScaleNormal="75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K11" sqref="K11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8" width="10.5703125" style="21" customWidth="1"/>
    <col min="19" max="19" width="10.5703125" style="21" hidden="1" customWidth="1"/>
    <col min="20" max="22" width="10.5703125" style="21" customWidth="1"/>
    <col min="23" max="39" width="10.5703125" style="21" hidden="1" customWidth="1"/>
    <col min="40" max="40" width="10.7109375" style="21" hidden="1" customWidth="1"/>
    <col min="41" max="41" width="11.7109375" style="21" customWidth="1"/>
    <col min="42" max="44" width="14.85546875" style="3" hidden="1" customWidth="1"/>
    <col min="45" max="45" width="9.140625" style="3"/>
    <col min="46" max="46" width="9.85546875" style="3" bestFit="1" customWidth="1"/>
    <col min="47" max="16384" width="9.140625" style="3"/>
  </cols>
  <sheetData>
    <row r="1" spans="1:46" s="1" customFormat="1" ht="17.25" customHeight="1" x14ac:dyDescent="0.25">
      <c r="A1" s="157" t="s">
        <v>325</v>
      </c>
      <c r="B1" s="158"/>
      <c r="C1" s="159">
        <f>D2+E2+F2+G2+H2+I2+J2+M2+P2</f>
        <v>212030.32954000006</v>
      </c>
      <c r="D1" s="161" t="s">
        <v>8</v>
      </c>
      <c r="E1" s="67" t="s">
        <v>9</v>
      </c>
      <c r="F1" s="162" t="s">
        <v>89</v>
      </c>
      <c r="G1" s="162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162" t="s">
        <v>10</v>
      </c>
      <c r="R1" s="162" t="s">
        <v>11</v>
      </c>
      <c r="S1" s="162" t="s">
        <v>89</v>
      </c>
      <c r="T1" s="162" t="s">
        <v>86</v>
      </c>
      <c r="U1" s="162" t="s">
        <v>238</v>
      </c>
      <c r="V1" s="162" t="s">
        <v>92</v>
      </c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78"/>
      <c r="AO1" s="79" t="s">
        <v>0</v>
      </c>
      <c r="AP1" s="6" t="s">
        <v>1</v>
      </c>
      <c r="AQ1" s="7" t="s">
        <v>2</v>
      </c>
      <c r="AR1" s="7" t="s">
        <v>3</v>
      </c>
    </row>
    <row r="2" spans="1:46" s="1" customFormat="1" ht="17.25" customHeight="1" x14ac:dyDescent="0.25">
      <c r="A2" s="163"/>
      <c r="B2" s="157" t="s">
        <v>7</v>
      </c>
      <c r="C2" s="164">
        <f>D2+E2+F2+G2+H2+I2+J2+M2+P2+SUM(Q2:AN2)</f>
        <v>-355912.19045999984</v>
      </c>
      <c r="D2" s="68">
        <f>'Jan26'!D578</f>
        <v>21384.817040000038</v>
      </c>
      <c r="E2" s="68">
        <f>'Jan26'!E578</f>
        <v>-22447.410000000014</v>
      </c>
      <c r="F2" s="80">
        <f>'Jan26'!F578</f>
        <v>28395.65</v>
      </c>
      <c r="G2" s="80">
        <f>'Jan26'!G578</f>
        <v>0</v>
      </c>
      <c r="H2" s="68">
        <f>'Jan26'!H578</f>
        <v>66257.342500000057</v>
      </c>
      <c r="I2" s="68">
        <f>'Jan26'!I578</f>
        <v>8772.2800000000007</v>
      </c>
      <c r="J2" s="68">
        <f>'Jan26'!J578</f>
        <v>0</v>
      </c>
      <c r="K2" s="165">
        <f>'Jan26'!K578</f>
        <v>2000</v>
      </c>
      <c r="L2" s="166">
        <f>'Jan26'!L578</f>
        <v>5.2572650000000003</v>
      </c>
      <c r="M2" s="68">
        <f>'Jan26'!M578</f>
        <v>10514.53</v>
      </c>
      <c r="N2" s="165">
        <f>'Jan26'!N578</f>
        <v>26200</v>
      </c>
      <c r="O2" s="166">
        <f>'Jan26'!O578</f>
        <v>3.7844702290076335</v>
      </c>
      <c r="P2" s="68">
        <f>'Jan26'!P578</f>
        <v>99153.12</v>
      </c>
      <c r="Q2" s="80">
        <f>'Jan26'!Q578</f>
        <v>-614957.13</v>
      </c>
      <c r="R2" s="80">
        <f>'Jan26'!R578</f>
        <v>50229.299999999996</v>
      </c>
      <c r="S2" s="80">
        <f>'Jan26'!S578</f>
        <v>0</v>
      </c>
      <c r="T2" s="80">
        <f>'Jan26'!T578</f>
        <v>-3214.6900000000005</v>
      </c>
      <c r="U2" s="80">
        <f>'Jan26'!U578</f>
        <v>0</v>
      </c>
      <c r="V2" s="80">
        <f>'Jan26'!V578</f>
        <v>0</v>
      </c>
      <c r="W2" s="80">
        <f>'Jan26'!W578</f>
        <v>0</v>
      </c>
      <c r="X2" s="80">
        <f>'Jan26'!X578</f>
        <v>0</v>
      </c>
      <c r="Y2" s="80">
        <f>'Jan26'!Y578</f>
        <v>0</v>
      </c>
      <c r="Z2" s="80">
        <f>'Jan26'!Z578</f>
        <v>0</v>
      </c>
      <c r="AA2" s="80">
        <f>'Jan26'!AA578</f>
        <v>0</v>
      </c>
      <c r="AB2" s="80">
        <f>'Jan26'!AB578</f>
        <v>0</v>
      </c>
      <c r="AC2" s="80">
        <f>'Jan26'!AC578</f>
        <v>0</v>
      </c>
      <c r="AD2" s="80">
        <f>'Jan26'!AD578</f>
        <v>0</v>
      </c>
      <c r="AE2" s="80">
        <f>'Jan26'!AE578</f>
        <v>0</v>
      </c>
      <c r="AF2" s="80">
        <f>'Jan26'!AF578</f>
        <v>0</v>
      </c>
      <c r="AG2" s="80">
        <f>'Jan26'!AG578</f>
        <v>0</v>
      </c>
      <c r="AH2" s="80">
        <f>'Jan26'!AH578</f>
        <v>0</v>
      </c>
      <c r="AI2" s="80">
        <f>'Jan26'!AI578</f>
        <v>0</v>
      </c>
      <c r="AJ2" s="80">
        <f>'Jan26'!AJ578</f>
        <v>0</v>
      </c>
      <c r="AK2" s="80">
        <f>'Jan26'!AK578</f>
        <v>0</v>
      </c>
      <c r="AL2" s="80">
        <f>'Jan26'!AL578</f>
        <v>0</v>
      </c>
      <c r="AM2" s="80">
        <f>'Jan26'!AM578</f>
        <v>0</v>
      </c>
      <c r="AN2" s="80">
        <f>'Jan26'!AN578</f>
        <v>0</v>
      </c>
      <c r="AO2" s="68">
        <f>'Jan26'!AO578</f>
        <v>-355912.19045999984</v>
      </c>
      <c r="AP2" s="8" t="e">
        <f>#REF!</f>
        <v>#REF!</v>
      </c>
      <c r="AQ2" s="9" t="e">
        <f>#REF!</f>
        <v>#REF!</v>
      </c>
      <c r="AR2" s="9" t="e">
        <f>AP2-AQ2</f>
        <v>#REF!</v>
      </c>
    </row>
    <row r="3" spans="1:46" s="2" customFormat="1" ht="17.25" customHeight="1" x14ac:dyDescent="0.25">
      <c r="A3" s="29">
        <v>46054</v>
      </c>
      <c r="B3" s="201" t="s">
        <v>64</v>
      </c>
      <c r="C3" s="202"/>
      <c r="D3" s="65">
        <v>8574.06</v>
      </c>
      <c r="E3" s="64"/>
      <c r="F3" s="64"/>
      <c r="G3" s="64"/>
      <c r="H3" s="64"/>
      <c r="I3" s="64">
        <f>-D3</f>
        <v>-8574.06</v>
      </c>
      <c r="J3" s="64"/>
      <c r="K3" s="57"/>
      <c r="L3" s="88"/>
      <c r="M3" s="62"/>
      <c r="N3" s="57"/>
      <c r="O3" s="88"/>
      <c r="P3" s="62"/>
      <c r="Q3" s="47"/>
      <c r="R3" s="39"/>
      <c r="S3" s="39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22"/>
      <c r="AQ3" s="10" t="s">
        <v>4</v>
      </c>
      <c r="AR3" s="11" t="e">
        <v>#REF!</v>
      </c>
    </row>
    <row r="4" spans="1:46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>
        <f>-I2-I3</f>
        <v>-198.22000000000116</v>
      </c>
      <c r="J4" s="64"/>
      <c r="K4" s="57"/>
      <c r="L4" s="88"/>
      <c r="M4" s="62"/>
      <c r="N4" s="57"/>
      <c r="O4" s="88"/>
      <c r="P4" s="62"/>
      <c r="Q4" s="47"/>
      <c r="R4" s="39"/>
      <c r="S4" s="39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22"/>
      <c r="AQ4" s="10" t="s">
        <v>4</v>
      </c>
      <c r="AR4" s="11" t="e">
        <v>#REF!</v>
      </c>
    </row>
    <row r="5" spans="1:46" s="2" customFormat="1" ht="17.25" customHeight="1" x14ac:dyDescent="0.25">
      <c r="A5" s="29"/>
      <c r="B5" s="201" t="s">
        <v>327</v>
      </c>
      <c r="C5" s="202"/>
      <c r="D5" s="63">
        <f>50+30+40+50+50+120+30+20+50.4+100+30+50+73</f>
        <v>693.4</v>
      </c>
      <c r="E5" s="64"/>
      <c r="F5" s="64"/>
      <c r="G5" s="64"/>
      <c r="H5" s="64"/>
      <c r="I5" s="64">
        <f>-D5</f>
        <v>-693.4</v>
      </c>
      <c r="J5" s="64"/>
      <c r="K5" s="57"/>
      <c r="L5" s="88"/>
      <c r="M5" s="62"/>
      <c r="N5" s="57"/>
      <c r="O5" s="88"/>
      <c r="P5" s="62"/>
      <c r="Q5" s="47"/>
      <c r="R5" s="39"/>
      <c r="S5" s="3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22"/>
      <c r="AQ5" s="10"/>
      <c r="AR5" s="11"/>
    </row>
    <row r="6" spans="1:46" s="2" customFormat="1" ht="17.25" customHeight="1" x14ac:dyDescent="0.25">
      <c r="A6" s="29"/>
      <c r="B6" s="201" t="s">
        <v>328</v>
      </c>
      <c r="C6" s="202"/>
      <c r="D6" s="63">
        <f>-13*0.99</f>
        <v>-12.87</v>
      </c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47"/>
      <c r="R6" s="39"/>
      <c r="S6" s="3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22"/>
      <c r="AQ6" s="10"/>
      <c r="AR6" s="11"/>
    </row>
    <row r="7" spans="1:46" s="4" customFormat="1" ht="17.25" customHeight="1" thickBot="1" x14ac:dyDescent="0.3">
      <c r="A7" s="24"/>
      <c r="B7" s="246"/>
      <c r="C7" s="246"/>
      <c r="D7" s="81"/>
      <c r="E7" s="81"/>
      <c r="F7" s="81"/>
      <c r="G7" s="81"/>
      <c r="H7" s="81"/>
      <c r="I7" s="81"/>
      <c r="J7" s="81"/>
      <c r="K7" s="59"/>
      <c r="L7" s="90"/>
      <c r="M7" s="136"/>
      <c r="N7" s="59"/>
      <c r="O7" s="90"/>
      <c r="P7" s="136"/>
      <c r="Q7" s="39"/>
      <c r="R7" s="39"/>
      <c r="S7" s="39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22"/>
      <c r="AO7" s="43"/>
      <c r="AP7" s="12" t="e">
        <f>#REF!</f>
        <v>#REF!</v>
      </c>
      <c r="AT7" s="2"/>
    </row>
    <row r="8" spans="1:46" s="4" customFormat="1" ht="17.25" customHeight="1" x14ac:dyDescent="0.25">
      <c r="A8" s="23"/>
      <c r="B8" s="212" t="s">
        <v>94</v>
      </c>
      <c r="C8" s="212"/>
      <c r="D8" s="66"/>
      <c r="E8" s="66"/>
      <c r="F8" s="117"/>
      <c r="G8" s="117"/>
      <c r="H8" s="66"/>
      <c r="I8" s="66"/>
      <c r="J8" s="66">
        <f>-M8</f>
        <v>5872.6500000000005</v>
      </c>
      <c r="K8" s="58">
        <v>-987</v>
      </c>
      <c r="L8" s="89">
        <v>5.95</v>
      </c>
      <c r="M8" s="73">
        <f>K8*L8</f>
        <v>-5872.6500000000005</v>
      </c>
      <c r="N8" s="58"/>
      <c r="O8" s="89"/>
      <c r="P8" s="73"/>
      <c r="Q8" s="39"/>
      <c r="R8" s="39"/>
      <c r="S8" s="8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35"/>
      <c r="AP8" s="12" t="e">
        <f>#REF!</f>
        <v>#REF!</v>
      </c>
    </row>
    <row r="9" spans="1:46" s="4" customFormat="1" ht="17.25" customHeight="1" x14ac:dyDescent="0.25">
      <c r="A9" s="23"/>
      <c r="B9" s="201" t="s">
        <v>95</v>
      </c>
      <c r="C9" s="203"/>
      <c r="D9" s="64"/>
      <c r="E9" s="64"/>
      <c r="F9" s="117"/>
      <c r="G9" s="117"/>
      <c r="H9" s="64"/>
      <c r="I9" s="64"/>
      <c r="J9" s="64">
        <f>-P9</f>
        <v>6772.8</v>
      </c>
      <c r="K9" s="57"/>
      <c r="L9" s="88"/>
      <c r="M9" s="62"/>
      <c r="N9" s="57">
        <v>-1660</v>
      </c>
      <c r="O9" s="88">
        <v>4.08</v>
      </c>
      <c r="P9" s="62">
        <f>N9*O9</f>
        <v>-6772.8</v>
      </c>
      <c r="Q9" s="39"/>
      <c r="R9" s="39"/>
      <c r="S9" s="8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35"/>
      <c r="AP9" s="12" t="e">
        <f>#REF!</f>
        <v>#REF!</v>
      </c>
    </row>
    <row r="10" spans="1:46" s="4" customFormat="1" ht="17.25" customHeight="1" x14ac:dyDescent="0.25">
      <c r="A10" s="23"/>
      <c r="B10" s="201" t="s">
        <v>97</v>
      </c>
      <c r="C10" s="203"/>
      <c r="D10" s="64"/>
      <c r="E10" s="64"/>
      <c r="F10" s="64"/>
      <c r="G10" s="64"/>
      <c r="H10" s="64">
        <f>-J10-I10</f>
        <v>4740.7800000000007</v>
      </c>
      <c r="I10" s="64">
        <v>7904.67</v>
      </c>
      <c r="J10" s="64">
        <f>-SUM(J8:J9)</f>
        <v>-12645.45</v>
      </c>
      <c r="K10" s="57"/>
      <c r="L10" s="88"/>
      <c r="M10" s="62"/>
      <c r="N10" s="57"/>
      <c r="O10" s="88"/>
      <c r="P10" s="62"/>
      <c r="Q10" s="39"/>
      <c r="R10" s="39"/>
      <c r="S10" s="39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22"/>
      <c r="AO10" s="43">
        <f>A2</f>
        <v>0</v>
      </c>
      <c r="AP10" s="12" t="e">
        <f>#REF!</f>
        <v>#REF!</v>
      </c>
      <c r="AT10" s="2"/>
    </row>
    <row r="11" spans="1:46" s="4" customFormat="1" ht="17.25" customHeight="1" x14ac:dyDescent="0.25">
      <c r="A11" s="23"/>
      <c r="B11" s="201" t="s">
        <v>100</v>
      </c>
      <c r="C11" s="203"/>
      <c r="D11" s="64"/>
      <c r="E11" s="64"/>
      <c r="F11" s="64"/>
      <c r="G11" s="64"/>
      <c r="H11" s="64"/>
      <c r="I11" s="64"/>
      <c r="J11" s="64"/>
      <c r="K11" s="57">
        <v>36</v>
      </c>
      <c r="L11" s="88"/>
      <c r="M11" s="62">
        <f>(K14*M2/K2)-M2-M8</f>
        <v>872.99098500000036</v>
      </c>
      <c r="N11" s="57">
        <v>-193</v>
      </c>
      <c r="O11" s="88"/>
      <c r="P11" s="62">
        <f>(N14*((P2)/(N2))-P2-P9)</f>
        <v>-239.82333435114106</v>
      </c>
      <c r="Q11" s="39"/>
      <c r="R11" s="39"/>
      <c r="S11" s="3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22"/>
      <c r="AO11" s="43"/>
      <c r="AP11" s="12" t="e">
        <f>#REF!</f>
        <v>#REF!</v>
      </c>
      <c r="AT11" s="2"/>
    </row>
    <row r="12" spans="1:46" s="4" customFormat="1" ht="17.25" customHeight="1" x14ac:dyDescent="0.25">
      <c r="A12" s="23"/>
      <c r="B12" s="201"/>
      <c r="C12" s="203"/>
      <c r="D12" s="64"/>
      <c r="E12" s="64"/>
      <c r="F12" s="64"/>
      <c r="G12" s="64"/>
      <c r="H12" s="64"/>
      <c r="I12" s="64"/>
      <c r="J12" s="64"/>
      <c r="K12" s="57"/>
      <c r="L12" s="88"/>
      <c r="M12" s="62"/>
      <c r="N12" s="57"/>
      <c r="O12" s="88"/>
      <c r="P12" s="62"/>
      <c r="Q12" s="39"/>
      <c r="R12" s="39"/>
      <c r="S12" s="39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22"/>
      <c r="AO12" s="43">
        <f>A3</f>
        <v>46054</v>
      </c>
      <c r="AP12" s="12" t="e">
        <f>#REF!</f>
        <v>#REF!</v>
      </c>
      <c r="AT12" s="2"/>
    </row>
    <row r="13" spans="1:46" s="2" customFormat="1" ht="17.25" customHeight="1" thickBot="1" x14ac:dyDescent="0.3">
      <c r="A13" s="56"/>
      <c r="B13" s="101" t="s">
        <v>102</v>
      </c>
      <c r="C13" s="102">
        <f>D14+E14+F14+G14+H14+I14+J14+M14+P14</f>
        <v>212452.40954000008</v>
      </c>
      <c r="D13" s="85"/>
      <c r="E13" s="85"/>
      <c r="F13" s="85"/>
      <c r="G13" s="85"/>
      <c r="H13" s="85"/>
      <c r="I13" s="85"/>
      <c r="J13" s="85"/>
      <c r="K13" s="97"/>
      <c r="L13" s="98"/>
      <c r="M13" s="99">
        <f>K13*L13</f>
        <v>0</v>
      </c>
      <c r="N13" s="97"/>
      <c r="O13" s="98"/>
      <c r="P13" s="99">
        <f>N13*O13</f>
        <v>0</v>
      </c>
      <c r="Q13" s="51"/>
      <c r="R13" s="51"/>
      <c r="S13" s="51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42">
        <f>SUM($Q2:AN13)</f>
        <v>-567942.5199999999</v>
      </c>
      <c r="AQ13" s="33"/>
      <c r="AR13" s="27"/>
      <c r="AS13" s="2" t="s">
        <v>5</v>
      </c>
    </row>
    <row r="14" spans="1:46" s="2" customFormat="1" ht="17.25" customHeight="1" thickTop="1" thickBot="1" x14ac:dyDescent="0.3">
      <c r="A14" s="103"/>
      <c r="B14" s="104" t="s">
        <v>103</v>
      </c>
      <c r="C14" s="105">
        <f>AO14</f>
        <v>-355490.11045999982</v>
      </c>
      <c r="D14" s="106">
        <f t="shared" ref="D14:K14" si="0">SUM(D2:D13)</f>
        <v>30639.407040000038</v>
      </c>
      <c r="E14" s="107">
        <f t="shared" si="0"/>
        <v>-22447.410000000014</v>
      </c>
      <c r="F14" s="107">
        <f t="shared" si="0"/>
        <v>28395.65</v>
      </c>
      <c r="G14" s="107">
        <f t="shared" si="0"/>
        <v>0</v>
      </c>
      <c r="H14" s="107">
        <f t="shared" si="0"/>
        <v>70998.122500000056</v>
      </c>
      <c r="I14" s="107">
        <f t="shared" si="0"/>
        <v>7211.27</v>
      </c>
      <c r="J14" s="107">
        <f t="shared" si="0"/>
        <v>0</v>
      </c>
      <c r="K14" s="108">
        <f t="shared" si="0"/>
        <v>1049</v>
      </c>
      <c r="L14" s="109">
        <f>M14/K14</f>
        <v>5.2572640610104857</v>
      </c>
      <c r="M14" s="107">
        <f>ROUND(SUM(M2:M13),2)</f>
        <v>5514.87</v>
      </c>
      <c r="N14" s="108">
        <f>SUM(N2:N13)</f>
        <v>24347</v>
      </c>
      <c r="O14" s="109">
        <f>P14/N14</f>
        <v>3.7844703659588452</v>
      </c>
      <c r="P14" s="107">
        <f>ROUND(SUM(P2:P13),2)</f>
        <v>92140.5</v>
      </c>
      <c r="Q14" s="110">
        <f t="shared" ref="Q14:AH14" si="1">SUM(Q2:Q13)</f>
        <v>-614957.13</v>
      </c>
      <c r="R14" s="107">
        <f t="shared" si="1"/>
        <v>50229.299999999996</v>
      </c>
      <c r="S14" s="107">
        <f t="shared" si="1"/>
        <v>0</v>
      </c>
      <c r="T14" s="107">
        <f t="shared" si="1"/>
        <v>-3214.6900000000005</v>
      </c>
      <c r="U14" s="107">
        <f t="shared" si="1"/>
        <v>0</v>
      </c>
      <c r="V14" s="107">
        <f t="shared" si="1"/>
        <v>0</v>
      </c>
      <c r="W14" s="107">
        <f t="shared" si="1"/>
        <v>0</v>
      </c>
      <c r="X14" s="107">
        <f t="shared" si="1"/>
        <v>0</v>
      </c>
      <c r="Y14" s="107">
        <f t="shared" si="1"/>
        <v>0</v>
      </c>
      <c r="Z14" s="107">
        <f t="shared" si="1"/>
        <v>0</v>
      </c>
      <c r="AA14" s="107">
        <f t="shared" si="1"/>
        <v>0</v>
      </c>
      <c r="AB14" s="107">
        <f t="shared" si="1"/>
        <v>0</v>
      </c>
      <c r="AC14" s="107">
        <f t="shared" si="1"/>
        <v>0</v>
      </c>
      <c r="AD14" s="107">
        <f t="shared" si="1"/>
        <v>0</v>
      </c>
      <c r="AE14" s="107">
        <f t="shared" si="1"/>
        <v>0</v>
      </c>
      <c r="AF14" s="107">
        <f t="shared" si="1"/>
        <v>0</v>
      </c>
      <c r="AG14" s="107">
        <f t="shared" si="1"/>
        <v>0</v>
      </c>
      <c r="AH14" s="107">
        <f t="shared" si="1"/>
        <v>0</v>
      </c>
      <c r="AI14" s="107"/>
      <c r="AJ14" s="107">
        <f>SUM(AJ2:AJ13)</f>
        <v>0</v>
      </c>
      <c r="AK14" s="107">
        <f>SUM(AK2:AK13)</f>
        <v>0</v>
      </c>
      <c r="AL14" s="107">
        <f>SUM(AL2:AL13)</f>
        <v>0</v>
      </c>
      <c r="AM14" s="107">
        <f>SUM(AM2:AM13)</f>
        <v>0</v>
      </c>
      <c r="AN14" s="107">
        <f>SUM(AN2:AN13)</f>
        <v>0</v>
      </c>
      <c r="AO14" s="111">
        <f>D14+E14+F14+G14+H14+I14+J14+M14+P14+SUM(Q14:AN14)</f>
        <v>-355490.11045999982</v>
      </c>
      <c r="AP14" s="4"/>
      <c r="AQ14" s="5"/>
      <c r="AR14" s="5"/>
      <c r="AS14" s="2" t="s">
        <v>6</v>
      </c>
    </row>
    <row r="15" spans="1:46" s="4" customFormat="1" ht="17.25" customHeight="1" thickTop="1" x14ac:dyDescent="0.25">
      <c r="A15" s="23">
        <f>A3+1</f>
        <v>46055</v>
      </c>
      <c r="B15" s="201" t="s">
        <v>64</v>
      </c>
      <c r="C15" s="202"/>
      <c r="D15" s="65">
        <v>7034.51</v>
      </c>
      <c r="E15" s="64"/>
      <c r="F15" s="64"/>
      <c r="G15" s="64"/>
      <c r="H15" s="64"/>
      <c r="I15" s="64">
        <f>-D15</f>
        <v>-7034.51</v>
      </c>
      <c r="J15" s="66"/>
      <c r="K15" s="18"/>
      <c r="L15" s="91"/>
      <c r="M15" s="66"/>
      <c r="N15" s="18"/>
      <c r="O15" s="91"/>
      <c r="P15" s="66"/>
      <c r="Q15" s="46"/>
      <c r="R15" s="46"/>
      <c r="S15" s="45"/>
      <c r="T15" s="18"/>
      <c r="U15" s="18"/>
      <c r="V15" s="18"/>
      <c r="W15" s="18"/>
      <c r="X15" s="18"/>
      <c r="Y15" s="14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7"/>
      <c r="AO15" s="13"/>
      <c r="AP15" s="12" t="e">
        <f>#REF!</f>
        <v>#REF!</v>
      </c>
    </row>
    <row r="16" spans="1:46" s="4" customFormat="1" ht="17.25" customHeight="1" x14ac:dyDescent="0.25">
      <c r="A16" s="23"/>
      <c r="B16" s="201" t="s">
        <v>96</v>
      </c>
      <c r="C16" s="202"/>
      <c r="D16" s="65"/>
      <c r="E16" s="64"/>
      <c r="F16" s="64"/>
      <c r="G16" s="64"/>
      <c r="H16" s="64"/>
      <c r="I16" s="64">
        <f>-I14-I15</f>
        <v>-176.76000000000022</v>
      </c>
      <c r="J16" s="66"/>
      <c r="K16" s="18"/>
      <c r="L16" s="91"/>
      <c r="M16" s="66"/>
      <c r="N16" s="18"/>
      <c r="O16" s="91"/>
      <c r="P16" s="66"/>
      <c r="Q16" s="46"/>
      <c r="R16" s="46"/>
      <c r="S16" s="45"/>
      <c r="T16" s="18"/>
      <c r="U16" s="18"/>
      <c r="V16" s="18"/>
      <c r="W16" s="18"/>
      <c r="X16" s="18"/>
      <c r="Y16" s="14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7"/>
      <c r="AO16" s="13"/>
      <c r="AP16" s="12" t="e">
        <f>#REF!</f>
        <v>#REF!</v>
      </c>
    </row>
    <row r="17" spans="1:46" s="4" customFormat="1" ht="17.25" customHeight="1" x14ac:dyDescent="0.25">
      <c r="A17" s="23"/>
      <c r="B17" s="201" t="s">
        <v>327</v>
      </c>
      <c r="C17" s="202"/>
      <c r="D17" s="63">
        <f>172+50+50+100+50+100+50+100+50+51.6+80+100</f>
        <v>953.6</v>
      </c>
      <c r="E17" s="64"/>
      <c r="F17" s="64"/>
      <c r="G17" s="64"/>
      <c r="H17" s="64"/>
      <c r="I17" s="64">
        <f>-D17</f>
        <v>-953.6</v>
      </c>
      <c r="J17" s="66"/>
      <c r="K17" s="18"/>
      <c r="L17" s="91"/>
      <c r="M17" s="66"/>
      <c r="N17" s="18"/>
      <c r="O17" s="91"/>
      <c r="P17" s="66"/>
      <c r="Q17" s="46"/>
      <c r="R17" s="46"/>
      <c r="S17" s="45"/>
      <c r="T17" s="18"/>
      <c r="U17" s="18"/>
      <c r="V17" s="18"/>
      <c r="W17" s="18"/>
      <c r="X17" s="18"/>
      <c r="Y17" s="14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7"/>
      <c r="AO17" s="13"/>
      <c r="AP17" s="12" t="e">
        <f>#REF!</f>
        <v>#REF!</v>
      </c>
    </row>
    <row r="18" spans="1:46" s="4" customFormat="1" ht="17.25" customHeight="1" x14ac:dyDescent="0.25">
      <c r="A18" s="23"/>
      <c r="B18" s="201" t="s">
        <v>328</v>
      </c>
      <c r="C18" s="202"/>
      <c r="D18" s="63">
        <f>-11*0.99-1.38</f>
        <v>-12.27</v>
      </c>
      <c r="E18" s="64"/>
      <c r="F18" s="64"/>
      <c r="G18" s="64"/>
      <c r="H18" s="64"/>
      <c r="I18" s="64"/>
      <c r="J18" s="66"/>
      <c r="K18" s="18"/>
      <c r="L18" s="91"/>
      <c r="M18" s="66"/>
      <c r="N18" s="18"/>
      <c r="O18" s="91"/>
      <c r="P18" s="66"/>
      <c r="Q18" s="46"/>
      <c r="R18" s="46"/>
      <c r="S18" s="45"/>
      <c r="T18" s="18"/>
      <c r="U18" s="18"/>
      <c r="V18" s="18"/>
      <c r="W18" s="18"/>
      <c r="X18" s="18"/>
      <c r="Y18" s="14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7"/>
      <c r="AO18" s="13"/>
      <c r="AP18" s="12" t="e">
        <f>#REF!</f>
        <v>#REF!</v>
      </c>
    </row>
    <row r="19" spans="1:46" s="4" customFormat="1" ht="17.25" customHeight="1" x14ac:dyDescent="0.25">
      <c r="A19" s="23"/>
      <c r="B19" s="201" t="s">
        <v>76</v>
      </c>
      <c r="C19" s="202"/>
      <c r="D19" s="63">
        <v>28395</v>
      </c>
      <c r="E19" s="64"/>
      <c r="F19" s="64">
        <f>-D19</f>
        <v>-28395</v>
      </c>
      <c r="G19" s="64"/>
      <c r="H19" s="64"/>
      <c r="I19" s="64"/>
      <c r="J19" s="64"/>
      <c r="K19" s="16"/>
      <c r="L19" s="92"/>
      <c r="M19" s="64"/>
      <c r="N19" s="16"/>
      <c r="O19" s="92"/>
      <c r="P19" s="64"/>
      <c r="Q19" s="40"/>
      <c r="R19" s="46"/>
      <c r="S19" s="39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22"/>
      <c r="AP19" s="30"/>
    </row>
    <row r="20" spans="1:46" s="4" customFormat="1" ht="17.25" customHeight="1" x14ac:dyDescent="0.25">
      <c r="A20" s="23"/>
      <c r="B20" s="201" t="s">
        <v>13</v>
      </c>
      <c r="C20" s="203"/>
      <c r="D20" s="63"/>
      <c r="E20" s="64">
        <f>70+100+15+70+50+50+20+34+70+15+50+179+50+50+30+50+30+21+100+20+327+100+1130+1935+120+928+1168+752+1380+60</f>
        <v>8974</v>
      </c>
      <c r="F20" s="64"/>
      <c r="G20" s="64"/>
      <c r="H20" s="64">
        <f>-E20</f>
        <v>-8974</v>
      </c>
      <c r="I20" s="66"/>
      <c r="J20" s="64"/>
      <c r="K20" s="16"/>
      <c r="L20" s="92"/>
      <c r="M20" s="64"/>
      <c r="N20" s="16"/>
      <c r="O20" s="92"/>
      <c r="P20" s="64"/>
      <c r="Q20" s="40"/>
      <c r="R20" s="46">
        <f>-D20</f>
        <v>0</v>
      </c>
      <c r="S20" s="39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22"/>
      <c r="AP20" s="30"/>
    </row>
    <row r="21" spans="1:46" s="2" customFormat="1" ht="17.25" customHeight="1" x14ac:dyDescent="0.25">
      <c r="A21" s="24"/>
      <c r="B21" s="201" t="s">
        <v>371</v>
      </c>
      <c r="C21" s="203"/>
      <c r="D21" s="63"/>
      <c r="E21" s="64">
        <v>-184.86</v>
      </c>
      <c r="F21" s="64"/>
      <c r="G21" s="64"/>
      <c r="H21" s="64"/>
      <c r="I21" s="64"/>
      <c r="J21" s="64"/>
      <c r="K21" s="16"/>
      <c r="L21" s="92"/>
      <c r="M21" s="64"/>
      <c r="N21" s="16"/>
      <c r="O21" s="92"/>
      <c r="P21" s="64"/>
      <c r="Q21" s="39"/>
      <c r="R21" s="39"/>
      <c r="S21" s="3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22"/>
      <c r="AQ21" s="10"/>
      <c r="AR21" s="11"/>
    </row>
    <row r="22" spans="1:46" s="2" customFormat="1" ht="17.25" customHeight="1" x14ac:dyDescent="0.25">
      <c r="A22" s="24"/>
      <c r="B22" s="205" t="s">
        <v>390</v>
      </c>
      <c r="C22" s="206"/>
      <c r="D22" s="63">
        <v>-25575</v>
      </c>
      <c r="E22" s="64"/>
      <c r="F22" s="64"/>
      <c r="G22" s="64"/>
      <c r="H22" s="64"/>
      <c r="I22" s="64"/>
      <c r="J22" s="64"/>
      <c r="K22" s="57">
        <v>5000</v>
      </c>
      <c r="L22" s="88">
        <v>5.1150000000000002</v>
      </c>
      <c r="M22" s="62">
        <f>K22*L22</f>
        <v>25575</v>
      </c>
      <c r="N22" s="16"/>
      <c r="O22" s="92"/>
      <c r="P22" s="64"/>
      <c r="Q22" s="39"/>
      <c r="R22" s="39"/>
      <c r="S22" s="39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22"/>
      <c r="AQ22" s="10"/>
      <c r="AR22" s="11"/>
    </row>
    <row r="23" spans="1:46" s="2" customFormat="1" ht="17.25" customHeight="1" x14ac:dyDescent="0.25">
      <c r="A23" s="24"/>
      <c r="B23" s="205" t="s">
        <v>391</v>
      </c>
      <c r="C23" s="206"/>
      <c r="D23" s="63">
        <v>-25575</v>
      </c>
      <c r="E23" s="64"/>
      <c r="F23" s="64"/>
      <c r="G23" s="64"/>
      <c r="H23" s="64"/>
      <c r="I23" s="64"/>
      <c r="J23" s="64"/>
      <c r="K23" s="57">
        <v>5000</v>
      </c>
      <c r="L23" s="88">
        <v>5.1150000000000002</v>
      </c>
      <c r="M23" s="62">
        <f>K23*L23</f>
        <v>25575</v>
      </c>
      <c r="N23" s="16"/>
      <c r="O23" s="92"/>
      <c r="P23" s="64"/>
      <c r="Q23" s="39"/>
      <c r="R23" s="39"/>
      <c r="S23" s="39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22"/>
      <c r="AQ23" s="10"/>
      <c r="AR23" s="11"/>
    </row>
    <row r="24" spans="1:46" s="2" customFormat="1" ht="17.25" customHeight="1" x14ac:dyDescent="0.25">
      <c r="A24" s="24"/>
      <c r="B24" s="201" t="s">
        <v>276</v>
      </c>
      <c r="C24" s="203"/>
      <c r="D24" s="63">
        <f>-4.9-4.9</f>
        <v>-9.8000000000000007</v>
      </c>
      <c r="E24" s="64"/>
      <c r="F24" s="64"/>
      <c r="G24" s="64"/>
      <c r="H24" s="64"/>
      <c r="I24" s="64"/>
      <c r="J24" s="64"/>
      <c r="K24" s="16"/>
      <c r="L24" s="92"/>
      <c r="M24" s="64"/>
      <c r="N24" s="16"/>
      <c r="O24" s="92"/>
      <c r="P24" s="64"/>
      <c r="Q24" s="39"/>
      <c r="R24" s="39"/>
      <c r="S24" s="39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22"/>
      <c r="AQ24" s="10"/>
      <c r="AR24" s="11"/>
    </row>
    <row r="25" spans="1:46" s="4" customFormat="1" ht="17.25" customHeight="1" thickBot="1" x14ac:dyDescent="0.3">
      <c r="A25" s="24"/>
      <c r="B25" s="246"/>
      <c r="C25" s="246"/>
      <c r="D25" s="81"/>
      <c r="E25" s="81"/>
      <c r="F25" s="81"/>
      <c r="G25" s="81"/>
      <c r="H25" s="81"/>
      <c r="I25" s="81"/>
      <c r="J25" s="81"/>
      <c r="K25" s="59"/>
      <c r="L25" s="90"/>
      <c r="M25" s="136"/>
      <c r="N25" s="59"/>
      <c r="O25" s="90"/>
      <c r="P25" s="136"/>
      <c r="Q25" s="39"/>
      <c r="R25" s="39"/>
      <c r="S25" s="39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22"/>
      <c r="AO25" s="43"/>
      <c r="AP25" s="12" t="e">
        <f>#REF!</f>
        <v>#REF!</v>
      </c>
      <c r="AT25" s="2"/>
    </row>
    <row r="26" spans="1:46" s="4" customFormat="1" ht="17.25" customHeight="1" x14ac:dyDescent="0.25">
      <c r="A26" s="23"/>
      <c r="B26" s="212" t="s">
        <v>94</v>
      </c>
      <c r="C26" s="212"/>
      <c r="D26" s="66"/>
      <c r="E26" s="66"/>
      <c r="F26" s="117"/>
      <c r="G26" s="117"/>
      <c r="H26" s="66"/>
      <c r="I26" s="66"/>
      <c r="J26" s="66">
        <f>-M26</f>
        <v>7508.9000000000005</v>
      </c>
      <c r="K26" s="58">
        <v>-1262</v>
      </c>
      <c r="L26" s="89">
        <v>5.95</v>
      </c>
      <c r="M26" s="73">
        <f>K26*L26</f>
        <v>-7508.9000000000005</v>
      </c>
      <c r="N26" s="58"/>
      <c r="O26" s="89"/>
      <c r="P26" s="73"/>
      <c r="Q26" s="39"/>
      <c r="R26" s="39"/>
      <c r="S26" s="8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35"/>
      <c r="AP26" s="12" t="e">
        <f>#REF!</f>
        <v>#REF!</v>
      </c>
    </row>
    <row r="27" spans="1:46" s="4" customFormat="1" ht="17.25" customHeight="1" x14ac:dyDescent="0.25">
      <c r="A27" s="24"/>
      <c r="B27" s="207" t="s">
        <v>95</v>
      </c>
      <c r="C27" s="207"/>
      <c r="D27" s="64"/>
      <c r="E27" s="64"/>
      <c r="F27" s="117"/>
      <c r="G27" s="117"/>
      <c r="H27" s="64"/>
      <c r="I27" s="64"/>
      <c r="J27" s="64">
        <f>-P27</f>
        <v>7433.76</v>
      </c>
      <c r="K27" s="57"/>
      <c r="L27" s="88"/>
      <c r="M27" s="62"/>
      <c r="N27" s="57">
        <v>-1822</v>
      </c>
      <c r="O27" s="88">
        <v>4.08</v>
      </c>
      <c r="P27" s="62">
        <f>N27*O27</f>
        <v>-7433.76</v>
      </c>
      <c r="Q27" s="39"/>
      <c r="R27" s="39"/>
      <c r="S27" s="8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35"/>
      <c r="AP27" s="12" t="e">
        <f>#REF!</f>
        <v>#REF!</v>
      </c>
    </row>
    <row r="28" spans="1:46" s="4" customFormat="1" ht="17.25" customHeight="1" x14ac:dyDescent="0.25">
      <c r="A28" s="24"/>
      <c r="B28" s="207" t="s">
        <v>97</v>
      </c>
      <c r="C28" s="207"/>
      <c r="D28" s="64"/>
      <c r="E28" s="64"/>
      <c r="F28" s="64"/>
      <c r="G28" s="64"/>
      <c r="H28" s="64">
        <f>-J28-I28</f>
        <v>4494.91</v>
      </c>
      <c r="I28" s="64">
        <v>10447.75</v>
      </c>
      <c r="J28" s="64">
        <f>-SUM(J26:J27)</f>
        <v>-14942.66</v>
      </c>
      <c r="K28" s="57"/>
      <c r="L28" s="88"/>
      <c r="M28" s="62"/>
      <c r="N28" s="57"/>
      <c r="O28" s="88"/>
      <c r="P28" s="62"/>
      <c r="Q28" s="39"/>
      <c r="R28" s="39"/>
      <c r="S28" s="39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22"/>
      <c r="AO28" s="43"/>
      <c r="AP28" s="12" t="e">
        <f>#REF!</f>
        <v>#REF!</v>
      </c>
      <c r="AT28" s="2"/>
    </row>
    <row r="29" spans="1:46" s="4" customFormat="1" ht="17.25" customHeight="1" x14ac:dyDescent="0.25">
      <c r="A29" s="24"/>
      <c r="B29" s="207" t="s">
        <v>100</v>
      </c>
      <c r="C29" s="207"/>
      <c r="D29" s="64"/>
      <c r="E29" s="64"/>
      <c r="F29" s="64"/>
      <c r="G29" s="64"/>
      <c r="H29" s="64"/>
      <c r="I29" s="64"/>
      <c r="J29" s="64"/>
      <c r="K29" s="57">
        <v>148</v>
      </c>
      <c r="L29" s="88"/>
      <c r="M29" s="62">
        <f>(K32*(M14+M22+M23)/(K14+K22+K23))-M14-M26-M22-M23</f>
        <v>1795.7435894650989</v>
      </c>
      <c r="N29" s="57">
        <v>-40</v>
      </c>
      <c r="O29" s="88"/>
      <c r="P29" s="62">
        <f>(N32*P14/N14)-P14-P27</f>
        <v>387.07617858463163</v>
      </c>
      <c r="Q29" s="39"/>
      <c r="R29" s="39"/>
      <c r="S29" s="39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22"/>
      <c r="AO29" s="43"/>
      <c r="AP29" s="12" t="e">
        <f>#REF!</f>
        <v>#REF!</v>
      </c>
      <c r="AT29" s="2"/>
    </row>
    <row r="30" spans="1:46" s="4" customFormat="1" ht="17.25" customHeight="1" x14ac:dyDescent="0.25">
      <c r="A30" s="24"/>
      <c r="B30" s="201"/>
      <c r="C30" s="202"/>
      <c r="D30" s="64"/>
      <c r="E30" s="64"/>
      <c r="F30" s="117"/>
      <c r="G30" s="117"/>
      <c r="H30" s="64"/>
      <c r="I30" s="64"/>
      <c r="J30" s="64"/>
      <c r="K30" s="16"/>
      <c r="L30" s="92"/>
      <c r="M30" s="64"/>
      <c r="N30" s="16"/>
      <c r="O30" s="92"/>
      <c r="P30" s="64"/>
      <c r="Q30" s="47"/>
      <c r="R30" s="39"/>
      <c r="S30" s="8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43">
        <f>A15</f>
        <v>46055</v>
      </c>
      <c r="AP30" s="12" t="e">
        <f>#REF!</f>
        <v>#REF!</v>
      </c>
    </row>
    <row r="31" spans="1:46" s="4" customFormat="1" ht="17.25" customHeight="1" thickBot="1" x14ac:dyDescent="0.3">
      <c r="A31" s="32"/>
      <c r="B31" s="101" t="s">
        <v>102</v>
      </c>
      <c r="C31" s="102">
        <f>D32+E32+F32+G32+H32+I32+J32+M32+P32</f>
        <v>214251.53954000009</v>
      </c>
      <c r="D31" s="96"/>
      <c r="E31" s="85"/>
      <c r="F31" s="120"/>
      <c r="G31" s="120"/>
      <c r="H31" s="85"/>
      <c r="I31" s="85"/>
      <c r="J31" s="85"/>
      <c r="K31" s="28"/>
      <c r="L31" s="112"/>
      <c r="M31" s="85"/>
      <c r="N31" s="28"/>
      <c r="O31" s="112"/>
      <c r="P31" s="85"/>
      <c r="Q31" s="113"/>
      <c r="R31" s="51"/>
      <c r="S31" s="87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42">
        <f>SUM($Q14:AN31)</f>
        <v>-567942.5199999999</v>
      </c>
      <c r="AP31" s="2"/>
      <c r="AQ31" s="33"/>
      <c r="AR31" s="27"/>
      <c r="AS31" s="2" t="s">
        <v>5</v>
      </c>
    </row>
    <row r="32" spans="1:46" s="2" customFormat="1" ht="17.25" customHeight="1" thickTop="1" thickBot="1" x14ac:dyDescent="0.3">
      <c r="A32" s="103"/>
      <c r="B32" s="104" t="s">
        <v>103</v>
      </c>
      <c r="C32" s="105">
        <f>AO32</f>
        <v>-353690.98045999982</v>
      </c>
      <c r="D32" s="106">
        <f t="shared" ref="D32:K32" si="2">SUM(D14:D31)</f>
        <v>15850.447040000046</v>
      </c>
      <c r="E32" s="107">
        <f t="shared" si="2"/>
        <v>-13658.270000000015</v>
      </c>
      <c r="F32" s="107">
        <f t="shared" si="2"/>
        <v>0.65000000000145519</v>
      </c>
      <c r="G32" s="107">
        <f t="shared" si="2"/>
        <v>0</v>
      </c>
      <c r="H32" s="107">
        <f t="shared" si="2"/>
        <v>66519.032500000059</v>
      </c>
      <c r="I32" s="107">
        <f t="shared" si="2"/>
        <v>9494.15</v>
      </c>
      <c r="J32" s="107">
        <f t="shared" si="2"/>
        <v>0</v>
      </c>
      <c r="K32" s="108">
        <f t="shared" si="2"/>
        <v>9935</v>
      </c>
      <c r="L32" s="109">
        <f>M32/K32</f>
        <v>5.1285062908907904</v>
      </c>
      <c r="M32" s="107">
        <f>ROUND(SUM(M14:M31),2)</f>
        <v>50951.71</v>
      </c>
      <c r="N32" s="108">
        <f>SUM(N14:N31)</f>
        <v>22485</v>
      </c>
      <c r="O32" s="114">
        <f>P32/N32</f>
        <v>3.7844705359128312</v>
      </c>
      <c r="P32" s="107">
        <f>ROUND(SUM(P14:P31),2)</f>
        <v>85093.82</v>
      </c>
      <c r="Q32" s="115">
        <f t="shared" ref="Q32:AN32" si="3">SUM(Q14:Q31)</f>
        <v>-614957.13</v>
      </c>
      <c r="R32" s="107">
        <f t="shared" si="3"/>
        <v>50229.299999999996</v>
      </c>
      <c r="S32" s="107">
        <f t="shared" si="3"/>
        <v>0</v>
      </c>
      <c r="T32" s="107">
        <f t="shared" si="3"/>
        <v>-3214.6900000000005</v>
      </c>
      <c r="U32" s="107">
        <f t="shared" si="3"/>
        <v>0</v>
      </c>
      <c r="V32" s="107">
        <f t="shared" si="3"/>
        <v>0</v>
      </c>
      <c r="W32" s="107">
        <f t="shared" si="3"/>
        <v>0</v>
      </c>
      <c r="X32" s="107">
        <f t="shared" si="3"/>
        <v>0</v>
      </c>
      <c r="Y32" s="107">
        <f t="shared" si="3"/>
        <v>0</v>
      </c>
      <c r="Z32" s="107">
        <f t="shared" si="3"/>
        <v>0</v>
      </c>
      <c r="AA32" s="107">
        <f t="shared" si="3"/>
        <v>0</v>
      </c>
      <c r="AB32" s="107">
        <f t="shared" si="3"/>
        <v>0</v>
      </c>
      <c r="AC32" s="107">
        <f t="shared" si="3"/>
        <v>0</v>
      </c>
      <c r="AD32" s="107">
        <f t="shared" si="3"/>
        <v>0</v>
      </c>
      <c r="AE32" s="107">
        <f t="shared" si="3"/>
        <v>0</v>
      </c>
      <c r="AF32" s="107">
        <f t="shared" si="3"/>
        <v>0</v>
      </c>
      <c r="AG32" s="107">
        <f t="shared" si="3"/>
        <v>0</v>
      </c>
      <c r="AH32" s="107">
        <f t="shared" si="3"/>
        <v>0</v>
      </c>
      <c r="AI32" s="107">
        <f t="shared" si="3"/>
        <v>0</v>
      </c>
      <c r="AJ32" s="107">
        <f t="shared" si="3"/>
        <v>0</v>
      </c>
      <c r="AK32" s="107">
        <f t="shared" si="3"/>
        <v>0</v>
      </c>
      <c r="AL32" s="107">
        <f t="shared" si="3"/>
        <v>0</v>
      </c>
      <c r="AM32" s="107">
        <f t="shared" si="3"/>
        <v>0</v>
      </c>
      <c r="AN32" s="107">
        <f t="shared" si="3"/>
        <v>0</v>
      </c>
      <c r="AO32" s="111">
        <f>D32+E32+F32+G32+H32+I32+J32+M32+P32+SUM(Q32:AN32)</f>
        <v>-353690.98045999982</v>
      </c>
      <c r="AP32" s="4"/>
      <c r="AQ32" s="5"/>
      <c r="AR32" s="5"/>
      <c r="AS32" s="2" t="s">
        <v>6</v>
      </c>
    </row>
    <row r="33" spans="1:46" s="2" customFormat="1" ht="17.25" customHeight="1" thickTop="1" x14ac:dyDescent="0.25">
      <c r="A33" s="23">
        <f>A15+1</f>
        <v>46056</v>
      </c>
      <c r="B33" s="210" t="s">
        <v>64</v>
      </c>
      <c r="C33" s="203"/>
      <c r="D33" s="63">
        <v>9494.15</v>
      </c>
      <c r="E33" s="66"/>
      <c r="F33" s="66"/>
      <c r="G33" s="66"/>
      <c r="H33" s="66"/>
      <c r="I33" s="66">
        <f>-D33</f>
        <v>-9494.15</v>
      </c>
      <c r="J33" s="66"/>
      <c r="K33" s="18"/>
      <c r="L33" s="91"/>
      <c r="M33" s="66"/>
      <c r="N33" s="18"/>
      <c r="O33" s="91"/>
      <c r="P33" s="66"/>
      <c r="Q33" s="46"/>
      <c r="R33" s="46"/>
      <c r="S33" s="45"/>
      <c r="T33" s="18"/>
      <c r="U33" s="18"/>
      <c r="V33" s="18"/>
      <c r="W33" s="18"/>
      <c r="X33" s="18"/>
      <c r="Y33" s="14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7"/>
      <c r="AO33" s="13"/>
      <c r="AQ33" s="10"/>
      <c r="AR33" s="27"/>
    </row>
    <row r="34" spans="1:46" s="4" customFormat="1" ht="17.25" customHeight="1" x14ac:dyDescent="0.25">
      <c r="A34" s="23"/>
      <c r="B34" s="201" t="s">
        <v>96</v>
      </c>
      <c r="C34" s="202"/>
      <c r="D34" s="63"/>
      <c r="E34" s="64"/>
      <c r="F34" s="64"/>
      <c r="G34" s="64"/>
      <c r="H34" s="64"/>
      <c r="I34" s="64">
        <f>-I32-I33</f>
        <v>0</v>
      </c>
      <c r="J34" s="64"/>
      <c r="K34" s="16"/>
      <c r="L34" s="92"/>
      <c r="M34" s="64"/>
      <c r="N34" s="16"/>
      <c r="O34" s="92"/>
      <c r="P34" s="64"/>
      <c r="Q34" s="40"/>
      <c r="R34" s="46"/>
      <c r="S34" s="39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22"/>
      <c r="AP34" s="30"/>
    </row>
    <row r="35" spans="1:46" s="2" customFormat="1" ht="17.25" customHeight="1" x14ac:dyDescent="0.25">
      <c r="A35" s="29"/>
      <c r="B35" s="201" t="s">
        <v>327</v>
      </c>
      <c r="C35" s="202"/>
      <c r="D35" s="63">
        <f>50+15+9+30+20+50+40+30+20+31+20+50+100+25+13.48</f>
        <v>503.48</v>
      </c>
      <c r="E35" s="64"/>
      <c r="F35" s="64"/>
      <c r="G35" s="64"/>
      <c r="H35" s="64"/>
      <c r="I35" s="64">
        <f>-D35</f>
        <v>-503.48</v>
      </c>
      <c r="J35" s="64"/>
      <c r="K35" s="57"/>
      <c r="L35" s="88"/>
      <c r="M35" s="62"/>
      <c r="N35" s="57"/>
      <c r="O35" s="88"/>
      <c r="P35" s="62"/>
      <c r="Q35" s="47"/>
      <c r="R35" s="39"/>
      <c r="S35" s="39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22"/>
      <c r="AQ35" s="10"/>
      <c r="AR35" s="11"/>
    </row>
    <row r="36" spans="1:46" s="2" customFormat="1" ht="17.25" customHeight="1" x14ac:dyDescent="0.25">
      <c r="A36" s="29"/>
      <c r="B36" s="201" t="s">
        <v>328</v>
      </c>
      <c r="C36" s="202"/>
      <c r="D36" s="63">
        <f>-15*0.99</f>
        <v>-14.85</v>
      </c>
      <c r="E36" s="64"/>
      <c r="F36" s="64"/>
      <c r="G36" s="64"/>
      <c r="H36" s="64"/>
      <c r="I36" s="64"/>
      <c r="J36" s="64"/>
      <c r="K36" s="57"/>
      <c r="L36" s="88"/>
      <c r="M36" s="62"/>
      <c r="N36" s="57"/>
      <c r="O36" s="88"/>
      <c r="P36" s="62"/>
      <c r="Q36" s="47"/>
      <c r="R36" s="39"/>
      <c r="S36" s="39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22"/>
      <c r="AQ36" s="10"/>
      <c r="AR36" s="11"/>
    </row>
    <row r="37" spans="1:46" s="4" customFormat="1" ht="17.25" customHeight="1" x14ac:dyDescent="0.25">
      <c r="A37" s="23"/>
      <c r="B37" s="205" t="s">
        <v>336</v>
      </c>
      <c r="C37" s="206"/>
      <c r="D37" s="63">
        <v>-25300</v>
      </c>
      <c r="E37" s="64"/>
      <c r="F37" s="64"/>
      <c r="G37" s="64"/>
      <c r="H37" s="64"/>
      <c r="I37" s="66"/>
      <c r="J37" s="64"/>
      <c r="K37" s="16"/>
      <c r="L37" s="92"/>
      <c r="M37" s="64"/>
      <c r="N37" s="16"/>
      <c r="O37" s="92"/>
      <c r="P37" s="64"/>
      <c r="Q37" s="40">
        <f>-D37</f>
        <v>25300</v>
      </c>
      <c r="R37" s="46"/>
      <c r="S37" s="39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22"/>
      <c r="AP37" s="30"/>
    </row>
    <row r="38" spans="1:46" s="2" customFormat="1" ht="17.25" customHeight="1" x14ac:dyDescent="0.25">
      <c r="A38" s="24"/>
      <c r="B38" s="201" t="s">
        <v>276</v>
      </c>
      <c r="C38" s="203"/>
      <c r="D38" s="63">
        <v>-4.9000000000000004</v>
      </c>
      <c r="E38" s="64"/>
      <c r="F38" s="64"/>
      <c r="G38" s="64"/>
      <c r="H38" s="64"/>
      <c r="I38" s="64"/>
      <c r="J38" s="64"/>
      <c r="K38" s="16"/>
      <c r="L38" s="92"/>
      <c r="M38" s="64"/>
      <c r="N38" s="16"/>
      <c r="O38" s="92"/>
      <c r="P38" s="64"/>
      <c r="Q38" s="39"/>
      <c r="R38" s="39"/>
      <c r="S38" s="39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22"/>
      <c r="AQ38" s="10"/>
      <c r="AR38" s="11"/>
    </row>
    <row r="39" spans="1:46" s="4" customFormat="1" ht="17.25" customHeight="1" x14ac:dyDescent="0.25">
      <c r="A39" s="23"/>
      <c r="B39" s="201" t="s">
        <v>13</v>
      </c>
      <c r="C39" s="203"/>
      <c r="D39" s="63"/>
      <c r="E39" s="64">
        <f>125+100+70+60+50+80+70</f>
        <v>555</v>
      </c>
      <c r="F39" s="64"/>
      <c r="G39" s="64"/>
      <c r="H39" s="64">
        <f>-E39</f>
        <v>-555</v>
      </c>
      <c r="I39" s="66"/>
      <c r="J39" s="64"/>
      <c r="K39" s="16"/>
      <c r="L39" s="92"/>
      <c r="M39" s="64"/>
      <c r="N39" s="16"/>
      <c r="O39" s="92"/>
      <c r="P39" s="64"/>
      <c r="Q39" s="40"/>
      <c r="R39" s="46">
        <f>-D39</f>
        <v>0</v>
      </c>
      <c r="S39" s="39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22"/>
      <c r="AP39" s="30"/>
    </row>
    <row r="40" spans="1:46" s="2" customFormat="1" ht="17.25" customHeight="1" x14ac:dyDescent="0.25">
      <c r="A40" s="24"/>
      <c r="B40" s="201" t="s">
        <v>372</v>
      </c>
      <c r="C40" s="203"/>
      <c r="D40" s="63"/>
      <c r="E40" s="64">
        <v>-76</v>
      </c>
      <c r="F40" s="64"/>
      <c r="G40" s="64"/>
      <c r="H40" s="64"/>
      <c r="I40" s="64"/>
      <c r="J40" s="64"/>
      <c r="K40" s="16"/>
      <c r="L40" s="92"/>
      <c r="M40" s="64"/>
      <c r="N40" s="16"/>
      <c r="O40" s="92"/>
      <c r="P40" s="64"/>
      <c r="Q40" s="39"/>
      <c r="R40" s="39"/>
      <c r="S40" s="39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22"/>
      <c r="AQ40" s="10"/>
      <c r="AR40" s="11"/>
    </row>
    <row r="41" spans="1:46" s="2" customFormat="1" ht="17.25" customHeight="1" x14ac:dyDescent="0.25">
      <c r="A41" s="24"/>
      <c r="B41" s="201" t="s">
        <v>176</v>
      </c>
      <c r="C41" s="203"/>
      <c r="D41" s="119"/>
      <c r="E41" s="64">
        <v>-268.83999999999997</v>
      </c>
      <c r="F41" s="64"/>
      <c r="G41" s="64"/>
      <c r="H41" s="64"/>
      <c r="I41" s="64"/>
      <c r="J41" s="64"/>
      <c r="K41" s="16"/>
      <c r="L41" s="92"/>
      <c r="M41" s="64"/>
      <c r="N41" s="16"/>
      <c r="O41" s="92"/>
      <c r="P41" s="64"/>
      <c r="Q41" s="39"/>
      <c r="R41" s="39"/>
      <c r="S41" s="39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22"/>
      <c r="AQ41" s="10"/>
      <c r="AR41" s="11"/>
    </row>
    <row r="42" spans="1:46" s="2" customFormat="1" ht="17.25" customHeight="1" x14ac:dyDescent="0.25">
      <c r="A42" s="29"/>
      <c r="B42" s="205" t="s">
        <v>263</v>
      </c>
      <c r="C42" s="250"/>
      <c r="D42" s="63"/>
      <c r="E42" s="64">
        <v>-24700</v>
      </c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47">
        <f>-E42</f>
        <v>24700</v>
      </c>
      <c r="R42" s="39"/>
      <c r="S42" s="39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22"/>
      <c r="AQ42" s="10"/>
      <c r="AR42" s="11"/>
    </row>
    <row r="43" spans="1:46" s="4" customFormat="1" ht="17.25" customHeight="1" thickBot="1" x14ac:dyDescent="0.25">
      <c r="A43" s="23"/>
      <c r="B43" s="216"/>
      <c r="C43" s="242"/>
      <c r="D43" s="83"/>
      <c r="E43" s="81"/>
      <c r="F43" s="81"/>
      <c r="G43" s="81"/>
      <c r="H43" s="81"/>
      <c r="I43" s="81"/>
      <c r="J43" s="81"/>
      <c r="K43" s="37"/>
      <c r="L43" s="93"/>
      <c r="M43" s="81"/>
      <c r="N43" s="37"/>
      <c r="O43" s="93"/>
      <c r="P43" s="81"/>
      <c r="Q43" s="46"/>
      <c r="R43" s="46"/>
      <c r="S43" s="39"/>
      <c r="T43" s="16"/>
      <c r="U43" s="16"/>
      <c r="V43" s="16"/>
      <c r="W43" s="16"/>
      <c r="X43" s="16"/>
      <c r="Y43" s="19"/>
      <c r="Z43" s="16"/>
      <c r="AA43" s="16"/>
      <c r="AB43" s="16"/>
      <c r="AC43" s="16"/>
      <c r="AD43" s="16"/>
      <c r="AE43" s="16"/>
      <c r="AF43" s="16"/>
      <c r="AG43" s="16"/>
      <c r="AH43" s="16"/>
      <c r="AI43" s="44"/>
      <c r="AJ43" s="16"/>
      <c r="AK43" s="16"/>
      <c r="AL43" s="16"/>
      <c r="AM43" s="16"/>
      <c r="AN43" s="16"/>
      <c r="AO43" s="44"/>
    </row>
    <row r="44" spans="1:46" s="4" customFormat="1" ht="17.25" customHeight="1" x14ac:dyDescent="0.25">
      <c r="A44" s="23"/>
      <c r="B44" s="210" t="s">
        <v>94</v>
      </c>
      <c r="C44" s="203"/>
      <c r="D44" s="66"/>
      <c r="E44" s="66"/>
      <c r="F44" s="117"/>
      <c r="G44" s="117"/>
      <c r="H44" s="66"/>
      <c r="I44" s="66"/>
      <c r="J44" s="66">
        <f>-M44</f>
        <v>6491.45</v>
      </c>
      <c r="K44" s="58">
        <v>-1091</v>
      </c>
      <c r="L44" s="89">
        <v>5.95</v>
      </c>
      <c r="M44" s="73">
        <f>K44*L44</f>
        <v>-6491.45</v>
      </c>
      <c r="N44" s="58"/>
      <c r="O44" s="89"/>
      <c r="P44" s="73"/>
      <c r="Q44" s="39"/>
      <c r="R44" s="39"/>
      <c r="S44" s="8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35"/>
      <c r="AP44" s="12" t="e">
        <f>#REF!</f>
        <v>#REF!</v>
      </c>
    </row>
    <row r="45" spans="1:46" s="4" customFormat="1" ht="17.25" customHeight="1" x14ac:dyDescent="0.25">
      <c r="A45" s="23"/>
      <c r="B45" s="201" t="s">
        <v>95</v>
      </c>
      <c r="C45" s="202"/>
      <c r="D45" s="64"/>
      <c r="E45" s="64"/>
      <c r="F45" s="117"/>
      <c r="G45" s="117"/>
      <c r="H45" s="64"/>
      <c r="I45" s="64"/>
      <c r="J45" s="64">
        <f>-P45</f>
        <v>7690.8</v>
      </c>
      <c r="K45" s="57"/>
      <c r="L45" s="88"/>
      <c r="M45" s="62"/>
      <c r="N45" s="57">
        <v>-1885</v>
      </c>
      <c r="O45" s="88">
        <v>4.08</v>
      </c>
      <c r="P45" s="62">
        <f>N45*O45</f>
        <v>-7690.8</v>
      </c>
      <c r="Q45" s="39"/>
      <c r="R45" s="39"/>
      <c r="S45" s="8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35"/>
      <c r="AP45" s="12" t="e">
        <f>#REF!</f>
        <v>#REF!</v>
      </c>
    </row>
    <row r="46" spans="1:46" s="4" customFormat="1" ht="17.25" customHeight="1" x14ac:dyDescent="0.25">
      <c r="A46" s="23"/>
      <c r="B46" s="201" t="s">
        <v>97</v>
      </c>
      <c r="C46" s="203"/>
      <c r="D46" s="64"/>
      <c r="E46" s="64"/>
      <c r="F46" s="64"/>
      <c r="G46" s="64"/>
      <c r="H46" s="64">
        <f>-J46-I46</f>
        <v>4061.6900000000005</v>
      </c>
      <c r="I46" s="64">
        <v>10120.56</v>
      </c>
      <c r="J46" s="64">
        <f>-SUM(J44:J45)</f>
        <v>-14182.25</v>
      </c>
      <c r="K46" s="57"/>
      <c r="L46" s="88"/>
      <c r="M46" s="62"/>
      <c r="N46" s="57"/>
      <c r="O46" s="88"/>
      <c r="P46" s="62"/>
      <c r="Q46" s="39"/>
      <c r="R46" s="39"/>
      <c r="S46" s="39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22"/>
      <c r="AO46" s="43">
        <f>A20</f>
        <v>0</v>
      </c>
      <c r="AP46" s="12" t="e">
        <f>#REF!</f>
        <v>#REF!</v>
      </c>
      <c r="AT46" s="2"/>
    </row>
    <row r="47" spans="1:46" s="4" customFormat="1" ht="17.25" customHeight="1" x14ac:dyDescent="0.25">
      <c r="A47" s="23"/>
      <c r="B47" s="201" t="s">
        <v>93</v>
      </c>
      <c r="C47" s="202"/>
      <c r="D47" s="64"/>
      <c r="E47" s="64"/>
      <c r="F47" s="64"/>
      <c r="G47" s="64"/>
      <c r="H47" s="64"/>
      <c r="I47" s="64"/>
      <c r="J47" s="64"/>
      <c r="K47" s="57">
        <v>-69</v>
      </c>
      <c r="L47" s="88"/>
      <c r="M47" s="62">
        <f>(K50*((M32)/(K32)))-M32-M44</f>
        <v>542.38270256668602</v>
      </c>
      <c r="N47" s="57">
        <v>-207</v>
      </c>
      <c r="O47" s="88"/>
      <c r="P47" s="62">
        <f>(N50*((P32)/(N32)))-P32-P45</f>
        <v>-226.31236112963506</v>
      </c>
      <c r="Q47" s="39"/>
      <c r="R47" s="39"/>
      <c r="S47" s="39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22"/>
      <c r="AO47" s="43">
        <f>A19</f>
        <v>0</v>
      </c>
      <c r="AP47" s="12" t="e">
        <f>#REF!</f>
        <v>#REF!</v>
      </c>
      <c r="AT47" s="2"/>
    </row>
    <row r="48" spans="1:46" s="4" customFormat="1" ht="17.25" customHeight="1" x14ac:dyDescent="0.2">
      <c r="A48" s="23"/>
      <c r="B48" s="201"/>
      <c r="C48" s="202"/>
      <c r="D48" s="63"/>
      <c r="E48" s="64"/>
      <c r="F48" s="64"/>
      <c r="G48" s="64"/>
      <c r="H48" s="64"/>
      <c r="I48" s="64"/>
      <c r="J48" s="64"/>
      <c r="K48" s="16"/>
      <c r="L48" s="92"/>
      <c r="M48" s="64"/>
      <c r="N48" s="16"/>
      <c r="O48" s="92"/>
      <c r="P48" s="64"/>
      <c r="Q48" s="46"/>
      <c r="R48" s="46"/>
      <c r="S48" s="39"/>
      <c r="T48" s="16"/>
      <c r="U48" s="16"/>
      <c r="V48" s="16"/>
      <c r="W48" s="16"/>
      <c r="X48" s="16"/>
      <c r="Y48" s="19"/>
      <c r="Z48" s="16"/>
      <c r="AA48" s="16"/>
      <c r="AB48" s="16"/>
      <c r="AC48" s="16"/>
      <c r="AD48" s="16"/>
      <c r="AE48" s="16"/>
      <c r="AF48" s="16"/>
      <c r="AG48" s="16"/>
      <c r="AH48" s="16"/>
      <c r="AI48" s="44"/>
      <c r="AJ48" s="16"/>
      <c r="AK48" s="16"/>
      <c r="AL48" s="16"/>
      <c r="AM48" s="16"/>
      <c r="AN48" s="16"/>
      <c r="AO48" s="44"/>
    </row>
    <row r="49" spans="1:46" s="2" customFormat="1" ht="17.25" customHeight="1" thickBot="1" x14ac:dyDescent="0.3">
      <c r="A49" s="32"/>
      <c r="B49" s="101" t="s">
        <v>102</v>
      </c>
      <c r="C49" s="102">
        <f>D50+E50+F50+G50+H50+I50+J50+M50+P50</f>
        <v>164203.01954000012</v>
      </c>
      <c r="D49" s="96"/>
      <c r="E49" s="85"/>
      <c r="F49" s="85"/>
      <c r="G49" s="85"/>
      <c r="H49" s="85"/>
      <c r="I49" s="85"/>
      <c r="J49" s="85"/>
      <c r="K49" s="28"/>
      <c r="L49" s="112"/>
      <c r="M49" s="85"/>
      <c r="N49" s="28"/>
      <c r="O49" s="112"/>
      <c r="P49" s="85"/>
      <c r="Q49" s="113"/>
      <c r="R49" s="51"/>
      <c r="S49" s="51"/>
      <c r="T49" s="28"/>
      <c r="U49" s="28"/>
      <c r="V49" s="28"/>
      <c r="W49" s="3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100"/>
      <c r="AO49" s="42">
        <f>SUM($Q32:AN49)</f>
        <v>-517942.5199999999</v>
      </c>
      <c r="AQ49" s="33"/>
      <c r="AR49" s="27"/>
      <c r="AS49" s="2" t="s">
        <v>5</v>
      </c>
    </row>
    <row r="50" spans="1:46" s="2" customFormat="1" ht="17.25" customHeight="1" thickTop="1" thickBot="1" x14ac:dyDescent="0.3">
      <c r="A50" s="103"/>
      <c r="B50" s="104" t="s">
        <v>103</v>
      </c>
      <c r="C50" s="105">
        <f>AO50</f>
        <v>-353739.50045999989</v>
      </c>
      <c r="D50" s="106">
        <f t="shared" ref="D50:K50" si="4">SUM(D32:D49)</f>
        <v>528.32704000004526</v>
      </c>
      <c r="E50" s="107">
        <f t="shared" si="4"/>
        <v>-38148.110000000015</v>
      </c>
      <c r="F50" s="107">
        <f t="shared" si="4"/>
        <v>0.65000000000145519</v>
      </c>
      <c r="G50" s="107">
        <f t="shared" si="4"/>
        <v>0</v>
      </c>
      <c r="H50" s="107">
        <f t="shared" si="4"/>
        <v>70025.722500000062</v>
      </c>
      <c r="I50" s="107">
        <f t="shared" si="4"/>
        <v>9617.08</v>
      </c>
      <c r="J50" s="107">
        <f t="shared" si="4"/>
        <v>0</v>
      </c>
      <c r="K50" s="108">
        <f t="shared" si="4"/>
        <v>8775</v>
      </c>
      <c r="L50" s="109">
        <f>M50/K50</f>
        <v>5.1285059829059829</v>
      </c>
      <c r="M50" s="107">
        <f>ROUND(SUM(M32:M49),2)</f>
        <v>45002.64</v>
      </c>
      <c r="N50" s="108">
        <f>SUM(N32:N49)</f>
        <v>20393</v>
      </c>
      <c r="O50" s="109">
        <f>P50/N50</f>
        <v>3.784470651694209</v>
      </c>
      <c r="P50" s="107">
        <f>ROUND(SUM(P32:P49),2)</f>
        <v>77176.710000000006</v>
      </c>
      <c r="Q50" s="115">
        <f t="shared" ref="Q50:AN50" si="5">SUM(Q32:Q49)</f>
        <v>-564957.13</v>
      </c>
      <c r="R50" s="107">
        <f t="shared" si="5"/>
        <v>50229.299999999996</v>
      </c>
      <c r="S50" s="107">
        <f t="shared" si="5"/>
        <v>0</v>
      </c>
      <c r="T50" s="107">
        <f t="shared" si="5"/>
        <v>-3214.6900000000005</v>
      </c>
      <c r="U50" s="107">
        <f t="shared" si="5"/>
        <v>0</v>
      </c>
      <c r="V50" s="107">
        <f t="shared" si="5"/>
        <v>0</v>
      </c>
      <c r="W50" s="107">
        <f t="shared" si="5"/>
        <v>0</v>
      </c>
      <c r="X50" s="107">
        <f t="shared" si="5"/>
        <v>0</v>
      </c>
      <c r="Y50" s="107">
        <f t="shared" si="5"/>
        <v>0</v>
      </c>
      <c r="Z50" s="107">
        <f t="shared" si="5"/>
        <v>0</v>
      </c>
      <c r="AA50" s="107">
        <f t="shared" si="5"/>
        <v>0</v>
      </c>
      <c r="AB50" s="107">
        <f t="shared" si="5"/>
        <v>0</v>
      </c>
      <c r="AC50" s="107">
        <f t="shared" si="5"/>
        <v>0</v>
      </c>
      <c r="AD50" s="107">
        <f t="shared" si="5"/>
        <v>0</v>
      </c>
      <c r="AE50" s="107">
        <f t="shared" si="5"/>
        <v>0</v>
      </c>
      <c r="AF50" s="107">
        <f t="shared" si="5"/>
        <v>0</v>
      </c>
      <c r="AG50" s="107">
        <f t="shared" si="5"/>
        <v>0</v>
      </c>
      <c r="AH50" s="107">
        <f t="shared" si="5"/>
        <v>0</v>
      </c>
      <c r="AI50" s="107">
        <f t="shared" si="5"/>
        <v>0</v>
      </c>
      <c r="AJ50" s="107">
        <f t="shared" si="5"/>
        <v>0</v>
      </c>
      <c r="AK50" s="107">
        <f t="shared" si="5"/>
        <v>0</v>
      </c>
      <c r="AL50" s="107">
        <f t="shared" si="5"/>
        <v>0</v>
      </c>
      <c r="AM50" s="107">
        <f t="shared" si="5"/>
        <v>0</v>
      </c>
      <c r="AN50" s="107">
        <f t="shared" si="5"/>
        <v>0</v>
      </c>
      <c r="AO50" s="111">
        <f>D50+E50+F50+G50+H50+I50+J50+M50+P50+SUM(Q50:AN50)</f>
        <v>-353739.50045999989</v>
      </c>
      <c r="AP50" s="4"/>
      <c r="AQ50" s="5"/>
      <c r="AR50" s="5"/>
      <c r="AS50" s="2" t="s">
        <v>6</v>
      </c>
    </row>
    <row r="51" spans="1:46" s="2" customFormat="1" ht="17.25" customHeight="1" thickTop="1" x14ac:dyDescent="0.25">
      <c r="A51" s="23">
        <f>A33+1</f>
        <v>46057</v>
      </c>
      <c r="B51" s="201" t="s">
        <v>64</v>
      </c>
      <c r="C51" s="203"/>
      <c r="D51" s="63">
        <v>9382.3700000000008</v>
      </c>
      <c r="E51" s="64"/>
      <c r="F51" s="64"/>
      <c r="G51" s="64"/>
      <c r="H51" s="64"/>
      <c r="I51" s="64">
        <f>-D51</f>
        <v>-9382.3700000000008</v>
      </c>
      <c r="J51" s="66"/>
      <c r="K51" s="18"/>
      <c r="L51" s="91"/>
      <c r="M51" s="66"/>
      <c r="N51" s="18"/>
      <c r="O51" s="91"/>
      <c r="P51" s="66"/>
      <c r="Q51" s="46"/>
      <c r="R51" s="46"/>
      <c r="S51" s="45"/>
      <c r="T51" s="18"/>
      <c r="U51" s="18"/>
      <c r="V51" s="18"/>
      <c r="W51" s="18"/>
      <c r="X51" s="18"/>
      <c r="Y51" s="14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7"/>
      <c r="AO51" s="31"/>
      <c r="AQ51" s="10"/>
      <c r="AR51" s="27"/>
    </row>
    <row r="52" spans="1:46" s="2" customFormat="1" ht="17.25" customHeight="1" x14ac:dyDescent="0.25">
      <c r="A52" s="24"/>
      <c r="B52" s="201" t="s">
        <v>96</v>
      </c>
      <c r="C52" s="202"/>
      <c r="D52" s="63"/>
      <c r="E52" s="64"/>
      <c r="F52" s="64"/>
      <c r="G52" s="64"/>
      <c r="H52" s="64"/>
      <c r="I52" s="64">
        <f>-I50-I51</f>
        <v>-234.70999999999913</v>
      </c>
      <c r="J52" s="64"/>
      <c r="K52" s="16"/>
      <c r="L52" s="92"/>
      <c r="M52" s="64"/>
      <c r="N52" s="16"/>
      <c r="O52" s="92"/>
      <c r="P52" s="64"/>
      <c r="Q52" s="46"/>
      <c r="R52" s="40"/>
      <c r="S52" s="39"/>
      <c r="T52" s="16"/>
      <c r="U52" s="16"/>
      <c r="V52" s="16"/>
      <c r="W52" s="16"/>
      <c r="X52" s="16"/>
      <c r="Y52" s="19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22"/>
      <c r="AQ52" s="10"/>
      <c r="AR52" s="11"/>
    </row>
    <row r="53" spans="1:46" s="2" customFormat="1" ht="17.25" customHeight="1" x14ac:dyDescent="0.25">
      <c r="A53" s="29"/>
      <c r="B53" s="201" t="s">
        <v>327</v>
      </c>
      <c r="C53" s="202"/>
      <c r="D53" s="63">
        <f>30+30+54+30+50+30+178.5+13.5+50+25+130.5+22+20</f>
        <v>663.5</v>
      </c>
      <c r="E53" s="64"/>
      <c r="F53" s="64"/>
      <c r="G53" s="64"/>
      <c r="H53" s="64"/>
      <c r="I53" s="64">
        <f>-D53</f>
        <v>-663.5</v>
      </c>
      <c r="J53" s="64"/>
      <c r="K53" s="57"/>
      <c r="L53" s="88"/>
      <c r="M53" s="62"/>
      <c r="N53" s="57"/>
      <c r="O53" s="88"/>
      <c r="P53" s="62"/>
      <c r="Q53" s="47"/>
      <c r="R53" s="39"/>
      <c r="S53" s="39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22"/>
      <c r="AQ53" s="10"/>
      <c r="AR53" s="11"/>
    </row>
    <row r="54" spans="1:46" s="2" customFormat="1" ht="17.25" customHeight="1" x14ac:dyDescent="0.25">
      <c r="A54" s="29"/>
      <c r="B54" s="201" t="s">
        <v>328</v>
      </c>
      <c r="C54" s="202"/>
      <c r="D54" s="63">
        <f>-11*0.99-1.43-1.04</f>
        <v>-13.36</v>
      </c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47"/>
      <c r="R54" s="39"/>
      <c r="S54" s="39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22"/>
      <c r="AQ54" s="10"/>
      <c r="AR54" s="11"/>
    </row>
    <row r="55" spans="1:46" s="2" customFormat="1" ht="17.25" customHeight="1" x14ac:dyDescent="0.25">
      <c r="A55" s="29"/>
      <c r="B55" s="201" t="s">
        <v>70</v>
      </c>
      <c r="C55" s="202"/>
      <c r="D55" s="63">
        <v>-291.95</v>
      </c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47"/>
      <c r="R55" s="39"/>
      <c r="S55" s="39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22"/>
      <c r="AQ55" s="10"/>
      <c r="AR55" s="11"/>
    </row>
    <row r="56" spans="1:46" s="4" customFormat="1" ht="17.25" customHeight="1" x14ac:dyDescent="0.25">
      <c r="A56" s="23"/>
      <c r="B56" s="201" t="s">
        <v>13</v>
      </c>
      <c r="C56" s="203"/>
      <c r="D56" s="63"/>
      <c r="E56" s="64">
        <f>100+100+17.94+50+15+60+51+1085+1147+1268+1310</f>
        <v>5203.9400000000005</v>
      </c>
      <c r="F56" s="64"/>
      <c r="G56" s="64"/>
      <c r="H56" s="64">
        <f>-E56</f>
        <v>-5203.9400000000005</v>
      </c>
      <c r="I56" s="66"/>
      <c r="J56" s="64"/>
      <c r="K56" s="16"/>
      <c r="L56" s="92"/>
      <c r="M56" s="64"/>
      <c r="N56" s="16"/>
      <c r="O56" s="92"/>
      <c r="P56" s="64"/>
      <c r="Q56" s="40"/>
      <c r="R56" s="46">
        <f>-D56</f>
        <v>0</v>
      </c>
      <c r="S56" s="39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22"/>
      <c r="AP56" s="30"/>
    </row>
    <row r="57" spans="1:46" s="4" customFormat="1" ht="17.25" customHeight="1" thickBot="1" x14ac:dyDescent="0.25">
      <c r="A57" s="23"/>
      <c r="B57" s="216"/>
      <c r="C57" s="242"/>
      <c r="D57" s="83"/>
      <c r="E57" s="81"/>
      <c r="F57" s="81"/>
      <c r="G57" s="81"/>
      <c r="H57" s="81"/>
      <c r="I57" s="81"/>
      <c r="J57" s="81"/>
      <c r="K57" s="37"/>
      <c r="L57" s="93"/>
      <c r="M57" s="81"/>
      <c r="N57" s="37"/>
      <c r="O57" s="93"/>
      <c r="P57" s="81"/>
      <c r="Q57" s="46"/>
      <c r="R57" s="46"/>
      <c r="S57" s="39"/>
      <c r="T57" s="16"/>
      <c r="U57" s="16"/>
      <c r="V57" s="16"/>
      <c r="W57" s="16"/>
      <c r="X57" s="16"/>
      <c r="Y57" s="19"/>
      <c r="Z57" s="16"/>
      <c r="AA57" s="16"/>
      <c r="AB57" s="16"/>
      <c r="AC57" s="16"/>
      <c r="AD57" s="16"/>
      <c r="AE57" s="16"/>
      <c r="AF57" s="16"/>
      <c r="AG57" s="16"/>
      <c r="AH57" s="16"/>
      <c r="AI57" s="44"/>
      <c r="AJ57" s="16"/>
      <c r="AK57" s="16"/>
      <c r="AL57" s="16"/>
      <c r="AM57" s="16"/>
      <c r="AN57" s="16"/>
      <c r="AO57" s="44"/>
    </row>
    <row r="58" spans="1:46" s="4" customFormat="1" ht="17.25" customHeight="1" x14ac:dyDescent="0.25">
      <c r="A58" s="23"/>
      <c r="B58" s="210" t="s">
        <v>94</v>
      </c>
      <c r="C58" s="203"/>
      <c r="D58" s="66"/>
      <c r="E58" s="66"/>
      <c r="F58" s="117"/>
      <c r="G58" s="117"/>
      <c r="H58" s="66"/>
      <c r="I58" s="66"/>
      <c r="J58" s="66">
        <f>-M58</f>
        <v>6134.45</v>
      </c>
      <c r="K58" s="58">
        <v>-1031</v>
      </c>
      <c r="L58" s="89">
        <v>5.95</v>
      </c>
      <c r="M58" s="73">
        <f>K58*L58</f>
        <v>-6134.45</v>
      </c>
      <c r="N58" s="58"/>
      <c r="O58" s="89"/>
      <c r="P58" s="73"/>
      <c r="Q58" s="39"/>
      <c r="R58" s="39"/>
      <c r="S58" s="8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35"/>
      <c r="AP58" s="12" t="e">
        <f>#REF!</f>
        <v>#REF!</v>
      </c>
    </row>
    <row r="59" spans="1:46" s="4" customFormat="1" ht="17.25" customHeight="1" x14ac:dyDescent="0.25">
      <c r="A59" s="23"/>
      <c r="B59" s="201" t="s">
        <v>95</v>
      </c>
      <c r="C59" s="202"/>
      <c r="D59" s="64"/>
      <c r="E59" s="64"/>
      <c r="F59" s="117"/>
      <c r="G59" s="117"/>
      <c r="H59" s="64"/>
      <c r="I59" s="64"/>
      <c r="J59" s="64">
        <f>-P59</f>
        <v>8898.48</v>
      </c>
      <c r="K59" s="57"/>
      <c r="L59" s="88"/>
      <c r="M59" s="62"/>
      <c r="N59" s="57">
        <v>-2181</v>
      </c>
      <c r="O59" s="88">
        <v>4.08</v>
      </c>
      <c r="P59" s="62">
        <f>N59*O59</f>
        <v>-8898.48</v>
      </c>
      <c r="Q59" s="39"/>
      <c r="R59" s="39"/>
      <c r="S59" s="8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35"/>
      <c r="AP59" s="12" t="e">
        <f>#REF!</f>
        <v>#REF!</v>
      </c>
    </row>
    <row r="60" spans="1:46" s="4" customFormat="1" ht="17.25" customHeight="1" x14ac:dyDescent="0.25">
      <c r="A60" s="23"/>
      <c r="B60" s="201" t="s">
        <v>97</v>
      </c>
      <c r="C60" s="203"/>
      <c r="D60" s="64"/>
      <c r="E60" s="64"/>
      <c r="F60" s="64"/>
      <c r="G60" s="64"/>
      <c r="H60" s="64">
        <f>-J60-I60</f>
        <v>4849.8000000000011</v>
      </c>
      <c r="I60" s="64">
        <v>10183.129999999999</v>
      </c>
      <c r="J60" s="64">
        <f>-SUM(J58:J59)</f>
        <v>-15032.93</v>
      </c>
      <c r="K60" s="57"/>
      <c r="L60" s="88"/>
      <c r="M60" s="62"/>
      <c r="N60" s="57"/>
      <c r="O60" s="88"/>
      <c r="P60" s="62"/>
      <c r="Q60" s="39"/>
      <c r="R60" s="39"/>
      <c r="S60" s="39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22"/>
      <c r="AO60" s="43"/>
      <c r="AP60" s="12" t="e">
        <f>#REF!</f>
        <v>#REF!</v>
      </c>
      <c r="AT60" s="2"/>
    </row>
    <row r="61" spans="1:46" s="4" customFormat="1" ht="17.25" customHeight="1" x14ac:dyDescent="0.25">
      <c r="A61" s="23"/>
      <c r="B61" s="201" t="s">
        <v>93</v>
      </c>
      <c r="C61" s="202"/>
      <c r="D61" s="64"/>
      <c r="E61" s="64"/>
      <c r="F61" s="64"/>
      <c r="G61" s="64"/>
      <c r="H61" s="64"/>
      <c r="I61" s="64"/>
      <c r="J61" s="64"/>
      <c r="K61" s="57">
        <v>14</v>
      </c>
      <c r="L61" s="88"/>
      <c r="M61" s="62">
        <f>(K64*((M50)/(K50)))-M50-M58</f>
        <v>918.75941538461757</v>
      </c>
      <c r="N61" s="57">
        <v>30</v>
      </c>
      <c r="O61" s="88"/>
      <c r="P61" s="62">
        <f>(N64*((P50)/(N50)))-P50-P59</f>
        <v>758.08362820576076</v>
      </c>
      <c r="Q61" s="39"/>
      <c r="R61" s="39"/>
      <c r="S61" s="39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22"/>
      <c r="AO61" s="43">
        <f>A32</f>
        <v>0</v>
      </c>
      <c r="AP61" s="12" t="e">
        <f>#REF!</f>
        <v>#REF!</v>
      </c>
      <c r="AT61" s="2"/>
    </row>
    <row r="62" spans="1:46" s="2" customFormat="1" ht="17.25" customHeight="1" x14ac:dyDescent="0.2">
      <c r="A62" s="24"/>
      <c r="B62" s="201"/>
      <c r="C62" s="204"/>
      <c r="D62" s="63"/>
      <c r="E62" s="64"/>
      <c r="F62" s="64"/>
      <c r="G62" s="64"/>
      <c r="H62" s="64"/>
      <c r="I62" s="64"/>
      <c r="J62" s="64"/>
      <c r="K62" s="16"/>
      <c r="L62" s="92"/>
      <c r="M62" s="64"/>
      <c r="N62" s="16"/>
      <c r="O62" s="92"/>
      <c r="P62" s="64"/>
      <c r="Q62" s="46"/>
      <c r="R62" s="46"/>
      <c r="S62" s="39"/>
      <c r="T62" s="16"/>
      <c r="U62" s="16"/>
      <c r="V62" s="16"/>
      <c r="W62" s="16"/>
      <c r="X62" s="16"/>
      <c r="Y62" s="19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43">
        <f>A51</f>
        <v>46057</v>
      </c>
      <c r="AQ62" s="10"/>
      <c r="AR62" s="11"/>
    </row>
    <row r="63" spans="1:46" s="2" customFormat="1" ht="17.25" customHeight="1" thickBot="1" x14ac:dyDescent="0.3">
      <c r="A63" s="56"/>
      <c r="B63" s="101" t="s">
        <v>102</v>
      </c>
      <c r="C63" s="102">
        <f>D64+E64+F64+G64+H64+I64+J64+M64+P64</f>
        <v>165339.83954000007</v>
      </c>
      <c r="D63" s="84"/>
      <c r="E63" s="85"/>
      <c r="F63" s="85"/>
      <c r="G63" s="85"/>
      <c r="H63" s="85"/>
      <c r="I63" s="85"/>
      <c r="J63" s="85"/>
      <c r="K63" s="28"/>
      <c r="L63" s="112"/>
      <c r="M63" s="85"/>
      <c r="N63" s="28"/>
      <c r="O63" s="112"/>
      <c r="P63" s="85"/>
      <c r="Q63" s="48"/>
      <c r="R63" s="48"/>
      <c r="S63" s="51"/>
      <c r="T63" s="28"/>
      <c r="U63" s="28"/>
      <c r="V63" s="28"/>
      <c r="W63" s="28"/>
      <c r="X63" s="28"/>
      <c r="Y63" s="36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42">
        <f>SUM($Q50:AN63)</f>
        <v>-517942.52</v>
      </c>
      <c r="AQ63" s="10"/>
      <c r="AR63" s="11"/>
      <c r="AS63" s="2" t="s">
        <v>5</v>
      </c>
    </row>
    <row r="64" spans="1:46" s="2" customFormat="1" ht="17.25" customHeight="1" thickTop="1" thickBot="1" x14ac:dyDescent="0.3">
      <c r="A64" s="103"/>
      <c r="B64" s="104" t="s">
        <v>103</v>
      </c>
      <c r="C64" s="105">
        <f>AO64</f>
        <v>-352602.68045999995</v>
      </c>
      <c r="D64" s="106">
        <f t="shared" ref="D64:K64" si="6">SUM(D50:D63)</f>
        <v>10268.887040000045</v>
      </c>
      <c r="E64" s="107">
        <f t="shared" si="6"/>
        <v>-32944.170000000013</v>
      </c>
      <c r="F64" s="107">
        <f t="shared" si="6"/>
        <v>0.65000000000145519</v>
      </c>
      <c r="G64" s="107">
        <f t="shared" si="6"/>
        <v>0</v>
      </c>
      <c r="H64" s="107">
        <f t="shared" si="6"/>
        <v>69671.582500000062</v>
      </c>
      <c r="I64" s="107">
        <f t="shared" si="6"/>
        <v>9519.6299999999992</v>
      </c>
      <c r="J64" s="107">
        <f t="shared" si="6"/>
        <v>0</v>
      </c>
      <c r="K64" s="108">
        <f t="shared" si="6"/>
        <v>7758</v>
      </c>
      <c r="L64" s="109">
        <f>M64/K64</f>
        <v>5.1285060582624382</v>
      </c>
      <c r="M64" s="107">
        <f>ROUND(SUM(M50:M63),2)</f>
        <v>39786.949999999997</v>
      </c>
      <c r="N64" s="108">
        <f>SUM(N50:N63)</f>
        <v>18242</v>
      </c>
      <c r="O64" s="109">
        <f>P64/N64</f>
        <v>3.7844704528012278</v>
      </c>
      <c r="P64" s="107">
        <f>ROUND(SUM(P50:P63),2)</f>
        <v>69036.31</v>
      </c>
      <c r="Q64" s="110">
        <f t="shared" ref="Q64:AN64" si="7">SUM(Q50:Q63)</f>
        <v>-564957.13</v>
      </c>
      <c r="R64" s="107">
        <f t="shared" si="7"/>
        <v>50229.299999999996</v>
      </c>
      <c r="S64" s="107">
        <f t="shared" si="7"/>
        <v>0</v>
      </c>
      <c r="T64" s="107">
        <f t="shared" si="7"/>
        <v>-3214.6900000000005</v>
      </c>
      <c r="U64" s="107">
        <f t="shared" si="7"/>
        <v>0</v>
      </c>
      <c r="V64" s="107">
        <f t="shared" si="7"/>
        <v>0</v>
      </c>
      <c r="W64" s="107">
        <f t="shared" si="7"/>
        <v>0</v>
      </c>
      <c r="X64" s="107">
        <f t="shared" si="7"/>
        <v>0</v>
      </c>
      <c r="Y64" s="107">
        <f t="shared" si="7"/>
        <v>0</v>
      </c>
      <c r="Z64" s="107">
        <f t="shared" si="7"/>
        <v>0</v>
      </c>
      <c r="AA64" s="107">
        <f t="shared" si="7"/>
        <v>0</v>
      </c>
      <c r="AB64" s="107">
        <f t="shared" si="7"/>
        <v>0</v>
      </c>
      <c r="AC64" s="107">
        <f t="shared" si="7"/>
        <v>0</v>
      </c>
      <c r="AD64" s="107">
        <f t="shared" si="7"/>
        <v>0</v>
      </c>
      <c r="AE64" s="107">
        <f t="shared" si="7"/>
        <v>0</v>
      </c>
      <c r="AF64" s="107">
        <f t="shared" si="7"/>
        <v>0</v>
      </c>
      <c r="AG64" s="107">
        <f t="shared" si="7"/>
        <v>0</v>
      </c>
      <c r="AH64" s="107">
        <f t="shared" si="7"/>
        <v>0</v>
      </c>
      <c r="AI64" s="107">
        <f t="shared" si="7"/>
        <v>0</v>
      </c>
      <c r="AJ64" s="107">
        <f t="shared" si="7"/>
        <v>0</v>
      </c>
      <c r="AK64" s="107">
        <f t="shared" si="7"/>
        <v>0</v>
      </c>
      <c r="AL64" s="107">
        <f t="shared" si="7"/>
        <v>0</v>
      </c>
      <c r="AM64" s="107">
        <f t="shared" si="7"/>
        <v>0</v>
      </c>
      <c r="AN64" s="107">
        <f t="shared" si="7"/>
        <v>0</v>
      </c>
      <c r="AO64" s="111">
        <f>D64+E64+F64+G64+H64+I64+J64+M64+P64+SUM(Q64:AN64)</f>
        <v>-352602.68045999995</v>
      </c>
      <c r="AP64" s="4"/>
      <c r="AQ64" s="5"/>
      <c r="AR64" s="5"/>
      <c r="AS64" s="2" t="s">
        <v>6</v>
      </c>
    </row>
    <row r="65" spans="1:46" s="2" customFormat="1" ht="17.25" customHeight="1" thickTop="1" x14ac:dyDescent="0.25">
      <c r="A65" s="23">
        <f>A51+1</f>
        <v>46058</v>
      </c>
      <c r="B65" s="201" t="s">
        <v>64</v>
      </c>
      <c r="C65" s="203"/>
      <c r="D65" s="63">
        <v>9295.4</v>
      </c>
      <c r="E65" s="64"/>
      <c r="F65" s="74"/>
      <c r="G65" s="74"/>
      <c r="H65" s="64"/>
      <c r="I65" s="64">
        <f>-D65</f>
        <v>-9295.4</v>
      </c>
      <c r="J65" s="66"/>
      <c r="K65" s="18"/>
      <c r="L65" s="91"/>
      <c r="M65" s="66"/>
      <c r="N65" s="18"/>
      <c r="O65" s="91"/>
      <c r="P65" s="66"/>
      <c r="Q65" s="46"/>
      <c r="R65" s="46"/>
      <c r="S65" s="45"/>
      <c r="T65" s="18"/>
      <c r="U65" s="18"/>
      <c r="V65" s="18"/>
      <c r="W65" s="18"/>
      <c r="X65" s="18"/>
      <c r="Y65" s="14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7"/>
      <c r="AO65" s="31"/>
      <c r="AQ65" s="10"/>
      <c r="AR65" s="27"/>
    </row>
    <row r="66" spans="1:46" s="2" customFormat="1" ht="17.25" customHeight="1" x14ac:dyDescent="0.25">
      <c r="A66" s="24"/>
      <c r="B66" s="201" t="s">
        <v>96</v>
      </c>
      <c r="C66" s="202"/>
      <c r="D66" s="63"/>
      <c r="E66" s="64"/>
      <c r="F66" s="64"/>
      <c r="G66" s="64"/>
      <c r="H66" s="64"/>
      <c r="I66" s="64">
        <f>-I64-I65</f>
        <v>-224.22999999999956</v>
      </c>
      <c r="J66" s="64"/>
      <c r="K66" s="16"/>
      <c r="L66" s="92"/>
      <c r="M66" s="64"/>
      <c r="N66" s="16"/>
      <c r="O66" s="92"/>
      <c r="P66" s="64"/>
      <c r="Q66" s="46"/>
      <c r="R66" s="40"/>
      <c r="S66" s="39"/>
      <c r="T66" s="16"/>
      <c r="U66" s="16"/>
      <c r="V66" s="16"/>
      <c r="W66" s="16"/>
      <c r="X66" s="16"/>
      <c r="Y66" s="19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22"/>
      <c r="AQ66" s="10"/>
      <c r="AR66" s="11"/>
    </row>
    <row r="67" spans="1:46" s="2" customFormat="1" ht="17.25" customHeight="1" x14ac:dyDescent="0.25">
      <c r="A67" s="29"/>
      <c r="B67" s="201" t="s">
        <v>327</v>
      </c>
      <c r="C67" s="202"/>
      <c r="D67" s="63">
        <f>150+15+15+25+20+100+50+30+50+197+40</f>
        <v>692</v>
      </c>
      <c r="E67" s="64"/>
      <c r="F67" s="64"/>
      <c r="G67" s="64"/>
      <c r="H67" s="64"/>
      <c r="I67" s="64">
        <f>-D67</f>
        <v>-692</v>
      </c>
      <c r="J67" s="64"/>
      <c r="K67" s="57"/>
      <c r="L67" s="88"/>
      <c r="M67" s="62"/>
      <c r="N67" s="57"/>
      <c r="O67" s="88"/>
      <c r="P67" s="62"/>
      <c r="Q67" s="47"/>
      <c r="R67" s="39"/>
      <c r="S67" s="39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22"/>
      <c r="AQ67" s="10"/>
      <c r="AR67" s="11"/>
    </row>
    <row r="68" spans="1:46" s="2" customFormat="1" ht="17.25" customHeight="1" x14ac:dyDescent="0.25">
      <c r="A68" s="29"/>
      <c r="B68" s="201" t="s">
        <v>328</v>
      </c>
      <c r="C68" s="202"/>
      <c r="D68" s="63">
        <f>-9*0.99-1.2-1.58</f>
        <v>-11.69</v>
      </c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47"/>
      <c r="R68" s="39"/>
      <c r="S68" s="39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22"/>
      <c r="AQ68" s="10"/>
      <c r="AR68" s="11"/>
    </row>
    <row r="69" spans="1:46" s="4" customFormat="1" ht="17.25" customHeight="1" x14ac:dyDescent="0.25">
      <c r="A69" s="23"/>
      <c r="B69" s="201" t="s">
        <v>13</v>
      </c>
      <c r="C69" s="203"/>
      <c r="D69" s="63"/>
      <c r="E69" s="64">
        <f>100+30+15+20+55.29+2714.2+30+100+20+40+20+15+50+1677+1505+75</f>
        <v>6466.49</v>
      </c>
      <c r="F69" s="64"/>
      <c r="G69" s="64"/>
      <c r="H69" s="64">
        <f>-E69</f>
        <v>-6466.49</v>
      </c>
      <c r="I69" s="66"/>
      <c r="J69" s="64"/>
      <c r="K69" s="16"/>
      <c r="L69" s="92"/>
      <c r="M69" s="64"/>
      <c r="N69" s="16"/>
      <c r="O69" s="92"/>
      <c r="P69" s="64"/>
      <c r="Q69" s="40"/>
      <c r="R69" s="46">
        <f>-D69</f>
        <v>0</v>
      </c>
      <c r="S69" s="39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22"/>
      <c r="AP69" s="30"/>
    </row>
    <row r="70" spans="1:46" s="2" customFormat="1" ht="17.25" customHeight="1" x14ac:dyDescent="0.25">
      <c r="A70" s="29"/>
      <c r="B70" s="205" t="s">
        <v>362</v>
      </c>
      <c r="C70" s="250"/>
      <c r="D70" s="63"/>
      <c r="E70" s="64">
        <f>-1141.12-5-50-700-20.7-20-20-50-100-170-30-50-50-25-50-732.87</f>
        <v>-3214.6899999999996</v>
      </c>
      <c r="F70" s="64"/>
      <c r="G70" s="64"/>
      <c r="H70" s="64"/>
      <c r="I70" s="64"/>
      <c r="J70" s="64"/>
      <c r="K70" s="57"/>
      <c r="L70" s="88"/>
      <c r="M70" s="62">
        <f>K70*L70</f>
        <v>0</v>
      </c>
      <c r="N70" s="57"/>
      <c r="O70" s="88"/>
      <c r="P70" s="62">
        <f>N70*O70</f>
        <v>0</v>
      </c>
      <c r="Q70" s="47"/>
      <c r="R70" s="39"/>
      <c r="S70" s="39"/>
      <c r="T70" s="20">
        <f>-E70</f>
        <v>3214.6899999999996</v>
      </c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22"/>
      <c r="AQ70" s="10" t="s">
        <v>4</v>
      </c>
      <c r="AR70" s="11" t="e">
        <v>#REF!</v>
      </c>
    </row>
    <row r="71" spans="1:46" s="2" customFormat="1" ht="17.25" customHeight="1" x14ac:dyDescent="0.2">
      <c r="A71" s="23"/>
      <c r="B71" s="201" t="s">
        <v>161</v>
      </c>
      <c r="C71" s="204"/>
      <c r="D71" s="63"/>
      <c r="E71" s="64"/>
      <c r="F71" s="74"/>
      <c r="G71" s="74"/>
      <c r="H71" s="64">
        <v>-791.28</v>
      </c>
      <c r="I71" s="64"/>
      <c r="J71" s="64"/>
      <c r="K71" s="16"/>
      <c r="L71" s="16"/>
      <c r="M71" s="64"/>
      <c r="N71" s="16"/>
      <c r="O71" s="16"/>
      <c r="P71" s="64"/>
      <c r="Q71" s="46"/>
      <c r="R71" s="39"/>
      <c r="S71" s="40"/>
      <c r="T71" s="16"/>
      <c r="U71" s="16"/>
      <c r="V71" s="16"/>
      <c r="W71" s="16"/>
      <c r="X71" s="16"/>
      <c r="Y71" s="19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35"/>
      <c r="AQ71" s="10"/>
      <c r="AR71" s="27"/>
    </row>
    <row r="72" spans="1:46" s="2" customFormat="1" ht="17.25" customHeight="1" x14ac:dyDescent="0.2">
      <c r="A72" s="23"/>
      <c r="B72" s="201" t="s">
        <v>163</v>
      </c>
      <c r="C72" s="204"/>
      <c r="D72" s="63"/>
      <c r="E72" s="64"/>
      <c r="F72" s="74"/>
      <c r="G72" s="74"/>
      <c r="H72" s="64">
        <v>-3835</v>
      </c>
      <c r="I72" s="64"/>
      <c r="J72" s="64"/>
      <c r="K72" s="16"/>
      <c r="L72" s="16"/>
      <c r="M72" s="64"/>
      <c r="N72" s="16"/>
      <c r="O72" s="16"/>
      <c r="P72" s="64"/>
      <c r="Q72" s="46"/>
      <c r="R72" s="39"/>
      <c r="S72" s="40"/>
      <c r="T72" s="16"/>
      <c r="U72" s="16"/>
      <c r="V72" s="16"/>
      <c r="W72" s="16"/>
      <c r="X72" s="16"/>
      <c r="Y72" s="19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35"/>
      <c r="AQ72" s="10"/>
      <c r="AR72" s="27"/>
    </row>
    <row r="73" spans="1:46" s="2" customFormat="1" ht="17.25" customHeight="1" thickBot="1" x14ac:dyDescent="0.25">
      <c r="A73" s="24"/>
      <c r="B73" s="216"/>
      <c r="C73" s="217"/>
      <c r="D73" s="83"/>
      <c r="E73" s="81"/>
      <c r="F73" s="81"/>
      <c r="G73" s="81"/>
      <c r="H73" s="81"/>
      <c r="I73" s="81"/>
      <c r="J73" s="81"/>
      <c r="K73" s="37"/>
      <c r="L73" s="93"/>
      <c r="M73" s="81"/>
      <c r="N73" s="37"/>
      <c r="O73" s="93"/>
      <c r="P73" s="81"/>
      <c r="Q73" s="40"/>
      <c r="R73" s="40"/>
      <c r="S73" s="39"/>
      <c r="T73" s="16"/>
      <c r="U73" s="16"/>
      <c r="V73" s="16"/>
      <c r="W73" s="16"/>
      <c r="X73" s="16"/>
      <c r="Y73" s="19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41"/>
      <c r="AQ73" s="10"/>
      <c r="AR73" s="11"/>
    </row>
    <row r="74" spans="1:46" s="4" customFormat="1" ht="17.25" customHeight="1" x14ac:dyDescent="0.25">
      <c r="A74" s="23"/>
      <c r="B74" s="210" t="s">
        <v>94</v>
      </c>
      <c r="C74" s="203"/>
      <c r="D74" s="66"/>
      <c r="E74" s="66"/>
      <c r="F74" s="117"/>
      <c r="G74" s="117"/>
      <c r="H74" s="66"/>
      <c r="I74" s="66"/>
      <c r="J74" s="66">
        <f>-M74</f>
        <v>6241.55</v>
      </c>
      <c r="K74" s="58">
        <v>-1049</v>
      </c>
      <c r="L74" s="89">
        <v>5.95</v>
      </c>
      <c r="M74" s="73">
        <f>K74*L74</f>
        <v>-6241.55</v>
      </c>
      <c r="N74" s="58"/>
      <c r="O74" s="89"/>
      <c r="P74" s="73"/>
      <c r="Q74" s="39"/>
      <c r="R74" s="39"/>
      <c r="S74" s="8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35"/>
      <c r="AP74" s="12" t="e">
        <f>#REF!</f>
        <v>#REF!</v>
      </c>
    </row>
    <row r="75" spans="1:46" s="4" customFormat="1" ht="17.25" customHeight="1" x14ac:dyDescent="0.25">
      <c r="A75" s="23"/>
      <c r="B75" s="201" t="s">
        <v>95</v>
      </c>
      <c r="C75" s="202"/>
      <c r="D75" s="64"/>
      <c r="E75" s="64"/>
      <c r="F75" s="117"/>
      <c r="G75" s="117"/>
      <c r="H75" s="64"/>
      <c r="I75" s="64"/>
      <c r="J75" s="64">
        <f>-P75</f>
        <v>7976.4000000000005</v>
      </c>
      <c r="K75" s="57"/>
      <c r="L75" s="88"/>
      <c r="M75" s="62"/>
      <c r="N75" s="57">
        <v>-1955</v>
      </c>
      <c r="O75" s="88">
        <v>4.08</v>
      </c>
      <c r="P75" s="62">
        <f>N75*O75</f>
        <v>-7976.4000000000005</v>
      </c>
      <c r="Q75" s="39"/>
      <c r="R75" s="39"/>
      <c r="S75" s="8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35"/>
      <c r="AP75" s="12" t="e">
        <f>#REF!</f>
        <v>#REF!</v>
      </c>
    </row>
    <row r="76" spans="1:46" s="4" customFormat="1" ht="17.25" customHeight="1" x14ac:dyDescent="0.25">
      <c r="A76" s="23"/>
      <c r="B76" s="201" t="s">
        <v>97</v>
      </c>
      <c r="C76" s="203"/>
      <c r="D76" s="64"/>
      <c r="E76" s="64"/>
      <c r="F76" s="64"/>
      <c r="G76" s="64"/>
      <c r="H76" s="64">
        <f>-J76-I76</f>
        <v>4034.8200000000015</v>
      </c>
      <c r="I76" s="64">
        <v>10183.129999999999</v>
      </c>
      <c r="J76" s="64">
        <f>-SUM(J74:J75)</f>
        <v>-14217.95</v>
      </c>
      <c r="K76" s="57"/>
      <c r="L76" s="88"/>
      <c r="M76" s="62"/>
      <c r="N76" s="57"/>
      <c r="O76" s="88"/>
      <c r="P76" s="62"/>
      <c r="Q76" s="39"/>
      <c r="R76" s="39"/>
      <c r="S76" s="39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22"/>
      <c r="AO76" s="43"/>
      <c r="AP76" s="12" t="e">
        <f>#REF!</f>
        <v>#REF!</v>
      </c>
      <c r="AT76" s="2"/>
    </row>
    <row r="77" spans="1:46" s="4" customFormat="1" ht="17.25" customHeight="1" x14ac:dyDescent="0.25">
      <c r="A77" s="23"/>
      <c r="B77" s="201" t="s">
        <v>93</v>
      </c>
      <c r="C77" s="202"/>
      <c r="D77" s="64"/>
      <c r="E77" s="64"/>
      <c r="F77" s="64"/>
      <c r="G77" s="64"/>
      <c r="H77" s="64"/>
      <c r="I77" s="64"/>
      <c r="J77" s="64"/>
      <c r="K77" s="57">
        <v>-54</v>
      </c>
      <c r="L77" s="88"/>
      <c r="M77" s="62">
        <f>(K80*((M64)/(K64)))-M64-M74</f>
        <v>584.8078177365287</v>
      </c>
      <c r="N77" s="57">
        <v>-72</v>
      </c>
      <c r="O77" s="88"/>
      <c r="P77" s="62">
        <f>(N80*((P64)/(N64)))-P64-P75</f>
        <v>305.27839217191558</v>
      </c>
      <c r="Q77" s="39"/>
      <c r="R77" s="39"/>
      <c r="S77" s="39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22"/>
      <c r="AO77" s="43">
        <f>A52</f>
        <v>0</v>
      </c>
      <c r="AP77" s="12" t="e">
        <f>#REF!</f>
        <v>#REF!</v>
      </c>
      <c r="AT77" s="2"/>
    </row>
    <row r="78" spans="1:46" s="2" customFormat="1" ht="17.25" customHeight="1" x14ac:dyDescent="0.2">
      <c r="A78" s="24"/>
      <c r="B78" s="201"/>
      <c r="C78" s="204"/>
      <c r="D78" s="63"/>
      <c r="E78" s="64"/>
      <c r="F78" s="64"/>
      <c r="G78" s="64"/>
      <c r="H78" s="64"/>
      <c r="I78" s="64"/>
      <c r="J78" s="64"/>
      <c r="K78" s="16"/>
      <c r="L78" s="92"/>
      <c r="M78" s="64"/>
      <c r="N78" s="16"/>
      <c r="O78" s="92"/>
      <c r="P78" s="64"/>
      <c r="Q78" s="46"/>
      <c r="R78" s="46"/>
      <c r="S78" s="39"/>
      <c r="T78" s="16"/>
      <c r="U78" s="16"/>
      <c r="V78" s="16"/>
      <c r="W78" s="16"/>
      <c r="X78" s="16"/>
      <c r="Y78" s="19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43">
        <f>A65</f>
        <v>46058</v>
      </c>
      <c r="AQ78" s="10"/>
      <c r="AR78" s="11"/>
    </row>
    <row r="79" spans="1:46" s="2" customFormat="1" ht="17.25" customHeight="1" thickBot="1" x14ac:dyDescent="0.3">
      <c r="A79" s="56"/>
      <c r="B79" s="101" t="s">
        <v>102</v>
      </c>
      <c r="C79" s="102">
        <f>D80+E80+F80+G80+H80+I80+J80+M80+P80</f>
        <v>158153.03954000009</v>
      </c>
      <c r="D79" s="84"/>
      <c r="E79" s="85"/>
      <c r="F79" s="85"/>
      <c r="G79" s="85"/>
      <c r="H79" s="85"/>
      <c r="I79" s="85"/>
      <c r="J79" s="85"/>
      <c r="K79" s="28"/>
      <c r="L79" s="112"/>
      <c r="M79" s="85"/>
      <c r="N79" s="28"/>
      <c r="O79" s="112"/>
      <c r="P79" s="85"/>
      <c r="Q79" s="48"/>
      <c r="R79" s="48"/>
      <c r="S79" s="51"/>
      <c r="T79" s="28"/>
      <c r="U79" s="28"/>
      <c r="V79" s="28"/>
      <c r="W79" s="28"/>
      <c r="X79" s="28"/>
      <c r="Y79" s="36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42">
        <f>SUM($Q64:AN79)</f>
        <v>-514727.83</v>
      </c>
      <c r="AQ79" s="10"/>
      <c r="AR79" s="11"/>
      <c r="AS79" s="2" t="s">
        <v>5</v>
      </c>
    </row>
    <row r="80" spans="1:46" s="2" customFormat="1" ht="17.25" customHeight="1" thickTop="1" thickBot="1" x14ac:dyDescent="0.3">
      <c r="A80" s="103"/>
      <c r="B80" s="104" t="s">
        <v>103</v>
      </c>
      <c r="C80" s="105">
        <f>AO80</f>
        <v>-356574.79045999993</v>
      </c>
      <c r="D80" s="116">
        <f t="shared" ref="D80:K80" si="8">SUM(D64:D79)</f>
        <v>20244.597040000048</v>
      </c>
      <c r="E80" s="107">
        <f t="shared" si="8"/>
        <v>-29692.370000000014</v>
      </c>
      <c r="F80" s="107">
        <f t="shared" si="8"/>
        <v>0.65000000000145519</v>
      </c>
      <c r="G80" s="107">
        <f t="shared" si="8"/>
        <v>0</v>
      </c>
      <c r="H80" s="107">
        <f t="shared" si="8"/>
        <v>62613.632500000065</v>
      </c>
      <c r="I80" s="107">
        <f t="shared" si="8"/>
        <v>9491.1299999999992</v>
      </c>
      <c r="J80" s="107">
        <f t="shared" si="8"/>
        <v>0</v>
      </c>
      <c r="K80" s="108">
        <f t="shared" si="8"/>
        <v>6655</v>
      </c>
      <c r="L80" s="109">
        <f>M80/K80</f>
        <v>5.1285063861758076</v>
      </c>
      <c r="M80" s="107">
        <f>ROUND(SUM(M64:M79),2)</f>
        <v>34130.21</v>
      </c>
      <c r="N80" s="108">
        <f>SUM(N64:N79)</f>
        <v>16215</v>
      </c>
      <c r="O80" s="109">
        <f>P80/N80</f>
        <v>3.7844705519580635</v>
      </c>
      <c r="P80" s="107">
        <f>ROUND(SUM(P64:P79),2)</f>
        <v>61365.19</v>
      </c>
      <c r="Q80" s="110">
        <f t="shared" ref="Q80:AN80" si="9">SUM(Q64:Q79)</f>
        <v>-564957.13</v>
      </c>
      <c r="R80" s="107">
        <f t="shared" si="9"/>
        <v>50229.299999999996</v>
      </c>
      <c r="S80" s="107">
        <f t="shared" si="9"/>
        <v>0</v>
      </c>
      <c r="T80" s="107">
        <f t="shared" si="9"/>
        <v>0</v>
      </c>
      <c r="U80" s="107">
        <f t="shared" si="9"/>
        <v>0</v>
      </c>
      <c r="V80" s="107">
        <f t="shared" si="9"/>
        <v>0</v>
      </c>
      <c r="W80" s="107">
        <f t="shared" si="9"/>
        <v>0</v>
      </c>
      <c r="X80" s="107">
        <f t="shared" si="9"/>
        <v>0</v>
      </c>
      <c r="Y80" s="107">
        <f t="shared" si="9"/>
        <v>0</v>
      </c>
      <c r="Z80" s="107">
        <f t="shared" si="9"/>
        <v>0</v>
      </c>
      <c r="AA80" s="107">
        <f t="shared" si="9"/>
        <v>0</v>
      </c>
      <c r="AB80" s="107">
        <f t="shared" si="9"/>
        <v>0</v>
      </c>
      <c r="AC80" s="107">
        <f t="shared" si="9"/>
        <v>0</v>
      </c>
      <c r="AD80" s="107">
        <f t="shared" si="9"/>
        <v>0</v>
      </c>
      <c r="AE80" s="107">
        <f t="shared" si="9"/>
        <v>0</v>
      </c>
      <c r="AF80" s="107">
        <f t="shared" si="9"/>
        <v>0</v>
      </c>
      <c r="AG80" s="107">
        <f t="shared" si="9"/>
        <v>0</v>
      </c>
      <c r="AH80" s="107">
        <f t="shared" si="9"/>
        <v>0</v>
      </c>
      <c r="AI80" s="107">
        <f t="shared" si="9"/>
        <v>0</v>
      </c>
      <c r="AJ80" s="107">
        <f t="shared" si="9"/>
        <v>0</v>
      </c>
      <c r="AK80" s="107">
        <f t="shared" si="9"/>
        <v>0</v>
      </c>
      <c r="AL80" s="107">
        <f t="shared" si="9"/>
        <v>0</v>
      </c>
      <c r="AM80" s="107">
        <f t="shared" si="9"/>
        <v>0</v>
      </c>
      <c r="AN80" s="107">
        <f t="shared" si="9"/>
        <v>0</v>
      </c>
      <c r="AO80" s="111">
        <f>D80+E80+F80+G80+H80+I80+J80+M80+P80+SUM(Q80:AN80)</f>
        <v>-356574.79045999993</v>
      </c>
      <c r="AP80" s="4"/>
      <c r="AQ80" s="5"/>
      <c r="AR80" s="5"/>
      <c r="AS80" s="2" t="s">
        <v>6</v>
      </c>
    </row>
    <row r="81" spans="1:46" s="2" customFormat="1" ht="17.25" customHeight="1" thickTop="1" x14ac:dyDescent="0.25">
      <c r="A81" s="24">
        <f>A65+1</f>
        <v>46059</v>
      </c>
      <c r="B81" s="201" t="s">
        <v>64</v>
      </c>
      <c r="C81" s="203"/>
      <c r="D81" s="63">
        <v>8916.35</v>
      </c>
      <c r="E81" s="64"/>
      <c r="F81" s="74"/>
      <c r="G81" s="74"/>
      <c r="H81" s="64"/>
      <c r="I81" s="64">
        <f>-D81</f>
        <v>-8916.35</v>
      </c>
      <c r="J81" s="66"/>
      <c r="K81" s="18"/>
      <c r="L81" s="18"/>
      <c r="M81" s="66"/>
      <c r="N81" s="18"/>
      <c r="O81" s="18"/>
      <c r="P81" s="66"/>
      <c r="Q81" s="46"/>
      <c r="R81" s="46"/>
      <c r="S81" s="45"/>
      <c r="T81" s="18"/>
      <c r="U81" s="18"/>
      <c r="V81" s="18"/>
      <c r="W81" s="18"/>
      <c r="X81" s="18"/>
      <c r="Y81" s="14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7"/>
      <c r="AO81" s="31"/>
      <c r="AQ81" s="10"/>
      <c r="AR81" s="27"/>
    </row>
    <row r="82" spans="1:46" s="2" customFormat="1" ht="17.25" customHeight="1" x14ac:dyDescent="0.25">
      <c r="A82" s="24"/>
      <c r="B82" s="201" t="s">
        <v>96</v>
      </c>
      <c r="C82" s="202"/>
      <c r="D82" s="63"/>
      <c r="E82" s="64"/>
      <c r="F82" s="64"/>
      <c r="G82" s="64"/>
      <c r="H82" s="64"/>
      <c r="I82" s="64">
        <f>-I80-I81</f>
        <v>-574.77999999999884</v>
      </c>
      <c r="J82" s="64"/>
      <c r="K82" s="16"/>
      <c r="L82" s="16"/>
      <c r="M82" s="64"/>
      <c r="N82" s="16"/>
      <c r="O82" s="16"/>
      <c r="P82" s="64"/>
      <c r="Q82" s="46"/>
      <c r="R82" s="40"/>
      <c r="S82" s="39"/>
      <c r="T82" s="16"/>
      <c r="U82" s="16"/>
      <c r="V82" s="16"/>
      <c r="W82" s="16"/>
      <c r="X82" s="16"/>
      <c r="Y82" s="19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22"/>
      <c r="AQ82" s="10"/>
      <c r="AR82" s="11"/>
    </row>
    <row r="83" spans="1:46" s="2" customFormat="1" ht="17.25" customHeight="1" x14ac:dyDescent="0.25">
      <c r="A83" s="29"/>
      <c r="B83" s="201" t="s">
        <v>327</v>
      </c>
      <c r="C83" s="202"/>
      <c r="D83" s="63">
        <f>30+100+81+50+30+15+5+50+20+102+30+30+40+20+50</f>
        <v>653</v>
      </c>
      <c r="E83" s="64"/>
      <c r="F83" s="64"/>
      <c r="G83" s="64"/>
      <c r="H83" s="64"/>
      <c r="I83" s="64">
        <f>-D83</f>
        <v>-653</v>
      </c>
      <c r="J83" s="64"/>
      <c r="K83" s="57"/>
      <c r="L83" s="88"/>
      <c r="M83" s="62"/>
      <c r="N83" s="57"/>
      <c r="O83" s="88"/>
      <c r="P83" s="62"/>
      <c r="Q83" s="47"/>
      <c r="R83" s="39"/>
      <c r="S83" s="39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22"/>
      <c r="AQ83" s="10"/>
      <c r="AR83" s="11"/>
    </row>
    <row r="84" spans="1:46" s="2" customFormat="1" ht="17.25" customHeight="1" x14ac:dyDescent="0.25">
      <c r="A84" s="29"/>
      <c r="B84" s="201" t="s">
        <v>328</v>
      </c>
      <c r="C84" s="202"/>
      <c r="D84" s="63">
        <f>-15*0.99</f>
        <v>-14.85</v>
      </c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47"/>
      <c r="R84" s="39"/>
      <c r="S84" s="39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22"/>
      <c r="AQ84" s="10"/>
      <c r="AR84" s="11"/>
    </row>
    <row r="85" spans="1:46" s="2" customFormat="1" ht="17.25" customHeight="1" x14ac:dyDescent="0.25">
      <c r="A85" s="29"/>
      <c r="B85" s="205" t="s">
        <v>263</v>
      </c>
      <c r="C85" s="250"/>
      <c r="D85" s="63">
        <v>-29100</v>
      </c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47">
        <f>-D85</f>
        <v>29100</v>
      </c>
      <c r="R85" s="39"/>
      <c r="S85" s="39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22"/>
      <c r="AQ85" s="10"/>
      <c r="AR85" s="11"/>
    </row>
    <row r="86" spans="1:46" s="2" customFormat="1" ht="17.25" customHeight="1" x14ac:dyDescent="0.25">
      <c r="A86" s="29"/>
      <c r="B86" s="201" t="s">
        <v>276</v>
      </c>
      <c r="C86" s="202"/>
      <c r="D86" s="63">
        <v>-4.9000000000000004</v>
      </c>
      <c r="E86" s="64"/>
      <c r="F86" s="64"/>
      <c r="G86" s="64"/>
      <c r="H86" s="64"/>
      <c r="I86" s="64"/>
      <c r="J86" s="64"/>
      <c r="K86" s="57"/>
      <c r="L86" s="88"/>
      <c r="M86" s="62"/>
      <c r="N86" s="57"/>
      <c r="O86" s="88"/>
      <c r="P86" s="62"/>
      <c r="Q86" s="47"/>
      <c r="R86" s="39"/>
      <c r="S86" s="39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22"/>
      <c r="AQ86" s="10"/>
      <c r="AR86" s="11"/>
    </row>
    <row r="87" spans="1:46" s="4" customFormat="1" ht="17.25" customHeight="1" x14ac:dyDescent="0.25">
      <c r="A87" s="23"/>
      <c r="B87" s="201" t="s">
        <v>13</v>
      </c>
      <c r="C87" s="203"/>
      <c r="D87" s="63"/>
      <c r="E87" s="64">
        <f>20+20+100+80+8+30+50+60+1897+100+20+100+50+1126+1294.33</f>
        <v>4955.33</v>
      </c>
      <c r="F87" s="64"/>
      <c r="G87" s="64"/>
      <c r="H87" s="64">
        <f>-E87</f>
        <v>-4955.33</v>
      </c>
      <c r="I87" s="66"/>
      <c r="J87" s="64"/>
      <c r="K87" s="16"/>
      <c r="L87" s="92"/>
      <c r="M87" s="64"/>
      <c r="N87" s="16"/>
      <c r="O87" s="92"/>
      <c r="P87" s="64"/>
      <c r="Q87" s="40"/>
      <c r="R87" s="46">
        <f>-D87</f>
        <v>0</v>
      </c>
      <c r="S87" s="39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22"/>
      <c r="AP87" s="30"/>
    </row>
    <row r="88" spans="1:46" s="2" customFormat="1" ht="17.25" customHeight="1" x14ac:dyDescent="0.25">
      <c r="A88" s="29"/>
      <c r="B88" s="205" t="s">
        <v>263</v>
      </c>
      <c r="C88" s="250"/>
      <c r="D88" s="63"/>
      <c r="E88" s="64">
        <v>-16740</v>
      </c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47">
        <f>-E88</f>
        <v>16740</v>
      </c>
      <c r="R88" s="39"/>
      <c r="S88" s="39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22"/>
      <c r="AQ88" s="10"/>
      <c r="AR88" s="11"/>
    </row>
    <row r="89" spans="1:46" s="2" customFormat="1" ht="17.25" customHeight="1" x14ac:dyDescent="0.2">
      <c r="A89" s="23"/>
      <c r="B89" s="210" t="s">
        <v>373</v>
      </c>
      <c r="C89" s="203"/>
      <c r="D89" s="63"/>
      <c r="E89" s="66">
        <v>-230</v>
      </c>
      <c r="F89" s="64"/>
      <c r="G89" s="74"/>
      <c r="H89" s="64"/>
      <c r="I89" s="64"/>
      <c r="J89" s="64"/>
      <c r="K89" s="16"/>
      <c r="L89" s="16"/>
      <c r="M89" s="64"/>
      <c r="N89" s="16"/>
      <c r="O89" s="16"/>
      <c r="P89" s="64"/>
      <c r="Q89" s="46"/>
      <c r="R89" s="39"/>
      <c r="S89" s="40"/>
      <c r="T89" s="16"/>
      <c r="U89" s="16"/>
      <c r="V89" s="16"/>
      <c r="W89" s="16"/>
      <c r="X89" s="16"/>
      <c r="Y89" s="19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35"/>
      <c r="AQ89" s="10"/>
      <c r="AR89" s="27"/>
    </row>
    <row r="90" spans="1:46" s="2" customFormat="1" ht="17.25" customHeight="1" thickBot="1" x14ac:dyDescent="0.25">
      <c r="A90" s="24"/>
      <c r="B90" s="216"/>
      <c r="C90" s="217"/>
      <c r="D90" s="83"/>
      <c r="E90" s="81"/>
      <c r="F90" s="81"/>
      <c r="G90" s="81"/>
      <c r="H90" s="81"/>
      <c r="I90" s="81"/>
      <c r="J90" s="81"/>
      <c r="K90" s="37"/>
      <c r="L90" s="93"/>
      <c r="M90" s="81"/>
      <c r="N90" s="37"/>
      <c r="O90" s="93"/>
      <c r="P90" s="81"/>
      <c r="Q90" s="40"/>
      <c r="R90" s="40"/>
      <c r="S90" s="39"/>
      <c r="T90" s="16"/>
      <c r="U90" s="16"/>
      <c r="V90" s="16"/>
      <c r="W90" s="16"/>
      <c r="X90" s="16"/>
      <c r="Y90" s="19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41"/>
      <c r="AQ90" s="10"/>
      <c r="AR90" s="11"/>
    </row>
    <row r="91" spans="1:46" s="4" customFormat="1" ht="17.25" customHeight="1" x14ac:dyDescent="0.25">
      <c r="A91" s="23"/>
      <c r="B91" s="210" t="s">
        <v>94</v>
      </c>
      <c r="C91" s="203"/>
      <c r="D91" s="66"/>
      <c r="E91" s="66"/>
      <c r="F91" s="117"/>
      <c r="G91" s="117"/>
      <c r="H91" s="66"/>
      <c r="I91" s="66"/>
      <c r="J91" s="66">
        <f>-M91</f>
        <v>6247.5</v>
      </c>
      <c r="K91" s="58">
        <v>-1050</v>
      </c>
      <c r="L91" s="89">
        <v>5.95</v>
      </c>
      <c r="M91" s="73">
        <f>K91*L91</f>
        <v>-6247.5</v>
      </c>
      <c r="N91" s="58"/>
      <c r="O91" s="89"/>
      <c r="P91" s="73"/>
      <c r="Q91" s="39"/>
      <c r="R91" s="39"/>
      <c r="S91" s="8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35"/>
      <c r="AP91" s="12" t="e">
        <f>#REF!</f>
        <v>#REF!</v>
      </c>
    </row>
    <row r="92" spans="1:46" s="4" customFormat="1" ht="17.25" customHeight="1" x14ac:dyDescent="0.25">
      <c r="A92" s="23"/>
      <c r="B92" s="201" t="s">
        <v>95</v>
      </c>
      <c r="C92" s="202"/>
      <c r="D92" s="64"/>
      <c r="E92" s="64"/>
      <c r="F92" s="117"/>
      <c r="G92" s="117"/>
      <c r="H92" s="64"/>
      <c r="I92" s="64"/>
      <c r="J92" s="64">
        <f>-P92</f>
        <v>8164.08</v>
      </c>
      <c r="K92" s="57"/>
      <c r="L92" s="88"/>
      <c r="M92" s="62"/>
      <c r="N92" s="57">
        <v>-2001</v>
      </c>
      <c r="O92" s="88">
        <v>4.08</v>
      </c>
      <c r="P92" s="62">
        <f>N92*O92</f>
        <v>-8164.08</v>
      </c>
      <c r="Q92" s="39"/>
      <c r="R92" s="39"/>
      <c r="S92" s="8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35"/>
      <c r="AP92" s="12" t="e">
        <f>#REF!</f>
        <v>#REF!</v>
      </c>
    </row>
    <row r="93" spans="1:46" s="4" customFormat="1" ht="17.25" customHeight="1" x14ac:dyDescent="0.25">
      <c r="A93" s="23"/>
      <c r="B93" s="201" t="s">
        <v>97</v>
      </c>
      <c r="C93" s="203"/>
      <c r="D93" s="64"/>
      <c r="E93" s="64"/>
      <c r="F93" s="64"/>
      <c r="G93" s="64"/>
      <c r="H93" s="64">
        <f>-J93-I93</f>
        <v>3882.01</v>
      </c>
      <c r="I93" s="64">
        <v>10529.57</v>
      </c>
      <c r="J93" s="64">
        <f>-SUM(J91:J92)</f>
        <v>-14411.58</v>
      </c>
      <c r="K93" s="57"/>
      <c r="L93" s="88"/>
      <c r="M93" s="62"/>
      <c r="N93" s="57"/>
      <c r="O93" s="88"/>
      <c r="P93" s="62"/>
      <c r="Q93" s="39"/>
      <c r="R93" s="39"/>
      <c r="S93" s="39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22"/>
      <c r="AO93" s="43"/>
      <c r="AP93" s="12" t="e">
        <f>#REF!</f>
        <v>#REF!</v>
      </c>
      <c r="AT93" s="2"/>
    </row>
    <row r="94" spans="1:46" s="4" customFormat="1" ht="17.25" customHeight="1" x14ac:dyDescent="0.25">
      <c r="A94" s="23"/>
      <c r="B94" s="201" t="s">
        <v>93</v>
      </c>
      <c r="C94" s="202"/>
      <c r="D94" s="64"/>
      <c r="E94" s="64"/>
      <c r="F94" s="64"/>
      <c r="G94" s="64"/>
      <c r="H94" s="64"/>
      <c r="I94" s="64"/>
      <c r="J94" s="64"/>
      <c r="K94" s="57">
        <v>-23</v>
      </c>
      <c r="L94" s="88"/>
      <c r="M94" s="62">
        <f>(K97*((M80)/(K80)))-M80-M91</f>
        <v>744.6126476333593</v>
      </c>
      <c r="N94" s="57">
        <v>-31</v>
      </c>
      <c r="O94" s="88"/>
      <c r="P94" s="62">
        <f>(N97*((P80)/(N80)))-P80-P92</f>
        <v>474.03583842121407</v>
      </c>
      <c r="Q94" s="39"/>
      <c r="R94" s="39"/>
      <c r="S94" s="39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22"/>
      <c r="AO94" s="43">
        <f>A69</f>
        <v>0</v>
      </c>
      <c r="AP94" s="12" t="e">
        <f>#REF!</f>
        <v>#REF!</v>
      </c>
      <c r="AT94" s="2"/>
    </row>
    <row r="95" spans="1:46" s="2" customFormat="1" ht="17.25" customHeight="1" x14ac:dyDescent="0.2">
      <c r="A95" s="24"/>
      <c r="B95" s="201"/>
      <c r="C95" s="202"/>
      <c r="D95" s="63"/>
      <c r="E95" s="64"/>
      <c r="F95" s="64"/>
      <c r="G95" s="64"/>
      <c r="H95" s="64"/>
      <c r="I95" s="64"/>
      <c r="J95" s="64"/>
      <c r="K95" s="16"/>
      <c r="L95" s="16"/>
      <c r="M95" s="64"/>
      <c r="N95" s="16"/>
      <c r="O95" s="16"/>
      <c r="P95" s="64"/>
      <c r="Q95" s="46"/>
      <c r="R95" s="46"/>
      <c r="S95" s="39"/>
      <c r="T95" s="16"/>
      <c r="U95" s="16"/>
      <c r="V95" s="16"/>
      <c r="W95" s="16"/>
      <c r="X95" s="16"/>
      <c r="Y95" s="19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43">
        <f>A81</f>
        <v>46059</v>
      </c>
      <c r="AQ95" s="10"/>
      <c r="AR95" s="11"/>
    </row>
    <row r="96" spans="1:46" s="2" customFormat="1" ht="17.25" customHeight="1" thickBot="1" x14ac:dyDescent="0.3">
      <c r="A96" s="56"/>
      <c r="B96" s="101" t="s">
        <v>102</v>
      </c>
      <c r="C96" s="102">
        <f>D97+E97+F97+G97+H97+I97+J97+M97+P97</f>
        <v>112707.15954000011</v>
      </c>
      <c r="D96" s="84"/>
      <c r="E96" s="85"/>
      <c r="F96" s="85"/>
      <c r="G96" s="85"/>
      <c r="H96" s="85"/>
      <c r="I96" s="85"/>
      <c r="J96" s="85"/>
      <c r="K96" s="28"/>
      <c r="L96" s="28"/>
      <c r="M96" s="85"/>
      <c r="N96" s="28"/>
      <c r="O96" s="28"/>
      <c r="P96" s="85"/>
      <c r="Q96" s="48"/>
      <c r="R96" s="48"/>
      <c r="S96" s="51"/>
      <c r="T96" s="28"/>
      <c r="U96" s="28"/>
      <c r="V96" s="28"/>
      <c r="W96" s="28"/>
      <c r="X96" s="28"/>
      <c r="Y96" s="36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42">
        <f>SUM($Q80:AN96)</f>
        <v>-468887.83</v>
      </c>
      <c r="AQ96" s="10"/>
      <c r="AR96" s="11"/>
      <c r="AS96" s="2" t="s">
        <v>5</v>
      </c>
    </row>
    <row r="97" spans="1:46" s="2" customFormat="1" ht="17.25" customHeight="1" thickTop="1" thickBot="1" x14ac:dyDescent="0.3">
      <c r="A97" s="103"/>
      <c r="B97" s="104" t="s">
        <v>103</v>
      </c>
      <c r="C97" s="105">
        <f>AO97</f>
        <v>-356180.67045999994</v>
      </c>
      <c r="D97" s="107">
        <f t="shared" ref="D97:K97" si="10">SUM(D80:D96)</f>
        <v>694.19704000005152</v>
      </c>
      <c r="E97" s="107">
        <f t="shared" si="10"/>
        <v>-41707.040000000015</v>
      </c>
      <c r="F97" s="107">
        <f t="shared" si="10"/>
        <v>0.65000000000145519</v>
      </c>
      <c r="G97" s="107">
        <f t="shared" si="10"/>
        <v>0</v>
      </c>
      <c r="H97" s="107">
        <f t="shared" si="10"/>
        <v>61540.312500000065</v>
      </c>
      <c r="I97" s="107">
        <f t="shared" si="10"/>
        <v>9876.57</v>
      </c>
      <c r="J97" s="107">
        <f t="shared" si="10"/>
        <v>0</v>
      </c>
      <c r="K97" s="108">
        <f t="shared" si="10"/>
        <v>5582</v>
      </c>
      <c r="L97" s="109">
        <f>M97/K97</f>
        <v>5.1285059118595484</v>
      </c>
      <c r="M97" s="107">
        <f>ROUND(SUM(M80:M96),2)</f>
        <v>28627.32</v>
      </c>
      <c r="N97" s="108">
        <f>SUM(N80:N96)</f>
        <v>14183</v>
      </c>
      <c r="O97" s="109">
        <f>P97/N97</f>
        <v>3.7844708453782698</v>
      </c>
      <c r="P97" s="107">
        <f>ROUND(SUM(P80:P96),2)</f>
        <v>53675.15</v>
      </c>
      <c r="Q97" s="107">
        <f t="shared" ref="Q97:AN97" si="11">SUM(Q80:Q96)</f>
        <v>-519117.13</v>
      </c>
      <c r="R97" s="107">
        <f t="shared" si="11"/>
        <v>50229.299999999996</v>
      </c>
      <c r="S97" s="107">
        <f t="shared" si="11"/>
        <v>0</v>
      </c>
      <c r="T97" s="107">
        <f t="shared" si="11"/>
        <v>0</v>
      </c>
      <c r="U97" s="107">
        <f t="shared" si="11"/>
        <v>0</v>
      </c>
      <c r="V97" s="107">
        <f t="shared" si="11"/>
        <v>0</v>
      </c>
      <c r="W97" s="107">
        <f t="shared" si="11"/>
        <v>0</v>
      </c>
      <c r="X97" s="107">
        <f t="shared" si="11"/>
        <v>0</v>
      </c>
      <c r="Y97" s="107">
        <f t="shared" si="11"/>
        <v>0</v>
      </c>
      <c r="Z97" s="107">
        <f t="shared" si="11"/>
        <v>0</v>
      </c>
      <c r="AA97" s="107">
        <f t="shared" si="11"/>
        <v>0</v>
      </c>
      <c r="AB97" s="107">
        <f t="shared" si="11"/>
        <v>0</v>
      </c>
      <c r="AC97" s="107">
        <f t="shared" si="11"/>
        <v>0</v>
      </c>
      <c r="AD97" s="107">
        <f t="shared" si="11"/>
        <v>0</v>
      </c>
      <c r="AE97" s="107">
        <f t="shared" si="11"/>
        <v>0</v>
      </c>
      <c r="AF97" s="107">
        <f t="shared" si="11"/>
        <v>0</v>
      </c>
      <c r="AG97" s="107">
        <f t="shared" si="11"/>
        <v>0</v>
      </c>
      <c r="AH97" s="107">
        <f t="shared" si="11"/>
        <v>0</v>
      </c>
      <c r="AI97" s="107">
        <f t="shared" si="11"/>
        <v>0</v>
      </c>
      <c r="AJ97" s="107">
        <f t="shared" si="11"/>
        <v>0</v>
      </c>
      <c r="AK97" s="107">
        <f t="shared" si="11"/>
        <v>0</v>
      </c>
      <c r="AL97" s="107">
        <f t="shared" si="11"/>
        <v>0</v>
      </c>
      <c r="AM97" s="107">
        <f t="shared" si="11"/>
        <v>0</v>
      </c>
      <c r="AN97" s="107">
        <f t="shared" si="11"/>
        <v>0</v>
      </c>
      <c r="AO97" s="111">
        <f>D97+E97+F97+G97+H97+I97+J97+M97+P97+SUM(Q97:AN97)</f>
        <v>-356180.67045999994</v>
      </c>
      <c r="AP97" s="4"/>
      <c r="AQ97" s="5"/>
      <c r="AR97" s="5"/>
      <c r="AS97" s="2" t="s">
        <v>6</v>
      </c>
    </row>
    <row r="98" spans="1:46" s="2" customFormat="1" ht="17.25" customHeight="1" thickTop="1" x14ac:dyDescent="0.25">
      <c r="A98" s="23">
        <f>A81+1</f>
        <v>46060</v>
      </c>
      <c r="B98" s="201" t="s">
        <v>64</v>
      </c>
      <c r="C98" s="203"/>
      <c r="D98" s="63">
        <v>9668.93</v>
      </c>
      <c r="E98" s="64"/>
      <c r="F98" s="74"/>
      <c r="G98" s="74"/>
      <c r="H98" s="64"/>
      <c r="I98" s="64">
        <f>-D98</f>
        <v>-9668.93</v>
      </c>
      <c r="J98" s="66"/>
      <c r="K98" s="18"/>
      <c r="L98" s="18"/>
      <c r="M98" s="66"/>
      <c r="N98" s="18"/>
      <c r="O98" s="18"/>
      <c r="P98" s="66"/>
      <c r="Q98" s="46"/>
      <c r="R98" s="46"/>
      <c r="S98" s="45"/>
      <c r="T98" s="18"/>
      <c r="U98" s="18"/>
      <c r="V98" s="18"/>
      <c r="W98" s="18"/>
      <c r="X98" s="18"/>
      <c r="Y98" s="14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7"/>
      <c r="AO98" s="31"/>
      <c r="AQ98" s="10"/>
      <c r="AR98" s="27"/>
    </row>
    <row r="99" spans="1:46" s="2" customFormat="1" ht="17.25" customHeight="1" x14ac:dyDescent="0.25">
      <c r="A99" s="24"/>
      <c r="B99" s="201" t="s">
        <v>96</v>
      </c>
      <c r="C99" s="202"/>
      <c r="D99" s="63"/>
      <c r="E99" s="64"/>
      <c r="F99" s="64"/>
      <c r="G99" s="64"/>
      <c r="H99" s="64"/>
      <c r="I99" s="64">
        <f>-I97-I98</f>
        <v>-207.63999999999942</v>
      </c>
      <c r="J99" s="64"/>
      <c r="K99" s="16"/>
      <c r="L99" s="16"/>
      <c r="M99" s="64"/>
      <c r="N99" s="16"/>
      <c r="O99" s="16"/>
      <c r="P99" s="64"/>
      <c r="Q99" s="46"/>
      <c r="R99" s="40"/>
      <c r="S99" s="39"/>
      <c r="T99" s="16"/>
      <c r="U99" s="16"/>
      <c r="V99" s="16"/>
      <c r="W99" s="16"/>
      <c r="X99" s="16"/>
      <c r="Y99" s="19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22"/>
      <c r="AQ99" s="10"/>
      <c r="AR99" s="11"/>
    </row>
    <row r="100" spans="1:46" s="2" customFormat="1" ht="17.25" customHeight="1" x14ac:dyDescent="0.25">
      <c r="A100" s="29"/>
      <c r="B100" s="201" t="s">
        <v>327</v>
      </c>
      <c r="C100" s="202"/>
      <c r="D100" s="63">
        <f>10+200+20+50+50+30+50+100+12+22+96.2</f>
        <v>640.20000000000005</v>
      </c>
      <c r="E100" s="64"/>
      <c r="F100" s="64"/>
      <c r="G100" s="64"/>
      <c r="H100" s="64"/>
      <c r="I100" s="64">
        <f>-D100</f>
        <v>-640.20000000000005</v>
      </c>
      <c r="J100" s="64"/>
      <c r="K100" s="57"/>
      <c r="L100" s="88"/>
      <c r="M100" s="62"/>
      <c r="N100" s="57"/>
      <c r="O100" s="88"/>
      <c r="P100" s="62"/>
      <c r="Q100" s="47"/>
      <c r="R100" s="39"/>
      <c r="S100" s="39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22"/>
      <c r="AQ100" s="10"/>
      <c r="AR100" s="11"/>
    </row>
    <row r="101" spans="1:46" s="2" customFormat="1" ht="17.25" customHeight="1" x14ac:dyDescent="0.25">
      <c r="A101" s="29"/>
      <c r="B101" s="201" t="s">
        <v>328</v>
      </c>
      <c r="C101" s="202"/>
      <c r="D101" s="63">
        <f>-10*0.99-1.6</f>
        <v>-11.5</v>
      </c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47"/>
      <c r="R101" s="39"/>
      <c r="S101" s="39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22"/>
      <c r="AQ101" s="10"/>
      <c r="AR101" s="11"/>
    </row>
    <row r="102" spans="1:46" s="2" customFormat="1" ht="17.25" customHeight="1" thickBot="1" x14ac:dyDescent="0.25">
      <c r="A102" s="24"/>
      <c r="B102" s="216"/>
      <c r="C102" s="217"/>
      <c r="D102" s="83"/>
      <c r="E102" s="81"/>
      <c r="F102" s="81"/>
      <c r="G102" s="81"/>
      <c r="H102" s="81"/>
      <c r="I102" s="81"/>
      <c r="J102" s="81"/>
      <c r="K102" s="37"/>
      <c r="L102" s="93"/>
      <c r="M102" s="81"/>
      <c r="N102" s="37"/>
      <c r="O102" s="93"/>
      <c r="P102" s="81"/>
      <c r="Q102" s="40"/>
      <c r="R102" s="40"/>
      <c r="S102" s="39"/>
      <c r="T102" s="16"/>
      <c r="U102" s="16"/>
      <c r="V102" s="16"/>
      <c r="W102" s="16"/>
      <c r="X102" s="16"/>
      <c r="Y102" s="19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41"/>
      <c r="AQ102" s="10"/>
      <c r="AR102" s="11"/>
    </row>
    <row r="103" spans="1:46" s="4" customFormat="1" ht="17.25" customHeight="1" x14ac:dyDescent="0.25">
      <c r="A103" s="23"/>
      <c r="B103" s="210" t="s">
        <v>94</v>
      </c>
      <c r="C103" s="203"/>
      <c r="D103" s="66"/>
      <c r="E103" s="66"/>
      <c r="F103" s="117"/>
      <c r="G103" s="117"/>
      <c r="H103" s="66"/>
      <c r="I103" s="66"/>
      <c r="J103" s="66">
        <f>-M103</f>
        <v>7592.2</v>
      </c>
      <c r="K103" s="58">
        <v>-1276</v>
      </c>
      <c r="L103" s="89">
        <v>5.95</v>
      </c>
      <c r="M103" s="73">
        <f>K103*L103</f>
        <v>-7592.2</v>
      </c>
      <c r="N103" s="58"/>
      <c r="O103" s="89"/>
      <c r="P103" s="73"/>
      <c r="Q103" s="39"/>
      <c r="R103" s="39"/>
      <c r="S103" s="8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35"/>
      <c r="AP103" s="12" t="e">
        <f>#REF!</f>
        <v>#REF!</v>
      </c>
    </row>
    <row r="104" spans="1:46" s="4" customFormat="1" ht="17.25" customHeight="1" x14ac:dyDescent="0.25">
      <c r="A104" s="23"/>
      <c r="B104" s="201" t="s">
        <v>95</v>
      </c>
      <c r="C104" s="202"/>
      <c r="D104" s="64"/>
      <c r="E104" s="64"/>
      <c r="F104" s="117"/>
      <c r="G104" s="117"/>
      <c r="H104" s="64"/>
      <c r="I104" s="64"/>
      <c r="J104" s="64">
        <f>-P104</f>
        <v>8959.68</v>
      </c>
      <c r="K104" s="57"/>
      <c r="L104" s="88"/>
      <c r="M104" s="62"/>
      <c r="N104" s="57">
        <v>-2196</v>
      </c>
      <c r="O104" s="88">
        <v>4.08</v>
      </c>
      <c r="P104" s="62">
        <f>N104*O104</f>
        <v>-8959.68</v>
      </c>
      <c r="Q104" s="39"/>
      <c r="R104" s="39"/>
      <c r="S104" s="8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35"/>
      <c r="AP104" s="12" t="e">
        <f>#REF!</f>
        <v>#REF!</v>
      </c>
    </row>
    <row r="105" spans="1:46" s="4" customFormat="1" ht="17.25" customHeight="1" x14ac:dyDescent="0.25">
      <c r="A105" s="23"/>
      <c r="B105" s="201" t="s">
        <v>97</v>
      </c>
      <c r="C105" s="203"/>
      <c r="D105" s="64"/>
      <c r="E105" s="64"/>
      <c r="F105" s="64"/>
      <c r="G105" s="64"/>
      <c r="H105" s="64">
        <f>-J105-I105</f>
        <v>4141.8500000000004</v>
      </c>
      <c r="I105" s="64">
        <v>12410.03</v>
      </c>
      <c r="J105" s="64">
        <f>-SUM(J103:J104)</f>
        <v>-16551.88</v>
      </c>
      <c r="K105" s="57"/>
      <c r="L105" s="88"/>
      <c r="M105" s="62"/>
      <c r="N105" s="57"/>
      <c r="O105" s="88"/>
      <c r="P105" s="62"/>
      <c r="Q105" s="39"/>
      <c r="R105" s="39"/>
      <c r="S105" s="39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22"/>
      <c r="AO105" s="43"/>
      <c r="AP105" s="12" t="e">
        <f>#REF!</f>
        <v>#REF!</v>
      </c>
      <c r="AT105" s="2"/>
    </row>
    <row r="106" spans="1:46" s="4" customFormat="1" ht="17.25" customHeight="1" x14ac:dyDescent="0.25">
      <c r="A106" s="23"/>
      <c r="B106" s="201" t="s">
        <v>93</v>
      </c>
      <c r="C106" s="202"/>
      <c r="D106" s="64"/>
      <c r="E106" s="64"/>
      <c r="F106" s="64"/>
      <c r="G106" s="64"/>
      <c r="H106" s="64"/>
      <c r="I106" s="64"/>
      <c r="J106" s="64"/>
      <c r="K106" s="57">
        <v>-26</v>
      </c>
      <c r="L106" s="88"/>
      <c r="M106" s="62">
        <f>(K109*L97)-M97-M103</f>
        <v>914.88530275886569</v>
      </c>
      <c r="N106" s="57">
        <v>-139</v>
      </c>
      <c r="O106" s="88"/>
      <c r="P106" s="62">
        <f>(N109*O97)-P97-P104</f>
        <v>122.94057604174304</v>
      </c>
      <c r="Q106" s="39"/>
      <c r="R106" s="39"/>
      <c r="S106" s="39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22"/>
      <c r="AO106" s="43">
        <f>A94</f>
        <v>0</v>
      </c>
      <c r="AP106" s="12" t="e">
        <f>#REF!</f>
        <v>#REF!</v>
      </c>
      <c r="AT106" s="2"/>
    </row>
    <row r="107" spans="1:46" s="2" customFormat="1" ht="17.25" customHeight="1" x14ac:dyDescent="0.2">
      <c r="A107" s="24"/>
      <c r="B107" s="201"/>
      <c r="C107" s="204"/>
      <c r="D107" s="63"/>
      <c r="E107" s="64"/>
      <c r="F107" s="64"/>
      <c r="G107" s="64"/>
      <c r="H107" s="64"/>
      <c r="I107" s="64"/>
      <c r="J107" s="64"/>
      <c r="K107" s="16"/>
      <c r="L107" s="16"/>
      <c r="M107" s="64"/>
      <c r="N107" s="16"/>
      <c r="O107" s="16"/>
      <c r="P107" s="64"/>
      <c r="Q107" s="46"/>
      <c r="R107" s="46"/>
      <c r="S107" s="39"/>
      <c r="T107" s="16"/>
      <c r="U107" s="16"/>
      <c r="V107" s="16"/>
      <c r="W107" s="16"/>
      <c r="X107" s="16"/>
      <c r="Y107" s="19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43">
        <f>A98</f>
        <v>46060</v>
      </c>
      <c r="AQ107" s="10"/>
      <c r="AR107" s="11"/>
    </row>
    <row r="108" spans="1:46" s="2" customFormat="1" ht="17.25" customHeight="1" thickBot="1" x14ac:dyDescent="0.3">
      <c r="A108" s="56"/>
      <c r="B108" s="101" t="s">
        <v>102</v>
      </c>
      <c r="C108" s="102">
        <f>D109+E109+F109+G109+H109+I109+J109+M109+P109</f>
        <v>113525.84954000011</v>
      </c>
      <c r="D108" s="84"/>
      <c r="E108" s="85"/>
      <c r="F108" s="85"/>
      <c r="G108" s="85"/>
      <c r="H108" s="85"/>
      <c r="I108" s="85"/>
      <c r="J108" s="85"/>
      <c r="K108" s="28"/>
      <c r="L108" s="28"/>
      <c r="M108" s="85"/>
      <c r="N108" s="28"/>
      <c r="O108" s="28"/>
      <c r="P108" s="85"/>
      <c r="Q108" s="48"/>
      <c r="R108" s="48"/>
      <c r="S108" s="51"/>
      <c r="T108" s="28"/>
      <c r="U108" s="28"/>
      <c r="V108" s="28"/>
      <c r="W108" s="28"/>
      <c r="X108" s="28"/>
      <c r="Y108" s="36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42">
        <f>SUM($Q97:AN108)</f>
        <v>-468887.83</v>
      </c>
      <c r="AQ108" s="10"/>
      <c r="AR108" s="11"/>
      <c r="AS108" s="2" t="s">
        <v>5</v>
      </c>
    </row>
    <row r="109" spans="1:46" s="2" customFormat="1" ht="17.25" customHeight="1" thickTop="1" thickBot="1" x14ac:dyDescent="0.3">
      <c r="A109" s="103"/>
      <c r="B109" s="104" t="s">
        <v>103</v>
      </c>
      <c r="C109" s="105">
        <f>AO109</f>
        <v>-355361.98045999988</v>
      </c>
      <c r="D109" s="106">
        <f t="shared" ref="D109:K109" si="12">SUM(D97:D108)</f>
        <v>10991.827040000053</v>
      </c>
      <c r="E109" s="107">
        <f t="shared" si="12"/>
        <v>-41707.040000000015</v>
      </c>
      <c r="F109" s="107">
        <f t="shared" si="12"/>
        <v>0.65000000000145519</v>
      </c>
      <c r="G109" s="107">
        <f t="shared" si="12"/>
        <v>0</v>
      </c>
      <c r="H109" s="107">
        <f t="shared" si="12"/>
        <v>65682.162500000064</v>
      </c>
      <c r="I109" s="107">
        <f t="shared" si="12"/>
        <v>11769.83</v>
      </c>
      <c r="J109" s="107">
        <f t="shared" si="12"/>
        <v>0</v>
      </c>
      <c r="K109" s="108">
        <f t="shared" si="12"/>
        <v>4280</v>
      </c>
      <c r="L109" s="109">
        <f>M109/K109</f>
        <v>5.1285070093457943</v>
      </c>
      <c r="M109" s="107">
        <f>ROUND(SUM(M97:M108),2)</f>
        <v>21950.01</v>
      </c>
      <c r="N109" s="108">
        <f>SUM(N97:N108)</f>
        <v>11848</v>
      </c>
      <c r="O109" s="109">
        <f>P109/N109</f>
        <v>3.784470796758947</v>
      </c>
      <c r="P109" s="107">
        <f>ROUND(SUM(P97:P108),2)</f>
        <v>44838.41</v>
      </c>
      <c r="Q109" s="110">
        <f t="shared" ref="Q109:AN109" si="13">SUM(Q97:Q108)</f>
        <v>-519117.13</v>
      </c>
      <c r="R109" s="107">
        <f t="shared" si="13"/>
        <v>50229.299999999996</v>
      </c>
      <c r="S109" s="107">
        <f t="shared" si="13"/>
        <v>0</v>
      </c>
      <c r="T109" s="107">
        <f t="shared" si="13"/>
        <v>0</v>
      </c>
      <c r="U109" s="107">
        <f t="shared" si="13"/>
        <v>0</v>
      </c>
      <c r="V109" s="107">
        <f t="shared" si="13"/>
        <v>0</v>
      </c>
      <c r="W109" s="107">
        <f t="shared" si="13"/>
        <v>0</v>
      </c>
      <c r="X109" s="107">
        <f t="shared" si="13"/>
        <v>0</v>
      </c>
      <c r="Y109" s="107">
        <f t="shared" si="13"/>
        <v>0</v>
      </c>
      <c r="Z109" s="107">
        <f t="shared" si="13"/>
        <v>0</v>
      </c>
      <c r="AA109" s="107">
        <f t="shared" si="13"/>
        <v>0</v>
      </c>
      <c r="AB109" s="107">
        <f t="shared" si="13"/>
        <v>0</v>
      </c>
      <c r="AC109" s="107">
        <f t="shared" si="13"/>
        <v>0</v>
      </c>
      <c r="AD109" s="107">
        <f t="shared" si="13"/>
        <v>0</v>
      </c>
      <c r="AE109" s="107">
        <f t="shared" si="13"/>
        <v>0</v>
      </c>
      <c r="AF109" s="107">
        <f t="shared" si="13"/>
        <v>0</v>
      </c>
      <c r="AG109" s="107">
        <f t="shared" si="13"/>
        <v>0</v>
      </c>
      <c r="AH109" s="107">
        <f t="shared" si="13"/>
        <v>0</v>
      </c>
      <c r="AI109" s="107">
        <f t="shared" si="13"/>
        <v>0</v>
      </c>
      <c r="AJ109" s="107">
        <f t="shared" si="13"/>
        <v>0</v>
      </c>
      <c r="AK109" s="107">
        <f t="shared" si="13"/>
        <v>0</v>
      </c>
      <c r="AL109" s="107">
        <f t="shared" si="13"/>
        <v>0</v>
      </c>
      <c r="AM109" s="107">
        <f t="shared" si="13"/>
        <v>0</v>
      </c>
      <c r="AN109" s="107">
        <f t="shared" si="13"/>
        <v>0</v>
      </c>
      <c r="AO109" s="111">
        <f>D109+E109+F109+G109+H109+I109+J109+M109+P109+SUM(Q109:AN109)</f>
        <v>-355361.98045999988</v>
      </c>
      <c r="AP109" s="4"/>
      <c r="AQ109" s="5"/>
      <c r="AR109" s="5"/>
      <c r="AS109" s="2" t="s">
        <v>6</v>
      </c>
    </row>
    <row r="110" spans="1:46" s="2" customFormat="1" ht="17.25" customHeight="1" thickTop="1" x14ac:dyDescent="0.25">
      <c r="A110" s="23">
        <f>A98+1</f>
        <v>46061</v>
      </c>
      <c r="B110" s="201" t="s">
        <v>64</v>
      </c>
      <c r="C110" s="203"/>
      <c r="D110" s="63">
        <v>11474.35</v>
      </c>
      <c r="E110" s="64"/>
      <c r="F110" s="74"/>
      <c r="G110" s="74"/>
      <c r="H110" s="64"/>
      <c r="I110" s="64">
        <f>-D110</f>
        <v>-11474.35</v>
      </c>
      <c r="J110" s="66"/>
      <c r="K110" s="18"/>
      <c r="L110" s="18"/>
      <c r="M110" s="66"/>
      <c r="N110" s="18"/>
      <c r="O110" s="18"/>
      <c r="P110" s="66"/>
      <c r="Q110" s="46"/>
      <c r="R110" s="46"/>
      <c r="S110" s="45"/>
      <c r="T110" s="18"/>
      <c r="U110" s="18"/>
      <c r="V110" s="18"/>
      <c r="W110" s="18"/>
      <c r="X110" s="18"/>
      <c r="Y110" s="14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7"/>
      <c r="AO110" s="31"/>
      <c r="AQ110" s="10"/>
      <c r="AR110" s="27"/>
    </row>
    <row r="111" spans="1:46" s="2" customFormat="1" ht="17.25" customHeight="1" x14ac:dyDescent="0.25">
      <c r="A111" s="24"/>
      <c r="B111" s="201" t="s">
        <v>96</v>
      </c>
      <c r="C111" s="202"/>
      <c r="D111" s="63"/>
      <c r="E111" s="64"/>
      <c r="F111" s="64"/>
      <c r="G111" s="64"/>
      <c r="H111" s="64"/>
      <c r="I111" s="64">
        <f>-I109-I110</f>
        <v>-295.47999999999956</v>
      </c>
      <c r="J111" s="64"/>
      <c r="K111" s="16"/>
      <c r="L111" s="16"/>
      <c r="M111" s="64"/>
      <c r="N111" s="16"/>
      <c r="O111" s="16"/>
      <c r="P111" s="64"/>
      <c r="Q111" s="46"/>
      <c r="R111" s="40"/>
      <c r="S111" s="39"/>
      <c r="T111" s="16"/>
      <c r="U111" s="16"/>
      <c r="V111" s="16"/>
      <c r="W111" s="16"/>
      <c r="X111" s="16"/>
      <c r="Y111" s="19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22"/>
      <c r="AQ111" s="10"/>
      <c r="AR111" s="11"/>
    </row>
    <row r="112" spans="1:46" s="2" customFormat="1" ht="17.25" customHeight="1" x14ac:dyDescent="0.25">
      <c r="A112" s="29"/>
      <c r="B112" s="201" t="s">
        <v>327</v>
      </c>
      <c r="C112" s="202"/>
      <c r="D112" s="63">
        <f>10+29+40+50+50+12+60+20+100+50+70+40+30+30+30+20</f>
        <v>641</v>
      </c>
      <c r="E112" s="64"/>
      <c r="F112" s="64"/>
      <c r="G112" s="64"/>
      <c r="H112" s="64"/>
      <c r="I112" s="64">
        <f>-D112</f>
        <v>-641</v>
      </c>
      <c r="J112" s="64"/>
      <c r="K112" s="57"/>
      <c r="L112" s="88"/>
      <c r="M112" s="62"/>
      <c r="N112" s="57"/>
      <c r="O112" s="88"/>
      <c r="P112" s="62"/>
      <c r="Q112" s="47"/>
      <c r="R112" s="39"/>
      <c r="S112" s="39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22"/>
      <c r="AQ112" s="10"/>
      <c r="AR112" s="11"/>
    </row>
    <row r="113" spans="1:46" s="2" customFormat="1" ht="17.25" customHeight="1" x14ac:dyDescent="0.25">
      <c r="A113" s="29"/>
      <c r="B113" s="201" t="s">
        <v>328</v>
      </c>
      <c r="C113" s="202"/>
      <c r="D113" s="63">
        <f>-16*0.99</f>
        <v>-15.84</v>
      </c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47"/>
      <c r="R113" s="39"/>
      <c r="S113" s="39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22"/>
      <c r="AQ113" s="10"/>
      <c r="AR113" s="11"/>
    </row>
    <row r="114" spans="1:46" s="2" customFormat="1" ht="17.25" customHeight="1" thickBot="1" x14ac:dyDescent="0.25">
      <c r="A114" s="24"/>
      <c r="B114" s="216"/>
      <c r="C114" s="217"/>
      <c r="D114" s="83"/>
      <c r="E114" s="81"/>
      <c r="F114" s="81"/>
      <c r="G114" s="81"/>
      <c r="H114" s="81"/>
      <c r="I114" s="81"/>
      <c r="J114" s="81"/>
      <c r="K114" s="37"/>
      <c r="L114" s="93"/>
      <c r="M114" s="81"/>
      <c r="N114" s="37"/>
      <c r="O114" s="93"/>
      <c r="P114" s="81"/>
      <c r="Q114" s="40"/>
      <c r="R114" s="40"/>
      <c r="S114" s="39"/>
      <c r="T114" s="16"/>
      <c r="U114" s="16"/>
      <c r="V114" s="16"/>
      <c r="W114" s="16"/>
      <c r="X114" s="16"/>
      <c r="Y114" s="19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41"/>
      <c r="AQ114" s="10"/>
      <c r="AR114" s="11"/>
    </row>
    <row r="115" spans="1:46" s="4" customFormat="1" ht="17.25" customHeight="1" x14ac:dyDescent="0.25">
      <c r="A115" s="23"/>
      <c r="B115" s="210" t="s">
        <v>94</v>
      </c>
      <c r="C115" s="203"/>
      <c r="D115" s="66"/>
      <c r="E115" s="66"/>
      <c r="F115" s="117"/>
      <c r="G115" s="117"/>
      <c r="H115" s="66"/>
      <c r="I115" s="66"/>
      <c r="J115" s="66">
        <f>-M115</f>
        <v>5236</v>
      </c>
      <c r="K115" s="58">
        <v>-880</v>
      </c>
      <c r="L115" s="89">
        <v>5.95</v>
      </c>
      <c r="M115" s="73">
        <f>K115*L115</f>
        <v>-5236</v>
      </c>
      <c r="N115" s="58"/>
      <c r="O115" s="89"/>
      <c r="P115" s="73"/>
      <c r="Q115" s="39"/>
      <c r="R115" s="39"/>
      <c r="S115" s="8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35"/>
      <c r="AP115" s="12" t="e">
        <f>#REF!</f>
        <v>#REF!</v>
      </c>
    </row>
    <row r="116" spans="1:46" s="4" customFormat="1" ht="17.25" customHeight="1" x14ac:dyDescent="0.25">
      <c r="A116" s="23"/>
      <c r="B116" s="201" t="s">
        <v>95</v>
      </c>
      <c r="C116" s="202"/>
      <c r="D116" s="64"/>
      <c r="E116" s="64"/>
      <c r="F116" s="117"/>
      <c r="G116" s="117"/>
      <c r="H116" s="64"/>
      <c r="I116" s="64"/>
      <c r="J116" s="64">
        <f>-P116</f>
        <v>6377.04</v>
      </c>
      <c r="K116" s="57"/>
      <c r="L116" s="88"/>
      <c r="M116" s="62"/>
      <c r="N116" s="57">
        <v>-1563</v>
      </c>
      <c r="O116" s="88">
        <v>4.08</v>
      </c>
      <c r="P116" s="62">
        <f>N116*O116</f>
        <v>-6377.04</v>
      </c>
      <c r="Q116" s="39"/>
      <c r="R116" s="39"/>
      <c r="S116" s="8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35"/>
      <c r="AP116" s="12" t="e">
        <f>#REF!</f>
        <v>#REF!</v>
      </c>
    </row>
    <row r="117" spans="1:46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>
        <f>-J117-I117</f>
        <v>3320.9800000000014</v>
      </c>
      <c r="I117" s="64">
        <v>8292.06</v>
      </c>
      <c r="J117" s="64">
        <f>-SUM(J115:J116)</f>
        <v>-11613.04</v>
      </c>
      <c r="K117" s="57"/>
      <c r="L117" s="88"/>
      <c r="M117" s="62"/>
      <c r="N117" s="57"/>
      <c r="O117" s="88"/>
      <c r="P117" s="62"/>
      <c r="Q117" s="39"/>
      <c r="R117" s="39"/>
      <c r="S117" s="39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22"/>
      <c r="AO117" s="43"/>
      <c r="AP117" s="12" t="e">
        <f>#REF!</f>
        <v>#REF!</v>
      </c>
      <c r="AT117" s="2"/>
    </row>
    <row r="118" spans="1:46" s="4" customFormat="1" ht="17.25" customHeight="1" x14ac:dyDescent="0.25">
      <c r="A118" s="23"/>
      <c r="B118" s="201" t="s">
        <v>93</v>
      </c>
      <c r="C118" s="202"/>
      <c r="D118" s="64"/>
      <c r="E118" s="64"/>
      <c r="F118" s="64"/>
      <c r="G118" s="64"/>
      <c r="H118" s="64"/>
      <c r="I118" s="64"/>
      <c r="J118" s="64"/>
      <c r="K118" s="57">
        <v>76</v>
      </c>
      <c r="L118" s="88"/>
      <c r="M118" s="62">
        <f>(K121*L109)-M109-M115</f>
        <v>1112.6803644859829</v>
      </c>
      <c r="N118" s="57">
        <v>52</v>
      </c>
      <c r="O118" s="88"/>
      <c r="P118" s="62">
        <f>(N121*O109)-P109-P116</f>
        <v>658.70462609723381</v>
      </c>
      <c r="Q118" s="39"/>
      <c r="R118" s="39"/>
      <c r="S118" s="39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22"/>
      <c r="AO118" s="43">
        <f>A111</f>
        <v>0</v>
      </c>
      <c r="AP118" s="12" t="e">
        <f>#REF!</f>
        <v>#REF!</v>
      </c>
      <c r="AT118" s="2"/>
    </row>
    <row r="119" spans="1:46" s="2" customFormat="1" ht="17.25" customHeight="1" x14ac:dyDescent="0.2">
      <c r="A119" s="24"/>
      <c r="B119" s="201"/>
      <c r="C119" s="204"/>
      <c r="D119" s="63"/>
      <c r="E119" s="64"/>
      <c r="F119" s="64"/>
      <c r="G119" s="64"/>
      <c r="H119" s="64"/>
      <c r="I119" s="64"/>
      <c r="J119" s="64"/>
      <c r="K119" s="16"/>
      <c r="L119" s="16"/>
      <c r="M119" s="64"/>
      <c r="N119" s="16"/>
      <c r="O119" s="16"/>
      <c r="P119" s="64"/>
      <c r="Q119" s="46"/>
      <c r="R119" s="46"/>
      <c r="S119" s="39"/>
      <c r="T119" s="16"/>
      <c r="U119" s="16"/>
      <c r="V119" s="16"/>
      <c r="W119" s="16"/>
      <c r="X119" s="16"/>
      <c r="Y119" s="19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43">
        <f>A110</f>
        <v>46061</v>
      </c>
      <c r="AQ119" s="10"/>
      <c r="AR119" s="11"/>
    </row>
    <row r="120" spans="1:46" s="2" customFormat="1" ht="17.25" customHeight="1" thickBot="1" x14ac:dyDescent="0.3">
      <c r="A120" s="56"/>
      <c r="B120" s="101" t="s">
        <v>102</v>
      </c>
      <c r="C120" s="102">
        <f>D121+E121+F121+G121+H121+I121+J121+M121+P121</f>
        <v>114985.90954000011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48"/>
      <c r="R120" s="48"/>
      <c r="S120" s="51"/>
      <c r="T120" s="28"/>
      <c r="U120" s="28"/>
      <c r="V120" s="28"/>
      <c r="W120" s="28"/>
      <c r="X120" s="28"/>
      <c r="Y120" s="36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42">
        <f>SUM($Q109:AN120)</f>
        <v>-468887.83</v>
      </c>
      <c r="AQ120" s="10"/>
      <c r="AR120" s="11"/>
      <c r="AS120" s="2" t="s">
        <v>5</v>
      </c>
    </row>
    <row r="121" spans="1:46" s="2" customFormat="1" ht="17.25" customHeight="1" thickTop="1" thickBot="1" x14ac:dyDescent="0.3">
      <c r="A121" s="103"/>
      <c r="B121" s="104" t="s">
        <v>103</v>
      </c>
      <c r="C121" s="105">
        <f>AO121</f>
        <v>-353901.92045999994</v>
      </c>
      <c r="D121" s="106">
        <f t="shared" ref="D121:K121" si="14">SUM(D109:D120)</f>
        <v>23091.337040000053</v>
      </c>
      <c r="E121" s="107">
        <f t="shared" si="14"/>
        <v>-41707.040000000015</v>
      </c>
      <c r="F121" s="107">
        <f t="shared" si="14"/>
        <v>0.65000000000145519</v>
      </c>
      <c r="G121" s="107">
        <f t="shared" si="14"/>
        <v>0</v>
      </c>
      <c r="H121" s="107">
        <f t="shared" si="14"/>
        <v>69003.14250000006</v>
      </c>
      <c r="I121" s="107">
        <f t="shared" si="14"/>
        <v>7651.0599999999995</v>
      </c>
      <c r="J121" s="107">
        <f t="shared" si="14"/>
        <v>0</v>
      </c>
      <c r="K121" s="108">
        <f t="shared" si="14"/>
        <v>3476</v>
      </c>
      <c r="L121" s="109">
        <f>M121/K121</f>
        <v>5.1285069044879164</v>
      </c>
      <c r="M121" s="107">
        <f>ROUND(SUM(M109:M120),2)</f>
        <v>17826.689999999999</v>
      </c>
      <c r="N121" s="108">
        <f>SUM(N109:N120)</f>
        <v>10337</v>
      </c>
      <c r="O121" s="109">
        <f>P121/N121</f>
        <v>3.7844703492309182</v>
      </c>
      <c r="P121" s="107">
        <f>ROUND(SUM(P109:P120),2)</f>
        <v>39120.07</v>
      </c>
      <c r="Q121" s="110">
        <f t="shared" ref="Q121:AN121" si="15">SUM(Q109:Q120)</f>
        <v>-519117.13</v>
      </c>
      <c r="R121" s="107">
        <f t="shared" si="15"/>
        <v>50229.299999999996</v>
      </c>
      <c r="S121" s="107">
        <f t="shared" si="15"/>
        <v>0</v>
      </c>
      <c r="T121" s="107">
        <f t="shared" si="15"/>
        <v>0</v>
      </c>
      <c r="U121" s="107">
        <f t="shared" si="15"/>
        <v>0</v>
      </c>
      <c r="V121" s="107">
        <f t="shared" si="15"/>
        <v>0</v>
      </c>
      <c r="W121" s="107">
        <f t="shared" si="15"/>
        <v>0</v>
      </c>
      <c r="X121" s="107">
        <f t="shared" si="15"/>
        <v>0</v>
      </c>
      <c r="Y121" s="107">
        <f t="shared" si="15"/>
        <v>0</v>
      </c>
      <c r="Z121" s="107">
        <f t="shared" si="15"/>
        <v>0</v>
      </c>
      <c r="AA121" s="107">
        <f t="shared" si="15"/>
        <v>0</v>
      </c>
      <c r="AB121" s="107">
        <f t="shared" si="15"/>
        <v>0</v>
      </c>
      <c r="AC121" s="107">
        <f t="shared" si="15"/>
        <v>0</v>
      </c>
      <c r="AD121" s="107">
        <f t="shared" si="15"/>
        <v>0</v>
      </c>
      <c r="AE121" s="107">
        <f t="shared" si="15"/>
        <v>0</v>
      </c>
      <c r="AF121" s="107">
        <f t="shared" si="15"/>
        <v>0</v>
      </c>
      <c r="AG121" s="107">
        <f t="shared" si="15"/>
        <v>0</v>
      </c>
      <c r="AH121" s="107">
        <f t="shared" si="15"/>
        <v>0</v>
      </c>
      <c r="AI121" s="107">
        <f t="shared" si="15"/>
        <v>0</v>
      </c>
      <c r="AJ121" s="107">
        <f t="shared" si="15"/>
        <v>0</v>
      </c>
      <c r="AK121" s="107">
        <f t="shared" si="15"/>
        <v>0</v>
      </c>
      <c r="AL121" s="107">
        <f t="shared" si="15"/>
        <v>0</v>
      </c>
      <c r="AM121" s="107">
        <f t="shared" si="15"/>
        <v>0</v>
      </c>
      <c r="AN121" s="107">
        <f t="shared" si="15"/>
        <v>0</v>
      </c>
      <c r="AO121" s="111">
        <f>D121+E121+F121+G121+H121+I121+J121+M121+P121+SUM(Q121:AN121)</f>
        <v>-353901.92045999994</v>
      </c>
      <c r="AP121" s="4"/>
      <c r="AQ121" s="5"/>
      <c r="AR121" s="5"/>
      <c r="AS121" s="2" t="s">
        <v>6</v>
      </c>
    </row>
    <row r="122" spans="1:46" s="2" customFormat="1" ht="17.25" customHeight="1" thickTop="1" x14ac:dyDescent="0.25">
      <c r="A122" s="23">
        <f>A110+1</f>
        <v>46062</v>
      </c>
      <c r="B122" s="210" t="s">
        <v>64</v>
      </c>
      <c r="C122" s="203"/>
      <c r="D122" s="63">
        <v>7475.79</v>
      </c>
      <c r="E122" s="66"/>
      <c r="F122" s="66"/>
      <c r="G122" s="66"/>
      <c r="H122" s="66"/>
      <c r="I122" s="66">
        <f>-D122</f>
        <v>-7475.79</v>
      </c>
      <c r="J122" s="66"/>
      <c r="K122" s="18"/>
      <c r="L122" s="18"/>
      <c r="M122" s="66"/>
      <c r="N122" s="18"/>
      <c r="O122" s="18"/>
      <c r="P122" s="66"/>
      <c r="Q122" s="46"/>
      <c r="R122" s="46"/>
      <c r="S122" s="45"/>
      <c r="T122" s="18"/>
      <c r="U122" s="18"/>
      <c r="V122" s="18"/>
      <c r="W122" s="18"/>
      <c r="X122" s="18"/>
      <c r="Y122" s="14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7"/>
      <c r="AO122" s="31"/>
      <c r="AQ122" s="10"/>
      <c r="AR122" s="27"/>
    </row>
    <row r="123" spans="1:46" s="4" customFormat="1" ht="17.25" customHeight="1" x14ac:dyDescent="0.25">
      <c r="A123" s="23"/>
      <c r="B123" s="201" t="s">
        <v>96</v>
      </c>
      <c r="C123" s="202"/>
      <c r="D123" s="63"/>
      <c r="E123" s="64"/>
      <c r="F123" s="64"/>
      <c r="G123" s="64"/>
      <c r="H123" s="64"/>
      <c r="I123" s="64">
        <f>-I121-I122</f>
        <v>-175.26999999999953</v>
      </c>
      <c r="J123" s="64"/>
      <c r="K123" s="16"/>
      <c r="L123" s="92"/>
      <c r="M123" s="64"/>
      <c r="N123" s="16"/>
      <c r="O123" s="92"/>
      <c r="P123" s="64"/>
      <c r="Q123" s="40"/>
      <c r="R123" s="46"/>
      <c r="S123" s="39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22"/>
      <c r="AP123" s="30"/>
    </row>
    <row r="124" spans="1:46" s="2" customFormat="1" ht="17.25" customHeight="1" x14ac:dyDescent="0.25">
      <c r="A124" s="29"/>
      <c r="B124" s="201" t="s">
        <v>327</v>
      </c>
      <c r="C124" s="202"/>
      <c r="D124" s="63">
        <f>14+30+20+60+121+245+15+50+80+20+30+30+145+135+6</f>
        <v>1001</v>
      </c>
      <c r="E124" s="64"/>
      <c r="F124" s="64"/>
      <c r="G124" s="64"/>
      <c r="H124" s="64"/>
      <c r="I124" s="64">
        <f>-D124</f>
        <v>-1001</v>
      </c>
      <c r="J124" s="64"/>
      <c r="K124" s="57"/>
      <c r="L124" s="88"/>
      <c r="M124" s="62"/>
      <c r="N124" s="57"/>
      <c r="O124" s="88"/>
      <c r="P124" s="62"/>
      <c r="Q124" s="47"/>
      <c r="R124" s="39"/>
      <c r="S124" s="39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22"/>
      <c r="AQ124" s="10"/>
      <c r="AR124" s="11"/>
    </row>
    <row r="125" spans="1:46" s="2" customFormat="1" ht="17.25" customHeight="1" x14ac:dyDescent="0.25">
      <c r="A125" s="29"/>
      <c r="B125" s="201" t="s">
        <v>328</v>
      </c>
      <c r="C125" s="202"/>
      <c r="D125" s="63">
        <f>-12*0.99-1.96-1.16-1.08</f>
        <v>-16.079999999999998</v>
      </c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47"/>
      <c r="R125" s="39"/>
      <c r="S125" s="39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22"/>
      <c r="AQ125" s="10"/>
      <c r="AR125" s="11"/>
    </row>
    <row r="126" spans="1:46" s="4" customFormat="1" ht="17.25" customHeight="1" x14ac:dyDescent="0.25">
      <c r="A126" s="23"/>
      <c r="B126" s="201" t="s">
        <v>13</v>
      </c>
      <c r="C126" s="203"/>
      <c r="D126" s="63"/>
      <c r="E126" s="64">
        <f>15+50+30+100+30+68+100+40+444+1404+100+50+20+150+83+40+32+51+330+1207+75+50+50+80+50+10</f>
        <v>4659</v>
      </c>
      <c r="F126" s="64"/>
      <c r="G126" s="64"/>
      <c r="H126" s="64">
        <f>-E126</f>
        <v>-4659</v>
      </c>
      <c r="I126" s="66"/>
      <c r="J126" s="64"/>
      <c r="K126" s="16"/>
      <c r="L126" s="92"/>
      <c r="M126" s="64"/>
      <c r="N126" s="16"/>
      <c r="O126" s="92"/>
      <c r="P126" s="64"/>
      <c r="Q126" s="40"/>
      <c r="R126" s="46">
        <f>-D126</f>
        <v>0</v>
      </c>
      <c r="S126" s="39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22"/>
      <c r="AP126" s="30"/>
    </row>
    <row r="127" spans="1:46" s="2" customFormat="1" ht="17.25" customHeight="1" x14ac:dyDescent="0.25">
      <c r="A127" s="24"/>
      <c r="B127" s="205" t="s">
        <v>445</v>
      </c>
      <c r="C127" s="206"/>
      <c r="D127" s="64"/>
      <c r="E127" s="64"/>
      <c r="F127" s="64"/>
      <c r="G127" s="64"/>
      <c r="H127" s="64"/>
      <c r="I127" s="64"/>
      <c r="J127" s="64"/>
      <c r="K127" s="57"/>
      <c r="L127" s="88"/>
      <c r="M127" s="62"/>
      <c r="N127" s="57">
        <v>18000</v>
      </c>
      <c r="O127" s="88">
        <v>3.7683333000000001</v>
      </c>
      <c r="P127" s="62">
        <f>N127*O127</f>
        <v>67829.999400000001</v>
      </c>
      <c r="Q127" s="39">
        <f>-P127</f>
        <v>-67829.999400000001</v>
      </c>
      <c r="R127" s="39"/>
      <c r="S127" s="39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22"/>
      <c r="AQ127" s="10"/>
      <c r="AR127" s="11"/>
    </row>
    <row r="128" spans="1:46" s="2" customFormat="1" ht="17.25" customHeight="1" thickBot="1" x14ac:dyDescent="0.25">
      <c r="A128" s="24"/>
      <c r="B128" s="216"/>
      <c r="C128" s="217"/>
      <c r="D128" s="83"/>
      <c r="E128" s="81"/>
      <c r="F128" s="81"/>
      <c r="G128" s="81"/>
      <c r="H128" s="81"/>
      <c r="I128" s="81"/>
      <c r="J128" s="81"/>
      <c r="K128" s="37"/>
      <c r="L128" s="93"/>
      <c r="M128" s="81"/>
      <c r="N128" s="37"/>
      <c r="O128" s="93"/>
      <c r="P128" s="81"/>
      <c r="Q128" s="40"/>
      <c r="R128" s="40"/>
      <c r="S128" s="39"/>
      <c r="T128" s="16"/>
      <c r="U128" s="16"/>
      <c r="V128" s="16"/>
      <c r="W128" s="16"/>
      <c r="X128" s="16"/>
      <c r="Y128" s="19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41"/>
      <c r="AQ128" s="10"/>
      <c r="AR128" s="11"/>
    </row>
    <row r="129" spans="1:46" s="4" customFormat="1" ht="17.25" customHeight="1" x14ac:dyDescent="0.25">
      <c r="A129" s="23"/>
      <c r="B129" s="210" t="s">
        <v>94</v>
      </c>
      <c r="C129" s="203"/>
      <c r="D129" s="66"/>
      <c r="E129" s="66"/>
      <c r="F129" s="117"/>
      <c r="G129" s="117"/>
      <c r="H129" s="66"/>
      <c r="I129" s="66"/>
      <c r="J129" s="66">
        <f>-M129</f>
        <v>8246.7000000000007</v>
      </c>
      <c r="K129" s="58">
        <v>-1386</v>
      </c>
      <c r="L129" s="89">
        <v>5.95</v>
      </c>
      <c r="M129" s="73">
        <f>K129*L129</f>
        <v>-8246.7000000000007</v>
      </c>
      <c r="N129" s="58"/>
      <c r="O129" s="89"/>
      <c r="P129" s="73"/>
      <c r="Q129" s="39"/>
      <c r="R129" s="39"/>
      <c r="S129" s="8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35"/>
      <c r="AP129" s="12" t="e">
        <f>#REF!</f>
        <v>#REF!</v>
      </c>
    </row>
    <row r="130" spans="1:46" s="4" customFormat="1" ht="17.25" customHeight="1" x14ac:dyDescent="0.25">
      <c r="A130" s="23"/>
      <c r="B130" s="201" t="s">
        <v>95</v>
      </c>
      <c r="C130" s="202"/>
      <c r="D130" s="64"/>
      <c r="E130" s="64"/>
      <c r="F130" s="117"/>
      <c r="G130" s="117"/>
      <c r="H130" s="64"/>
      <c r="I130" s="64"/>
      <c r="J130" s="64">
        <f>-P130</f>
        <v>7698.96</v>
      </c>
      <c r="K130" s="57"/>
      <c r="L130" s="88"/>
      <c r="M130" s="62"/>
      <c r="N130" s="57">
        <v>-1887</v>
      </c>
      <c r="O130" s="88">
        <v>4.08</v>
      </c>
      <c r="P130" s="62">
        <f>N130*O130</f>
        <v>-7698.96</v>
      </c>
      <c r="Q130" s="39"/>
      <c r="R130" s="39"/>
      <c r="S130" s="8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35"/>
      <c r="AP130" s="12" t="e">
        <f>#REF!</f>
        <v>#REF!</v>
      </c>
    </row>
    <row r="131" spans="1:46" s="4" customFormat="1" ht="17.25" customHeight="1" x14ac:dyDescent="0.25">
      <c r="A131" s="23"/>
      <c r="B131" s="201" t="s">
        <v>97</v>
      </c>
      <c r="C131" s="203"/>
      <c r="D131" s="64"/>
      <c r="E131" s="64"/>
      <c r="F131" s="64"/>
      <c r="G131" s="64"/>
      <c r="H131" s="64">
        <f>-J131-I131</f>
        <v>4761.2999999999993</v>
      </c>
      <c r="I131" s="64">
        <v>11184.36</v>
      </c>
      <c r="J131" s="64">
        <f>-SUM(J129:J130)</f>
        <v>-15945.66</v>
      </c>
      <c r="K131" s="57"/>
      <c r="L131" s="88"/>
      <c r="M131" s="62"/>
      <c r="N131" s="57"/>
      <c r="O131" s="88"/>
      <c r="P131" s="62"/>
      <c r="Q131" s="39"/>
      <c r="R131" s="39"/>
      <c r="S131" s="39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22"/>
      <c r="AO131" s="35"/>
      <c r="AP131" s="12" t="e">
        <f>#REF!</f>
        <v>#REF!</v>
      </c>
      <c r="AT131" s="2"/>
    </row>
    <row r="132" spans="1:46" s="4" customFormat="1" ht="17.25" customHeight="1" x14ac:dyDescent="0.25">
      <c r="A132" s="23"/>
      <c r="B132" s="201" t="s">
        <v>93</v>
      </c>
      <c r="C132" s="202"/>
      <c r="D132" s="64"/>
      <c r="E132" s="64"/>
      <c r="F132" s="64"/>
      <c r="G132" s="64"/>
      <c r="H132" s="64"/>
      <c r="I132" s="64"/>
      <c r="J132" s="64"/>
      <c r="K132" s="57">
        <v>-3</v>
      </c>
      <c r="L132" s="88"/>
      <c r="M132" s="62">
        <f>(K135*((M121)/(K121)))-M121-M129</f>
        <v>1123.2039096662829</v>
      </c>
      <c r="N132" s="57">
        <v>545</v>
      </c>
      <c r="O132" s="88"/>
      <c r="P132" s="62">
        <f>(N135*((P121+P127)/(N121+N127)))-P121-P130-P127</f>
        <v>2633.956889762514</v>
      </c>
      <c r="Q132" s="39"/>
      <c r="R132" s="39"/>
      <c r="S132" s="39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22"/>
      <c r="AO132" s="43">
        <f>A115</f>
        <v>0</v>
      </c>
      <c r="AP132" s="12" t="e">
        <f>#REF!</f>
        <v>#REF!</v>
      </c>
      <c r="AT132" s="2"/>
    </row>
    <row r="133" spans="1:46" s="2" customFormat="1" ht="17.25" customHeight="1" x14ac:dyDescent="0.2">
      <c r="A133" s="24"/>
      <c r="B133" s="201"/>
      <c r="C133" s="204"/>
      <c r="D133" s="63"/>
      <c r="E133" s="64"/>
      <c r="F133" s="64"/>
      <c r="G133" s="64"/>
      <c r="H133" s="64"/>
      <c r="I133" s="64"/>
      <c r="J133" s="64"/>
      <c r="K133" s="16"/>
      <c r="L133" s="16"/>
      <c r="M133" s="64"/>
      <c r="N133" s="16"/>
      <c r="O133" s="16"/>
      <c r="P133" s="64"/>
      <c r="Q133" s="46"/>
      <c r="R133" s="46"/>
      <c r="S133" s="39"/>
      <c r="T133" s="16"/>
      <c r="U133" s="16"/>
      <c r="V133" s="16"/>
      <c r="W133" s="16"/>
      <c r="X133" s="16"/>
      <c r="Y133" s="19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43">
        <f>A122</f>
        <v>46062</v>
      </c>
      <c r="AQ133" s="10"/>
      <c r="AR133" s="11"/>
    </row>
    <row r="134" spans="1:46" s="2" customFormat="1" ht="17.25" customHeight="1" thickBot="1" x14ac:dyDescent="0.3">
      <c r="A134" s="56"/>
      <c r="B134" s="101" t="s">
        <v>102</v>
      </c>
      <c r="C134" s="102">
        <f>D135+E135+F135+G135+H135+I135+J135+M135+P135</f>
        <v>186381.71954000011</v>
      </c>
      <c r="D134" s="84"/>
      <c r="E134" s="85"/>
      <c r="F134" s="85"/>
      <c r="G134" s="85"/>
      <c r="H134" s="85"/>
      <c r="I134" s="85"/>
      <c r="J134" s="85"/>
      <c r="K134" s="28"/>
      <c r="L134" s="28"/>
      <c r="M134" s="85"/>
      <c r="N134" s="28"/>
      <c r="O134" s="28"/>
      <c r="P134" s="85"/>
      <c r="Q134" s="48"/>
      <c r="R134" s="48"/>
      <c r="S134" s="51"/>
      <c r="T134" s="28"/>
      <c r="U134" s="28"/>
      <c r="V134" s="28"/>
      <c r="W134" s="28"/>
      <c r="X134" s="28"/>
      <c r="Y134" s="36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42">
        <f>SUM($Q121:AN134)</f>
        <v>-536717.82940000005</v>
      </c>
      <c r="AQ134" s="10"/>
      <c r="AR134" s="11"/>
      <c r="AS134" s="2" t="s">
        <v>5</v>
      </c>
    </row>
    <row r="135" spans="1:46" s="2" customFormat="1" ht="17.25" customHeight="1" thickTop="1" thickBot="1" x14ac:dyDescent="0.3">
      <c r="A135" s="103"/>
      <c r="B135" s="104" t="s">
        <v>103</v>
      </c>
      <c r="C135" s="105">
        <f>AO135</f>
        <v>-350336.10985999985</v>
      </c>
      <c r="D135" s="106">
        <f t="shared" ref="D135:K135" si="16">SUM(D121:D134)</f>
        <v>31552.047040000052</v>
      </c>
      <c r="E135" s="107">
        <f t="shared" si="16"/>
        <v>-37048.040000000015</v>
      </c>
      <c r="F135" s="107">
        <f t="shared" si="16"/>
        <v>0.65000000000145519</v>
      </c>
      <c r="G135" s="107">
        <f t="shared" si="16"/>
        <v>0</v>
      </c>
      <c r="H135" s="107">
        <f t="shared" si="16"/>
        <v>69105.442500000063</v>
      </c>
      <c r="I135" s="107">
        <f t="shared" si="16"/>
        <v>10183.36</v>
      </c>
      <c r="J135" s="107">
        <f t="shared" si="16"/>
        <v>0</v>
      </c>
      <c r="K135" s="108">
        <f t="shared" si="16"/>
        <v>2087</v>
      </c>
      <c r="L135" s="109">
        <f>M135/K135</f>
        <v>5.1285050311451847</v>
      </c>
      <c r="M135" s="107">
        <f>ROUND(SUM(M121:M134),2)</f>
        <v>10703.19</v>
      </c>
      <c r="N135" s="108">
        <f>SUM(N121:N134)</f>
        <v>26995</v>
      </c>
      <c r="O135" s="109">
        <f>P135/N135</f>
        <v>3.7742200407482871</v>
      </c>
      <c r="P135" s="107">
        <f>ROUND(SUM(P121:P134),2)</f>
        <v>101885.07</v>
      </c>
      <c r="Q135" s="110">
        <f t="shared" ref="Q135:AN135" si="17">SUM(Q121:Q134)</f>
        <v>-586947.12939999998</v>
      </c>
      <c r="R135" s="107">
        <f t="shared" si="17"/>
        <v>50229.299999999996</v>
      </c>
      <c r="S135" s="107">
        <f t="shared" si="17"/>
        <v>0</v>
      </c>
      <c r="T135" s="107">
        <f t="shared" si="17"/>
        <v>0</v>
      </c>
      <c r="U135" s="107">
        <f t="shared" si="17"/>
        <v>0</v>
      </c>
      <c r="V135" s="107">
        <f t="shared" si="17"/>
        <v>0</v>
      </c>
      <c r="W135" s="107">
        <f t="shared" si="17"/>
        <v>0</v>
      </c>
      <c r="X135" s="107">
        <f t="shared" si="17"/>
        <v>0</v>
      </c>
      <c r="Y135" s="107">
        <f t="shared" si="17"/>
        <v>0</v>
      </c>
      <c r="Z135" s="107">
        <f t="shared" si="17"/>
        <v>0</v>
      </c>
      <c r="AA135" s="107">
        <f t="shared" si="17"/>
        <v>0</v>
      </c>
      <c r="AB135" s="107">
        <f t="shared" si="17"/>
        <v>0</v>
      </c>
      <c r="AC135" s="107">
        <f t="shared" si="17"/>
        <v>0</v>
      </c>
      <c r="AD135" s="107">
        <f t="shared" si="17"/>
        <v>0</v>
      </c>
      <c r="AE135" s="107">
        <f t="shared" si="17"/>
        <v>0</v>
      </c>
      <c r="AF135" s="107">
        <f t="shared" si="17"/>
        <v>0</v>
      </c>
      <c r="AG135" s="107">
        <f t="shared" si="17"/>
        <v>0</v>
      </c>
      <c r="AH135" s="107">
        <f t="shared" si="17"/>
        <v>0</v>
      </c>
      <c r="AI135" s="107">
        <f t="shared" si="17"/>
        <v>0</v>
      </c>
      <c r="AJ135" s="107">
        <f t="shared" si="17"/>
        <v>0</v>
      </c>
      <c r="AK135" s="107">
        <f t="shared" si="17"/>
        <v>0</v>
      </c>
      <c r="AL135" s="107">
        <f t="shared" si="17"/>
        <v>0</v>
      </c>
      <c r="AM135" s="107">
        <f t="shared" si="17"/>
        <v>0</v>
      </c>
      <c r="AN135" s="107">
        <f t="shared" si="17"/>
        <v>0</v>
      </c>
      <c r="AO135" s="111">
        <f>D135+E135+F135+G135+H135+I135+J135+M135+P135+SUM(Q135:AN135)</f>
        <v>-350336.10985999985</v>
      </c>
      <c r="AP135" s="4"/>
      <c r="AQ135" s="5"/>
      <c r="AR135" s="5"/>
      <c r="AS135" s="2" t="s">
        <v>6</v>
      </c>
    </row>
    <row r="136" spans="1:46" s="2" customFormat="1" ht="17.25" customHeight="1" thickTop="1" x14ac:dyDescent="0.25">
      <c r="A136" s="23">
        <f>A122+1</f>
        <v>46063</v>
      </c>
      <c r="B136" s="210" t="s">
        <v>64</v>
      </c>
      <c r="C136" s="203"/>
      <c r="D136" s="63">
        <v>9961.7000000000007</v>
      </c>
      <c r="E136" s="66"/>
      <c r="F136" s="66"/>
      <c r="G136" s="66"/>
      <c r="H136" s="66"/>
      <c r="I136" s="66">
        <f>-D136</f>
        <v>-9961.7000000000007</v>
      </c>
      <c r="J136" s="66"/>
      <c r="K136" s="18"/>
      <c r="L136" s="18"/>
      <c r="M136" s="66"/>
      <c r="N136" s="18"/>
      <c r="O136" s="18"/>
      <c r="P136" s="66"/>
      <c r="Q136" s="46"/>
      <c r="R136" s="46"/>
      <c r="S136" s="45"/>
      <c r="T136" s="18"/>
      <c r="U136" s="18"/>
      <c r="V136" s="18"/>
      <c r="W136" s="18"/>
      <c r="X136" s="18"/>
      <c r="Y136" s="14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31"/>
      <c r="AQ136" s="10"/>
      <c r="AR136" s="27"/>
    </row>
    <row r="137" spans="1:46" s="4" customFormat="1" ht="17.25" customHeight="1" x14ac:dyDescent="0.25">
      <c r="A137" s="23"/>
      <c r="B137" s="201" t="s">
        <v>96</v>
      </c>
      <c r="C137" s="202"/>
      <c r="D137" s="63"/>
      <c r="E137" s="64"/>
      <c r="F137" s="64"/>
      <c r="G137" s="64"/>
      <c r="H137" s="64"/>
      <c r="I137" s="64">
        <f>-I135-I136</f>
        <v>-221.65999999999985</v>
      </c>
      <c r="J137" s="64"/>
      <c r="K137" s="16"/>
      <c r="L137" s="92"/>
      <c r="M137" s="64"/>
      <c r="N137" s="16"/>
      <c r="O137" s="92"/>
      <c r="P137" s="64"/>
      <c r="Q137" s="40"/>
      <c r="R137" s="46"/>
      <c r="S137" s="39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22"/>
      <c r="AP137" s="30"/>
    </row>
    <row r="138" spans="1:46" s="2" customFormat="1" ht="17.25" customHeight="1" x14ac:dyDescent="0.25">
      <c r="A138" s="29"/>
      <c r="B138" s="201" t="s">
        <v>327</v>
      </c>
      <c r="C138" s="202"/>
      <c r="D138" s="63">
        <f>279.98+25+28+100+50+50+30.8+30+10+20</f>
        <v>623.78</v>
      </c>
      <c r="E138" s="64"/>
      <c r="F138" s="64"/>
      <c r="G138" s="64"/>
      <c r="H138" s="64"/>
      <c r="I138" s="64">
        <f>-D138</f>
        <v>-623.78</v>
      </c>
      <c r="J138" s="64"/>
      <c r="K138" s="57"/>
      <c r="L138" s="88"/>
      <c r="M138" s="62"/>
      <c r="N138" s="57"/>
      <c r="O138" s="88"/>
      <c r="P138" s="62"/>
      <c r="Q138" s="47"/>
      <c r="R138" s="39"/>
      <c r="S138" s="39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22"/>
      <c r="AQ138" s="10"/>
      <c r="AR138" s="11"/>
    </row>
    <row r="139" spans="1:46" s="2" customFormat="1" ht="17.25" customHeight="1" x14ac:dyDescent="0.25">
      <c r="A139" s="29"/>
      <c r="B139" s="201" t="s">
        <v>328</v>
      </c>
      <c r="C139" s="202"/>
      <c r="D139" s="63">
        <f>-9*0.99-2.24</f>
        <v>-11.15</v>
      </c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47"/>
      <c r="R139" s="39"/>
      <c r="S139" s="39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22"/>
      <c r="AQ139" s="10"/>
      <c r="AR139" s="11"/>
    </row>
    <row r="140" spans="1:46" s="4" customFormat="1" ht="17.25" customHeight="1" x14ac:dyDescent="0.25">
      <c r="A140" s="23"/>
      <c r="B140" s="201" t="s">
        <v>13</v>
      </c>
      <c r="C140" s="203"/>
      <c r="D140" s="63"/>
      <c r="E140" s="64">
        <f>100+53.5+60+128+20+1460+1956+1657+50+50+40+900</f>
        <v>6474.5</v>
      </c>
      <c r="F140" s="64"/>
      <c r="G140" s="64"/>
      <c r="H140" s="64">
        <f>-E140</f>
        <v>-6474.5</v>
      </c>
      <c r="I140" s="66"/>
      <c r="J140" s="64"/>
      <c r="K140" s="16"/>
      <c r="L140" s="92"/>
      <c r="M140" s="64"/>
      <c r="N140" s="16"/>
      <c r="O140" s="92"/>
      <c r="P140" s="64"/>
      <c r="Q140" s="40"/>
      <c r="R140" s="46">
        <f>-D140</f>
        <v>0</v>
      </c>
      <c r="S140" s="39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22"/>
      <c r="AP140" s="30"/>
    </row>
    <row r="141" spans="1:46" s="2" customFormat="1" ht="17.25" customHeight="1" x14ac:dyDescent="0.25">
      <c r="A141" s="24"/>
      <c r="B141" s="201" t="s">
        <v>374</v>
      </c>
      <c r="C141" s="204"/>
      <c r="D141" s="63">
        <f>-E141</f>
        <v>9900</v>
      </c>
      <c r="E141" s="64">
        <v>-9900</v>
      </c>
      <c r="F141" s="74"/>
      <c r="G141" s="74"/>
      <c r="H141" s="64"/>
      <c r="I141" s="64"/>
      <c r="J141" s="64"/>
      <c r="K141" s="16"/>
      <c r="L141" s="16"/>
      <c r="M141" s="64"/>
      <c r="N141" s="16"/>
      <c r="O141" s="16"/>
      <c r="P141" s="64"/>
      <c r="Q141" s="46"/>
      <c r="R141" s="39"/>
      <c r="S141" s="40"/>
      <c r="T141" s="16"/>
      <c r="U141" s="16"/>
      <c r="V141" s="16"/>
      <c r="W141" s="16"/>
      <c r="X141" s="16"/>
      <c r="Y141" s="19"/>
      <c r="Z141" s="16"/>
      <c r="AA141" s="16"/>
      <c r="AB141" s="16"/>
      <c r="AC141" s="16"/>
      <c r="AD141" s="16"/>
      <c r="AE141" s="16"/>
      <c r="AF141" s="16"/>
      <c r="AG141" s="15"/>
      <c r="AH141" s="15"/>
      <c r="AI141" s="15"/>
      <c r="AJ141" s="15"/>
      <c r="AK141" s="15"/>
      <c r="AL141" s="15"/>
      <c r="AM141" s="15"/>
      <c r="AN141" s="16"/>
      <c r="AO141" s="22"/>
      <c r="AQ141" s="10"/>
      <c r="AR141" s="11"/>
    </row>
    <row r="142" spans="1:46" s="2" customFormat="1" ht="17.25" customHeight="1" x14ac:dyDescent="0.25">
      <c r="A142" s="29"/>
      <c r="B142" s="201" t="s">
        <v>309</v>
      </c>
      <c r="C142" s="202"/>
      <c r="D142" s="63">
        <v>-79.2</v>
      </c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47"/>
      <c r="R142" s="39"/>
      <c r="S142" s="39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22"/>
      <c r="AQ142" s="10"/>
      <c r="AR142" s="11"/>
    </row>
    <row r="143" spans="1:46" s="2" customFormat="1" ht="17.25" customHeight="1" x14ac:dyDescent="0.2">
      <c r="A143" s="23"/>
      <c r="B143" s="201" t="s">
        <v>20</v>
      </c>
      <c r="C143" s="203"/>
      <c r="D143" s="63"/>
      <c r="E143" s="64">
        <v>-2615.4899999999998</v>
      </c>
      <c r="F143" s="74"/>
      <c r="G143" s="74"/>
      <c r="H143" s="64"/>
      <c r="I143" s="64"/>
      <c r="J143" s="64"/>
      <c r="K143" s="16"/>
      <c r="L143" s="16"/>
      <c r="M143" s="64"/>
      <c r="N143" s="16"/>
      <c r="O143" s="16"/>
      <c r="P143" s="64"/>
      <c r="Q143" s="46"/>
      <c r="R143" s="39"/>
      <c r="S143" s="40"/>
      <c r="T143" s="16"/>
      <c r="U143" s="16"/>
      <c r="V143" s="16"/>
      <c r="W143" s="16"/>
      <c r="X143" s="16"/>
      <c r="Y143" s="19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35"/>
      <c r="AQ143" s="10"/>
      <c r="AR143" s="27"/>
    </row>
    <row r="144" spans="1:46" s="2" customFormat="1" ht="17.25" customHeight="1" x14ac:dyDescent="0.2">
      <c r="A144" s="23"/>
      <c r="B144" s="201" t="s">
        <v>183</v>
      </c>
      <c r="C144" s="203"/>
      <c r="D144" s="63"/>
      <c r="E144" s="64">
        <v>-188.82</v>
      </c>
      <c r="F144" s="74"/>
      <c r="G144" s="74"/>
      <c r="H144" s="64"/>
      <c r="I144" s="64"/>
      <c r="J144" s="64"/>
      <c r="K144" s="16"/>
      <c r="L144" s="16"/>
      <c r="M144" s="64"/>
      <c r="N144" s="16"/>
      <c r="O144" s="16"/>
      <c r="P144" s="64"/>
      <c r="Q144" s="46"/>
      <c r="R144" s="39"/>
      <c r="S144" s="40"/>
      <c r="T144" s="16"/>
      <c r="U144" s="16"/>
      <c r="V144" s="16"/>
      <c r="W144" s="16"/>
      <c r="X144" s="16"/>
      <c r="Y144" s="19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35"/>
      <c r="AQ144" s="10"/>
      <c r="AR144" s="27"/>
    </row>
    <row r="145" spans="1:46" s="2" customFormat="1" ht="17.25" customHeight="1" x14ac:dyDescent="0.2">
      <c r="A145" s="23"/>
      <c r="B145" s="201" t="s">
        <v>259</v>
      </c>
      <c r="C145" s="203"/>
      <c r="D145" s="63"/>
      <c r="E145" s="64">
        <v>-110.28</v>
      </c>
      <c r="F145" s="74"/>
      <c r="G145" s="74"/>
      <c r="H145" s="64"/>
      <c r="I145" s="64"/>
      <c r="J145" s="64"/>
      <c r="K145" s="16"/>
      <c r="L145" s="16"/>
      <c r="M145" s="64"/>
      <c r="N145" s="16"/>
      <c r="O145" s="16"/>
      <c r="P145" s="64"/>
      <c r="Q145" s="46"/>
      <c r="R145" s="39"/>
      <c r="S145" s="40"/>
      <c r="T145" s="16"/>
      <c r="U145" s="16"/>
      <c r="V145" s="16"/>
      <c r="W145" s="16"/>
      <c r="X145" s="16"/>
      <c r="Y145" s="19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35"/>
      <c r="AQ145" s="10"/>
      <c r="AR145" s="27"/>
    </row>
    <row r="146" spans="1:46" s="2" customFormat="1" ht="17.25" customHeight="1" x14ac:dyDescent="0.25">
      <c r="A146" s="24"/>
      <c r="B146" s="201" t="s">
        <v>364</v>
      </c>
      <c r="C146" s="203"/>
      <c r="D146" s="63"/>
      <c r="E146" s="64">
        <v>-695.27</v>
      </c>
      <c r="F146" s="64"/>
      <c r="G146" s="64"/>
      <c r="H146" s="64"/>
      <c r="I146" s="64"/>
      <c r="J146" s="64"/>
      <c r="K146" s="16"/>
      <c r="L146" s="16"/>
      <c r="M146" s="64"/>
      <c r="N146" s="16"/>
      <c r="O146" s="16"/>
      <c r="P146" s="64"/>
      <c r="Q146" s="46"/>
      <c r="R146" s="40"/>
      <c r="S146" s="39"/>
      <c r="T146" s="16"/>
      <c r="U146" s="16"/>
      <c r="V146" s="16"/>
      <c r="W146" s="16"/>
      <c r="X146" s="16"/>
      <c r="Y146" s="19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22"/>
      <c r="AQ146" s="10"/>
      <c r="AR146" s="11"/>
    </row>
    <row r="147" spans="1:46" s="2" customFormat="1" ht="17.25" customHeight="1" x14ac:dyDescent="0.25">
      <c r="A147" s="24"/>
      <c r="B147" s="201" t="s">
        <v>16</v>
      </c>
      <c r="C147" s="203"/>
      <c r="D147" s="63"/>
      <c r="E147" s="64">
        <v>-165.44</v>
      </c>
      <c r="F147" s="64"/>
      <c r="G147" s="64"/>
      <c r="H147" s="64"/>
      <c r="I147" s="64"/>
      <c r="J147" s="64"/>
      <c r="K147" s="16"/>
      <c r="L147" s="16"/>
      <c r="M147" s="64"/>
      <c r="N147" s="16"/>
      <c r="O147" s="16"/>
      <c r="P147" s="64"/>
      <c r="Q147" s="46"/>
      <c r="R147" s="40"/>
      <c r="S147" s="39"/>
      <c r="T147" s="16"/>
      <c r="U147" s="16"/>
      <c r="V147" s="16"/>
      <c r="W147" s="16"/>
      <c r="X147" s="16"/>
      <c r="Y147" s="19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22"/>
      <c r="AQ147" s="10"/>
      <c r="AR147" s="11"/>
    </row>
    <row r="148" spans="1:46" s="2" customFormat="1" ht="17.25" customHeight="1" x14ac:dyDescent="0.2">
      <c r="A148" s="23"/>
      <c r="B148" s="201" t="s">
        <v>375</v>
      </c>
      <c r="C148" s="203"/>
      <c r="D148" s="64"/>
      <c r="E148" s="64">
        <v>-420</v>
      </c>
      <c r="F148" s="134"/>
      <c r="G148" s="64"/>
      <c r="H148" s="85"/>
      <c r="I148" s="85"/>
      <c r="J148" s="85"/>
      <c r="K148" s="28"/>
      <c r="L148" s="28"/>
      <c r="M148" s="85"/>
      <c r="N148" s="28"/>
      <c r="O148" s="28"/>
      <c r="P148" s="85"/>
      <c r="Q148" s="46"/>
      <c r="R148" s="40"/>
      <c r="S148" s="40"/>
      <c r="T148" s="16"/>
      <c r="U148" s="16"/>
      <c r="V148" s="16"/>
      <c r="W148" s="16"/>
      <c r="X148" s="16"/>
      <c r="Y148" s="19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35"/>
      <c r="AQ148" s="10"/>
      <c r="AR148" s="27"/>
    </row>
    <row r="149" spans="1:46" s="2" customFormat="1" ht="17.25" customHeight="1" thickBot="1" x14ac:dyDescent="0.25">
      <c r="A149" s="24"/>
      <c r="B149" s="216"/>
      <c r="C149" s="217"/>
      <c r="D149" s="83"/>
      <c r="E149" s="81"/>
      <c r="F149" s="81"/>
      <c r="G149" s="81"/>
      <c r="H149" s="81"/>
      <c r="I149" s="81"/>
      <c r="J149" s="81"/>
      <c r="K149" s="37"/>
      <c r="L149" s="93"/>
      <c r="M149" s="81"/>
      <c r="N149" s="37"/>
      <c r="O149" s="93"/>
      <c r="P149" s="81"/>
      <c r="Q149" s="40"/>
      <c r="R149" s="40"/>
      <c r="S149" s="39"/>
      <c r="T149" s="16"/>
      <c r="U149" s="16"/>
      <c r="V149" s="16"/>
      <c r="W149" s="16"/>
      <c r="X149" s="16"/>
      <c r="Y149" s="19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41"/>
      <c r="AQ149" s="10"/>
      <c r="AR149" s="11"/>
    </row>
    <row r="150" spans="1:46" s="4" customFormat="1" ht="17.25" customHeight="1" x14ac:dyDescent="0.25">
      <c r="A150" s="23"/>
      <c r="B150" s="210" t="s">
        <v>94</v>
      </c>
      <c r="C150" s="203"/>
      <c r="D150" s="66"/>
      <c r="E150" s="66"/>
      <c r="F150" s="117"/>
      <c r="G150" s="117"/>
      <c r="H150" s="66"/>
      <c r="I150" s="66"/>
      <c r="J150" s="66">
        <f>-M150</f>
        <v>6931.75</v>
      </c>
      <c r="K150" s="58">
        <v>-1165</v>
      </c>
      <c r="L150" s="89">
        <v>5.95</v>
      </c>
      <c r="M150" s="73">
        <f>K150*L150</f>
        <v>-6931.75</v>
      </c>
      <c r="N150" s="58"/>
      <c r="O150" s="89"/>
      <c r="P150" s="73"/>
      <c r="Q150" s="39"/>
      <c r="R150" s="39"/>
      <c r="S150" s="8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35"/>
      <c r="AP150" s="12" t="e">
        <f>#REF!</f>
        <v>#REF!</v>
      </c>
    </row>
    <row r="151" spans="1:46" s="4" customFormat="1" ht="17.25" customHeight="1" x14ac:dyDescent="0.25">
      <c r="A151" s="23"/>
      <c r="B151" s="201" t="s">
        <v>95</v>
      </c>
      <c r="C151" s="202"/>
      <c r="D151" s="64"/>
      <c r="E151" s="64"/>
      <c r="F151" s="117"/>
      <c r="G151" s="117"/>
      <c r="H151" s="64"/>
      <c r="I151" s="64"/>
      <c r="J151" s="64">
        <f>-P151</f>
        <v>9567.6</v>
      </c>
      <c r="K151" s="57"/>
      <c r="L151" s="88"/>
      <c r="M151" s="62"/>
      <c r="N151" s="57">
        <v>-2345</v>
      </c>
      <c r="O151" s="88">
        <v>4.08</v>
      </c>
      <c r="P151" s="62">
        <f>N151*O151</f>
        <v>-9567.6</v>
      </c>
      <c r="Q151" s="39"/>
      <c r="R151" s="39"/>
      <c r="S151" s="8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35"/>
      <c r="AP151" s="12" t="e">
        <f>#REF!</f>
        <v>#REF!</v>
      </c>
    </row>
    <row r="152" spans="1:46" s="4" customFormat="1" ht="17.25" customHeight="1" x14ac:dyDescent="0.25">
      <c r="A152" s="23"/>
      <c r="B152" s="201" t="s">
        <v>97</v>
      </c>
      <c r="C152" s="203"/>
      <c r="D152" s="64"/>
      <c r="E152" s="64"/>
      <c r="F152" s="64"/>
      <c r="G152" s="64"/>
      <c r="H152" s="64">
        <f>-J152-I152</f>
        <v>4590.9199999999983</v>
      </c>
      <c r="I152" s="64">
        <v>11908.43</v>
      </c>
      <c r="J152" s="64">
        <f>-SUM(J150:J151)</f>
        <v>-16499.349999999999</v>
      </c>
      <c r="K152" s="57"/>
      <c r="L152" s="88"/>
      <c r="M152" s="62"/>
      <c r="N152" s="57"/>
      <c r="O152" s="88"/>
      <c r="P152" s="62"/>
      <c r="Q152" s="39"/>
      <c r="R152" s="39"/>
      <c r="S152" s="39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22"/>
      <c r="AO152" s="43">
        <f>A118</f>
        <v>0</v>
      </c>
      <c r="AP152" s="12" t="e">
        <f>#REF!</f>
        <v>#REF!</v>
      </c>
      <c r="AT152" s="2"/>
    </row>
    <row r="153" spans="1:46" s="4" customFormat="1" ht="17.25" customHeight="1" x14ac:dyDescent="0.25">
      <c r="A153" s="23"/>
      <c r="B153" s="201" t="s">
        <v>93</v>
      </c>
      <c r="C153" s="202"/>
      <c r="D153" s="64"/>
      <c r="E153" s="64"/>
      <c r="F153" s="64"/>
      <c r="G153" s="64"/>
      <c r="H153" s="64"/>
      <c r="I153" s="64"/>
      <c r="J153" s="64"/>
      <c r="K153" s="57">
        <v>4</v>
      </c>
      <c r="L153" s="88"/>
      <c r="M153" s="62">
        <f>(K156*L135)-M135-M150</f>
        <v>977.55565884044063</v>
      </c>
      <c r="N153" s="57">
        <v>-303</v>
      </c>
      <c r="O153" s="88"/>
      <c r="P153" s="62">
        <f>(N156*O135)-P135-P151</f>
        <v>-426.5346679014674</v>
      </c>
      <c r="Q153" s="39"/>
      <c r="R153" s="39"/>
      <c r="S153" s="39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22"/>
      <c r="AO153" s="43">
        <f>A129</f>
        <v>0</v>
      </c>
      <c r="AP153" s="12" t="e">
        <f>#REF!</f>
        <v>#REF!</v>
      </c>
      <c r="AT153" s="2"/>
    </row>
    <row r="154" spans="1:46" s="2" customFormat="1" ht="17.25" customHeight="1" x14ac:dyDescent="0.2">
      <c r="A154" s="24"/>
      <c r="B154" s="201"/>
      <c r="C154" s="204"/>
      <c r="D154" s="63"/>
      <c r="E154" s="64"/>
      <c r="F154" s="64"/>
      <c r="G154" s="64"/>
      <c r="H154" s="64"/>
      <c r="I154" s="64"/>
      <c r="J154" s="64"/>
      <c r="K154" s="16"/>
      <c r="L154" s="16"/>
      <c r="M154" s="64"/>
      <c r="N154" s="16"/>
      <c r="O154" s="16"/>
      <c r="P154" s="64"/>
      <c r="Q154" s="46"/>
      <c r="R154" s="46"/>
      <c r="S154" s="39"/>
      <c r="T154" s="16"/>
      <c r="U154" s="16"/>
      <c r="V154" s="16"/>
      <c r="W154" s="16"/>
      <c r="X154" s="16"/>
      <c r="Y154" s="19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43">
        <f>A136</f>
        <v>46063</v>
      </c>
      <c r="AQ154" s="10"/>
      <c r="AR154" s="11"/>
    </row>
    <row r="155" spans="1:46" s="2" customFormat="1" ht="17.25" customHeight="1" thickBot="1" x14ac:dyDescent="0.3">
      <c r="A155" s="56"/>
      <c r="B155" s="101" t="s">
        <v>102</v>
      </c>
      <c r="C155" s="102">
        <f>D156+E156+F156+G156+H156+I156+J156+M156+P156</f>
        <v>182425.43954000011</v>
      </c>
      <c r="D155" s="84"/>
      <c r="E155" s="85"/>
      <c r="F155" s="85"/>
      <c r="G155" s="85"/>
      <c r="H155" s="85"/>
      <c r="I155" s="85"/>
      <c r="J155" s="85"/>
      <c r="K155" s="28"/>
      <c r="L155" s="28"/>
      <c r="M155" s="85"/>
      <c r="N155" s="28"/>
      <c r="O155" s="28"/>
      <c r="P155" s="85"/>
      <c r="Q155" s="48"/>
      <c r="R155" s="48"/>
      <c r="S155" s="51"/>
      <c r="T155" s="28"/>
      <c r="U155" s="28"/>
      <c r="V155" s="28"/>
      <c r="W155" s="28"/>
      <c r="X155" s="28"/>
      <c r="Y155" s="36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42">
        <f>SUM($Q135:AN155)</f>
        <v>-536717.82939999993</v>
      </c>
      <c r="AQ155" s="10"/>
      <c r="AR155" s="11"/>
      <c r="AS155" s="2" t="s">
        <v>5</v>
      </c>
    </row>
    <row r="156" spans="1:46" s="2" customFormat="1" ht="17.25" customHeight="1" thickTop="1" thickBot="1" x14ac:dyDescent="0.3">
      <c r="A156" s="103"/>
      <c r="B156" s="104" t="s">
        <v>103</v>
      </c>
      <c r="C156" s="105">
        <f>AO156</f>
        <v>-354292.38985999982</v>
      </c>
      <c r="D156" s="106">
        <f t="shared" ref="D156:K156" si="18">SUM(D135:D155)</f>
        <v>51947.177040000053</v>
      </c>
      <c r="E156" s="107">
        <f t="shared" si="18"/>
        <v>-44668.840000000011</v>
      </c>
      <c r="F156" s="107">
        <f t="shared" si="18"/>
        <v>0.65000000000145519</v>
      </c>
      <c r="G156" s="107">
        <f t="shared" si="18"/>
        <v>0</v>
      </c>
      <c r="H156" s="107">
        <f t="shared" si="18"/>
        <v>67221.862500000061</v>
      </c>
      <c r="I156" s="107">
        <f t="shared" si="18"/>
        <v>11284.65</v>
      </c>
      <c r="J156" s="107">
        <f t="shared" si="18"/>
        <v>0</v>
      </c>
      <c r="K156" s="108">
        <f t="shared" si="18"/>
        <v>926</v>
      </c>
      <c r="L156" s="109">
        <f>M156/K156</f>
        <v>5.1285097192224622</v>
      </c>
      <c r="M156" s="107">
        <f>ROUND(SUM(M135:M155),2)</f>
        <v>4749</v>
      </c>
      <c r="N156" s="108">
        <f>SUM(N135:N155)</f>
        <v>24347</v>
      </c>
      <c r="O156" s="109">
        <f>P156/N156</f>
        <v>3.7742202324721732</v>
      </c>
      <c r="P156" s="107">
        <f>ROUND(SUM(P135:P155),2)</f>
        <v>91890.94</v>
      </c>
      <c r="Q156" s="110">
        <f t="shared" ref="Q156:AN156" si="19">SUM(Q135:Q155)</f>
        <v>-586947.12939999998</v>
      </c>
      <c r="R156" s="107">
        <f t="shared" si="19"/>
        <v>50229.299999999996</v>
      </c>
      <c r="S156" s="107">
        <f t="shared" si="19"/>
        <v>0</v>
      </c>
      <c r="T156" s="107">
        <f t="shared" si="19"/>
        <v>0</v>
      </c>
      <c r="U156" s="107">
        <f t="shared" si="19"/>
        <v>0</v>
      </c>
      <c r="V156" s="107">
        <f t="shared" si="19"/>
        <v>0</v>
      </c>
      <c r="W156" s="107">
        <f t="shared" si="19"/>
        <v>0</v>
      </c>
      <c r="X156" s="107">
        <f t="shared" si="19"/>
        <v>0</v>
      </c>
      <c r="Y156" s="107">
        <f t="shared" si="19"/>
        <v>0</v>
      </c>
      <c r="Z156" s="107">
        <f t="shared" si="19"/>
        <v>0</v>
      </c>
      <c r="AA156" s="107">
        <f t="shared" si="19"/>
        <v>0</v>
      </c>
      <c r="AB156" s="107">
        <f t="shared" si="19"/>
        <v>0</v>
      </c>
      <c r="AC156" s="107">
        <f t="shared" si="19"/>
        <v>0</v>
      </c>
      <c r="AD156" s="107">
        <f t="shared" si="19"/>
        <v>0</v>
      </c>
      <c r="AE156" s="107">
        <f t="shared" si="19"/>
        <v>0</v>
      </c>
      <c r="AF156" s="107">
        <f t="shared" si="19"/>
        <v>0</v>
      </c>
      <c r="AG156" s="107">
        <f t="shared" si="19"/>
        <v>0</v>
      </c>
      <c r="AH156" s="107">
        <f t="shared" si="19"/>
        <v>0</v>
      </c>
      <c r="AI156" s="107">
        <f t="shared" si="19"/>
        <v>0</v>
      </c>
      <c r="AJ156" s="107">
        <f t="shared" si="19"/>
        <v>0</v>
      </c>
      <c r="AK156" s="107">
        <f t="shared" si="19"/>
        <v>0</v>
      </c>
      <c r="AL156" s="107">
        <f t="shared" si="19"/>
        <v>0</v>
      </c>
      <c r="AM156" s="107">
        <f t="shared" si="19"/>
        <v>0</v>
      </c>
      <c r="AN156" s="107">
        <f t="shared" si="19"/>
        <v>0</v>
      </c>
      <c r="AO156" s="111">
        <f>D156+E156+F156+G156+H156+I156+J156+M156+P156+SUM(Q156:AN156)</f>
        <v>-354292.38985999982</v>
      </c>
      <c r="AP156" s="4"/>
      <c r="AQ156" s="5"/>
      <c r="AR156" s="5"/>
      <c r="AS156" s="2" t="s">
        <v>6</v>
      </c>
    </row>
    <row r="157" spans="1:46" s="2" customFormat="1" ht="17.25" customHeight="1" thickTop="1" x14ac:dyDescent="0.25">
      <c r="A157" s="29">
        <f>A136+1</f>
        <v>46064</v>
      </c>
      <c r="B157" s="210" t="s">
        <v>64</v>
      </c>
      <c r="C157" s="203"/>
      <c r="D157" s="63">
        <v>11027.95</v>
      </c>
      <c r="E157" s="66"/>
      <c r="F157" s="66"/>
      <c r="G157" s="66"/>
      <c r="H157" s="66"/>
      <c r="I157" s="66">
        <f>-D157</f>
        <v>-11027.95</v>
      </c>
      <c r="J157" s="66"/>
      <c r="K157" s="18"/>
      <c r="L157" s="18"/>
      <c r="M157" s="66"/>
      <c r="N157" s="18"/>
      <c r="O157" s="18"/>
      <c r="P157" s="66"/>
      <c r="Q157" s="46"/>
      <c r="R157" s="46"/>
      <c r="S157" s="45"/>
      <c r="T157" s="18"/>
      <c r="U157" s="18"/>
      <c r="V157" s="18"/>
      <c r="W157" s="18"/>
      <c r="X157" s="18"/>
      <c r="Y157" s="14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31"/>
      <c r="AQ157" s="10"/>
      <c r="AR157" s="27"/>
    </row>
    <row r="158" spans="1:46" s="4" customFormat="1" ht="17.25" customHeight="1" x14ac:dyDescent="0.25">
      <c r="A158" s="29"/>
      <c r="B158" s="201" t="s">
        <v>96</v>
      </c>
      <c r="C158" s="202"/>
      <c r="D158" s="63"/>
      <c r="E158" s="64"/>
      <c r="F158" s="64"/>
      <c r="G158" s="64"/>
      <c r="H158" s="64"/>
      <c r="I158" s="64">
        <f>-I156-I157</f>
        <v>-256.69999999999891</v>
      </c>
      <c r="J158" s="64"/>
      <c r="K158" s="16"/>
      <c r="L158" s="92"/>
      <c r="M158" s="64"/>
      <c r="N158" s="16"/>
      <c r="O158" s="92"/>
      <c r="P158" s="64"/>
      <c r="Q158" s="40"/>
      <c r="R158" s="46"/>
      <c r="S158" s="39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22"/>
      <c r="AP158" s="30"/>
    </row>
    <row r="159" spans="1:46" s="2" customFormat="1" ht="17.25" customHeight="1" x14ac:dyDescent="0.25">
      <c r="A159" s="29"/>
      <c r="B159" s="201" t="s">
        <v>327</v>
      </c>
      <c r="C159" s="202"/>
      <c r="D159" s="63">
        <f>50+3+262+20+50+70+10+222+20</f>
        <v>707</v>
      </c>
      <c r="E159" s="64"/>
      <c r="F159" s="64"/>
      <c r="G159" s="64"/>
      <c r="H159" s="64"/>
      <c r="I159" s="64">
        <f>-D159</f>
        <v>-707</v>
      </c>
      <c r="J159" s="64"/>
      <c r="K159" s="57"/>
      <c r="L159" s="88"/>
      <c r="M159" s="62"/>
      <c r="N159" s="57"/>
      <c r="O159" s="88"/>
      <c r="P159" s="62"/>
      <c r="Q159" s="47"/>
      <c r="R159" s="39"/>
      <c r="S159" s="39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22"/>
      <c r="AQ159" s="10"/>
      <c r="AR159" s="11"/>
    </row>
    <row r="160" spans="1:46" s="2" customFormat="1" ht="17.25" customHeight="1" x14ac:dyDescent="0.25">
      <c r="A160" s="29"/>
      <c r="B160" s="201" t="s">
        <v>328</v>
      </c>
      <c r="C160" s="202"/>
      <c r="D160" s="63">
        <f>-7*0.99-2.1-1.78</f>
        <v>-10.809999999999999</v>
      </c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47"/>
      <c r="R160" s="39"/>
      <c r="S160" s="39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22"/>
      <c r="AQ160" s="10"/>
      <c r="AR160" s="11"/>
    </row>
    <row r="161" spans="1:46" s="4" customFormat="1" ht="17.25" customHeight="1" x14ac:dyDescent="0.25">
      <c r="A161" s="23"/>
      <c r="B161" s="201" t="s">
        <v>13</v>
      </c>
      <c r="C161" s="203"/>
      <c r="D161" s="63"/>
      <c r="E161" s="64">
        <f>50+17+15+100+50+20+14.4+80+20+70+35+1466+765+1140+60</f>
        <v>3902.4</v>
      </c>
      <c r="F161" s="64"/>
      <c r="G161" s="64"/>
      <c r="H161" s="64">
        <f>-E161</f>
        <v>-3902.4</v>
      </c>
      <c r="I161" s="66"/>
      <c r="J161" s="64"/>
      <c r="K161" s="16"/>
      <c r="L161" s="92"/>
      <c r="M161" s="64"/>
      <c r="N161" s="16"/>
      <c r="O161" s="92"/>
      <c r="P161" s="64"/>
      <c r="Q161" s="40"/>
      <c r="R161" s="46">
        <f>-D161</f>
        <v>0</v>
      </c>
      <c r="S161" s="39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22"/>
      <c r="AP161" s="30"/>
    </row>
    <row r="162" spans="1:46" s="4" customFormat="1" ht="17.25" customHeight="1" x14ac:dyDescent="0.25">
      <c r="A162" s="23"/>
      <c r="B162" s="205" t="s">
        <v>381</v>
      </c>
      <c r="C162" s="206"/>
      <c r="D162" s="63">
        <v>-51500</v>
      </c>
      <c r="E162" s="64"/>
      <c r="F162" s="64"/>
      <c r="G162" s="64"/>
      <c r="H162" s="64"/>
      <c r="I162" s="66"/>
      <c r="J162" s="64"/>
      <c r="K162" s="57">
        <v>10000</v>
      </c>
      <c r="L162" s="88">
        <v>5.15</v>
      </c>
      <c r="M162" s="62">
        <f>K162*L162</f>
        <v>51500</v>
      </c>
      <c r="N162" s="16"/>
      <c r="O162" s="92"/>
      <c r="P162" s="64"/>
      <c r="Q162" s="40"/>
      <c r="R162" s="46"/>
      <c r="S162" s="39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22"/>
      <c r="AP162" s="30"/>
    </row>
    <row r="163" spans="1:46" s="4" customFormat="1" ht="17.25" customHeight="1" x14ac:dyDescent="0.25">
      <c r="A163" s="23"/>
      <c r="B163" s="205" t="s">
        <v>382</v>
      </c>
      <c r="C163" s="206"/>
      <c r="D163" s="63">
        <v>-11400</v>
      </c>
      <c r="E163" s="64"/>
      <c r="F163" s="64"/>
      <c r="G163" s="64"/>
      <c r="H163" s="64"/>
      <c r="I163" s="66"/>
      <c r="J163" s="64"/>
      <c r="K163" s="16"/>
      <c r="L163" s="92"/>
      <c r="M163" s="64"/>
      <c r="N163" s="16"/>
      <c r="O163" s="92"/>
      <c r="P163" s="64"/>
      <c r="Q163" s="40">
        <f>-D163</f>
        <v>11400</v>
      </c>
      <c r="R163" s="46"/>
      <c r="S163" s="39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22"/>
      <c r="AP163" s="30"/>
    </row>
    <row r="164" spans="1:46" s="2" customFormat="1" ht="17.25" customHeight="1" x14ac:dyDescent="0.25">
      <c r="A164" s="29"/>
      <c r="B164" s="201" t="s">
        <v>276</v>
      </c>
      <c r="C164" s="202"/>
      <c r="D164" s="63">
        <f>-4.9-4.9</f>
        <v>-9.8000000000000007</v>
      </c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47"/>
      <c r="R164" s="39"/>
      <c r="S164" s="39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22"/>
      <c r="AQ164" s="10"/>
      <c r="AR164" s="11"/>
    </row>
    <row r="165" spans="1:46" s="2" customFormat="1" ht="17.25" customHeight="1" x14ac:dyDescent="0.25">
      <c r="A165" s="29"/>
      <c r="B165" s="201" t="s">
        <v>72</v>
      </c>
      <c r="C165" s="202"/>
      <c r="D165" s="63"/>
      <c r="E165" s="64"/>
      <c r="F165" s="64"/>
      <c r="G165" s="64"/>
      <c r="H165" s="64"/>
      <c r="I165" s="64"/>
      <c r="J165" s="64"/>
      <c r="K165" s="57"/>
      <c r="L165" s="88"/>
      <c r="M165" s="62"/>
      <c r="N165" s="57"/>
      <c r="O165" s="88"/>
      <c r="P165" s="62"/>
      <c r="Q165" s="47"/>
      <c r="R165" s="39"/>
      <c r="S165" s="39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22"/>
      <c r="AQ165" s="10" t="s">
        <v>4</v>
      </c>
      <c r="AR165" s="11" t="e">
        <v>#REF!</v>
      </c>
    </row>
    <row r="166" spans="1:46" s="2" customFormat="1" ht="17.25" customHeight="1" thickBot="1" x14ac:dyDescent="0.25">
      <c r="A166" s="24"/>
      <c r="B166" s="216"/>
      <c r="C166" s="242"/>
      <c r="D166" s="83"/>
      <c r="E166" s="81"/>
      <c r="F166" s="81"/>
      <c r="G166" s="81"/>
      <c r="H166" s="81"/>
      <c r="I166" s="81"/>
      <c r="J166" s="81"/>
      <c r="K166" s="37"/>
      <c r="L166" s="93"/>
      <c r="M166" s="81"/>
      <c r="N166" s="37"/>
      <c r="O166" s="93"/>
      <c r="P166" s="81"/>
      <c r="Q166" s="40"/>
      <c r="R166" s="40"/>
      <c r="S166" s="39"/>
      <c r="T166" s="16"/>
      <c r="U166" s="16"/>
      <c r="V166" s="16"/>
      <c r="W166" s="16"/>
      <c r="X166" s="16"/>
      <c r="Y166" s="19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41"/>
      <c r="AQ166" s="10"/>
      <c r="AR166" s="11"/>
    </row>
    <row r="167" spans="1:46" s="4" customFormat="1" ht="17.25" customHeight="1" x14ac:dyDescent="0.25">
      <c r="A167" s="23"/>
      <c r="B167" s="248" t="s">
        <v>94</v>
      </c>
      <c r="C167" s="249"/>
      <c r="D167" s="66"/>
      <c r="E167" s="66"/>
      <c r="F167" s="117"/>
      <c r="G167" s="117"/>
      <c r="H167" s="66"/>
      <c r="I167" s="66"/>
      <c r="J167" s="66">
        <f>-M167</f>
        <v>7199.5</v>
      </c>
      <c r="K167" s="58">
        <v>-1210</v>
      </c>
      <c r="L167" s="89">
        <v>5.95</v>
      </c>
      <c r="M167" s="73">
        <f>K167*L167</f>
        <v>-7199.5</v>
      </c>
      <c r="N167" s="58"/>
      <c r="O167" s="89"/>
      <c r="P167" s="73"/>
      <c r="Q167" s="39"/>
      <c r="R167" s="39"/>
      <c r="S167" s="8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35"/>
      <c r="AP167" s="12" t="e">
        <f>#REF!</f>
        <v>#REF!</v>
      </c>
    </row>
    <row r="168" spans="1:46" s="4" customFormat="1" ht="17.25" customHeight="1" x14ac:dyDescent="0.25">
      <c r="A168" s="23"/>
      <c r="B168" s="201" t="s">
        <v>95</v>
      </c>
      <c r="C168" s="202"/>
      <c r="D168" s="64"/>
      <c r="E168" s="64"/>
      <c r="F168" s="117"/>
      <c r="G168" s="117"/>
      <c r="H168" s="64"/>
      <c r="I168" s="64"/>
      <c r="J168" s="64">
        <f>-P168</f>
        <v>8286.48</v>
      </c>
      <c r="K168" s="57"/>
      <c r="L168" s="88"/>
      <c r="M168" s="62"/>
      <c r="N168" s="57">
        <v>-2031</v>
      </c>
      <c r="O168" s="88">
        <v>4.08</v>
      </c>
      <c r="P168" s="62">
        <f>N168*O168</f>
        <v>-8286.48</v>
      </c>
      <c r="Q168" s="39"/>
      <c r="R168" s="39"/>
      <c r="S168" s="8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35"/>
      <c r="AP168" s="12" t="e">
        <f>#REF!</f>
        <v>#REF!</v>
      </c>
    </row>
    <row r="169" spans="1:46" s="4" customFormat="1" ht="17.25" customHeight="1" x14ac:dyDescent="0.25">
      <c r="A169" s="23"/>
      <c r="B169" s="201" t="s">
        <v>97</v>
      </c>
      <c r="C169" s="202"/>
      <c r="D169" s="64"/>
      <c r="E169" s="64"/>
      <c r="F169" s="64"/>
      <c r="G169" s="64"/>
      <c r="H169" s="64">
        <f>-J169-I169</f>
        <v>4970.5599999999995</v>
      </c>
      <c r="I169" s="64">
        <v>10515.42</v>
      </c>
      <c r="J169" s="64">
        <f>-SUM(J167:J168)</f>
        <v>-15485.98</v>
      </c>
      <c r="K169" s="57"/>
      <c r="L169" s="88"/>
      <c r="M169" s="62"/>
      <c r="N169" s="57"/>
      <c r="O169" s="88"/>
      <c r="P169" s="62"/>
      <c r="Q169" s="39"/>
      <c r="R169" s="39"/>
      <c r="S169" s="39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22"/>
      <c r="AO169" s="43">
        <f>A132</f>
        <v>0</v>
      </c>
      <c r="AP169" s="12" t="e">
        <f>#REF!</f>
        <v>#REF!</v>
      </c>
      <c r="AT169" s="2"/>
    </row>
    <row r="170" spans="1:46" s="4" customFormat="1" ht="17.25" customHeight="1" x14ac:dyDescent="0.25">
      <c r="A170" s="23"/>
      <c r="B170" s="201" t="s">
        <v>93</v>
      </c>
      <c r="C170" s="202"/>
      <c r="D170" s="64"/>
      <c r="E170" s="64"/>
      <c r="F170" s="64"/>
      <c r="G170" s="64"/>
      <c r="H170" s="64"/>
      <c r="I170" s="64"/>
      <c r="J170" s="64"/>
      <c r="K170" s="57">
        <v>-98</v>
      </c>
      <c r="L170" s="88"/>
      <c r="M170" s="62">
        <f>(K173*(M156+M162)/(K156+K162))-M156-M167-M162</f>
        <v>465.68231740802003</v>
      </c>
      <c r="N170" s="57">
        <v>22</v>
      </c>
      <c r="O170" s="88"/>
      <c r="P170" s="62">
        <f>(N173*O156)-P156-P168</f>
        <v>704.07155296340716</v>
      </c>
      <c r="Q170" s="39"/>
      <c r="R170" s="39"/>
      <c r="S170" s="39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22"/>
      <c r="AO170" s="43">
        <f>A150</f>
        <v>0</v>
      </c>
      <c r="AP170" s="12" t="e">
        <f>#REF!</f>
        <v>#REF!</v>
      </c>
      <c r="AT170" s="2"/>
    </row>
    <row r="171" spans="1:46" s="2" customFormat="1" ht="17.25" customHeight="1" x14ac:dyDescent="0.2">
      <c r="A171" s="24"/>
      <c r="B171" s="201" t="s">
        <v>110</v>
      </c>
      <c r="C171" s="204"/>
      <c r="D171" s="63"/>
      <c r="E171" s="64"/>
      <c r="F171" s="64"/>
      <c r="G171" s="64"/>
      <c r="H171" s="64"/>
      <c r="I171" s="64"/>
      <c r="J171" s="64"/>
      <c r="K171" s="16"/>
      <c r="L171" s="16"/>
      <c r="M171" s="64"/>
      <c r="N171" s="16"/>
      <c r="O171" s="16"/>
      <c r="P171" s="64"/>
      <c r="Q171" s="46"/>
      <c r="R171" s="46">
        <f>-I171</f>
        <v>0</v>
      </c>
      <c r="S171" s="39"/>
      <c r="T171" s="16"/>
      <c r="U171" s="16"/>
      <c r="V171" s="16"/>
      <c r="W171" s="16"/>
      <c r="X171" s="16"/>
      <c r="Y171" s="19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43">
        <f>A157</f>
        <v>46064</v>
      </c>
      <c r="AQ171" s="10"/>
      <c r="AR171" s="11"/>
    </row>
    <row r="172" spans="1:46" s="2" customFormat="1" ht="17.25" customHeight="1" thickBot="1" x14ac:dyDescent="0.3">
      <c r="A172" s="56"/>
      <c r="B172" s="101" t="s">
        <v>102</v>
      </c>
      <c r="C172" s="102">
        <f>D173+E173+F173+G173+H173+I173+J173+M173+P173</f>
        <v>171917.87954000011</v>
      </c>
      <c r="D172" s="84"/>
      <c r="E172" s="85"/>
      <c r="F172" s="85"/>
      <c r="G172" s="85"/>
      <c r="H172" s="85"/>
      <c r="I172" s="85"/>
      <c r="J172" s="85"/>
      <c r="K172" s="28"/>
      <c r="L172" s="28"/>
      <c r="M172" s="85"/>
      <c r="N172" s="28"/>
      <c r="O172" s="28"/>
      <c r="P172" s="85"/>
      <c r="Q172" s="48"/>
      <c r="R172" s="48"/>
      <c r="S172" s="51"/>
      <c r="T172" s="28"/>
      <c r="U172" s="28"/>
      <c r="V172" s="28"/>
      <c r="W172" s="28"/>
      <c r="X172" s="28"/>
      <c r="Y172" s="36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42">
        <f>SUM($Q156:AN172)</f>
        <v>-525317.82939999993</v>
      </c>
      <c r="AQ172" s="10"/>
      <c r="AR172" s="11"/>
      <c r="AS172" s="2" t="s">
        <v>5</v>
      </c>
    </row>
    <row r="173" spans="1:46" s="2" customFormat="1" ht="17.25" customHeight="1" thickTop="1" thickBot="1" x14ac:dyDescent="0.3">
      <c r="A173" s="103"/>
      <c r="B173" s="104" t="s">
        <v>103</v>
      </c>
      <c r="C173" s="105">
        <f>AO173</f>
        <v>-353399.94985999982</v>
      </c>
      <c r="D173" s="106">
        <f t="shared" ref="D173:K173" si="20">SUM(D156:D172)</f>
        <v>761.5170400000527</v>
      </c>
      <c r="E173" s="107">
        <f t="shared" si="20"/>
        <v>-40766.44000000001</v>
      </c>
      <c r="F173" s="107">
        <f t="shared" si="20"/>
        <v>0.65000000000145519</v>
      </c>
      <c r="G173" s="107">
        <f t="shared" si="20"/>
        <v>0</v>
      </c>
      <c r="H173" s="107">
        <f t="shared" si="20"/>
        <v>68290.022500000065</v>
      </c>
      <c r="I173" s="107">
        <f t="shared" si="20"/>
        <v>9808.42</v>
      </c>
      <c r="J173" s="107">
        <f t="shared" si="20"/>
        <v>0</v>
      </c>
      <c r="K173" s="108">
        <f t="shared" si="20"/>
        <v>9618</v>
      </c>
      <c r="L173" s="109">
        <f>M173/K173</f>
        <v>5.1481784154709915</v>
      </c>
      <c r="M173" s="107">
        <f>ROUND(SUM(M156:M172),2)</f>
        <v>49515.18</v>
      </c>
      <c r="N173" s="108">
        <f>SUM(N156:N172)</f>
        <v>22338</v>
      </c>
      <c r="O173" s="109">
        <f>P173/N173</f>
        <v>3.7742201629510252</v>
      </c>
      <c r="P173" s="107">
        <f>ROUND(SUM(P156:P172),2)</f>
        <v>84308.53</v>
      </c>
      <c r="Q173" s="110">
        <f t="shared" ref="Q173:AN173" si="21">SUM(Q156:Q172)</f>
        <v>-575547.12939999998</v>
      </c>
      <c r="R173" s="107">
        <f t="shared" si="21"/>
        <v>50229.299999999996</v>
      </c>
      <c r="S173" s="107">
        <f t="shared" si="21"/>
        <v>0</v>
      </c>
      <c r="T173" s="107">
        <f t="shared" si="21"/>
        <v>0</v>
      </c>
      <c r="U173" s="107">
        <f t="shared" si="21"/>
        <v>0</v>
      </c>
      <c r="V173" s="107">
        <f t="shared" si="21"/>
        <v>0</v>
      </c>
      <c r="W173" s="107">
        <f t="shared" si="21"/>
        <v>0</v>
      </c>
      <c r="X173" s="107">
        <f t="shared" si="21"/>
        <v>0</v>
      </c>
      <c r="Y173" s="107">
        <f t="shared" si="21"/>
        <v>0</v>
      </c>
      <c r="Z173" s="107">
        <f t="shared" si="21"/>
        <v>0</v>
      </c>
      <c r="AA173" s="107">
        <f t="shared" si="21"/>
        <v>0</v>
      </c>
      <c r="AB173" s="107">
        <f t="shared" si="21"/>
        <v>0</v>
      </c>
      <c r="AC173" s="107">
        <f t="shared" si="21"/>
        <v>0</v>
      </c>
      <c r="AD173" s="107">
        <f t="shared" si="21"/>
        <v>0</v>
      </c>
      <c r="AE173" s="107">
        <f t="shared" si="21"/>
        <v>0</v>
      </c>
      <c r="AF173" s="107">
        <f t="shared" si="21"/>
        <v>0</v>
      </c>
      <c r="AG173" s="107">
        <f t="shared" si="21"/>
        <v>0</v>
      </c>
      <c r="AH173" s="107">
        <f t="shared" si="21"/>
        <v>0</v>
      </c>
      <c r="AI173" s="107">
        <f t="shared" si="21"/>
        <v>0</v>
      </c>
      <c r="AJ173" s="107">
        <f t="shared" si="21"/>
        <v>0</v>
      </c>
      <c r="AK173" s="107">
        <f t="shared" si="21"/>
        <v>0</v>
      </c>
      <c r="AL173" s="107">
        <f t="shared" si="21"/>
        <v>0</v>
      </c>
      <c r="AM173" s="107">
        <f t="shared" si="21"/>
        <v>0</v>
      </c>
      <c r="AN173" s="107">
        <f t="shared" si="21"/>
        <v>0</v>
      </c>
      <c r="AO173" s="111">
        <f>D173+E173+F173+G173+H173+I173+J173+M173+P173+SUM(Q173:AN173)</f>
        <v>-353399.94985999982</v>
      </c>
      <c r="AP173" s="4"/>
      <c r="AQ173" s="5"/>
      <c r="AR173" s="5"/>
      <c r="AS173" s="2" t="s">
        <v>6</v>
      </c>
    </row>
    <row r="174" spans="1:46" s="2" customFormat="1" ht="17.25" customHeight="1" thickTop="1" x14ac:dyDescent="0.25">
      <c r="A174" s="23">
        <f>A157+1</f>
        <v>46065</v>
      </c>
      <c r="B174" s="210" t="s">
        <v>64</v>
      </c>
      <c r="C174" s="203"/>
      <c r="D174" s="63">
        <v>9562.83</v>
      </c>
      <c r="E174" s="66"/>
      <c r="F174" s="66"/>
      <c r="G174" s="66"/>
      <c r="H174" s="66"/>
      <c r="I174" s="66">
        <f>-D174</f>
        <v>-9562.83</v>
      </c>
      <c r="J174" s="66"/>
      <c r="K174" s="18"/>
      <c r="L174" s="18"/>
      <c r="M174" s="66"/>
      <c r="N174" s="18"/>
      <c r="O174" s="18"/>
      <c r="P174" s="66"/>
      <c r="Q174" s="46"/>
      <c r="R174" s="46"/>
      <c r="S174" s="45"/>
      <c r="T174" s="18"/>
      <c r="U174" s="18"/>
      <c r="V174" s="18"/>
      <c r="W174" s="18"/>
      <c r="X174" s="18"/>
      <c r="Y174" s="14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31"/>
      <c r="AQ174" s="10"/>
      <c r="AR174" s="27"/>
    </row>
    <row r="175" spans="1:46" s="4" customFormat="1" ht="17.25" customHeight="1" x14ac:dyDescent="0.25">
      <c r="A175" s="23"/>
      <c r="B175" s="201" t="s">
        <v>96</v>
      </c>
      <c r="C175" s="202"/>
      <c r="D175" s="63"/>
      <c r="E175" s="64"/>
      <c r="F175" s="64"/>
      <c r="G175" s="64"/>
      <c r="H175" s="64"/>
      <c r="I175" s="64">
        <f>-I173-I174</f>
        <v>-245.59000000000015</v>
      </c>
      <c r="J175" s="64"/>
      <c r="K175" s="16"/>
      <c r="L175" s="92"/>
      <c r="M175" s="64"/>
      <c r="N175" s="16"/>
      <c r="O175" s="92"/>
      <c r="P175" s="64"/>
      <c r="Q175" s="40"/>
      <c r="R175" s="46"/>
      <c r="S175" s="39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22"/>
      <c r="AP175" s="30"/>
    </row>
    <row r="176" spans="1:46" s="2" customFormat="1" ht="17.25" customHeight="1" x14ac:dyDescent="0.25">
      <c r="A176" s="29"/>
      <c r="B176" s="201" t="s">
        <v>327</v>
      </c>
      <c r="C176" s="202"/>
      <c r="D176" s="63">
        <f>20+50+20+20+200+80+30+24+150+270+40</f>
        <v>904</v>
      </c>
      <c r="E176" s="64"/>
      <c r="F176" s="64"/>
      <c r="G176" s="64"/>
      <c r="H176" s="64"/>
      <c r="I176" s="64">
        <f>-D176</f>
        <v>-904</v>
      </c>
      <c r="J176" s="64"/>
      <c r="K176" s="57"/>
      <c r="L176" s="88"/>
      <c r="M176" s="62"/>
      <c r="N176" s="57"/>
      <c r="O176" s="88"/>
      <c r="P176" s="62"/>
      <c r="Q176" s="47"/>
      <c r="R176" s="39"/>
      <c r="S176" s="39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22"/>
      <c r="AQ176" s="10"/>
      <c r="AR176" s="11"/>
    </row>
    <row r="177" spans="1:46" s="2" customFormat="1" ht="17.25" customHeight="1" x14ac:dyDescent="0.25">
      <c r="A177" s="29"/>
      <c r="B177" s="201" t="s">
        <v>328</v>
      </c>
      <c r="C177" s="202"/>
      <c r="D177" s="63">
        <f>-8*0.99-1.6-1.2-2.16</f>
        <v>-12.879999999999999</v>
      </c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47"/>
      <c r="R177" s="39"/>
      <c r="S177" s="39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22"/>
      <c r="AQ177" s="10"/>
      <c r="AR177" s="11"/>
    </row>
    <row r="178" spans="1:46" s="2" customFormat="1" ht="17.25" customHeight="1" x14ac:dyDescent="0.25">
      <c r="A178" s="29"/>
      <c r="B178" s="201" t="s">
        <v>383</v>
      </c>
      <c r="C178" s="202"/>
      <c r="D178" s="63">
        <v>-145</v>
      </c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47"/>
      <c r="R178" s="39"/>
      <c r="S178" s="39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22"/>
      <c r="AQ178" s="10" t="s">
        <v>4</v>
      </c>
      <c r="AR178" s="11" t="e">
        <v>#REF!</v>
      </c>
    </row>
    <row r="179" spans="1:46" s="4" customFormat="1" ht="17.25" customHeight="1" x14ac:dyDescent="0.25">
      <c r="A179" s="23"/>
      <c r="B179" s="201" t="s">
        <v>13</v>
      </c>
      <c r="C179" s="203"/>
      <c r="D179" s="63"/>
      <c r="E179" s="64">
        <f>10+20+50+20+30+40+80+60+30</f>
        <v>340</v>
      </c>
      <c r="F179" s="64"/>
      <c r="G179" s="64"/>
      <c r="H179" s="64">
        <f>-E179</f>
        <v>-340</v>
      </c>
      <c r="I179" s="66"/>
      <c r="J179" s="64"/>
      <c r="K179" s="16"/>
      <c r="L179" s="92"/>
      <c r="M179" s="64"/>
      <c r="N179" s="16"/>
      <c r="O179" s="92"/>
      <c r="P179" s="64"/>
      <c r="Q179" s="40"/>
      <c r="R179" s="46">
        <f>-D179</f>
        <v>0</v>
      </c>
      <c r="S179" s="39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22"/>
      <c r="AP179" s="30"/>
    </row>
    <row r="180" spans="1:46" s="2" customFormat="1" ht="17.25" customHeight="1" thickBot="1" x14ac:dyDescent="0.25">
      <c r="A180" s="24"/>
      <c r="B180" s="216"/>
      <c r="C180" s="217"/>
      <c r="D180" s="83"/>
      <c r="E180" s="81"/>
      <c r="F180" s="81"/>
      <c r="G180" s="81"/>
      <c r="H180" s="81"/>
      <c r="I180" s="81"/>
      <c r="J180" s="81"/>
      <c r="K180" s="37"/>
      <c r="L180" s="93"/>
      <c r="M180" s="81"/>
      <c r="N180" s="37"/>
      <c r="O180" s="93"/>
      <c r="P180" s="81"/>
      <c r="Q180" s="40"/>
      <c r="R180" s="40"/>
      <c r="S180" s="39"/>
      <c r="T180" s="16"/>
      <c r="U180" s="16"/>
      <c r="V180" s="16"/>
      <c r="W180" s="16"/>
      <c r="X180" s="16"/>
      <c r="Y180" s="19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41"/>
      <c r="AQ180" s="10"/>
      <c r="AR180" s="11"/>
    </row>
    <row r="181" spans="1:46" s="4" customFormat="1" ht="17.25" customHeight="1" x14ac:dyDescent="0.25">
      <c r="A181" s="23"/>
      <c r="B181" s="210" t="s">
        <v>94</v>
      </c>
      <c r="C181" s="203"/>
      <c r="D181" s="66"/>
      <c r="E181" s="66"/>
      <c r="F181" s="117"/>
      <c r="G181" s="117"/>
      <c r="H181" s="66"/>
      <c r="I181" s="66"/>
      <c r="J181" s="66">
        <f>-M181</f>
        <v>5521.6</v>
      </c>
      <c r="K181" s="58">
        <v>-928</v>
      </c>
      <c r="L181" s="89">
        <v>5.95</v>
      </c>
      <c r="M181" s="73">
        <f>K181*L181</f>
        <v>-5521.6</v>
      </c>
      <c r="N181" s="58"/>
      <c r="O181" s="89"/>
      <c r="P181" s="73"/>
      <c r="Q181" s="39"/>
      <c r="R181" s="39"/>
      <c r="S181" s="8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35"/>
      <c r="AP181" s="12" t="e">
        <f>#REF!</f>
        <v>#REF!</v>
      </c>
    </row>
    <row r="182" spans="1:46" s="4" customFormat="1" ht="17.25" customHeight="1" x14ac:dyDescent="0.25">
      <c r="A182" s="23"/>
      <c r="B182" s="201" t="s">
        <v>95</v>
      </c>
      <c r="C182" s="202"/>
      <c r="D182" s="64"/>
      <c r="E182" s="64"/>
      <c r="F182" s="117"/>
      <c r="G182" s="117"/>
      <c r="H182" s="64"/>
      <c r="I182" s="64"/>
      <c r="J182" s="64">
        <f>-P182</f>
        <v>6605.52</v>
      </c>
      <c r="K182" s="57"/>
      <c r="L182" s="88"/>
      <c r="M182" s="62"/>
      <c r="N182" s="57">
        <v>-1619</v>
      </c>
      <c r="O182" s="88">
        <v>4.08</v>
      </c>
      <c r="P182" s="62">
        <f>N182*O182</f>
        <v>-6605.52</v>
      </c>
      <c r="Q182" s="39"/>
      <c r="R182" s="39"/>
      <c r="S182" s="8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35"/>
      <c r="AP182" s="12" t="e">
        <f>#REF!</f>
        <v>#REF!</v>
      </c>
    </row>
    <row r="183" spans="1:46" s="4" customFormat="1" ht="17.25" customHeight="1" x14ac:dyDescent="0.25">
      <c r="A183" s="23"/>
      <c r="B183" s="201" t="s">
        <v>97</v>
      </c>
      <c r="C183" s="203"/>
      <c r="D183" s="64"/>
      <c r="E183" s="64"/>
      <c r="F183" s="64"/>
      <c r="G183" s="64"/>
      <c r="H183" s="64">
        <f>-J183-I183</f>
        <v>3842.6400000000012</v>
      </c>
      <c r="I183" s="64">
        <v>8284.48</v>
      </c>
      <c r="J183" s="64">
        <f>-SUM(J181:J182)</f>
        <v>-12127.12</v>
      </c>
      <c r="K183" s="57"/>
      <c r="L183" s="88"/>
      <c r="M183" s="62"/>
      <c r="N183" s="57"/>
      <c r="O183" s="88"/>
      <c r="P183" s="62"/>
      <c r="Q183" s="39"/>
      <c r="R183" s="39"/>
      <c r="S183" s="39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22"/>
      <c r="AO183" s="43">
        <f>A153</f>
        <v>0</v>
      </c>
      <c r="AP183" s="12" t="e">
        <f>#REF!</f>
        <v>#REF!</v>
      </c>
      <c r="AT183" s="2"/>
    </row>
    <row r="184" spans="1:46" s="4" customFormat="1" ht="17.25" customHeight="1" x14ac:dyDescent="0.25">
      <c r="A184" s="23"/>
      <c r="B184" s="201" t="s">
        <v>93</v>
      </c>
      <c r="C184" s="202"/>
      <c r="D184" s="64"/>
      <c r="E184" s="64"/>
      <c r="F184" s="64"/>
      <c r="G184" s="64"/>
      <c r="H184" s="64"/>
      <c r="I184" s="64"/>
      <c r="J184" s="64"/>
      <c r="K184" s="57">
        <v>85</v>
      </c>
      <c r="L184" s="88"/>
      <c r="M184" s="62">
        <f>(K187*L173)-M173-M181</f>
        <v>1181.6855957579482</v>
      </c>
      <c r="N184" s="57">
        <v>-174</v>
      </c>
      <c r="O184" s="88"/>
      <c r="P184" s="62">
        <f>(N187*O173)-P173-P182</f>
        <v>-161.65675217118769</v>
      </c>
      <c r="Q184" s="39"/>
      <c r="R184" s="39"/>
      <c r="S184" s="39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22"/>
      <c r="AO184" s="43">
        <f>A167</f>
        <v>0</v>
      </c>
      <c r="AP184" s="12" t="e">
        <f>#REF!</f>
        <v>#REF!</v>
      </c>
      <c r="AT184" s="2"/>
    </row>
    <row r="185" spans="1:46" s="2" customFormat="1" ht="17.25" customHeight="1" x14ac:dyDescent="0.2">
      <c r="A185" s="24"/>
      <c r="B185" s="201"/>
      <c r="C185" s="204"/>
      <c r="D185" s="63"/>
      <c r="E185" s="64"/>
      <c r="F185" s="64"/>
      <c r="G185" s="64"/>
      <c r="H185" s="64"/>
      <c r="I185" s="64"/>
      <c r="J185" s="64"/>
      <c r="K185" s="16"/>
      <c r="L185" s="16"/>
      <c r="M185" s="64"/>
      <c r="N185" s="16"/>
      <c r="O185" s="16"/>
      <c r="P185" s="64"/>
      <c r="Q185" s="46"/>
      <c r="R185" s="46"/>
      <c r="S185" s="39"/>
      <c r="T185" s="16"/>
      <c r="U185" s="16"/>
      <c r="V185" s="16"/>
      <c r="W185" s="16"/>
      <c r="X185" s="16"/>
      <c r="Y185" s="19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43">
        <f>A174</f>
        <v>46065</v>
      </c>
      <c r="AQ185" s="10"/>
      <c r="AR185" s="11"/>
    </row>
    <row r="186" spans="1:46" s="2" customFormat="1" ht="17.25" customHeight="1" thickBot="1" x14ac:dyDescent="0.3">
      <c r="A186" s="56"/>
      <c r="B186" s="101" t="s">
        <v>102</v>
      </c>
      <c r="C186" s="102">
        <f>D187+E187+F187+G187+H187+I187+J187+M187+P187</f>
        <v>172534.43954000011</v>
      </c>
      <c r="D186" s="84"/>
      <c r="E186" s="85"/>
      <c r="F186" s="85"/>
      <c r="G186" s="85"/>
      <c r="H186" s="85"/>
      <c r="I186" s="85"/>
      <c r="J186" s="85"/>
      <c r="K186" s="28"/>
      <c r="L186" s="28"/>
      <c r="M186" s="85"/>
      <c r="N186" s="28"/>
      <c r="O186" s="28"/>
      <c r="P186" s="85"/>
      <c r="Q186" s="48"/>
      <c r="R186" s="48"/>
      <c r="S186" s="51"/>
      <c r="T186" s="28"/>
      <c r="U186" s="28"/>
      <c r="V186" s="28"/>
      <c r="W186" s="28"/>
      <c r="X186" s="28"/>
      <c r="Y186" s="36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42">
        <f>SUM($Q173:AN186)</f>
        <v>-525317.82939999993</v>
      </c>
      <c r="AQ186" s="10"/>
      <c r="AR186" s="11"/>
      <c r="AS186" s="2" t="s">
        <v>5</v>
      </c>
    </row>
    <row r="187" spans="1:46" s="2" customFormat="1" ht="17.25" customHeight="1" thickTop="1" thickBot="1" x14ac:dyDescent="0.3">
      <c r="A187" s="103"/>
      <c r="B187" s="104" t="s">
        <v>103</v>
      </c>
      <c r="C187" s="105">
        <f>AO187</f>
        <v>-352783.38985999982</v>
      </c>
      <c r="D187" s="106">
        <f t="shared" ref="D187:K187" si="22">SUM(D173:D186)</f>
        <v>11070.467040000054</v>
      </c>
      <c r="E187" s="107">
        <f t="shared" si="22"/>
        <v>-40426.44000000001</v>
      </c>
      <c r="F187" s="107">
        <f t="shared" si="22"/>
        <v>0.65000000000145519</v>
      </c>
      <c r="G187" s="107">
        <f t="shared" si="22"/>
        <v>0</v>
      </c>
      <c r="H187" s="107">
        <f t="shared" si="22"/>
        <v>71792.662500000064</v>
      </c>
      <c r="I187" s="107">
        <f t="shared" si="22"/>
        <v>7380.48</v>
      </c>
      <c r="J187" s="107">
        <f t="shared" si="22"/>
        <v>0</v>
      </c>
      <c r="K187" s="108">
        <f t="shared" si="22"/>
        <v>8775</v>
      </c>
      <c r="L187" s="109">
        <f>M187/K187</f>
        <v>5.1481789173789174</v>
      </c>
      <c r="M187" s="107">
        <f>ROUND(SUM(M173:M186),2)</f>
        <v>45175.27</v>
      </c>
      <c r="N187" s="108">
        <f>SUM(N173:N186)</f>
        <v>20545</v>
      </c>
      <c r="O187" s="109">
        <f>P187/N187</f>
        <v>3.7742200048673644</v>
      </c>
      <c r="P187" s="107">
        <f>ROUND(SUM(P173:P186),2)</f>
        <v>77541.350000000006</v>
      </c>
      <c r="Q187" s="110">
        <f t="shared" ref="Q187:AN187" si="23">SUM(Q173:Q186)</f>
        <v>-575547.12939999998</v>
      </c>
      <c r="R187" s="107">
        <f t="shared" si="23"/>
        <v>50229.299999999996</v>
      </c>
      <c r="S187" s="107">
        <f t="shared" si="23"/>
        <v>0</v>
      </c>
      <c r="T187" s="107">
        <f t="shared" si="23"/>
        <v>0</v>
      </c>
      <c r="U187" s="107">
        <f t="shared" si="23"/>
        <v>0</v>
      </c>
      <c r="V187" s="107">
        <f t="shared" si="23"/>
        <v>0</v>
      </c>
      <c r="W187" s="107">
        <f t="shared" si="23"/>
        <v>0</v>
      </c>
      <c r="X187" s="107">
        <f t="shared" si="23"/>
        <v>0</v>
      </c>
      <c r="Y187" s="107">
        <f t="shared" si="23"/>
        <v>0</v>
      </c>
      <c r="Z187" s="107">
        <f t="shared" si="23"/>
        <v>0</v>
      </c>
      <c r="AA187" s="107">
        <f t="shared" si="23"/>
        <v>0</v>
      </c>
      <c r="AB187" s="107">
        <f t="shared" si="23"/>
        <v>0</v>
      </c>
      <c r="AC187" s="107">
        <f t="shared" si="23"/>
        <v>0</v>
      </c>
      <c r="AD187" s="107">
        <f t="shared" si="23"/>
        <v>0</v>
      </c>
      <c r="AE187" s="107">
        <f t="shared" si="23"/>
        <v>0</v>
      </c>
      <c r="AF187" s="107">
        <f t="shared" si="23"/>
        <v>0</v>
      </c>
      <c r="AG187" s="107">
        <f t="shared" si="23"/>
        <v>0</v>
      </c>
      <c r="AH187" s="107">
        <f t="shared" si="23"/>
        <v>0</v>
      </c>
      <c r="AI187" s="107">
        <f t="shared" si="23"/>
        <v>0</v>
      </c>
      <c r="AJ187" s="107">
        <f t="shared" si="23"/>
        <v>0</v>
      </c>
      <c r="AK187" s="107">
        <f t="shared" si="23"/>
        <v>0</v>
      </c>
      <c r="AL187" s="107">
        <f t="shared" si="23"/>
        <v>0</v>
      </c>
      <c r="AM187" s="107">
        <f t="shared" si="23"/>
        <v>0</v>
      </c>
      <c r="AN187" s="107">
        <f t="shared" si="23"/>
        <v>0</v>
      </c>
      <c r="AO187" s="111">
        <f>D187+E187+F187+G187+H187+I187+J187+M187+P187+SUM(Q187:AN187)</f>
        <v>-352783.38985999982</v>
      </c>
      <c r="AP187" s="4"/>
      <c r="AQ187" s="5"/>
      <c r="AR187" s="5"/>
      <c r="AS187" s="2" t="s">
        <v>6</v>
      </c>
    </row>
    <row r="188" spans="1:46" s="2" customFormat="1" ht="17.25" customHeight="1" thickTop="1" x14ac:dyDescent="0.25">
      <c r="A188" s="23">
        <f>A174+1</f>
        <v>46066</v>
      </c>
      <c r="B188" s="210" t="s">
        <v>64</v>
      </c>
      <c r="C188" s="203"/>
      <c r="D188" s="63">
        <v>7183.63</v>
      </c>
      <c r="E188" s="66"/>
      <c r="F188" s="66"/>
      <c r="G188" s="66"/>
      <c r="H188" s="66"/>
      <c r="I188" s="66">
        <f>-D188</f>
        <v>-7183.63</v>
      </c>
      <c r="J188" s="66"/>
      <c r="K188" s="18"/>
      <c r="L188" s="18"/>
      <c r="M188" s="66"/>
      <c r="N188" s="18"/>
      <c r="O188" s="18"/>
      <c r="P188" s="66"/>
      <c r="Q188" s="46"/>
      <c r="R188" s="46"/>
      <c r="S188" s="45"/>
      <c r="T188" s="18"/>
      <c r="U188" s="18"/>
      <c r="V188" s="18"/>
      <c r="W188" s="18"/>
      <c r="X188" s="18"/>
      <c r="Y188" s="14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31"/>
      <c r="AQ188" s="10"/>
      <c r="AR188" s="27"/>
    </row>
    <row r="189" spans="1:46" s="4" customFormat="1" ht="17.25" customHeight="1" x14ac:dyDescent="0.25">
      <c r="A189" s="23"/>
      <c r="B189" s="201" t="s">
        <v>96</v>
      </c>
      <c r="C189" s="202"/>
      <c r="D189" s="63"/>
      <c r="E189" s="64"/>
      <c r="F189" s="64"/>
      <c r="G189" s="64"/>
      <c r="H189" s="64"/>
      <c r="I189" s="64">
        <f>-I187-I188</f>
        <v>-196.84999999999945</v>
      </c>
      <c r="J189" s="64"/>
      <c r="K189" s="16"/>
      <c r="L189" s="92"/>
      <c r="M189" s="64"/>
      <c r="N189" s="16"/>
      <c r="O189" s="92"/>
      <c r="P189" s="64"/>
      <c r="Q189" s="40"/>
      <c r="R189" s="46"/>
      <c r="S189" s="39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22"/>
      <c r="AP189" s="30"/>
    </row>
    <row r="190" spans="1:46" s="2" customFormat="1" ht="17.25" customHeight="1" x14ac:dyDescent="0.25">
      <c r="A190" s="29"/>
      <c r="B190" s="201" t="s">
        <v>327</v>
      </c>
      <c r="C190" s="202"/>
      <c r="D190" s="63">
        <f>20+30+30+30+30+30+20+49.62+70+30+40+78+8+30+50+100+55+50-30</f>
        <v>720.62</v>
      </c>
      <c r="E190" s="64"/>
      <c r="F190" s="64"/>
      <c r="G190" s="64"/>
      <c r="H190" s="64"/>
      <c r="I190" s="64">
        <f>-D190</f>
        <v>-720.62</v>
      </c>
      <c r="J190" s="64"/>
      <c r="K190" s="57"/>
      <c r="L190" s="88"/>
      <c r="M190" s="62"/>
      <c r="N190" s="57"/>
      <c r="O190" s="88"/>
      <c r="P190" s="62"/>
      <c r="Q190" s="47"/>
      <c r="R190" s="39"/>
      <c r="S190" s="39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22"/>
      <c r="AQ190" s="10"/>
      <c r="AR190" s="11"/>
    </row>
    <row r="191" spans="1:46" s="2" customFormat="1" ht="17.25" customHeight="1" x14ac:dyDescent="0.25">
      <c r="A191" s="29"/>
      <c r="B191" s="201" t="s">
        <v>328</v>
      </c>
      <c r="C191" s="202"/>
      <c r="D191" s="63">
        <f>-18*0.99+0.99</f>
        <v>-16.830000000000002</v>
      </c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47"/>
      <c r="R191" s="39"/>
      <c r="S191" s="39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22"/>
      <c r="AQ191" s="10"/>
      <c r="AR191" s="11"/>
    </row>
    <row r="192" spans="1:46" s="4" customFormat="1" ht="17.25" customHeight="1" x14ac:dyDescent="0.25">
      <c r="A192" s="23"/>
      <c r="B192" s="201" t="s">
        <v>13</v>
      </c>
      <c r="C192" s="203"/>
      <c r="D192" s="63"/>
      <c r="E192" s="64">
        <f>41.75+20+50+50+27+3+954+1030+1000+443+1524+1893</f>
        <v>7035.75</v>
      </c>
      <c r="F192" s="64"/>
      <c r="G192" s="64"/>
      <c r="H192" s="64">
        <f>-E192</f>
        <v>-7035.75</v>
      </c>
      <c r="I192" s="66"/>
      <c r="J192" s="64"/>
      <c r="K192" s="16"/>
      <c r="L192" s="92"/>
      <c r="M192" s="64"/>
      <c r="N192" s="16"/>
      <c r="O192" s="92"/>
      <c r="P192" s="64"/>
      <c r="Q192" s="40"/>
      <c r="R192" s="46">
        <f>-D192</f>
        <v>0</v>
      </c>
      <c r="S192" s="39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22"/>
      <c r="AP192" s="30"/>
    </row>
    <row r="193" spans="1:46" s="2" customFormat="1" ht="17.25" customHeight="1" x14ac:dyDescent="0.25">
      <c r="A193" s="24"/>
      <c r="B193" s="201" t="s">
        <v>376</v>
      </c>
      <c r="C193" s="203"/>
      <c r="D193" s="63"/>
      <c r="E193" s="64">
        <v>-168.3</v>
      </c>
      <c r="F193" s="64"/>
      <c r="G193" s="64"/>
      <c r="H193" s="64"/>
      <c r="I193" s="64"/>
      <c r="J193" s="64"/>
      <c r="K193" s="16"/>
      <c r="L193" s="92"/>
      <c r="M193" s="64"/>
      <c r="N193" s="16"/>
      <c r="O193" s="92"/>
      <c r="P193" s="64"/>
      <c r="Q193" s="40"/>
      <c r="R193" s="40"/>
      <c r="S193" s="39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22"/>
      <c r="AQ193" s="10"/>
      <c r="AR193" s="11"/>
    </row>
    <row r="194" spans="1:46" s="2" customFormat="1" ht="17.25" customHeight="1" x14ac:dyDescent="0.2">
      <c r="A194" s="23"/>
      <c r="B194" s="211" t="s">
        <v>447</v>
      </c>
      <c r="C194" s="206"/>
      <c r="D194" s="64"/>
      <c r="E194" s="64"/>
      <c r="F194" s="64"/>
      <c r="G194" s="74"/>
      <c r="H194" s="64"/>
      <c r="I194" s="64"/>
      <c r="J194" s="64"/>
      <c r="K194" s="167">
        <v>7000</v>
      </c>
      <c r="L194" s="92">
        <v>4.9314285</v>
      </c>
      <c r="M194" s="64">
        <f>K194*L194</f>
        <v>34519.999499999998</v>
      </c>
      <c r="N194" s="167"/>
      <c r="O194" s="92"/>
      <c r="P194" s="64"/>
      <c r="Q194" s="46">
        <f>-M194</f>
        <v>-34519.999499999998</v>
      </c>
      <c r="R194" s="39"/>
      <c r="S194" s="40"/>
      <c r="T194" s="16"/>
      <c r="U194" s="16"/>
      <c r="V194" s="16">
        <f>-D194</f>
        <v>0</v>
      </c>
      <c r="W194" s="16"/>
      <c r="X194" s="16"/>
      <c r="Y194" s="19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35"/>
      <c r="AQ194" s="10"/>
      <c r="AR194" s="27"/>
    </row>
    <row r="195" spans="1:46" s="2" customFormat="1" ht="17.25" customHeight="1" thickBot="1" x14ac:dyDescent="0.25">
      <c r="A195" s="24"/>
      <c r="B195" s="216"/>
      <c r="C195" s="242"/>
      <c r="D195" s="83"/>
      <c r="E195" s="81"/>
      <c r="F195" s="81"/>
      <c r="G195" s="81"/>
      <c r="H195" s="81"/>
      <c r="I195" s="81"/>
      <c r="J195" s="81"/>
      <c r="K195" s="37"/>
      <c r="L195" s="93"/>
      <c r="M195" s="81"/>
      <c r="N195" s="37"/>
      <c r="O195" s="93"/>
      <c r="P195" s="81"/>
      <c r="Q195" s="40"/>
      <c r="R195" s="40"/>
      <c r="S195" s="39"/>
      <c r="T195" s="16"/>
      <c r="U195" s="16"/>
      <c r="V195" s="16"/>
      <c r="W195" s="16"/>
      <c r="X195" s="16"/>
      <c r="Y195" s="19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41"/>
      <c r="AQ195" s="10"/>
      <c r="AR195" s="11"/>
    </row>
    <row r="196" spans="1:46" s="4" customFormat="1" ht="17.25" customHeight="1" x14ac:dyDescent="0.25">
      <c r="A196" s="23"/>
      <c r="B196" s="210" t="s">
        <v>94</v>
      </c>
      <c r="C196" s="203"/>
      <c r="D196" s="66"/>
      <c r="E196" s="66"/>
      <c r="F196" s="135"/>
      <c r="G196" s="135"/>
      <c r="H196" s="66"/>
      <c r="I196" s="66"/>
      <c r="J196" s="66">
        <f>-M196</f>
        <v>9412.9</v>
      </c>
      <c r="K196" s="58">
        <v>-1582</v>
      </c>
      <c r="L196" s="89">
        <v>5.95</v>
      </c>
      <c r="M196" s="73">
        <f>K196*L196</f>
        <v>-9412.9</v>
      </c>
      <c r="N196" s="58"/>
      <c r="O196" s="89"/>
      <c r="P196" s="73"/>
      <c r="Q196" s="39"/>
      <c r="R196" s="39"/>
      <c r="S196" s="8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35"/>
      <c r="AP196" s="12" t="e">
        <f>#REF!</f>
        <v>#REF!</v>
      </c>
    </row>
    <row r="197" spans="1:46" s="4" customFormat="1" ht="17.25" customHeight="1" x14ac:dyDescent="0.25">
      <c r="A197" s="23"/>
      <c r="B197" s="201" t="s">
        <v>95</v>
      </c>
      <c r="C197" s="202"/>
      <c r="D197" s="64"/>
      <c r="E197" s="64"/>
      <c r="F197" s="117"/>
      <c r="G197" s="117"/>
      <c r="H197" s="64"/>
      <c r="I197" s="64"/>
      <c r="J197" s="64">
        <f>-P197</f>
        <v>8102.88</v>
      </c>
      <c r="K197" s="57"/>
      <c r="L197" s="88"/>
      <c r="M197" s="62"/>
      <c r="N197" s="57">
        <v>-1986</v>
      </c>
      <c r="O197" s="88">
        <v>4.08</v>
      </c>
      <c r="P197" s="62">
        <f>N197*O197</f>
        <v>-8102.88</v>
      </c>
      <c r="Q197" s="39"/>
      <c r="R197" s="39"/>
      <c r="S197" s="8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35"/>
      <c r="AP197" s="12" t="e">
        <f>#REF!</f>
        <v>#REF!</v>
      </c>
    </row>
    <row r="198" spans="1:46" s="4" customFormat="1" ht="17.25" customHeight="1" x14ac:dyDescent="0.25">
      <c r="A198" s="23"/>
      <c r="B198" s="201" t="s">
        <v>97</v>
      </c>
      <c r="C198" s="203"/>
      <c r="D198" s="64"/>
      <c r="E198" s="64"/>
      <c r="F198" s="64"/>
      <c r="G198" s="64"/>
      <c r="H198" s="64">
        <f>-J198-I198</f>
        <v>4296.8099999999995</v>
      </c>
      <c r="I198" s="64">
        <v>13218.97</v>
      </c>
      <c r="J198" s="64">
        <f>-SUM(J196:J197)</f>
        <v>-17515.78</v>
      </c>
      <c r="K198" s="57"/>
      <c r="L198" s="88"/>
      <c r="M198" s="62"/>
      <c r="N198" s="57"/>
      <c r="O198" s="88"/>
      <c r="P198" s="62"/>
      <c r="Q198" s="39"/>
      <c r="R198" s="39"/>
      <c r="S198" s="39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22"/>
      <c r="AO198" s="43">
        <f>A170</f>
        <v>0</v>
      </c>
      <c r="AP198" s="12" t="e">
        <f>#REF!</f>
        <v>#REF!</v>
      </c>
      <c r="AT198" s="2"/>
    </row>
    <row r="199" spans="1:46" s="4" customFormat="1" ht="17.25" customHeight="1" x14ac:dyDescent="0.25">
      <c r="A199" s="23"/>
      <c r="B199" s="201" t="s">
        <v>93</v>
      </c>
      <c r="C199" s="202"/>
      <c r="D199" s="64"/>
      <c r="E199" s="64"/>
      <c r="F199" s="64"/>
      <c r="G199" s="64"/>
      <c r="H199" s="64"/>
      <c r="I199" s="64"/>
      <c r="J199" s="64"/>
      <c r="K199" s="57">
        <v>-79</v>
      </c>
      <c r="L199" s="88"/>
      <c r="M199" s="62">
        <f>(K202*(M187+M194)/(K187+K194))-M187-M196-M194</f>
        <v>1021.5312114421467</v>
      </c>
      <c r="N199" s="57">
        <v>-7</v>
      </c>
      <c r="O199" s="88"/>
      <c r="P199" s="62">
        <f>(N202*(P187)/(N187))-P187-P197</f>
        <v>580.85953029934444</v>
      </c>
      <c r="Q199" s="39"/>
      <c r="R199" s="39"/>
      <c r="S199" s="39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22"/>
      <c r="AO199" s="43">
        <f>A181</f>
        <v>0</v>
      </c>
      <c r="AP199" s="12" t="e">
        <f>#REF!</f>
        <v>#REF!</v>
      </c>
      <c r="AT199" s="2"/>
    </row>
    <row r="200" spans="1:46" s="2" customFormat="1" ht="17.25" customHeight="1" x14ac:dyDescent="0.2">
      <c r="A200" s="24"/>
      <c r="B200" s="201"/>
      <c r="C200" s="204"/>
      <c r="D200" s="63"/>
      <c r="E200" s="64"/>
      <c r="F200" s="64"/>
      <c r="G200" s="64"/>
      <c r="H200" s="64"/>
      <c r="I200" s="64"/>
      <c r="J200" s="64"/>
      <c r="K200" s="16"/>
      <c r="L200" s="16"/>
      <c r="M200" s="64"/>
      <c r="N200" s="16"/>
      <c r="O200" s="16"/>
      <c r="P200" s="64"/>
      <c r="Q200" s="46"/>
      <c r="R200" s="46"/>
      <c r="S200" s="39"/>
      <c r="T200" s="16"/>
      <c r="U200" s="16"/>
      <c r="V200" s="16"/>
      <c r="W200" s="16"/>
      <c r="X200" s="16"/>
      <c r="Y200" s="19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43">
        <f>A188</f>
        <v>46066</v>
      </c>
      <c r="AQ200" s="10"/>
      <c r="AR200" s="11"/>
    </row>
    <row r="201" spans="1:46" s="2" customFormat="1" ht="17.25" customHeight="1" thickBot="1" x14ac:dyDescent="0.3">
      <c r="A201" s="56"/>
      <c r="B201" s="101" t="s">
        <v>102</v>
      </c>
      <c r="C201" s="102">
        <f>D202+E202+F202+G202+H202+I202+J202+M202+P202</f>
        <v>208274.84954000008</v>
      </c>
      <c r="D201" s="84"/>
      <c r="E201" s="85"/>
      <c r="F201" s="85"/>
      <c r="G201" s="85"/>
      <c r="H201" s="85"/>
      <c r="I201" s="85"/>
      <c r="J201" s="85"/>
      <c r="K201" s="28"/>
      <c r="L201" s="28"/>
      <c r="M201" s="85"/>
      <c r="N201" s="28"/>
      <c r="O201" s="28"/>
      <c r="P201" s="85"/>
      <c r="Q201" s="48"/>
      <c r="R201" s="48"/>
      <c r="S201" s="51"/>
      <c r="T201" s="28"/>
      <c r="U201" s="28"/>
      <c r="V201" s="28"/>
      <c r="W201" s="28"/>
      <c r="X201" s="28"/>
      <c r="Y201" s="36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42">
        <f>SUM($Q187:AN201)</f>
        <v>-559837.82889999996</v>
      </c>
      <c r="AQ201" s="10"/>
      <c r="AR201" s="11"/>
      <c r="AS201" s="2" t="s">
        <v>5</v>
      </c>
    </row>
    <row r="202" spans="1:46" s="2" customFormat="1" ht="17.25" customHeight="1" thickTop="1" thickBot="1" x14ac:dyDescent="0.3">
      <c r="A202" s="103"/>
      <c r="B202" s="104" t="s">
        <v>103</v>
      </c>
      <c r="C202" s="105">
        <f>AO202</f>
        <v>-351562.97935999988</v>
      </c>
      <c r="D202" s="106">
        <f t="shared" ref="D202:K202" si="24">SUM(D187:D201)</f>
        <v>18957.887040000052</v>
      </c>
      <c r="E202" s="107">
        <f t="shared" si="24"/>
        <v>-33558.990000000013</v>
      </c>
      <c r="F202" s="107">
        <f t="shared" si="24"/>
        <v>0.65000000000145519</v>
      </c>
      <c r="G202" s="107">
        <f t="shared" si="24"/>
        <v>0</v>
      </c>
      <c r="H202" s="107">
        <f t="shared" si="24"/>
        <v>69053.722500000062</v>
      </c>
      <c r="I202" s="107">
        <f t="shared" si="24"/>
        <v>12498.349999999999</v>
      </c>
      <c r="J202" s="107">
        <f t="shared" si="24"/>
        <v>0</v>
      </c>
      <c r="K202" s="108">
        <f t="shared" si="24"/>
        <v>14114</v>
      </c>
      <c r="L202" s="109">
        <f>M202/K202</f>
        <v>5.0519980161541724</v>
      </c>
      <c r="M202" s="107">
        <f>ROUND(SUM(M187:M201),2)</f>
        <v>71303.899999999994</v>
      </c>
      <c r="N202" s="108">
        <f>SUM(N187:N201)</f>
        <v>18552</v>
      </c>
      <c r="O202" s="109">
        <f>P202/N202</f>
        <v>3.774220030185425</v>
      </c>
      <c r="P202" s="107">
        <f>ROUND(SUM(P187:P201),2)</f>
        <v>70019.33</v>
      </c>
      <c r="Q202" s="110">
        <f t="shared" ref="Q202:AN202" si="25">SUM(Q187:Q201)</f>
        <v>-610067.12890000001</v>
      </c>
      <c r="R202" s="107">
        <f t="shared" si="25"/>
        <v>50229.299999999996</v>
      </c>
      <c r="S202" s="107">
        <f t="shared" si="25"/>
        <v>0</v>
      </c>
      <c r="T202" s="107">
        <f t="shared" si="25"/>
        <v>0</v>
      </c>
      <c r="U202" s="107">
        <f t="shared" si="25"/>
        <v>0</v>
      </c>
      <c r="V202" s="107">
        <f t="shared" si="25"/>
        <v>0</v>
      </c>
      <c r="W202" s="107">
        <f t="shared" si="25"/>
        <v>0</v>
      </c>
      <c r="X202" s="107">
        <f t="shared" si="25"/>
        <v>0</v>
      </c>
      <c r="Y202" s="107">
        <f t="shared" si="25"/>
        <v>0</v>
      </c>
      <c r="Z202" s="107">
        <f t="shared" si="25"/>
        <v>0</v>
      </c>
      <c r="AA202" s="107">
        <f t="shared" si="25"/>
        <v>0</v>
      </c>
      <c r="AB202" s="107">
        <f t="shared" si="25"/>
        <v>0</v>
      </c>
      <c r="AC202" s="107">
        <f t="shared" si="25"/>
        <v>0</v>
      </c>
      <c r="AD202" s="107">
        <f t="shared" si="25"/>
        <v>0</v>
      </c>
      <c r="AE202" s="107">
        <f t="shared" si="25"/>
        <v>0</v>
      </c>
      <c r="AF202" s="107">
        <f t="shared" si="25"/>
        <v>0</v>
      </c>
      <c r="AG202" s="107">
        <f t="shared" si="25"/>
        <v>0</v>
      </c>
      <c r="AH202" s="107">
        <f t="shared" si="25"/>
        <v>0</v>
      </c>
      <c r="AI202" s="107">
        <f t="shared" si="25"/>
        <v>0</v>
      </c>
      <c r="AJ202" s="107">
        <f t="shared" si="25"/>
        <v>0</v>
      </c>
      <c r="AK202" s="107">
        <f t="shared" si="25"/>
        <v>0</v>
      </c>
      <c r="AL202" s="107">
        <f t="shared" si="25"/>
        <v>0</v>
      </c>
      <c r="AM202" s="107">
        <f t="shared" si="25"/>
        <v>0</v>
      </c>
      <c r="AN202" s="107">
        <f t="shared" si="25"/>
        <v>0</v>
      </c>
      <c r="AO202" s="111">
        <f>D202+E202+F202+G202+H202+I202+J202+M202+P202+SUM(Q202:AN202)</f>
        <v>-351562.97935999988</v>
      </c>
      <c r="AP202" s="4"/>
      <c r="AQ202" s="5"/>
      <c r="AR202" s="5"/>
      <c r="AS202" s="2" t="s">
        <v>6</v>
      </c>
    </row>
    <row r="203" spans="1:46" s="2" customFormat="1" ht="17.25" customHeight="1" thickTop="1" x14ac:dyDescent="0.25">
      <c r="A203" s="23">
        <f>A188+1</f>
        <v>46067</v>
      </c>
      <c r="B203" s="210" t="s">
        <v>64</v>
      </c>
      <c r="C203" s="203"/>
      <c r="D203" s="63">
        <v>12179.13</v>
      </c>
      <c r="E203" s="66"/>
      <c r="F203" s="66"/>
      <c r="G203" s="66"/>
      <c r="H203" s="66"/>
      <c r="I203" s="66">
        <f>-D203</f>
        <v>-12179.13</v>
      </c>
      <c r="J203" s="66"/>
      <c r="K203" s="18"/>
      <c r="L203" s="18"/>
      <c r="M203" s="66"/>
      <c r="N203" s="18"/>
      <c r="O203" s="18"/>
      <c r="P203" s="66"/>
      <c r="Q203" s="46"/>
      <c r="R203" s="46"/>
      <c r="S203" s="45"/>
      <c r="T203" s="18"/>
      <c r="U203" s="18"/>
      <c r="V203" s="18"/>
      <c r="W203" s="18"/>
      <c r="X203" s="18"/>
      <c r="Y203" s="14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31"/>
      <c r="AQ203" s="10"/>
      <c r="AR203" s="27"/>
    </row>
    <row r="204" spans="1:46" s="4" customFormat="1" ht="17.25" customHeight="1" x14ac:dyDescent="0.25">
      <c r="A204" s="23"/>
      <c r="B204" s="201" t="s">
        <v>96</v>
      </c>
      <c r="C204" s="202"/>
      <c r="D204" s="63"/>
      <c r="E204" s="64"/>
      <c r="F204" s="64"/>
      <c r="G204" s="64"/>
      <c r="H204" s="64"/>
      <c r="I204" s="64">
        <f>-I202-I203</f>
        <v>-319.21999999999935</v>
      </c>
      <c r="J204" s="64"/>
      <c r="K204" s="16"/>
      <c r="L204" s="92"/>
      <c r="M204" s="64"/>
      <c r="N204" s="16"/>
      <c r="O204" s="92"/>
      <c r="P204" s="64"/>
      <c r="Q204" s="40"/>
      <c r="R204" s="46"/>
      <c r="S204" s="39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22"/>
      <c r="AP204" s="30"/>
    </row>
    <row r="205" spans="1:46" s="2" customFormat="1" ht="17.25" customHeight="1" x14ac:dyDescent="0.25">
      <c r="A205" s="29"/>
      <c r="B205" s="201" t="s">
        <v>327</v>
      </c>
      <c r="C205" s="202"/>
      <c r="D205" s="63">
        <f>35+20+70+25+10+10+10+118+190+30+24+8+20+120+70</f>
        <v>760</v>
      </c>
      <c r="E205" s="64"/>
      <c r="F205" s="64"/>
      <c r="G205" s="64"/>
      <c r="H205" s="64"/>
      <c r="I205" s="64">
        <f>-D205</f>
        <v>-760</v>
      </c>
      <c r="J205" s="64"/>
      <c r="K205" s="57"/>
      <c r="L205" s="88"/>
      <c r="M205" s="62"/>
      <c r="N205" s="57"/>
      <c r="O205" s="88"/>
      <c r="P205" s="62"/>
      <c r="Q205" s="47"/>
      <c r="R205" s="39"/>
      <c r="S205" s="39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22"/>
      <c r="AQ205" s="10"/>
      <c r="AR205" s="11"/>
    </row>
    <row r="206" spans="1:46" s="2" customFormat="1" ht="17.25" customHeight="1" x14ac:dyDescent="0.25">
      <c r="A206" s="29"/>
      <c r="B206" s="201" t="s">
        <v>328</v>
      </c>
      <c r="C206" s="202"/>
      <c r="D206" s="63">
        <f>-14*0.99-1.52</f>
        <v>-15.379999999999999</v>
      </c>
      <c r="E206" s="64"/>
      <c r="F206" s="64"/>
      <c r="G206" s="64"/>
      <c r="H206" s="64"/>
      <c r="I206" s="64"/>
      <c r="J206" s="64"/>
      <c r="K206" s="57"/>
      <c r="L206" s="88"/>
      <c r="M206" s="62"/>
      <c r="N206" s="57"/>
      <c r="O206" s="88"/>
      <c r="P206" s="62"/>
      <c r="Q206" s="47"/>
      <c r="R206" s="39"/>
      <c r="S206" s="39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22"/>
      <c r="AQ206" s="10"/>
      <c r="AR206" s="11"/>
    </row>
    <row r="207" spans="1:46" s="2" customFormat="1" ht="17.25" customHeight="1" thickBot="1" x14ac:dyDescent="0.25">
      <c r="A207" s="24"/>
      <c r="B207" s="216"/>
      <c r="C207" s="217"/>
      <c r="D207" s="83"/>
      <c r="E207" s="81"/>
      <c r="F207" s="81"/>
      <c r="G207" s="81"/>
      <c r="H207" s="81"/>
      <c r="I207" s="81"/>
      <c r="J207" s="81"/>
      <c r="K207" s="37"/>
      <c r="L207" s="93"/>
      <c r="M207" s="81"/>
      <c r="N207" s="37"/>
      <c r="O207" s="93"/>
      <c r="P207" s="81"/>
      <c r="Q207" s="40"/>
      <c r="R207" s="40"/>
      <c r="S207" s="39"/>
      <c r="T207" s="16"/>
      <c r="U207" s="16"/>
      <c r="V207" s="16"/>
      <c r="W207" s="16"/>
      <c r="X207" s="16"/>
      <c r="Y207" s="19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41"/>
      <c r="AQ207" s="10"/>
      <c r="AR207" s="11"/>
    </row>
    <row r="208" spans="1:46" s="4" customFormat="1" ht="17.25" customHeight="1" x14ac:dyDescent="0.25">
      <c r="A208" s="23"/>
      <c r="B208" s="210" t="s">
        <v>94</v>
      </c>
      <c r="C208" s="203"/>
      <c r="D208" s="66"/>
      <c r="E208" s="66"/>
      <c r="F208" s="117"/>
      <c r="G208" s="117"/>
      <c r="H208" s="66"/>
      <c r="I208" s="66"/>
      <c r="J208" s="66">
        <f>-M208</f>
        <v>7574.35</v>
      </c>
      <c r="K208" s="58">
        <v>-1273</v>
      </c>
      <c r="L208" s="89">
        <v>5.95</v>
      </c>
      <c r="M208" s="73">
        <f>K208*L208</f>
        <v>-7574.35</v>
      </c>
      <c r="N208" s="58"/>
      <c r="O208" s="89"/>
      <c r="P208" s="73"/>
      <c r="Q208" s="39"/>
      <c r="R208" s="39"/>
      <c r="S208" s="8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35"/>
      <c r="AP208" s="12" t="e">
        <f>#REF!</f>
        <v>#REF!</v>
      </c>
    </row>
    <row r="209" spans="1:46" s="4" customFormat="1" ht="17.25" customHeight="1" x14ac:dyDescent="0.25">
      <c r="A209" s="23"/>
      <c r="B209" s="201" t="s">
        <v>95</v>
      </c>
      <c r="C209" s="202"/>
      <c r="D209" s="64"/>
      <c r="E209" s="64"/>
      <c r="F209" s="117"/>
      <c r="G209" s="117"/>
      <c r="H209" s="64"/>
      <c r="I209" s="64"/>
      <c r="J209" s="64">
        <f>-P209</f>
        <v>7625.52</v>
      </c>
      <c r="K209" s="57"/>
      <c r="L209" s="88"/>
      <c r="M209" s="62"/>
      <c r="N209" s="57">
        <v>-1869</v>
      </c>
      <c r="O209" s="88">
        <v>4.08</v>
      </c>
      <c r="P209" s="62">
        <f>N209*O209</f>
        <v>-7625.52</v>
      </c>
      <c r="Q209" s="39"/>
      <c r="R209" s="39"/>
      <c r="S209" s="8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35"/>
      <c r="AP209" s="12" t="e">
        <f>#REF!</f>
        <v>#REF!</v>
      </c>
    </row>
    <row r="210" spans="1:46" s="4" customFormat="1" ht="17.25" customHeight="1" x14ac:dyDescent="0.25">
      <c r="A210" s="23"/>
      <c r="B210" s="201" t="s">
        <v>97</v>
      </c>
      <c r="C210" s="203"/>
      <c r="D210" s="64"/>
      <c r="E210" s="64"/>
      <c r="F210" s="64"/>
      <c r="G210" s="64"/>
      <c r="H210" s="64">
        <f>-J210-I210</f>
        <v>4766.9100000000017</v>
      </c>
      <c r="I210" s="64">
        <v>10432.959999999999</v>
      </c>
      <c r="J210" s="64">
        <f>-SUM(J208:J209)</f>
        <v>-15199.87</v>
      </c>
      <c r="K210" s="57"/>
      <c r="L210" s="88"/>
      <c r="M210" s="62"/>
      <c r="N210" s="57"/>
      <c r="O210" s="88"/>
      <c r="P210" s="62"/>
      <c r="Q210" s="39"/>
      <c r="R210" s="39"/>
      <c r="S210" s="39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22"/>
      <c r="AO210" s="43">
        <f>A184</f>
        <v>0</v>
      </c>
      <c r="AP210" s="12" t="e">
        <f>#REF!</f>
        <v>#REF!</v>
      </c>
      <c r="AT210" s="2"/>
    </row>
    <row r="211" spans="1:46" s="4" customFormat="1" ht="17.25" customHeight="1" x14ac:dyDescent="0.25">
      <c r="A211" s="23"/>
      <c r="B211" s="201" t="s">
        <v>93</v>
      </c>
      <c r="C211" s="202"/>
      <c r="D211" s="64"/>
      <c r="E211" s="64"/>
      <c r="F211" s="64"/>
      <c r="G211" s="64"/>
      <c r="H211" s="64"/>
      <c r="I211" s="64"/>
      <c r="J211" s="64"/>
      <c r="K211" s="57">
        <v>31</v>
      </c>
      <c r="L211" s="88"/>
      <c r="M211" s="62">
        <f>(K214*L202)-M202-M208</f>
        <v>1299.7684639365125</v>
      </c>
      <c r="N211" s="57">
        <v>59</v>
      </c>
      <c r="O211" s="88"/>
      <c r="P211" s="62">
        <f>(N214*O202)-P202-P209</f>
        <v>794.18174536438528</v>
      </c>
      <c r="Q211" s="39"/>
      <c r="R211" s="39"/>
      <c r="S211" s="39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22"/>
      <c r="AO211" s="43">
        <f>A196</f>
        <v>0</v>
      </c>
      <c r="AP211" s="12" t="e">
        <f>#REF!</f>
        <v>#REF!</v>
      </c>
      <c r="AT211" s="2"/>
    </row>
    <row r="212" spans="1:46" s="2" customFormat="1" ht="17.25" customHeight="1" x14ac:dyDescent="0.2">
      <c r="A212" s="24"/>
      <c r="B212" s="201"/>
      <c r="C212" s="204"/>
      <c r="D212" s="63"/>
      <c r="E212" s="64"/>
      <c r="F212" s="64"/>
      <c r="G212" s="64"/>
      <c r="H212" s="64"/>
      <c r="I212" s="64"/>
      <c r="J212" s="64"/>
      <c r="K212" s="16"/>
      <c r="L212" s="16"/>
      <c r="M212" s="64"/>
      <c r="N212" s="16"/>
      <c r="O212" s="16"/>
      <c r="P212" s="64"/>
      <c r="Q212" s="46"/>
      <c r="R212" s="46"/>
      <c r="S212" s="39"/>
      <c r="T212" s="16"/>
      <c r="U212" s="16"/>
      <c r="V212" s="16"/>
      <c r="W212" s="16"/>
      <c r="X212" s="16"/>
      <c r="Y212" s="19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43">
        <f>A203</f>
        <v>46067</v>
      </c>
      <c r="AQ212" s="10"/>
      <c r="AR212" s="11"/>
    </row>
    <row r="213" spans="1:46" s="2" customFormat="1" ht="17.25" customHeight="1" thickBot="1" x14ac:dyDescent="0.3">
      <c r="A213" s="56"/>
      <c r="B213" s="101" t="s">
        <v>102</v>
      </c>
      <c r="C213" s="102">
        <f>D214+E214+F214+G214+H214+I214+J214+M214+P214</f>
        <v>210034.19954000009</v>
      </c>
      <c r="D213" s="84"/>
      <c r="E213" s="85"/>
      <c r="F213" s="85"/>
      <c r="G213" s="85"/>
      <c r="H213" s="85"/>
      <c r="I213" s="85"/>
      <c r="J213" s="85"/>
      <c r="K213" s="28"/>
      <c r="L213" s="28"/>
      <c r="M213" s="85"/>
      <c r="N213" s="28"/>
      <c r="O213" s="28"/>
      <c r="P213" s="85"/>
      <c r="Q213" s="48"/>
      <c r="R213" s="48"/>
      <c r="S213" s="51"/>
      <c r="T213" s="28"/>
      <c r="U213" s="28"/>
      <c r="V213" s="28"/>
      <c r="W213" s="28"/>
      <c r="X213" s="28"/>
      <c r="Y213" s="36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42">
        <f>SUM($Q202:AN213)</f>
        <v>-559837.82889999996</v>
      </c>
      <c r="AQ213" s="10"/>
      <c r="AR213" s="11"/>
      <c r="AS213" s="2" t="s">
        <v>5</v>
      </c>
    </row>
    <row r="214" spans="1:46" s="2" customFormat="1" ht="17.25" customHeight="1" thickTop="1" thickBot="1" x14ac:dyDescent="0.3">
      <c r="A214" s="103"/>
      <c r="B214" s="104" t="s">
        <v>103</v>
      </c>
      <c r="C214" s="105">
        <f>AO214</f>
        <v>-349803.6293599999</v>
      </c>
      <c r="D214" s="106">
        <f t="shared" ref="D214:K214" si="26">SUM(D202:D213)</f>
        <v>31881.637040000049</v>
      </c>
      <c r="E214" s="107">
        <f t="shared" si="26"/>
        <v>-33558.990000000013</v>
      </c>
      <c r="F214" s="107">
        <f t="shared" si="26"/>
        <v>0.65000000000145519</v>
      </c>
      <c r="G214" s="107">
        <f t="shared" si="26"/>
        <v>0</v>
      </c>
      <c r="H214" s="107">
        <f t="shared" si="26"/>
        <v>73820.632500000065</v>
      </c>
      <c r="I214" s="107">
        <f t="shared" si="26"/>
        <v>9672.9599999999991</v>
      </c>
      <c r="J214" s="107">
        <f t="shared" si="26"/>
        <v>0</v>
      </c>
      <c r="K214" s="108">
        <f t="shared" si="26"/>
        <v>12872</v>
      </c>
      <c r="L214" s="109">
        <f>M214/K214</f>
        <v>5.0519981354878807</v>
      </c>
      <c r="M214" s="107">
        <f>ROUND(SUM(M202:M213),2)</f>
        <v>65029.32</v>
      </c>
      <c r="N214" s="108">
        <f>SUM(N202:N213)</f>
        <v>16742</v>
      </c>
      <c r="O214" s="109">
        <f>P214/N214</f>
        <v>3.7742199259347746</v>
      </c>
      <c r="P214" s="107">
        <f>ROUND(SUM(P202:P213),2)</f>
        <v>63187.99</v>
      </c>
      <c r="Q214" s="110">
        <f t="shared" ref="Q214:AN214" si="27">SUM(Q202:Q213)</f>
        <v>-610067.12890000001</v>
      </c>
      <c r="R214" s="107">
        <f t="shared" si="27"/>
        <v>50229.299999999996</v>
      </c>
      <c r="S214" s="107">
        <f t="shared" si="27"/>
        <v>0</v>
      </c>
      <c r="T214" s="107">
        <f t="shared" si="27"/>
        <v>0</v>
      </c>
      <c r="U214" s="107">
        <f t="shared" si="27"/>
        <v>0</v>
      </c>
      <c r="V214" s="107">
        <f t="shared" si="27"/>
        <v>0</v>
      </c>
      <c r="W214" s="107">
        <f t="shared" si="27"/>
        <v>0</v>
      </c>
      <c r="X214" s="107">
        <f t="shared" si="27"/>
        <v>0</v>
      </c>
      <c r="Y214" s="107">
        <f t="shared" si="27"/>
        <v>0</v>
      </c>
      <c r="Z214" s="107">
        <f t="shared" si="27"/>
        <v>0</v>
      </c>
      <c r="AA214" s="107">
        <f t="shared" si="27"/>
        <v>0</v>
      </c>
      <c r="AB214" s="107">
        <f t="shared" si="27"/>
        <v>0</v>
      </c>
      <c r="AC214" s="107">
        <f t="shared" si="27"/>
        <v>0</v>
      </c>
      <c r="AD214" s="107">
        <f t="shared" si="27"/>
        <v>0</v>
      </c>
      <c r="AE214" s="107">
        <f t="shared" si="27"/>
        <v>0</v>
      </c>
      <c r="AF214" s="107">
        <f t="shared" si="27"/>
        <v>0</v>
      </c>
      <c r="AG214" s="107">
        <f t="shared" si="27"/>
        <v>0</v>
      </c>
      <c r="AH214" s="107">
        <f t="shared" si="27"/>
        <v>0</v>
      </c>
      <c r="AI214" s="107">
        <f t="shared" si="27"/>
        <v>0</v>
      </c>
      <c r="AJ214" s="107">
        <f t="shared" si="27"/>
        <v>0</v>
      </c>
      <c r="AK214" s="107">
        <f t="shared" si="27"/>
        <v>0</v>
      </c>
      <c r="AL214" s="107">
        <f t="shared" si="27"/>
        <v>0</v>
      </c>
      <c r="AM214" s="107">
        <f t="shared" si="27"/>
        <v>0</v>
      </c>
      <c r="AN214" s="107">
        <f t="shared" si="27"/>
        <v>0</v>
      </c>
      <c r="AO214" s="111">
        <f>D214+E214+F214+G214+H214+I214+J214+M214+P214+SUM(Q214:AN214)</f>
        <v>-349803.6293599999</v>
      </c>
      <c r="AP214" s="4"/>
      <c r="AQ214" s="5"/>
      <c r="AR214" s="5"/>
      <c r="AS214" s="2" t="s">
        <v>6</v>
      </c>
    </row>
    <row r="215" spans="1:46" s="2" customFormat="1" ht="17.25" customHeight="1" thickTop="1" x14ac:dyDescent="0.25">
      <c r="A215" s="23">
        <f>A203+1</f>
        <v>46068</v>
      </c>
      <c r="B215" s="210" t="s">
        <v>64</v>
      </c>
      <c r="C215" s="203"/>
      <c r="D215" s="63">
        <v>9448.7999999999993</v>
      </c>
      <c r="E215" s="66"/>
      <c r="F215" s="66"/>
      <c r="G215" s="66"/>
      <c r="H215" s="66"/>
      <c r="I215" s="66">
        <f>-D215</f>
        <v>-9448.7999999999993</v>
      </c>
      <c r="J215" s="66"/>
      <c r="K215" s="18"/>
      <c r="L215" s="18"/>
      <c r="M215" s="66"/>
      <c r="N215" s="18"/>
      <c r="O215" s="18"/>
      <c r="P215" s="66"/>
      <c r="Q215" s="46"/>
      <c r="R215" s="46"/>
      <c r="S215" s="45"/>
      <c r="T215" s="18"/>
      <c r="U215" s="18"/>
      <c r="V215" s="18"/>
      <c r="W215" s="18"/>
      <c r="X215" s="18"/>
      <c r="Y215" s="14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31"/>
      <c r="AQ215" s="10"/>
      <c r="AR215" s="27"/>
    </row>
    <row r="216" spans="1:46" s="4" customFormat="1" ht="17.25" customHeight="1" x14ac:dyDescent="0.25">
      <c r="A216" s="23"/>
      <c r="B216" s="201" t="s">
        <v>96</v>
      </c>
      <c r="C216" s="202"/>
      <c r="D216" s="63"/>
      <c r="E216" s="64"/>
      <c r="F216" s="64"/>
      <c r="G216" s="64"/>
      <c r="H216" s="64"/>
      <c r="I216" s="64">
        <f>-I214-I215</f>
        <v>-224.15999999999985</v>
      </c>
      <c r="J216" s="64"/>
      <c r="K216" s="16"/>
      <c r="L216" s="92"/>
      <c r="M216" s="64"/>
      <c r="N216" s="16"/>
      <c r="O216" s="92"/>
      <c r="P216" s="64"/>
      <c r="Q216" s="40"/>
      <c r="R216" s="46"/>
      <c r="S216" s="39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22"/>
      <c r="AP216" s="30"/>
    </row>
    <row r="217" spans="1:46" s="2" customFormat="1" ht="17.25" customHeight="1" x14ac:dyDescent="0.25">
      <c r="A217" s="29"/>
      <c r="B217" s="201" t="s">
        <v>327</v>
      </c>
      <c r="C217" s="202"/>
      <c r="D217" s="63">
        <f>55+55+40+25+29+30+5+50</f>
        <v>289</v>
      </c>
      <c r="E217" s="64"/>
      <c r="F217" s="64"/>
      <c r="G217" s="64"/>
      <c r="H217" s="64"/>
      <c r="I217" s="64">
        <f>-D217</f>
        <v>-289</v>
      </c>
      <c r="J217" s="64"/>
      <c r="K217" s="57"/>
      <c r="L217" s="88"/>
      <c r="M217" s="62"/>
      <c r="N217" s="57"/>
      <c r="O217" s="88"/>
      <c r="P217" s="62"/>
      <c r="Q217" s="47"/>
      <c r="R217" s="39"/>
      <c r="S217" s="39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22"/>
      <c r="AQ217" s="10"/>
      <c r="AR217" s="11"/>
    </row>
    <row r="218" spans="1:46" s="2" customFormat="1" ht="17.25" customHeight="1" x14ac:dyDescent="0.25">
      <c r="A218" s="29"/>
      <c r="B218" s="201" t="s">
        <v>328</v>
      </c>
      <c r="C218" s="202"/>
      <c r="D218" s="63">
        <f>-8*0.99</f>
        <v>-7.92</v>
      </c>
      <c r="E218" s="64"/>
      <c r="F218" s="64"/>
      <c r="G218" s="64"/>
      <c r="H218" s="64"/>
      <c r="I218" s="64"/>
      <c r="J218" s="64"/>
      <c r="K218" s="57"/>
      <c r="L218" s="88"/>
      <c r="M218" s="62"/>
      <c r="N218" s="57"/>
      <c r="O218" s="88"/>
      <c r="P218" s="62"/>
      <c r="Q218" s="47"/>
      <c r="R218" s="39"/>
      <c r="S218" s="39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22"/>
      <c r="AQ218" s="10"/>
      <c r="AR218" s="11"/>
    </row>
    <row r="219" spans="1:46" s="2" customFormat="1" ht="17.25" customHeight="1" thickBot="1" x14ac:dyDescent="0.25">
      <c r="A219" s="24"/>
      <c r="B219" s="216"/>
      <c r="C219" s="217"/>
      <c r="D219" s="83"/>
      <c r="E219" s="81"/>
      <c r="F219" s="81"/>
      <c r="G219" s="81"/>
      <c r="H219" s="81"/>
      <c r="I219" s="81"/>
      <c r="J219" s="81"/>
      <c r="K219" s="37"/>
      <c r="L219" s="93"/>
      <c r="M219" s="81"/>
      <c r="N219" s="37"/>
      <c r="O219" s="93"/>
      <c r="P219" s="81"/>
      <c r="Q219" s="40"/>
      <c r="R219" s="40"/>
      <c r="S219" s="39"/>
      <c r="T219" s="16"/>
      <c r="U219" s="16"/>
      <c r="V219" s="16"/>
      <c r="W219" s="16"/>
      <c r="X219" s="16"/>
      <c r="Y219" s="19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41"/>
      <c r="AQ219" s="10"/>
      <c r="AR219" s="11"/>
    </row>
    <row r="220" spans="1:46" s="4" customFormat="1" ht="17.25" customHeight="1" x14ac:dyDescent="0.25">
      <c r="A220" s="23"/>
      <c r="B220" s="210" t="s">
        <v>94</v>
      </c>
      <c r="C220" s="203"/>
      <c r="D220" s="66"/>
      <c r="E220" s="66"/>
      <c r="F220" s="117"/>
      <c r="G220" s="117"/>
      <c r="H220" s="66"/>
      <c r="I220" s="66"/>
      <c r="J220" s="66">
        <f>-M220</f>
        <v>5652.5</v>
      </c>
      <c r="K220" s="58">
        <v>-950</v>
      </c>
      <c r="L220" s="89">
        <v>5.95</v>
      </c>
      <c r="M220" s="73">
        <f>K220*L220</f>
        <v>-5652.5</v>
      </c>
      <c r="N220" s="58"/>
      <c r="O220" s="89"/>
      <c r="P220" s="73"/>
      <c r="Q220" s="39"/>
      <c r="R220" s="39"/>
      <c r="S220" s="8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35"/>
      <c r="AP220" s="12" t="e">
        <f>#REF!</f>
        <v>#REF!</v>
      </c>
    </row>
    <row r="221" spans="1:46" s="4" customFormat="1" ht="17.25" customHeight="1" x14ac:dyDescent="0.25">
      <c r="A221" s="23"/>
      <c r="B221" s="201" t="s">
        <v>95</v>
      </c>
      <c r="C221" s="202"/>
      <c r="D221" s="64"/>
      <c r="E221" s="64"/>
      <c r="F221" s="117"/>
      <c r="G221" s="117"/>
      <c r="H221" s="64"/>
      <c r="I221" s="64"/>
      <c r="J221" s="64">
        <f>-P221</f>
        <v>3994.32</v>
      </c>
      <c r="K221" s="57"/>
      <c r="L221" s="88"/>
      <c r="M221" s="62"/>
      <c r="N221" s="57">
        <v>-979</v>
      </c>
      <c r="O221" s="88">
        <v>4.08</v>
      </c>
      <c r="P221" s="62">
        <f>N221*O221</f>
        <v>-3994.32</v>
      </c>
      <c r="Q221" s="39"/>
      <c r="R221" s="39"/>
      <c r="S221" s="8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35"/>
      <c r="AP221" s="12" t="e">
        <f>#REF!</f>
        <v>#REF!</v>
      </c>
    </row>
    <row r="222" spans="1:46" s="4" customFormat="1" ht="17.25" customHeight="1" x14ac:dyDescent="0.25">
      <c r="A222" s="23"/>
      <c r="B222" s="201" t="s">
        <v>97</v>
      </c>
      <c r="C222" s="203"/>
      <c r="D222" s="64"/>
      <c r="E222" s="64"/>
      <c r="F222" s="64"/>
      <c r="G222" s="64"/>
      <c r="H222" s="64">
        <f>-J222-I222</f>
        <v>2625.45</v>
      </c>
      <c r="I222" s="64">
        <v>7021.37</v>
      </c>
      <c r="J222" s="64">
        <f>-SUM(J220:J221)</f>
        <v>-9646.82</v>
      </c>
      <c r="K222" s="57"/>
      <c r="L222" s="88"/>
      <c r="M222" s="62"/>
      <c r="N222" s="57"/>
      <c r="O222" s="88"/>
      <c r="P222" s="62"/>
      <c r="Q222" s="39"/>
      <c r="R222" s="39"/>
      <c r="S222" s="39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22"/>
      <c r="AO222" s="43">
        <f>A199</f>
        <v>0</v>
      </c>
      <c r="AP222" s="12" t="e">
        <f>#REF!</f>
        <v>#REF!</v>
      </c>
      <c r="AT222" s="2"/>
    </row>
    <row r="223" spans="1:46" s="4" customFormat="1" ht="17.25" customHeight="1" x14ac:dyDescent="0.25">
      <c r="A223" s="23"/>
      <c r="B223" s="201" t="s">
        <v>93</v>
      </c>
      <c r="C223" s="202"/>
      <c r="D223" s="64"/>
      <c r="E223" s="64"/>
      <c r="F223" s="64"/>
      <c r="G223" s="64"/>
      <c r="H223" s="64"/>
      <c r="I223" s="64"/>
      <c r="J223" s="64"/>
      <c r="K223" s="57">
        <v>-33</v>
      </c>
      <c r="L223" s="88"/>
      <c r="M223" s="62">
        <f>(K226*(M214)/(K214))-M214-M220</f>
        <v>686.38583281541651</v>
      </c>
      <c r="N223" s="57">
        <v>-174</v>
      </c>
      <c r="O223" s="88"/>
      <c r="P223" s="62">
        <f>(N226*(P214)/(N214))-P214-P221</f>
        <v>-357.35557460279188</v>
      </c>
      <c r="Q223" s="39"/>
      <c r="R223" s="39"/>
      <c r="S223" s="39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22"/>
      <c r="AO223" s="43">
        <f>A208</f>
        <v>0</v>
      </c>
      <c r="AP223" s="12" t="e">
        <f>#REF!</f>
        <v>#REF!</v>
      </c>
      <c r="AT223" s="2"/>
    </row>
    <row r="224" spans="1:46" s="2" customFormat="1" ht="17.25" customHeight="1" x14ac:dyDescent="0.2">
      <c r="A224" s="24"/>
      <c r="B224" s="201"/>
      <c r="C224" s="204"/>
      <c r="D224" s="63"/>
      <c r="E224" s="64"/>
      <c r="F224" s="64"/>
      <c r="G224" s="64"/>
      <c r="H224" s="64"/>
      <c r="I224" s="64"/>
      <c r="J224" s="64"/>
      <c r="K224" s="16"/>
      <c r="L224" s="16"/>
      <c r="M224" s="64"/>
      <c r="N224" s="16"/>
      <c r="O224" s="16"/>
      <c r="P224" s="64"/>
      <c r="Q224" s="46"/>
      <c r="R224" s="46"/>
      <c r="S224" s="39"/>
      <c r="T224" s="16"/>
      <c r="U224" s="16"/>
      <c r="V224" s="16"/>
      <c r="W224" s="16"/>
      <c r="X224" s="16"/>
      <c r="Y224" s="19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43">
        <f>A215</f>
        <v>46068</v>
      </c>
      <c r="AQ224" s="10"/>
      <c r="AR224" s="11"/>
    </row>
    <row r="225" spans="1:46" s="2" customFormat="1" ht="17.25" customHeight="1" thickBot="1" x14ac:dyDescent="0.3">
      <c r="A225" s="56"/>
      <c r="B225" s="101" t="s">
        <v>102</v>
      </c>
      <c r="C225" s="102">
        <f>D226+E226+F226+G226+H226+I226+J226+M226+P226</f>
        <v>210131.1495400001</v>
      </c>
      <c r="D225" s="84"/>
      <c r="E225" s="85"/>
      <c r="F225" s="85"/>
      <c r="G225" s="85"/>
      <c r="H225" s="85"/>
      <c r="I225" s="85"/>
      <c r="J225" s="85"/>
      <c r="K225" s="28"/>
      <c r="L225" s="28"/>
      <c r="M225" s="85"/>
      <c r="N225" s="28"/>
      <c r="O225" s="28"/>
      <c r="P225" s="85"/>
      <c r="Q225" s="48"/>
      <c r="R225" s="48"/>
      <c r="S225" s="51"/>
      <c r="T225" s="28"/>
      <c r="U225" s="28"/>
      <c r="V225" s="28"/>
      <c r="W225" s="28"/>
      <c r="X225" s="28"/>
      <c r="Y225" s="36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42">
        <f>SUM($Q214:AN225)</f>
        <v>-559837.82889999996</v>
      </c>
      <c r="AQ225" s="10"/>
      <c r="AR225" s="11"/>
      <c r="AS225" s="2" t="s">
        <v>5</v>
      </c>
    </row>
    <row r="226" spans="1:46" s="2" customFormat="1" ht="17.25" customHeight="1" thickTop="1" thickBot="1" x14ac:dyDescent="0.3">
      <c r="A226" s="103"/>
      <c r="B226" s="104" t="s">
        <v>103</v>
      </c>
      <c r="C226" s="105">
        <f>AO226</f>
        <v>-349706.67935999983</v>
      </c>
      <c r="D226" s="106">
        <f t="shared" ref="D226:K226" si="28">SUM(D214:D225)</f>
        <v>41611.51704000005</v>
      </c>
      <c r="E226" s="107">
        <f t="shared" si="28"/>
        <v>-33558.990000000013</v>
      </c>
      <c r="F226" s="107">
        <f t="shared" si="28"/>
        <v>0.65000000000145519</v>
      </c>
      <c r="G226" s="107">
        <f t="shared" si="28"/>
        <v>0</v>
      </c>
      <c r="H226" s="107">
        <f t="shared" si="28"/>
        <v>76446.082500000062</v>
      </c>
      <c r="I226" s="107">
        <f t="shared" si="28"/>
        <v>6732.37</v>
      </c>
      <c r="J226" s="107">
        <f t="shared" si="28"/>
        <v>0</v>
      </c>
      <c r="K226" s="108">
        <f t="shared" si="28"/>
        <v>11889</v>
      </c>
      <c r="L226" s="109">
        <f>M226/K226</f>
        <v>5.0519984859954583</v>
      </c>
      <c r="M226" s="107">
        <f>ROUND(SUM(M214:M225),2)</f>
        <v>60063.21</v>
      </c>
      <c r="N226" s="108">
        <f>SUM(N214:N225)</f>
        <v>15589</v>
      </c>
      <c r="O226" s="109">
        <f>P226/N226</f>
        <v>3.7742196420552951</v>
      </c>
      <c r="P226" s="107">
        <f>ROUND(SUM(P214:P225),2)</f>
        <v>58836.31</v>
      </c>
      <c r="Q226" s="110">
        <f t="shared" ref="Q226:AN226" si="29">SUM(Q214:Q225)</f>
        <v>-610067.12890000001</v>
      </c>
      <c r="R226" s="107">
        <f t="shared" si="29"/>
        <v>50229.299999999996</v>
      </c>
      <c r="S226" s="107">
        <f t="shared" si="29"/>
        <v>0</v>
      </c>
      <c r="T226" s="107">
        <f t="shared" si="29"/>
        <v>0</v>
      </c>
      <c r="U226" s="107">
        <f t="shared" si="29"/>
        <v>0</v>
      </c>
      <c r="V226" s="107">
        <f t="shared" si="29"/>
        <v>0</v>
      </c>
      <c r="W226" s="107">
        <f t="shared" si="29"/>
        <v>0</v>
      </c>
      <c r="X226" s="107">
        <f t="shared" si="29"/>
        <v>0</v>
      </c>
      <c r="Y226" s="107">
        <f t="shared" si="29"/>
        <v>0</v>
      </c>
      <c r="Z226" s="107">
        <f t="shared" si="29"/>
        <v>0</v>
      </c>
      <c r="AA226" s="107">
        <f t="shared" si="29"/>
        <v>0</v>
      </c>
      <c r="AB226" s="107">
        <f t="shared" si="29"/>
        <v>0</v>
      </c>
      <c r="AC226" s="107">
        <f t="shared" si="29"/>
        <v>0</v>
      </c>
      <c r="AD226" s="107">
        <f t="shared" si="29"/>
        <v>0</v>
      </c>
      <c r="AE226" s="107">
        <f t="shared" si="29"/>
        <v>0</v>
      </c>
      <c r="AF226" s="107">
        <f t="shared" si="29"/>
        <v>0</v>
      </c>
      <c r="AG226" s="107">
        <f t="shared" si="29"/>
        <v>0</v>
      </c>
      <c r="AH226" s="107">
        <f t="shared" si="29"/>
        <v>0</v>
      </c>
      <c r="AI226" s="107">
        <f t="shared" si="29"/>
        <v>0</v>
      </c>
      <c r="AJ226" s="107">
        <f t="shared" si="29"/>
        <v>0</v>
      </c>
      <c r="AK226" s="107">
        <f t="shared" si="29"/>
        <v>0</v>
      </c>
      <c r="AL226" s="107">
        <f t="shared" si="29"/>
        <v>0</v>
      </c>
      <c r="AM226" s="107">
        <f t="shared" si="29"/>
        <v>0</v>
      </c>
      <c r="AN226" s="107">
        <f t="shared" si="29"/>
        <v>0</v>
      </c>
      <c r="AO226" s="111">
        <f>D226+E226+F226+G226+H226+I226+J226+M226+P226+SUM(Q226:AN226)</f>
        <v>-349706.67935999983</v>
      </c>
      <c r="AP226" s="4"/>
      <c r="AQ226" s="5"/>
      <c r="AR226" s="5"/>
      <c r="AS226" s="2" t="s">
        <v>6</v>
      </c>
    </row>
    <row r="227" spans="1:46" s="2" customFormat="1" ht="17.25" customHeight="1" thickTop="1" x14ac:dyDescent="0.25">
      <c r="A227" s="23">
        <f>A215+1</f>
        <v>46069</v>
      </c>
      <c r="B227" s="210" t="s">
        <v>64</v>
      </c>
      <c r="C227" s="203"/>
      <c r="D227" s="63">
        <v>6574.39</v>
      </c>
      <c r="E227" s="66"/>
      <c r="F227" s="66"/>
      <c r="G227" s="66"/>
      <c r="H227" s="66"/>
      <c r="I227" s="66">
        <f>-D227</f>
        <v>-6574.39</v>
      </c>
      <c r="J227" s="66"/>
      <c r="K227" s="18"/>
      <c r="L227" s="18"/>
      <c r="M227" s="66"/>
      <c r="N227" s="18"/>
      <c r="O227" s="18"/>
      <c r="P227" s="66"/>
      <c r="Q227" s="46"/>
      <c r="R227" s="46"/>
      <c r="S227" s="45"/>
      <c r="T227" s="18"/>
      <c r="U227" s="18"/>
      <c r="V227" s="18"/>
      <c r="W227" s="18"/>
      <c r="X227" s="18"/>
      <c r="Y227" s="14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31"/>
      <c r="AQ227" s="10"/>
      <c r="AR227" s="27"/>
    </row>
    <row r="228" spans="1:46" s="4" customFormat="1" ht="17.25" customHeight="1" x14ac:dyDescent="0.25">
      <c r="A228" s="23"/>
      <c r="B228" s="201" t="s">
        <v>96</v>
      </c>
      <c r="C228" s="202"/>
      <c r="D228" s="63"/>
      <c r="E228" s="64"/>
      <c r="F228" s="64"/>
      <c r="G228" s="64"/>
      <c r="H228" s="64"/>
      <c r="I228" s="64">
        <f>-I226-I227</f>
        <v>-157.97999999999956</v>
      </c>
      <c r="J228" s="64"/>
      <c r="K228" s="16"/>
      <c r="L228" s="92"/>
      <c r="M228" s="64"/>
      <c r="N228" s="16"/>
      <c r="O228" s="92"/>
      <c r="P228" s="64"/>
      <c r="Q228" s="40"/>
      <c r="R228" s="46"/>
      <c r="S228" s="39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22"/>
      <c r="AP228" s="30"/>
    </row>
    <row r="229" spans="1:46" s="2" customFormat="1" ht="17.25" customHeight="1" x14ac:dyDescent="0.25">
      <c r="A229" s="29"/>
      <c r="B229" s="201" t="s">
        <v>327</v>
      </c>
      <c r="C229" s="202"/>
      <c r="D229" s="63">
        <f>100+15+40+130+60+20+15+50+100+20+65.45+30</f>
        <v>645.45000000000005</v>
      </c>
      <c r="E229" s="64"/>
      <c r="F229" s="64"/>
      <c r="G229" s="64"/>
      <c r="H229" s="64"/>
      <c r="I229" s="64">
        <f>-D229</f>
        <v>-645.45000000000005</v>
      </c>
      <c r="J229" s="64"/>
      <c r="K229" s="57"/>
      <c r="L229" s="88"/>
      <c r="M229" s="62"/>
      <c r="N229" s="57"/>
      <c r="O229" s="88"/>
      <c r="P229" s="62"/>
      <c r="Q229" s="47"/>
      <c r="R229" s="39"/>
      <c r="S229" s="39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22"/>
      <c r="AQ229" s="10"/>
      <c r="AR229" s="11"/>
    </row>
    <row r="230" spans="1:46" s="2" customFormat="1" ht="17.25" customHeight="1" x14ac:dyDescent="0.25">
      <c r="A230" s="29"/>
      <c r="B230" s="201" t="s">
        <v>328</v>
      </c>
      <c r="C230" s="202"/>
      <c r="D230" s="63">
        <f>-11*0.99-1.04</f>
        <v>-11.93</v>
      </c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47"/>
      <c r="R230" s="39"/>
      <c r="S230" s="39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22"/>
      <c r="AQ230" s="10"/>
      <c r="AR230" s="11"/>
    </row>
    <row r="231" spans="1:46" s="2" customFormat="1" ht="17.25" customHeight="1" thickBot="1" x14ac:dyDescent="0.25">
      <c r="A231" s="24"/>
      <c r="B231" s="216"/>
      <c r="C231" s="217"/>
      <c r="D231" s="83"/>
      <c r="E231" s="81"/>
      <c r="F231" s="81"/>
      <c r="G231" s="81"/>
      <c r="H231" s="81"/>
      <c r="I231" s="81"/>
      <c r="J231" s="81"/>
      <c r="K231" s="37"/>
      <c r="L231" s="93"/>
      <c r="M231" s="81"/>
      <c r="N231" s="37"/>
      <c r="O231" s="93"/>
      <c r="P231" s="81"/>
      <c r="Q231" s="40"/>
      <c r="R231" s="40"/>
      <c r="S231" s="39"/>
      <c r="T231" s="16"/>
      <c r="U231" s="16"/>
      <c r="V231" s="16"/>
      <c r="W231" s="16"/>
      <c r="X231" s="16"/>
      <c r="Y231" s="19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41"/>
      <c r="AQ231" s="10"/>
      <c r="AR231" s="11"/>
    </row>
    <row r="232" spans="1:46" s="4" customFormat="1" ht="17.25" customHeight="1" x14ac:dyDescent="0.25">
      <c r="A232" s="23"/>
      <c r="B232" s="210" t="s">
        <v>94</v>
      </c>
      <c r="C232" s="203"/>
      <c r="D232" s="66"/>
      <c r="E232" s="66"/>
      <c r="F232" s="117"/>
      <c r="G232" s="117"/>
      <c r="H232" s="66"/>
      <c r="I232" s="66"/>
      <c r="J232" s="66">
        <f>-M232</f>
        <v>6205.85</v>
      </c>
      <c r="K232" s="58">
        <v>-1043</v>
      </c>
      <c r="L232" s="89">
        <v>5.95</v>
      </c>
      <c r="M232" s="73">
        <f>K232*L232</f>
        <v>-6205.85</v>
      </c>
      <c r="N232" s="58"/>
      <c r="O232" s="89"/>
      <c r="P232" s="73"/>
      <c r="Q232" s="39"/>
      <c r="R232" s="39"/>
      <c r="S232" s="8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35"/>
      <c r="AP232" s="12" t="e">
        <f>#REF!</f>
        <v>#REF!</v>
      </c>
    </row>
    <row r="233" spans="1:46" s="4" customFormat="1" ht="17.25" customHeight="1" x14ac:dyDescent="0.25">
      <c r="A233" s="23"/>
      <c r="B233" s="201" t="s">
        <v>95</v>
      </c>
      <c r="C233" s="202"/>
      <c r="D233" s="64"/>
      <c r="E233" s="64"/>
      <c r="F233" s="117"/>
      <c r="G233" s="117"/>
      <c r="H233" s="64"/>
      <c r="I233" s="64"/>
      <c r="J233" s="64">
        <f>-P233</f>
        <v>5153.04</v>
      </c>
      <c r="K233" s="57"/>
      <c r="L233" s="88"/>
      <c r="M233" s="62"/>
      <c r="N233" s="57">
        <v>-1263</v>
      </c>
      <c r="O233" s="88">
        <v>4.08</v>
      </c>
      <c r="P233" s="62">
        <f>N233*O233</f>
        <v>-5153.04</v>
      </c>
      <c r="Q233" s="39"/>
      <c r="R233" s="39"/>
      <c r="S233" s="8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35"/>
      <c r="AP233" s="12" t="e">
        <f>#REF!</f>
        <v>#REF!</v>
      </c>
    </row>
    <row r="234" spans="1:46" s="4" customFormat="1" ht="17.25" customHeight="1" x14ac:dyDescent="0.25">
      <c r="A234" s="23"/>
      <c r="B234" s="201" t="s">
        <v>97</v>
      </c>
      <c r="C234" s="203"/>
      <c r="D234" s="64"/>
      <c r="E234" s="64"/>
      <c r="F234" s="64"/>
      <c r="G234" s="64"/>
      <c r="H234" s="64">
        <f>-J234-I234</f>
        <v>3344.66</v>
      </c>
      <c r="I234" s="64">
        <v>8014.23</v>
      </c>
      <c r="J234" s="64">
        <f>-SUM(J232:J233)</f>
        <v>-11358.89</v>
      </c>
      <c r="K234" s="57"/>
      <c r="L234" s="88"/>
      <c r="M234" s="62"/>
      <c r="N234" s="57"/>
      <c r="O234" s="88"/>
      <c r="P234" s="62"/>
      <c r="Q234" s="39"/>
      <c r="R234" s="39"/>
      <c r="S234" s="39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22"/>
      <c r="AO234" s="43">
        <f>A211</f>
        <v>0</v>
      </c>
      <c r="AP234" s="12" t="e">
        <f>#REF!</f>
        <v>#REF!</v>
      </c>
      <c r="AT234" s="2"/>
    </row>
    <row r="235" spans="1:46" s="4" customFormat="1" ht="17.25" customHeight="1" x14ac:dyDescent="0.25">
      <c r="A235" s="23"/>
      <c r="B235" s="201" t="s">
        <v>93</v>
      </c>
      <c r="C235" s="202"/>
      <c r="D235" s="64"/>
      <c r="E235" s="64"/>
      <c r="F235" s="64"/>
      <c r="G235" s="64"/>
      <c r="H235" s="64"/>
      <c r="I235" s="64"/>
      <c r="J235" s="64"/>
      <c r="K235" s="57">
        <v>-91</v>
      </c>
      <c r="L235" s="88"/>
      <c r="M235" s="62">
        <f>(K238*L226)-M226-M232</f>
        <v>476.8837168811533</v>
      </c>
      <c r="N235" s="57">
        <v>13</v>
      </c>
      <c r="O235" s="88"/>
      <c r="P235" s="62">
        <f>(N238*O226)-P226-P233</f>
        <v>435.26544743087925</v>
      </c>
      <c r="Q235" s="39"/>
      <c r="R235" s="39"/>
      <c r="S235" s="39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22"/>
      <c r="AO235" s="43">
        <f>A220</f>
        <v>0</v>
      </c>
      <c r="AP235" s="12" t="e">
        <f>#REF!</f>
        <v>#REF!</v>
      </c>
      <c r="AT235" s="2"/>
    </row>
    <row r="236" spans="1:46" s="2" customFormat="1" ht="17.25" customHeight="1" x14ac:dyDescent="0.2">
      <c r="A236" s="24"/>
      <c r="B236" s="201"/>
      <c r="C236" s="204"/>
      <c r="D236" s="63"/>
      <c r="E236" s="64"/>
      <c r="F236" s="64"/>
      <c r="G236" s="64"/>
      <c r="H236" s="64"/>
      <c r="I236" s="64"/>
      <c r="J236" s="64"/>
      <c r="K236" s="16"/>
      <c r="L236" s="16"/>
      <c r="M236" s="64"/>
      <c r="N236" s="16"/>
      <c r="O236" s="16"/>
      <c r="P236" s="64"/>
      <c r="Q236" s="46"/>
      <c r="R236" s="46"/>
      <c r="S236" s="39"/>
      <c r="T236" s="16"/>
      <c r="U236" s="16"/>
      <c r="V236" s="16"/>
      <c r="W236" s="16"/>
      <c r="X236" s="16"/>
      <c r="Y236" s="19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43">
        <f>A227</f>
        <v>46069</v>
      </c>
      <c r="AQ236" s="10"/>
      <c r="AR236" s="11"/>
    </row>
    <row r="237" spans="1:46" s="2" customFormat="1" ht="17.25" customHeight="1" thickBot="1" x14ac:dyDescent="0.3">
      <c r="A237" s="56"/>
      <c r="B237" s="101" t="s">
        <v>102</v>
      </c>
      <c r="C237" s="102">
        <f>D238+E238+F238+G238+H238+I238+J238+M238+P238</f>
        <v>210873.38954000009</v>
      </c>
      <c r="D237" s="84"/>
      <c r="E237" s="85"/>
      <c r="F237" s="85"/>
      <c r="G237" s="85"/>
      <c r="H237" s="85"/>
      <c r="I237" s="85"/>
      <c r="J237" s="85"/>
      <c r="K237" s="28"/>
      <c r="L237" s="28"/>
      <c r="M237" s="85"/>
      <c r="N237" s="28"/>
      <c r="O237" s="28"/>
      <c r="P237" s="85"/>
      <c r="Q237" s="48"/>
      <c r="R237" s="48"/>
      <c r="S237" s="51"/>
      <c r="T237" s="28"/>
      <c r="U237" s="28"/>
      <c r="V237" s="28"/>
      <c r="W237" s="28"/>
      <c r="X237" s="28"/>
      <c r="Y237" s="36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42">
        <f>SUM($Q226:AN237)</f>
        <v>-559837.82889999996</v>
      </c>
      <c r="AQ237" s="10"/>
      <c r="AR237" s="11"/>
      <c r="AS237" s="2" t="s">
        <v>5</v>
      </c>
    </row>
    <row r="238" spans="1:46" s="2" customFormat="1" ht="17.25" customHeight="1" thickTop="1" thickBot="1" x14ac:dyDescent="0.3">
      <c r="A238" s="103"/>
      <c r="B238" s="104" t="s">
        <v>103</v>
      </c>
      <c r="C238" s="105">
        <f>AO238</f>
        <v>-348964.43935999984</v>
      </c>
      <c r="D238" s="106">
        <f t="shared" ref="D238:K238" si="30">SUM(D226:D237)</f>
        <v>48819.427040000046</v>
      </c>
      <c r="E238" s="107">
        <f t="shared" si="30"/>
        <v>-33558.990000000013</v>
      </c>
      <c r="F238" s="107">
        <f t="shared" si="30"/>
        <v>0.65000000000145519</v>
      </c>
      <c r="G238" s="107">
        <f t="shared" si="30"/>
        <v>0</v>
      </c>
      <c r="H238" s="107">
        <f t="shared" si="30"/>
        <v>79790.742500000066</v>
      </c>
      <c r="I238" s="107">
        <f t="shared" si="30"/>
        <v>7368.78</v>
      </c>
      <c r="J238" s="107">
        <f t="shared" si="30"/>
        <v>0</v>
      </c>
      <c r="K238" s="108">
        <f t="shared" si="30"/>
        <v>10755</v>
      </c>
      <c r="L238" s="109">
        <f>M238/K238</f>
        <v>5.0519981403998138</v>
      </c>
      <c r="M238" s="107">
        <f>ROUND(SUM(M226:M237),2)</f>
        <v>54334.239999999998</v>
      </c>
      <c r="N238" s="108">
        <f>SUM(N226:N237)</f>
        <v>14339</v>
      </c>
      <c r="O238" s="109">
        <f>P238/N238</f>
        <v>3.7742199595508752</v>
      </c>
      <c r="P238" s="107">
        <f>ROUND(SUM(P226:P237),2)</f>
        <v>54118.54</v>
      </c>
      <c r="Q238" s="110">
        <f t="shared" ref="Q238:AN238" si="31">SUM(Q226:Q237)</f>
        <v>-610067.12890000001</v>
      </c>
      <c r="R238" s="107">
        <f t="shared" si="31"/>
        <v>50229.299999999996</v>
      </c>
      <c r="S238" s="107">
        <f t="shared" si="31"/>
        <v>0</v>
      </c>
      <c r="T238" s="107">
        <f t="shared" si="31"/>
        <v>0</v>
      </c>
      <c r="U238" s="107">
        <f t="shared" si="31"/>
        <v>0</v>
      </c>
      <c r="V238" s="107">
        <f t="shared" si="31"/>
        <v>0</v>
      </c>
      <c r="W238" s="107">
        <f t="shared" si="31"/>
        <v>0</v>
      </c>
      <c r="X238" s="107">
        <f t="shared" si="31"/>
        <v>0</v>
      </c>
      <c r="Y238" s="107">
        <f t="shared" si="31"/>
        <v>0</v>
      </c>
      <c r="Z238" s="107">
        <f t="shared" si="31"/>
        <v>0</v>
      </c>
      <c r="AA238" s="107">
        <f t="shared" si="31"/>
        <v>0</v>
      </c>
      <c r="AB238" s="107">
        <f t="shared" si="31"/>
        <v>0</v>
      </c>
      <c r="AC238" s="107">
        <f t="shared" si="31"/>
        <v>0</v>
      </c>
      <c r="AD238" s="107">
        <f t="shared" si="31"/>
        <v>0</v>
      </c>
      <c r="AE238" s="107">
        <f t="shared" si="31"/>
        <v>0</v>
      </c>
      <c r="AF238" s="107">
        <f t="shared" si="31"/>
        <v>0</v>
      </c>
      <c r="AG238" s="107">
        <f t="shared" si="31"/>
        <v>0</v>
      </c>
      <c r="AH238" s="107">
        <f t="shared" si="31"/>
        <v>0</v>
      </c>
      <c r="AI238" s="107">
        <f t="shared" si="31"/>
        <v>0</v>
      </c>
      <c r="AJ238" s="107">
        <f t="shared" si="31"/>
        <v>0</v>
      </c>
      <c r="AK238" s="107">
        <f t="shared" si="31"/>
        <v>0</v>
      </c>
      <c r="AL238" s="107">
        <f t="shared" si="31"/>
        <v>0</v>
      </c>
      <c r="AM238" s="107">
        <f t="shared" si="31"/>
        <v>0</v>
      </c>
      <c r="AN238" s="107">
        <f t="shared" si="31"/>
        <v>0</v>
      </c>
      <c r="AO238" s="111">
        <f>D238+E238+F238+G238+H238+I238+J238+M238+P238+SUM(Q238:AN238)</f>
        <v>-348964.43935999984</v>
      </c>
      <c r="AP238" s="4"/>
      <c r="AQ238" s="5"/>
      <c r="AR238" s="5"/>
      <c r="AS238" s="2" t="s">
        <v>6</v>
      </c>
    </row>
    <row r="239" spans="1:46" s="2" customFormat="1" ht="17.25" customHeight="1" thickTop="1" x14ac:dyDescent="0.25">
      <c r="A239" s="23">
        <f>A227+1</f>
        <v>46070</v>
      </c>
      <c r="B239" s="210" t="s">
        <v>64</v>
      </c>
      <c r="C239" s="203"/>
      <c r="D239" s="63">
        <v>7192.66</v>
      </c>
      <c r="E239" s="66"/>
      <c r="F239" s="66"/>
      <c r="G239" s="66"/>
      <c r="H239" s="66"/>
      <c r="I239" s="66">
        <f>-D239</f>
        <v>-7192.66</v>
      </c>
      <c r="J239" s="66"/>
      <c r="K239" s="18"/>
      <c r="L239" s="18"/>
      <c r="M239" s="66"/>
      <c r="N239" s="18"/>
      <c r="O239" s="18"/>
      <c r="P239" s="66"/>
      <c r="Q239" s="46"/>
      <c r="R239" s="46"/>
      <c r="S239" s="45"/>
      <c r="T239" s="18"/>
      <c r="U239" s="18"/>
      <c r="V239" s="18"/>
      <c r="W239" s="18"/>
      <c r="X239" s="18"/>
      <c r="Y239" s="14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31"/>
      <c r="AQ239" s="10"/>
      <c r="AR239" s="27"/>
    </row>
    <row r="240" spans="1:46" s="4" customFormat="1" ht="17.25" customHeight="1" x14ac:dyDescent="0.25">
      <c r="A240" s="23"/>
      <c r="B240" s="201" t="s">
        <v>96</v>
      </c>
      <c r="C240" s="202"/>
      <c r="D240" s="63"/>
      <c r="E240" s="64"/>
      <c r="F240" s="64"/>
      <c r="G240" s="64"/>
      <c r="H240" s="64"/>
      <c r="I240" s="64">
        <f>-I238-I239</f>
        <v>-176.11999999999989</v>
      </c>
      <c r="J240" s="64"/>
      <c r="K240" s="16"/>
      <c r="L240" s="92"/>
      <c r="M240" s="64"/>
      <c r="N240" s="16"/>
      <c r="O240" s="92"/>
      <c r="P240" s="64"/>
      <c r="Q240" s="40"/>
      <c r="R240" s="46"/>
      <c r="S240" s="39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22"/>
      <c r="AP240" s="30"/>
    </row>
    <row r="241" spans="1:46" s="2" customFormat="1" ht="17.25" customHeight="1" x14ac:dyDescent="0.25">
      <c r="A241" s="29"/>
      <c r="B241" s="201" t="s">
        <v>327</v>
      </c>
      <c r="C241" s="202"/>
      <c r="D241" s="63">
        <f>100+50+30+100+80.05+60+63+50+30+20+50.5+213+29+56+30+20+51+20.5+20.5+3+15+50+100+30+116+25</f>
        <v>1412.55</v>
      </c>
      <c r="E241" s="64"/>
      <c r="F241" s="64"/>
      <c r="G241" s="64"/>
      <c r="H241" s="64"/>
      <c r="I241" s="64">
        <f>-D241</f>
        <v>-1412.55</v>
      </c>
      <c r="J241" s="64"/>
      <c r="K241" s="57"/>
      <c r="L241" s="88"/>
      <c r="M241" s="62"/>
      <c r="N241" s="57"/>
      <c r="O241" s="88"/>
      <c r="P241" s="62"/>
      <c r="Q241" s="47"/>
      <c r="R241" s="39"/>
      <c r="S241" s="39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22"/>
      <c r="AQ241" s="10"/>
      <c r="AR241" s="11"/>
    </row>
    <row r="242" spans="1:46" s="2" customFormat="1" ht="17.25" customHeight="1" x14ac:dyDescent="0.25">
      <c r="A242" s="29"/>
      <c r="B242" s="201" t="s">
        <v>328</v>
      </c>
      <c r="C242" s="202"/>
      <c r="D242" s="63">
        <f>-25*0.99-1.7</f>
        <v>-26.45</v>
      </c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47"/>
      <c r="R242" s="39"/>
      <c r="S242" s="39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22"/>
      <c r="AQ242" s="10"/>
      <c r="AR242" s="11"/>
    </row>
    <row r="243" spans="1:46" s="2" customFormat="1" ht="17.25" customHeight="1" thickBot="1" x14ac:dyDescent="0.25">
      <c r="A243" s="24"/>
      <c r="B243" s="216"/>
      <c r="C243" s="217"/>
      <c r="D243" s="83"/>
      <c r="E243" s="81"/>
      <c r="F243" s="81"/>
      <c r="G243" s="81"/>
      <c r="H243" s="81"/>
      <c r="I243" s="81"/>
      <c r="J243" s="81"/>
      <c r="K243" s="37"/>
      <c r="L243" s="93"/>
      <c r="M243" s="81"/>
      <c r="N243" s="37"/>
      <c r="O243" s="93"/>
      <c r="P243" s="81"/>
      <c r="Q243" s="40"/>
      <c r="R243" s="40"/>
      <c r="S243" s="39"/>
      <c r="T243" s="16"/>
      <c r="U243" s="16"/>
      <c r="V243" s="16"/>
      <c r="W243" s="16"/>
      <c r="X243" s="16"/>
      <c r="Y243" s="19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41"/>
      <c r="AQ243" s="10"/>
      <c r="AR243" s="11"/>
    </row>
    <row r="244" spans="1:46" s="4" customFormat="1" ht="17.25" customHeight="1" x14ac:dyDescent="0.25">
      <c r="A244" s="23"/>
      <c r="B244" s="210" t="s">
        <v>94</v>
      </c>
      <c r="C244" s="203"/>
      <c r="D244" s="66"/>
      <c r="E244" s="66"/>
      <c r="F244" s="117"/>
      <c r="G244" s="117"/>
      <c r="H244" s="66"/>
      <c r="I244" s="66"/>
      <c r="J244" s="66">
        <f>-M244</f>
        <v>4337.55</v>
      </c>
      <c r="K244" s="58">
        <v>-729</v>
      </c>
      <c r="L244" s="89">
        <v>5.95</v>
      </c>
      <c r="M244" s="73">
        <f>K244*L244</f>
        <v>-4337.55</v>
      </c>
      <c r="N244" s="58"/>
      <c r="O244" s="89"/>
      <c r="P244" s="73"/>
      <c r="Q244" s="39"/>
      <c r="R244" s="39"/>
      <c r="S244" s="8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35"/>
      <c r="AP244" s="12" t="e">
        <f>#REF!</f>
        <v>#REF!</v>
      </c>
    </row>
    <row r="245" spans="1:46" s="4" customFormat="1" ht="17.25" customHeight="1" x14ac:dyDescent="0.25">
      <c r="A245" s="23"/>
      <c r="B245" s="201" t="s">
        <v>95</v>
      </c>
      <c r="C245" s="202"/>
      <c r="D245" s="64"/>
      <c r="E245" s="64"/>
      <c r="F245" s="117"/>
      <c r="G245" s="117"/>
      <c r="H245" s="64"/>
      <c r="I245" s="64"/>
      <c r="J245" s="64">
        <f>-P245</f>
        <v>6446.4000000000005</v>
      </c>
      <c r="K245" s="57"/>
      <c r="L245" s="88"/>
      <c r="M245" s="62"/>
      <c r="N245" s="57">
        <v>-1580</v>
      </c>
      <c r="O245" s="88">
        <v>4.08</v>
      </c>
      <c r="P245" s="62">
        <f>N245*O245</f>
        <v>-6446.4000000000005</v>
      </c>
      <c r="Q245" s="39"/>
      <c r="R245" s="39"/>
      <c r="S245" s="8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35"/>
      <c r="AP245" s="12" t="e">
        <f>#REF!</f>
        <v>#REF!</v>
      </c>
    </row>
    <row r="246" spans="1:46" s="4" customFormat="1" ht="17.25" customHeight="1" x14ac:dyDescent="0.25">
      <c r="A246" s="23"/>
      <c r="B246" s="201" t="s">
        <v>97</v>
      </c>
      <c r="C246" s="203"/>
      <c r="D246" s="64"/>
      <c r="E246" s="64"/>
      <c r="F246" s="64"/>
      <c r="G246" s="64"/>
      <c r="H246" s="64">
        <f>-J246-I246</f>
        <v>2214.8100000000013</v>
      </c>
      <c r="I246" s="64">
        <v>8569.14</v>
      </c>
      <c r="J246" s="64">
        <f>-SUM(J244:J245)</f>
        <v>-10783.95</v>
      </c>
      <c r="K246" s="57"/>
      <c r="L246" s="88"/>
      <c r="M246" s="62"/>
      <c r="N246" s="57"/>
      <c r="O246" s="88"/>
      <c r="P246" s="62"/>
      <c r="Q246" s="39"/>
      <c r="R246" s="39"/>
      <c r="S246" s="39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22"/>
      <c r="AO246" s="43">
        <f>A223</f>
        <v>0</v>
      </c>
      <c r="AP246" s="12" t="e">
        <f>#REF!</f>
        <v>#REF!</v>
      </c>
      <c r="AT246" s="2"/>
    </row>
    <row r="247" spans="1:46" s="4" customFormat="1" ht="17.25" customHeight="1" x14ac:dyDescent="0.25">
      <c r="A247" s="23"/>
      <c r="B247" s="201" t="s">
        <v>93</v>
      </c>
      <c r="C247" s="202"/>
      <c r="D247" s="64"/>
      <c r="E247" s="64"/>
      <c r="F247" s="64"/>
      <c r="G247" s="64"/>
      <c r="H247" s="64"/>
      <c r="I247" s="64"/>
      <c r="J247" s="64"/>
      <c r="K247" s="57">
        <v>-12</v>
      </c>
      <c r="L247" s="88"/>
      <c r="M247" s="62">
        <f>(K250*L238)-M238-M244</f>
        <v>594.01937796373841</v>
      </c>
      <c r="N247" s="57">
        <v>25</v>
      </c>
      <c r="O247" s="88"/>
      <c r="P247" s="62">
        <f>(N250*O238)-P238-P245</f>
        <v>577.48796289838992</v>
      </c>
      <c r="Q247" s="39"/>
      <c r="R247" s="39"/>
      <c r="S247" s="39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22"/>
      <c r="AO247" s="43">
        <f>A232</f>
        <v>0</v>
      </c>
      <c r="AP247" s="12" t="e">
        <f>#REF!</f>
        <v>#REF!</v>
      </c>
      <c r="AT247" s="2"/>
    </row>
    <row r="248" spans="1:46" s="2" customFormat="1" ht="17.25" customHeight="1" x14ac:dyDescent="0.2">
      <c r="A248" s="24"/>
      <c r="B248" s="201"/>
      <c r="C248" s="204"/>
      <c r="D248" s="63"/>
      <c r="E248" s="64"/>
      <c r="F248" s="64"/>
      <c r="G248" s="64"/>
      <c r="H248" s="64"/>
      <c r="I248" s="64"/>
      <c r="J248" s="64"/>
      <c r="K248" s="16"/>
      <c r="L248" s="16"/>
      <c r="M248" s="64"/>
      <c r="N248" s="16"/>
      <c r="O248" s="16"/>
      <c r="P248" s="64"/>
      <c r="Q248" s="46"/>
      <c r="R248" s="46"/>
      <c r="S248" s="39"/>
      <c r="T248" s="16"/>
      <c r="U248" s="16"/>
      <c r="V248" s="16"/>
      <c r="W248" s="16"/>
      <c r="X248" s="16"/>
      <c r="Y248" s="19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43">
        <f>A239</f>
        <v>46070</v>
      </c>
      <c r="AQ248" s="10"/>
      <c r="AR248" s="11"/>
    </row>
    <row r="249" spans="1:46" s="2" customFormat="1" ht="17.25" customHeight="1" thickBot="1" x14ac:dyDescent="0.3">
      <c r="A249" s="56"/>
      <c r="B249" s="101" t="s">
        <v>102</v>
      </c>
      <c r="C249" s="102">
        <f>D250+E250+F250+G250+H250+I250+J250+M250+P250</f>
        <v>211842.32954000009</v>
      </c>
      <c r="D249" s="84"/>
      <c r="E249" s="85"/>
      <c r="F249" s="85"/>
      <c r="G249" s="85"/>
      <c r="H249" s="85"/>
      <c r="I249" s="85"/>
      <c r="J249" s="85"/>
      <c r="K249" s="28"/>
      <c r="L249" s="28"/>
      <c r="M249" s="85"/>
      <c r="N249" s="28"/>
      <c r="O249" s="28"/>
      <c r="P249" s="85"/>
      <c r="Q249" s="48"/>
      <c r="R249" s="48"/>
      <c r="S249" s="51"/>
      <c r="T249" s="28"/>
      <c r="U249" s="28"/>
      <c r="V249" s="28"/>
      <c r="W249" s="28"/>
      <c r="X249" s="28"/>
      <c r="Y249" s="36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42">
        <f>SUM($Q238:AN249)</f>
        <v>-559837.82889999996</v>
      </c>
      <c r="AQ249" s="10"/>
      <c r="AR249" s="11"/>
      <c r="AS249" s="2" t="s">
        <v>5</v>
      </c>
    </row>
    <row r="250" spans="1:46" s="2" customFormat="1" ht="17.25" customHeight="1" thickTop="1" thickBot="1" x14ac:dyDescent="0.3">
      <c r="A250" s="103"/>
      <c r="B250" s="104" t="s">
        <v>103</v>
      </c>
      <c r="C250" s="105">
        <f>AO250</f>
        <v>-347995.4993599999</v>
      </c>
      <c r="D250" s="106">
        <f t="shared" ref="D250:K250" si="32">SUM(D238:D249)</f>
        <v>57398.187040000048</v>
      </c>
      <c r="E250" s="107">
        <f t="shared" si="32"/>
        <v>-33558.990000000013</v>
      </c>
      <c r="F250" s="107">
        <f t="shared" si="32"/>
        <v>0.65000000000145519</v>
      </c>
      <c r="G250" s="107">
        <f t="shared" si="32"/>
        <v>0</v>
      </c>
      <c r="H250" s="107">
        <f t="shared" si="32"/>
        <v>82005.552500000063</v>
      </c>
      <c r="I250" s="107">
        <f t="shared" si="32"/>
        <v>7156.5899999999992</v>
      </c>
      <c r="J250" s="107">
        <f t="shared" si="32"/>
        <v>0</v>
      </c>
      <c r="K250" s="108">
        <f t="shared" si="32"/>
        <v>10014</v>
      </c>
      <c r="L250" s="109">
        <f>M250/K250</f>
        <v>5.0519982025164767</v>
      </c>
      <c r="M250" s="107">
        <f>ROUND(SUM(M238:M249),2)</f>
        <v>50590.71</v>
      </c>
      <c r="N250" s="108">
        <f>SUM(N238:N249)</f>
        <v>12784</v>
      </c>
      <c r="O250" s="109">
        <f>P250/N250</f>
        <v>3.7742201188986231</v>
      </c>
      <c r="P250" s="107">
        <f>ROUND(SUM(P238:P249),2)</f>
        <v>48249.63</v>
      </c>
      <c r="Q250" s="110">
        <f t="shared" ref="Q250:AN250" si="33">SUM(Q238:Q249)</f>
        <v>-610067.12890000001</v>
      </c>
      <c r="R250" s="107">
        <f t="shared" si="33"/>
        <v>50229.299999999996</v>
      </c>
      <c r="S250" s="107">
        <f t="shared" si="33"/>
        <v>0</v>
      </c>
      <c r="T250" s="107">
        <f t="shared" si="33"/>
        <v>0</v>
      </c>
      <c r="U250" s="107">
        <f t="shared" si="33"/>
        <v>0</v>
      </c>
      <c r="V250" s="107">
        <f t="shared" si="33"/>
        <v>0</v>
      </c>
      <c r="W250" s="107">
        <f t="shared" si="33"/>
        <v>0</v>
      </c>
      <c r="X250" s="107">
        <f t="shared" si="33"/>
        <v>0</v>
      </c>
      <c r="Y250" s="107">
        <f t="shared" si="33"/>
        <v>0</v>
      </c>
      <c r="Z250" s="107">
        <f t="shared" si="33"/>
        <v>0</v>
      </c>
      <c r="AA250" s="107">
        <f t="shared" si="33"/>
        <v>0</v>
      </c>
      <c r="AB250" s="107">
        <f t="shared" si="33"/>
        <v>0</v>
      </c>
      <c r="AC250" s="107">
        <f t="shared" si="33"/>
        <v>0</v>
      </c>
      <c r="AD250" s="107">
        <f t="shared" si="33"/>
        <v>0</v>
      </c>
      <c r="AE250" s="107">
        <f t="shared" si="33"/>
        <v>0</v>
      </c>
      <c r="AF250" s="107">
        <f t="shared" si="33"/>
        <v>0</v>
      </c>
      <c r="AG250" s="107">
        <f t="shared" si="33"/>
        <v>0</v>
      </c>
      <c r="AH250" s="107">
        <f t="shared" si="33"/>
        <v>0</v>
      </c>
      <c r="AI250" s="107">
        <f t="shared" si="33"/>
        <v>0</v>
      </c>
      <c r="AJ250" s="107">
        <f t="shared" si="33"/>
        <v>0</v>
      </c>
      <c r="AK250" s="107">
        <f t="shared" si="33"/>
        <v>0</v>
      </c>
      <c r="AL250" s="107">
        <f t="shared" si="33"/>
        <v>0</v>
      </c>
      <c r="AM250" s="107">
        <f t="shared" si="33"/>
        <v>0</v>
      </c>
      <c r="AN250" s="107">
        <f t="shared" si="33"/>
        <v>0</v>
      </c>
      <c r="AO250" s="111">
        <f>D250+E250+F250+G250+H250+I250+J250+M250+P250+SUM(Q250:AN250)</f>
        <v>-347995.4993599999</v>
      </c>
      <c r="AP250" s="4"/>
      <c r="AQ250" s="5"/>
      <c r="AR250" s="5"/>
      <c r="AS250" s="2" t="s">
        <v>6</v>
      </c>
    </row>
    <row r="251" spans="1:46" s="2" customFormat="1" ht="17.25" customHeight="1" thickTop="1" x14ac:dyDescent="0.25">
      <c r="A251" s="23">
        <f>A239+1</f>
        <v>46071</v>
      </c>
      <c r="B251" s="210" t="s">
        <v>64</v>
      </c>
      <c r="C251" s="203"/>
      <c r="D251" s="63">
        <v>6980.08</v>
      </c>
      <c r="E251" s="66"/>
      <c r="F251" s="66"/>
      <c r="G251" s="66"/>
      <c r="H251" s="66"/>
      <c r="I251" s="66">
        <f>-D251</f>
        <v>-6980.08</v>
      </c>
      <c r="J251" s="66"/>
      <c r="K251" s="18"/>
      <c r="L251" s="18"/>
      <c r="M251" s="66"/>
      <c r="N251" s="18"/>
      <c r="O251" s="18"/>
      <c r="P251" s="66"/>
      <c r="Q251" s="46"/>
      <c r="R251" s="46"/>
      <c r="S251" s="45"/>
      <c r="T251" s="18"/>
      <c r="U251" s="18"/>
      <c r="V251" s="18"/>
      <c r="W251" s="18"/>
      <c r="X251" s="18"/>
      <c r="Y251" s="14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31"/>
      <c r="AQ251" s="10"/>
      <c r="AR251" s="27"/>
    </row>
    <row r="252" spans="1:46" s="4" customFormat="1" ht="17.25" customHeight="1" x14ac:dyDescent="0.25">
      <c r="A252" s="23"/>
      <c r="B252" s="201" t="s">
        <v>96</v>
      </c>
      <c r="C252" s="202"/>
      <c r="D252" s="63"/>
      <c r="E252" s="64"/>
      <c r="F252" s="64"/>
      <c r="G252" s="64"/>
      <c r="H252" s="64"/>
      <c r="I252" s="64">
        <f>-I250-I251</f>
        <v>-176.50999999999931</v>
      </c>
      <c r="J252" s="64"/>
      <c r="K252" s="16"/>
      <c r="L252" s="92"/>
      <c r="M252" s="64"/>
      <c r="N252" s="16"/>
      <c r="O252" s="92"/>
      <c r="P252" s="64"/>
      <c r="Q252" s="40"/>
      <c r="R252" s="46"/>
      <c r="S252" s="39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22"/>
      <c r="AP252" s="30"/>
    </row>
    <row r="253" spans="1:46" s="2" customFormat="1" ht="17.25" customHeight="1" x14ac:dyDescent="0.25">
      <c r="A253" s="29"/>
      <c r="B253" s="201" t="s">
        <v>327</v>
      </c>
      <c r="C253" s="202"/>
      <c r="D253" s="63">
        <f>50+20+15+60+10+63+146+20+50+30+50+10+100+30+100+55</f>
        <v>809</v>
      </c>
      <c r="E253" s="64"/>
      <c r="F253" s="64"/>
      <c r="G253" s="64"/>
      <c r="H253" s="64"/>
      <c r="I253" s="64">
        <f>-D253</f>
        <v>-809</v>
      </c>
      <c r="J253" s="64"/>
      <c r="K253" s="57"/>
      <c r="L253" s="88"/>
      <c r="M253" s="62"/>
      <c r="N253" s="57"/>
      <c r="O253" s="88"/>
      <c r="P253" s="62"/>
      <c r="Q253" s="47"/>
      <c r="R253" s="39"/>
      <c r="S253" s="39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22"/>
      <c r="AQ253" s="10"/>
      <c r="AR253" s="11"/>
    </row>
    <row r="254" spans="1:46" s="2" customFormat="1" ht="17.25" customHeight="1" x14ac:dyDescent="0.25">
      <c r="A254" s="29"/>
      <c r="B254" s="201" t="s">
        <v>328</v>
      </c>
      <c r="C254" s="202"/>
      <c r="D254" s="63">
        <f>-15*0.99-1.17</f>
        <v>-16.02</v>
      </c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47"/>
      <c r="R254" s="39"/>
      <c r="S254" s="39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22"/>
      <c r="AQ254" s="10"/>
      <c r="AR254" s="11"/>
    </row>
    <row r="255" spans="1:46" s="2" customFormat="1" ht="17.25" customHeight="1" x14ac:dyDescent="0.25">
      <c r="A255" s="29"/>
      <c r="B255" s="205" t="s">
        <v>263</v>
      </c>
      <c r="C255" s="250"/>
      <c r="D255" s="63">
        <v>-64000</v>
      </c>
      <c r="E255" s="64"/>
      <c r="F255" s="64"/>
      <c r="G255" s="64"/>
      <c r="H255" s="64"/>
      <c r="I255" s="64"/>
      <c r="J255" s="64"/>
      <c r="K255" s="57"/>
      <c r="L255" s="88"/>
      <c r="M255" s="62"/>
      <c r="N255" s="57"/>
      <c r="O255" s="88"/>
      <c r="P255" s="62"/>
      <c r="Q255" s="47">
        <f>-D255</f>
        <v>64000</v>
      </c>
      <c r="R255" s="39"/>
      <c r="S255" s="39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22"/>
      <c r="AQ255" s="10" t="s">
        <v>4</v>
      </c>
      <c r="AR255" s="11" t="e">
        <v>#REF!</v>
      </c>
    </row>
    <row r="256" spans="1:46" s="2" customFormat="1" ht="17.25" customHeight="1" x14ac:dyDescent="0.25">
      <c r="A256" s="29"/>
      <c r="B256" s="201" t="s">
        <v>276</v>
      </c>
      <c r="C256" s="202"/>
      <c r="D256" s="63">
        <v>-4.9000000000000004</v>
      </c>
      <c r="E256" s="64"/>
      <c r="F256" s="64"/>
      <c r="G256" s="64"/>
      <c r="H256" s="64"/>
      <c r="I256" s="64"/>
      <c r="J256" s="64"/>
      <c r="K256" s="57"/>
      <c r="L256" s="88"/>
      <c r="M256" s="62"/>
      <c r="N256" s="57"/>
      <c r="O256" s="88"/>
      <c r="P256" s="62"/>
      <c r="Q256" s="47"/>
      <c r="R256" s="39"/>
      <c r="S256" s="39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22"/>
      <c r="AQ256" s="10" t="s">
        <v>4</v>
      </c>
      <c r="AR256" s="11" t="e">
        <v>#REF!</v>
      </c>
    </row>
    <row r="257" spans="1:46" s="2" customFormat="1" ht="17.25" customHeight="1" x14ac:dyDescent="0.25">
      <c r="A257" s="29"/>
      <c r="B257" s="201" t="s">
        <v>384</v>
      </c>
      <c r="C257" s="202"/>
      <c r="D257" s="63">
        <v>-650</v>
      </c>
      <c r="E257" s="64"/>
      <c r="F257" s="64"/>
      <c r="G257" s="64"/>
      <c r="H257" s="64"/>
      <c r="I257" s="64"/>
      <c r="J257" s="64"/>
      <c r="K257" s="57"/>
      <c r="L257" s="88"/>
      <c r="M257" s="62"/>
      <c r="N257" s="57"/>
      <c r="O257" s="88"/>
      <c r="P257" s="62"/>
      <c r="Q257" s="47"/>
      <c r="R257" s="39"/>
      <c r="S257" s="39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22"/>
      <c r="AQ257" s="10" t="s">
        <v>4</v>
      </c>
      <c r="AR257" s="11" t="e">
        <v>#REF!</v>
      </c>
    </row>
    <row r="258" spans="1:46" s="2" customFormat="1" ht="17.25" customHeight="1" x14ac:dyDescent="0.25">
      <c r="A258" s="29"/>
      <c r="B258" s="201" t="s">
        <v>276</v>
      </c>
      <c r="C258" s="202"/>
      <c r="D258" s="63">
        <v>-4.9000000000000004</v>
      </c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47"/>
      <c r="R258" s="39"/>
      <c r="S258" s="39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22"/>
      <c r="AQ258" s="10" t="s">
        <v>4</v>
      </c>
      <c r="AR258" s="11" t="e">
        <v>#REF!</v>
      </c>
    </row>
    <row r="259" spans="1:46" s="4" customFormat="1" ht="17.25" customHeight="1" x14ac:dyDescent="0.25">
      <c r="A259" s="23"/>
      <c r="B259" s="201" t="s">
        <v>13</v>
      </c>
      <c r="C259" s="203"/>
      <c r="D259" s="63"/>
      <c r="E259" s="64">
        <f>100+100+10+100+100+26+20+5+55+80+70+45+20+40+15+100+100+50+50+25+20+100+30+1809.02+270.9+200+50+40+100+100+70+10+50+4.8+100+10</f>
        <v>4075.7200000000003</v>
      </c>
      <c r="F259" s="64"/>
      <c r="G259" s="64"/>
      <c r="H259" s="64">
        <f>-E259</f>
        <v>-4075.7200000000003</v>
      </c>
      <c r="I259" s="66"/>
      <c r="J259" s="64"/>
      <c r="K259" s="16"/>
      <c r="L259" s="92"/>
      <c r="M259" s="64"/>
      <c r="N259" s="16"/>
      <c r="O259" s="92"/>
      <c r="P259" s="64"/>
      <c r="Q259" s="40"/>
      <c r="R259" s="46">
        <f>-D259</f>
        <v>0</v>
      </c>
      <c r="S259" s="39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22"/>
      <c r="AP259" s="30"/>
    </row>
    <row r="260" spans="1:46" s="2" customFormat="1" ht="17.25" customHeight="1" x14ac:dyDescent="0.25">
      <c r="A260" s="29"/>
      <c r="B260" s="201" t="s">
        <v>368</v>
      </c>
      <c r="C260" s="202"/>
      <c r="D260" s="63"/>
      <c r="E260" s="64">
        <v>-97.99</v>
      </c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47"/>
      <c r="R260" s="39"/>
      <c r="S260" s="39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22"/>
      <c r="AQ260" s="10" t="s">
        <v>4</v>
      </c>
      <c r="AR260" s="11" t="e">
        <v>#REF!</v>
      </c>
    </row>
    <row r="261" spans="1:46" s="2" customFormat="1" ht="17.25" customHeight="1" x14ac:dyDescent="0.25">
      <c r="A261" s="29"/>
      <c r="B261" s="201" t="s">
        <v>33</v>
      </c>
      <c r="C261" s="202"/>
      <c r="D261" s="63"/>
      <c r="E261" s="64">
        <v>-58.17</v>
      </c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47"/>
      <c r="R261" s="39"/>
      <c r="S261" s="39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22"/>
      <c r="AQ261" s="10" t="s">
        <v>4</v>
      </c>
      <c r="AR261" s="11" t="e">
        <v>#REF!</v>
      </c>
    </row>
    <row r="262" spans="1:46" s="2" customFormat="1" ht="17.25" customHeight="1" x14ac:dyDescent="0.25">
      <c r="A262" s="29"/>
      <c r="B262" s="205" t="s">
        <v>263</v>
      </c>
      <c r="C262" s="250"/>
      <c r="D262" s="63"/>
      <c r="E262" s="64">
        <v>-3830</v>
      </c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47">
        <f>-E262</f>
        <v>3830</v>
      </c>
      <c r="R262" s="39"/>
      <c r="S262" s="39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22"/>
      <c r="AQ262" s="10" t="s">
        <v>4</v>
      </c>
      <c r="AR262" s="11" t="e">
        <v>#REF!</v>
      </c>
    </row>
    <row r="263" spans="1:46" s="2" customFormat="1" ht="17.25" customHeight="1" thickBot="1" x14ac:dyDescent="0.25">
      <c r="A263" s="24"/>
      <c r="B263" s="216"/>
      <c r="C263" s="217"/>
      <c r="D263" s="83"/>
      <c r="E263" s="81"/>
      <c r="F263" s="81"/>
      <c r="G263" s="81"/>
      <c r="H263" s="81"/>
      <c r="I263" s="81"/>
      <c r="J263" s="81"/>
      <c r="K263" s="37"/>
      <c r="L263" s="93"/>
      <c r="M263" s="81"/>
      <c r="N263" s="37"/>
      <c r="O263" s="93"/>
      <c r="P263" s="81"/>
      <c r="Q263" s="40"/>
      <c r="R263" s="40"/>
      <c r="S263" s="39"/>
      <c r="T263" s="16"/>
      <c r="U263" s="16"/>
      <c r="V263" s="16"/>
      <c r="W263" s="16"/>
      <c r="X263" s="16"/>
      <c r="Y263" s="19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41"/>
      <c r="AQ263" s="10"/>
      <c r="AR263" s="11"/>
    </row>
    <row r="264" spans="1:46" s="4" customFormat="1" ht="17.25" customHeight="1" x14ac:dyDescent="0.25">
      <c r="A264" s="23"/>
      <c r="B264" s="210" t="s">
        <v>94</v>
      </c>
      <c r="C264" s="203"/>
      <c r="D264" s="66"/>
      <c r="E264" s="66"/>
      <c r="F264" s="117"/>
      <c r="G264" s="117"/>
      <c r="H264" s="66"/>
      <c r="I264" s="66"/>
      <c r="J264" s="66">
        <f>-M264</f>
        <v>7151.9000000000005</v>
      </c>
      <c r="K264" s="58">
        <v>-1202</v>
      </c>
      <c r="L264" s="89">
        <v>5.95</v>
      </c>
      <c r="M264" s="73">
        <f>K264*L264</f>
        <v>-7151.9000000000005</v>
      </c>
      <c r="N264" s="58"/>
      <c r="O264" s="89"/>
      <c r="P264" s="73"/>
      <c r="Q264" s="39"/>
      <c r="R264" s="39"/>
      <c r="S264" s="8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35"/>
      <c r="AP264" s="12" t="e">
        <f>#REF!</f>
        <v>#REF!</v>
      </c>
    </row>
    <row r="265" spans="1:46" s="4" customFormat="1" ht="17.25" customHeight="1" x14ac:dyDescent="0.25">
      <c r="A265" s="23"/>
      <c r="B265" s="201" t="s">
        <v>95</v>
      </c>
      <c r="C265" s="202"/>
      <c r="D265" s="64"/>
      <c r="E265" s="64"/>
      <c r="F265" s="117"/>
      <c r="G265" s="117"/>
      <c r="H265" s="64"/>
      <c r="I265" s="64"/>
      <c r="J265" s="64">
        <f>-P265</f>
        <v>7535.76</v>
      </c>
      <c r="K265" s="57"/>
      <c r="L265" s="88"/>
      <c r="M265" s="62"/>
      <c r="N265" s="57">
        <v>-1847</v>
      </c>
      <c r="O265" s="88">
        <v>4.08</v>
      </c>
      <c r="P265" s="62">
        <f>N265*O265</f>
        <v>-7535.76</v>
      </c>
      <c r="Q265" s="39"/>
      <c r="R265" s="39"/>
      <c r="S265" s="8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35"/>
      <c r="AP265" s="12" t="e">
        <f>#REF!</f>
        <v>#REF!</v>
      </c>
    </row>
    <row r="266" spans="1:46" s="4" customFormat="1" ht="17.25" customHeight="1" x14ac:dyDescent="0.25">
      <c r="A266" s="23"/>
      <c r="B266" s="201" t="s">
        <v>97</v>
      </c>
      <c r="C266" s="203"/>
      <c r="D266" s="64"/>
      <c r="E266" s="64"/>
      <c r="F266" s="64"/>
      <c r="G266" s="64"/>
      <c r="H266" s="64">
        <f>-J266-I266</f>
        <v>4048.6100000000006</v>
      </c>
      <c r="I266" s="64">
        <v>10639.05</v>
      </c>
      <c r="J266" s="64">
        <f>-SUM(J264:J265)</f>
        <v>-14687.66</v>
      </c>
      <c r="K266" s="57"/>
      <c r="L266" s="88"/>
      <c r="M266" s="62"/>
      <c r="N266" s="57"/>
      <c r="O266" s="88"/>
      <c r="P266" s="62"/>
      <c r="Q266" s="39"/>
      <c r="R266" s="39"/>
      <c r="S266" s="39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22"/>
      <c r="AO266" s="43">
        <f>A235</f>
        <v>0</v>
      </c>
      <c r="AP266" s="12" t="e">
        <f>#REF!</f>
        <v>#REF!</v>
      </c>
      <c r="AT266" s="2"/>
    </row>
    <row r="267" spans="1:46" s="4" customFormat="1" ht="17.25" customHeight="1" x14ac:dyDescent="0.25">
      <c r="A267" s="23"/>
      <c r="B267" s="201" t="s">
        <v>93</v>
      </c>
      <c r="C267" s="202"/>
      <c r="D267" s="64"/>
      <c r="E267" s="64"/>
      <c r="F267" s="64"/>
      <c r="G267" s="64"/>
      <c r="H267" s="64"/>
      <c r="I267" s="64"/>
      <c r="J267" s="64"/>
      <c r="K267" s="57">
        <v>68</v>
      </c>
      <c r="L267" s="88"/>
      <c r="M267" s="62">
        <f>(K270*L250)-M250-M264</f>
        <v>1422.9340383463123</v>
      </c>
      <c r="N267" s="57">
        <v>5</v>
      </c>
      <c r="O267" s="88"/>
      <c r="P267" s="62">
        <f>(N270*O250)-P250-P265</f>
        <v>583.64654098873689</v>
      </c>
      <c r="Q267" s="39"/>
      <c r="R267" s="39"/>
      <c r="S267" s="39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22"/>
      <c r="AO267" s="43">
        <f>A244</f>
        <v>0</v>
      </c>
      <c r="AP267" s="12" t="e">
        <f>#REF!</f>
        <v>#REF!</v>
      </c>
      <c r="AT267" s="2"/>
    </row>
    <row r="268" spans="1:46" s="2" customFormat="1" ht="17.25" customHeight="1" x14ac:dyDescent="0.2">
      <c r="A268" s="24"/>
      <c r="B268" s="201"/>
      <c r="C268" s="204"/>
      <c r="D268" s="63"/>
      <c r="E268" s="64"/>
      <c r="F268" s="64"/>
      <c r="G268" s="64"/>
      <c r="H268" s="64"/>
      <c r="I268" s="64"/>
      <c r="J268" s="64"/>
      <c r="K268" s="16"/>
      <c r="L268" s="16"/>
      <c r="M268" s="64"/>
      <c r="N268" s="16"/>
      <c r="O268" s="16"/>
      <c r="P268" s="64"/>
      <c r="Q268" s="46"/>
      <c r="R268" s="46"/>
      <c r="S268" s="39"/>
      <c r="T268" s="16"/>
      <c r="U268" s="16"/>
      <c r="V268" s="16"/>
      <c r="W268" s="16"/>
      <c r="X268" s="16"/>
      <c r="Y268" s="19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43">
        <f>A251</f>
        <v>46071</v>
      </c>
      <c r="AQ268" s="10"/>
      <c r="AR268" s="11"/>
    </row>
    <row r="269" spans="1:46" s="2" customFormat="1" ht="17.25" customHeight="1" thickBot="1" x14ac:dyDescent="0.3">
      <c r="A269" s="56"/>
      <c r="B269" s="101" t="s">
        <v>102</v>
      </c>
      <c r="C269" s="102">
        <f>D270+E270+F270+G270+H270+I270+J270+M270+P270</f>
        <v>145010.41954000009</v>
      </c>
      <c r="D269" s="84"/>
      <c r="E269" s="85"/>
      <c r="F269" s="85"/>
      <c r="G269" s="85"/>
      <c r="H269" s="85"/>
      <c r="I269" s="85"/>
      <c r="J269" s="85"/>
      <c r="K269" s="28"/>
      <c r="L269" s="28"/>
      <c r="M269" s="85"/>
      <c r="N269" s="28"/>
      <c r="O269" s="28"/>
      <c r="P269" s="85"/>
      <c r="Q269" s="48"/>
      <c r="R269" s="48"/>
      <c r="S269" s="51"/>
      <c r="T269" s="28"/>
      <c r="U269" s="28"/>
      <c r="V269" s="28"/>
      <c r="W269" s="28"/>
      <c r="X269" s="28"/>
      <c r="Y269" s="36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42">
        <f>SUM($Q250:AN269)</f>
        <v>-492007.82889999996</v>
      </c>
      <c r="AQ269" s="10"/>
      <c r="AR269" s="11"/>
      <c r="AS269" s="2" t="s">
        <v>5</v>
      </c>
    </row>
    <row r="270" spans="1:46" s="2" customFormat="1" ht="17.25" customHeight="1" thickTop="1" thickBot="1" x14ac:dyDescent="0.3">
      <c r="A270" s="103"/>
      <c r="B270" s="104" t="s">
        <v>103</v>
      </c>
      <c r="C270" s="105">
        <f>AO270</f>
        <v>-346997.40935999993</v>
      </c>
      <c r="D270" s="106">
        <f t="shared" ref="D270:K270" si="34">SUM(D250:D269)</f>
        <v>511.44704000005288</v>
      </c>
      <c r="E270" s="107">
        <f t="shared" si="34"/>
        <v>-33469.430000000008</v>
      </c>
      <c r="F270" s="107">
        <f t="shared" si="34"/>
        <v>0.65000000000145519</v>
      </c>
      <c r="G270" s="107">
        <f t="shared" si="34"/>
        <v>0</v>
      </c>
      <c r="H270" s="107">
        <f t="shared" si="34"/>
        <v>81978.442500000063</v>
      </c>
      <c r="I270" s="107">
        <f t="shared" si="34"/>
        <v>9830.0499999999993</v>
      </c>
      <c r="J270" s="107">
        <f t="shared" si="34"/>
        <v>0</v>
      </c>
      <c r="K270" s="108">
        <f t="shared" si="34"/>
        <v>8880</v>
      </c>
      <c r="L270" s="109">
        <f>M270/K270</f>
        <v>5.0519977477477473</v>
      </c>
      <c r="M270" s="107">
        <f>ROUND(SUM(M250:M269),2)</f>
        <v>44861.74</v>
      </c>
      <c r="N270" s="108">
        <f>SUM(N250:N269)</f>
        <v>10942</v>
      </c>
      <c r="O270" s="109">
        <f>P270/N270</f>
        <v>3.7742204350210198</v>
      </c>
      <c r="P270" s="107">
        <f>ROUND(SUM(P250:P269),2)</f>
        <v>41297.519999999997</v>
      </c>
      <c r="Q270" s="110">
        <f t="shared" ref="Q270:AN270" si="35">SUM(Q250:Q269)</f>
        <v>-542237.12890000001</v>
      </c>
      <c r="R270" s="107">
        <f t="shared" si="35"/>
        <v>50229.299999999996</v>
      </c>
      <c r="S270" s="107">
        <f t="shared" si="35"/>
        <v>0</v>
      </c>
      <c r="T270" s="107">
        <f t="shared" si="35"/>
        <v>0</v>
      </c>
      <c r="U270" s="107">
        <f t="shared" si="35"/>
        <v>0</v>
      </c>
      <c r="V270" s="107">
        <f t="shared" si="35"/>
        <v>0</v>
      </c>
      <c r="W270" s="107">
        <f t="shared" si="35"/>
        <v>0</v>
      </c>
      <c r="X270" s="107">
        <f t="shared" si="35"/>
        <v>0</v>
      </c>
      <c r="Y270" s="107">
        <f t="shared" si="35"/>
        <v>0</v>
      </c>
      <c r="Z270" s="107">
        <f t="shared" si="35"/>
        <v>0</v>
      </c>
      <c r="AA270" s="107">
        <f t="shared" si="35"/>
        <v>0</v>
      </c>
      <c r="AB270" s="107">
        <f t="shared" si="35"/>
        <v>0</v>
      </c>
      <c r="AC270" s="107">
        <f t="shared" si="35"/>
        <v>0</v>
      </c>
      <c r="AD270" s="107">
        <f t="shared" si="35"/>
        <v>0</v>
      </c>
      <c r="AE270" s="107">
        <f t="shared" si="35"/>
        <v>0</v>
      </c>
      <c r="AF270" s="107">
        <f t="shared" si="35"/>
        <v>0</v>
      </c>
      <c r="AG270" s="107">
        <f t="shared" si="35"/>
        <v>0</v>
      </c>
      <c r="AH270" s="107">
        <f t="shared" si="35"/>
        <v>0</v>
      </c>
      <c r="AI270" s="107">
        <f t="shared" si="35"/>
        <v>0</v>
      </c>
      <c r="AJ270" s="107">
        <f t="shared" si="35"/>
        <v>0</v>
      </c>
      <c r="AK270" s="107">
        <f t="shared" si="35"/>
        <v>0</v>
      </c>
      <c r="AL270" s="107">
        <f t="shared" si="35"/>
        <v>0</v>
      </c>
      <c r="AM270" s="107">
        <f t="shared" si="35"/>
        <v>0</v>
      </c>
      <c r="AN270" s="107">
        <f t="shared" si="35"/>
        <v>0</v>
      </c>
      <c r="AO270" s="111">
        <f>D270+E270+F270+G270+H270+I270+J270+M270+P270+SUM(Q270:AN270)</f>
        <v>-346997.40935999993</v>
      </c>
      <c r="AP270" s="4"/>
      <c r="AQ270" s="5"/>
      <c r="AR270" s="5"/>
      <c r="AS270" s="2" t="s">
        <v>6</v>
      </c>
    </row>
    <row r="271" spans="1:46" s="2" customFormat="1" ht="17.25" customHeight="1" thickTop="1" x14ac:dyDescent="0.25">
      <c r="A271" s="23">
        <f>A251+1</f>
        <v>46072</v>
      </c>
      <c r="B271" s="210" t="s">
        <v>64</v>
      </c>
      <c r="C271" s="203"/>
      <c r="D271" s="63">
        <v>9574.7199999999993</v>
      </c>
      <c r="E271" s="66"/>
      <c r="F271" s="66"/>
      <c r="G271" s="66"/>
      <c r="H271" s="66"/>
      <c r="I271" s="66">
        <f>-D271</f>
        <v>-9574.7199999999993</v>
      </c>
      <c r="J271" s="66"/>
      <c r="K271" s="18"/>
      <c r="L271" s="18"/>
      <c r="M271" s="66"/>
      <c r="N271" s="18"/>
      <c r="O271" s="18"/>
      <c r="P271" s="66"/>
      <c r="Q271" s="46"/>
      <c r="R271" s="46"/>
      <c r="S271" s="45"/>
      <c r="T271" s="18"/>
      <c r="U271" s="18"/>
      <c r="V271" s="18"/>
      <c r="W271" s="18"/>
      <c r="X271" s="18"/>
      <c r="Y271" s="14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31"/>
      <c r="AQ271" s="10"/>
      <c r="AR271" s="27"/>
    </row>
    <row r="272" spans="1:46" s="4" customFormat="1" ht="17.25" customHeight="1" x14ac:dyDescent="0.25">
      <c r="A272" s="23"/>
      <c r="B272" s="201" t="s">
        <v>96</v>
      </c>
      <c r="C272" s="202"/>
      <c r="D272" s="63"/>
      <c r="E272" s="64"/>
      <c r="F272" s="64"/>
      <c r="G272" s="64"/>
      <c r="H272" s="64"/>
      <c r="I272" s="64">
        <f>-I270-I271</f>
        <v>-255.32999999999993</v>
      </c>
      <c r="J272" s="64"/>
      <c r="K272" s="16"/>
      <c r="L272" s="92"/>
      <c r="M272" s="64"/>
      <c r="N272" s="16"/>
      <c r="O272" s="92"/>
      <c r="P272" s="64"/>
      <c r="Q272" s="40"/>
      <c r="R272" s="46"/>
      <c r="S272" s="39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22"/>
      <c r="AP272" s="30"/>
    </row>
    <row r="273" spans="1:46" s="2" customFormat="1" ht="17.25" customHeight="1" x14ac:dyDescent="0.25">
      <c r="A273" s="29"/>
      <c r="B273" s="201" t="s">
        <v>327</v>
      </c>
      <c r="C273" s="202"/>
      <c r="D273" s="63">
        <f>150+70+15+20+40+20+10+40+10+50+52+65+20+80+248</f>
        <v>890</v>
      </c>
      <c r="E273" s="64"/>
      <c r="F273" s="64"/>
      <c r="G273" s="64"/>
      <c r="H273" s="64"/>
      <c r="I273" s="64">
        <f>-D273</f>
        <v>-890</v>
      </c>
      <c r="J273" s="64"/>
      <c r="K273" s="57"/>
      <c r="L273" s="88"/>
      <c r="M273" s="62"/>
      <c r="N273" s="57"/>
      <c r="O273" s="88"/>
      <c r="P273" s="62"/>
      <c r="Q273" s="47"/>
      <c r="R273" s="39"/>
      <c r="S273" s="39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22"/>
      <c r="AQ273" s="10"/>
      <c r="AR273" s="11"/>
    </row>
    <row r="274" spans="1:46" s="2" customFormat="1" ht="17.25" customHeight="1" x14ac:dyDescent="0.25">
      <c r="A274" s="29"/>
      <c r="B274" s="201" t="s">
        <v>328</v>
      </c>
      <c r="C274" s="202"/>
      <c r="D274" s="63">
        <f>-13*0.99-1.2-1.98</f>
        <v>-16.049999999999997</v>
      </c>
      <c r="E274" s="64"/>
      <c r="F274" s="64"/>
      <c r="G274" s="64"/>
      <c r="H274" s="64"/>
      <c r="I274" s="64"/>
      <c r="J274" s="64"/>
      <c r="K274" s="57"/>
      <c r="L274" s="88"/>
      <c r="M274" s="62"/>
      <c r="N274" s="57"/>
      <c r="O274" s="88"/>
      <c r="P274" s="62"/>
      <c r="Q274" s="47"/>
      <c r="R274" s="39"/>
      <c r="S274" s="39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22"/>
      <c r="AQ274" s="10"/>
      <c r="AR274" s="11"/>
    </row>
    <row r="275" spans="1:46" s="2" customFormat="1" ht="17.25" customHeight="1" x14ac:dyDescent="0.25">
      <c r="A275" s="29"/>
      <c r="B275" s="201" t="s">
        <v>72</v>
      </c>
      <c r="C275" s="20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47"/>
      <c r="R275" s="39"/>
      <c r="S275" s="39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22"/>
      <c r="AQ275" s="10" t="s">
        <v>4</v>
      </c>
      <c r="AR275" s="11" t="e">
        <v>#REF!</v>
      </c>
    </row>
    <row r="276" spans="1:46" s="4" customFormat="1" ht="17.25" customHeight="1" x14ac:dyDescent="0.25">
      <c r="A276" s="23"/>
      <c r="B276" s="201" t="s">
        <v>13</v>
      </c>
      <c r="C276" s="203"/>
      <c r="D276" s="63"/>
      <c r="E276" s="64">
        <f>50+60+50+9+30+20+955+1037+1000+1209+1026</f>
        <v>5446</v>
      </c>
      <c r="F276" s="64"/>
      <c r="G276" s="64"/>
      <c r="H276" s="64">
        <f>-E276</f>
        <v>-5446</v>
      </c>
      <c r="I276" s="66"/>
      <c r="J276" s="64"/>
      <c r="K276" s="16"/>
      <c r="L276" s="92"/>
      <c r="M276" s="64"/>
      <c r="N276" s="16"/>
      <c r="O276" s="92"/>
      <c r="P276" s="64"/>
      <c r="Q276" s="40"/>
      <c r="R276" s="46">
        <f>-D276</f>
        <v>0</v>
      </c>
      <c r="S276" s="39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22"/>
      <c r="AP276" s="30"/>
    </row>
    <row r="277" spans="1:46" s="2" customFormat="1" ht="17.25" customHeight="1" thickBot="1" x14ac:dyDescent="0.25">
      <c r="A277" s="24"/>
      <c r="B277" s="216"/>
      <c r="C277" s="217"/>
      <c r="D277" s="83"/>
      <c r="E277" s="81"/>
      <c r="F277" s="81"/>
      <c r="G277" s="81"/>
      <c r="H277" s="81"/>
      <c r="I277" s="81"/>
      <c r="J277" s="81"/>
      <c r="K277" s="37"/>
      <c r="L277" s="93"/>
      <c r="M277" s="81"/>
      <c r="N277" s="37"/>
      <c r="O277" s="93"/>
      <c r="P277" s="81"/>
      <c r="Q277" s="40"/>
      <c r="R277" s="40"/>
      <c r="S277" s="39"/>
      <c r="T277" s="16"/>
      <c r="U277" s="16"/>
      <c r="V277" s="16"/>
      <c r="W277" s="16"/>
      <c r="X277" s="16"/>
      <c r="Y277" s="19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41"/>
      <c r="AQ277" s="10"/>
      <c r="AR277" s="11"/>
    </row>
    <row r="278" spans="1:46" s="4" customFormat="1" ht="17.25" customHeight="1" x14ac:dyDescent="0.25">
      <c r="A278" s="23"/>
      <c r="B278" s="210" t="s">
        <v>94</v>
      </c>
      <c r="C278" s="203"/>
      <c r="D278" s="66"/>
      <c r="E278" s="66"/>
      <c r="F278" s="117"/>
      <c r="G278" s="117"/>
      <c r="H278" s="66"/>
      <c r="I278" s="66"/>
      <c r="J278" s="66">
        <f>-M278</f>
        <v>5765.55</v>
      </c>
      <c r="K278" s="58">
        <v>-969</v>
      </c>
      <c r="L278" s="89">
        <v>5.95</v>
      </c>
      <c r="M278" s="73">
        <f>K278*L278</f>
        <v>-5765.55</v>
      </c>
      <c r="N278" s="58"/>
      <c r="O278" s="89"/>
      <c r="P278" s="73"/>
      <c r="Q278" s="39"/>
      <c r="R278" s="39"/>
      <c r="S278" s="8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35"/>
      <c r="AP278" s="12" t="e">
        <f>#REF!</f>
        <v>#REF!</v>
      </c>
    </row>
    <row r="279" spans="1:46" s="4" customFormat="1" ht="17.25" customHeight="1" x14ac:dyDescent="0.25">
      <c r="A279" s="23"/>
      <c r="B279" s="201" t="s">
        <v>95</v>
      </c>
      <c r="C279" s="202"/>
      <c r="D279" s="64"/>
      <c r="E279" s="64"/>
      <c r="F279" s="117"/>
      <c r="G279" s="117"/>
      <c r="H279" s="64"/>
      <c r="I279" s="64"/>
      <c r="J279" s="64">
        <f>-P279</f>
        <v>5985.36</v>
      </c>
      <c r="K279" s="57"/>
      <c r="L279" s="88"/>
      <c r="M279" s="62"/>
      <c r="N279" s="57">
        <v>-1467</v>
      </c>
      <c r="O279" s="88">
        <v>4.08</v>
      </c>
      <c r="P279" s="62">
        <f>N279*O279</f>
        <v>-5985.36</v>
      </c>
      <c r="Q279" s="39"/>
      <c r="R279" s="39"/>
      <c r="S279" s="8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35"/>
      <c r="AP279" s="12" t="e">
        <f>#REF!</f>
        <v>#REF!</v>
      </c>
    </row>
    <row r="280" spans="1:46" s="4" customFormat="1" ht="17.25" customHeight="1" x14ac:dyDescent="0.25">
      <c r="A280" s="23"/>
      <c r="B280" s="201" t="s">
        <v>97</v>
      </c>
      <c r="C280" s="203"/>
      <c r="D280" s="64"/>
      <c r="E280" s="64"/>
      <c r="F280" s="64"/>
      <c r="G280" s="64"/>
      <c r="H280" s="64">
        <f>-J280-I280</f>
        <v>2698.3600000000006</v>
      </c>
      <c r="I280" s="64">
        <v>9052.5499999999993</v>
      </c>
      <c r="J280" s="64">
        <f>-SUM(J278:J279)</f>
        <v>-11750.91</v>
      </c>
      <c r="K280" s="57"/>
      <c r="L280" s="88"/>
      <c r="M280" s="62"/>
      <c r="N280" s="57"/>
      <c r="O280" s="88"/>
      <c r="P280" s="62"/>
      <c r="Q280" s="39"/>
      <c r="R280" s="39"/>
      <c r="S280" s="39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22"/>
      <c r="AO280" s="43">
        <f>A247</f>
        <v>0</v>
      </c>
      <c r="AP280" s="12" t="e">
        <f>#REF!</f>
        <v>#REF!</v>
      </c>
      <c r="AT280" s="2"/>
    </row>
    <row r="281" spans="1:46" s="4" customFormat="1" ht="17.25" customHeight="1" x14ac:dyDescent="0.25">
      <c r="A281" s="23"/>
      <c r="B281" s="201" t="s">
        <v>93</v>
      </c>
      <c r="C281" s="202"/>
      <c r="D281" s="64"/>
      <c r="E281" s="64"/>
      <c r="F281" s="64"/>
      <c r="G281" s="64"/>
      <c r="H281" s="64"/>
      <c r="I281" s="64"/>
      <c r="J281" s="64"/>
      <c r="K281" s="57">
        <v>-29</v>
      </c>
      <c r="L281" s="88"/>
      <c r="M281" s="62">
        <f>(K284*L270)-M270-M278</f>
        <v>723.65624774774642</v>
      </c>
      <c r="N281" s="57">
        <v>-35</v>
      </c>
      <c r="O281" s="88"/>
      <c r="P281" s="62">
        <f>(N284*(P270)/(N270))-P270-P279</f>
        <v>316.4809065984291</v>
      </c>
      <c r="Q281" s="39"/>
      <c r="R281" s="39"/>
      <c r="S281" s="39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22"/>
      <c r="AO281" s="43">
        <f>A264</f>
        <v>0</v>
      </c>
      <c r="AP281" s="12" t="e">
        <f>#REF!</f>
        <v>#REF!</v>
      </c>
      <c r="AT281" s="2"/>
    </row>
    <row r="282" spans="1:46" s="2" customFormat="1" ht="17.25" customHeight="1" x14ac:dyDescent="0.2">
      <c r="A282" s="24"/>
      <c r="B282" s="201"/>
      <c r="C282" s="204"/>
      <c r="D282" s="63"/>
      <c r="E282" s="64"/>
      <c r="F282" s="64"/>
      <c r="G282" s="64"/>
      <c r="H282" s="64"/>
      <c r="I282" s="64"/>
      <c r="J282" s="64"/>
      <c r="K282" s="16"/>
      <c r="L282" s="16"/>
      <c r="M282" s="64"/>
      <c r="N282" s="16"/>
      <c r="O282" s="16"/>
      <c r="P282" s="64"/>
      <c r="Q282" s="46"/>
      <c r="R282" s="46"/>
      <c r="S282" s="39"/>
      <c r="T282" s="16"/>
      <c r="U282" s="16"/>
      <c r="V282" s="16"/>
      <c r="W282" s="16"/>
      <c r="X282" s="16"/>
      <c r="Y282" s="19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43">
        <f>A271</f>
        <v>46072</v>
      </c>
      <c r="AQ282" s="10"/>
      <c r="AR282" s="11"/>
    </row>
    <row r="283" spans="1:46" s="2" customFormat="1" ht="17.25" customHeight="1" thickBot="1" x14ac:dyDescent="0.3">
      <c r="A283" s="56"/>
      <c r="B283" s="101" t="s">
        <v>102</v>
      </c>
      <c r="C283" s="102">
        <f>D284+E284+F284+G284+H284+I284+J284+M284+P284</f>
        <v>145779.1795400001</v>
      </c>
      <c r="D283" s="84"/>
      <c r="E283" s="85"/>
      <c r="F283" s="85"/>
      <c r="G283" s="85"/>
      <c r="H283" s="85"/>
      <c r="I283" s="85"/>
      <c r="J283" s="85"/>
      <c r="K283" s="28"/>
      <c r="L283" s="28"/>
      <c r="M283" s="85"/>
      <c r="N283" s="28"/>
      <c r="O283" s="28"/>
      <c r="P283" s="85"/>
      <c r="Q283" s="48"/>
      <c r="R283" s="48"/>
      <c r="S283" s="51"/>
      <c r="T283" s="28"/>
      <c r="U283" s="28"/>
      <c r="V283" s="28"/>
      <c r="W283" s="28"/>
      <c r="X283" s="28"/>
      <c r="Y283" s="36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42">
        <f>SUM($Q270:AN283)</f>
        <v>-492007.82890000002</v>
      </c>
      <c r="AQ283" s="10"/>
      <c r="AR283" s="11"/>
      <c r="AS283" s="2" t="s">
        <v>5</v>
      </c>
    </row>
    <row r="284" spans="1:46" s="2" customFormat="1" ht="17.25" customHeight="1" thickTop="1" thickBot="1" x14ac:dyDescent="0.3">
      <c r="A284" s="103"/>
      <c r="B284" s="104" t="s">
        <v>103</v>
      </c>
      <c r="C284" s="105">
        <f>AO284</f>
        <v>-346228.64935999992</v>
      </c>
      <c r="D284" s="106">
        <f t="shared" ref="D284:K284" si="36">SUM(D270:D283)</f>
        <v>10960.117040000054</v>
      </c>
      <c r="E284" s="107">
        <f t="shared" si="36"/>
        <v>-28023.430000000008</v>
      </c>
      <c r="F284" s="107">
        <f t="shared" si="36"/>
        <v>0.65000000000145519</v>
      </c>
      <c r="G284" s="107">
        <f t="shared" si="36"/>
        <v>0</v>
      </c>
      <c r="H284" s="107">
        <f t="shared" si="36"/>
        <v>79230.802500000063</v>
      </c>
      <c r="I284" s="107">
        <f t="shared" si="36"/>
        <v>8162.5499999999993</v>
      </c>
      <c r="J284" s="107">
        <f t="shared" si="36"/>
        <v>0</v>
      </c>
      <c r="K284" s="108">
        <f t="shared" si="36"/>
        <v>7882</v>
      </c>
      <c r="L284" s="109">
        <f>M284/K284</f>
        <v>5.0519982238010659</v>
      </c>
      <c r="M284" s="107">
        <f>ROUND(SUM(M270:M283),2)</f>
        <v>39819.85</v>
      </c>
      <c r="N284" s="108">
        <f>SUM(N270:N283)</f>
        <v>9440</v>
      </c>
      <c r="O284" s="109">
        <f>P284/N284</f>
        <v>3.7742203389830506</v>
      </c>
      <c r="P284" s="107">
        <f>ROUND(SUM(P270:P283),2)</f>
        <v>35628.639999999999</v>
      </c>
      <c r="Q284" s="110">
        <f t="shared" ref="Q284:AN284" si="37">SUM(Q270:Q283)</f>
        <v>-542237.12890000001</v>
      </c>
      <c r="R284" s="107">
        <f t="shared" si="37"/>
        <v>50229.299999999996</v>
      </c>
      <c r="S284" s="107">
        <f t="shared" si="37"/>
        <v>0</v>
      </c>
      <c r="T284" s="107">
        <f t="shared" si="37"/>
        <v>0</v>
      </c>
      <c r="U284" s="107">
        <f t="shared" si="37"/>
        <v>0</v>
      </c>
      <c r="V284" s="107">
        <f t="shared" si="37"/>
        <v>0</v>
      </c>
      <c r="W284" s="107">
        <f t="shared" si="37"/>
        <v>0</v>
      </c>
      <c r="X284" s="107">
        <f t="shared" si="37"/>
        <v>0</v>
      </c>
      <c r="Y284" s="107">
        <f t="shared" si="37"/>
        <v>0</v>
      </c>
      <c r="Z284" s="107">
        <f t="shared" si="37"/>
        <v>0</v>
      </c>
      <c r="AA284" s="107">
        <f t="shared" si="37"/>
        <v>0</v>
      </c>
      <c r="AB284" s="107">
        <f t="shared" si="37"/>
        <v>0</v>
      </c>
      <c r="AC284" s="107">
        <f t="shared" si="37"/>
        <v>0</v>
      </c>
      <c r="AD284" s="107">
        <f t="shared" si="37"/>
        <v>0</v>
      </c>
      <c r="AE284" s="107">
        <f t="shared" si="37"/>
        <v>0</v>
      </c>
      <c r="AF284" s="107">
        <f t="shared" si="37"/>
        <v>0</v>
      </c>
      <c r="AG284" s="107">
        <f t="shared" si="37"/>
        <v>0</v>
      </c>
      <c r="AH284" s="107">
        <f t="shared" si="37"/>
        <v>0</v>
      </c>
      <c r="AI284" s="107">
        <f t="shared" si="37"/>
        <v>0</v>
      </c>
      <c r="AJ284" s="107">
        <f t="shared" si="37"/>
        <v>0</v>
      </c>
      <c r="AK284" s="107">
        <f t="shared" si="37"/>
        <v>0</v>
      </c>
      <c r="AL284" s="107">
        <f t="shared" si="37"/>
        <v>0</v>
      </c>
      <c r="AM284" s="107">
        <f t="shared" si="37"/>
        <v>0</v>
      </c>
      <c r="AN284" s="107">
        <f t="shared" si="37"/>
        <v>0</v>
      </c>
      <c r="AO284" s="111">
        <f>D284+E284+F284+G284+H284+I284+J284+M284+P284+SUM(Q284:AN284)</f>
        <v>-346228.64935999992</v>
      </c>
      <c r="AP284" s="4"/>
      <c r="AQ284" s="5"/>
      <c r="AR284" s="5"/>
      <c r="AS284" s="2" t="s">
        <v>6</v>
      </c>
    </row>
    <row r="285" spans="1:46" s="2" customFormat="1" ht="17.25" customHeight="1" thickTop="1" x14ac:dyDescent="0.25">
      <c r="A285" s="23">
        <f>A271+1</f>
        <v>46073</v>
      </c>
      <c r="B285" s="210" t="s">
        <v>64</v>
      </c>
      <c r="C285" s="203"/>
      <c r="D285" s="63">
        <v>7977.74</v>
      </c>
      <c r="E285" s="66"/>
      <c r="F285" s="66"/>
      <c r="G285" s="66"/>
      <c r="H285" s="66"/>
      <c r="I285" s="66">
        <f>-D285</f>
        <v>-7977.74</v>
      </c>
      <c r="J285" s="66"/>
      <c r="K285" s="18"/>
      <c r="L285" s="18"/>
      <c r="M285" s="66"/>
      <c r="N285" s="18"/>
      <c r="O285" s="18"/>
      <c r="P285" s="66"/>
      <c r="Q285" s="46"/>
      <c r="R285" s="46"/>
      <c r="S285" s="45"/>
      <c r="T285" s="18"/>
      <c r="U285" s="18"/>
      <c r="V285" s="18"/>
      <c r="W285" s="18"/>
      <c r="X285" s="18"/>
      <c r="Y285" s="14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31"/>
      <c r="AQ285" s="10"/>
      <c r="AR285" s="27"/>
    </row>
    <row r="286" spans="1:46" s="4" customFormat="1" ht="17.25" customHeight="1" x14ac:dyDescent="0.25">
      <c r="A286" s="23"/>
      <c r="B286" s="201" t="s">
        <v>96</v>
      </c>
      <c r="C286" s="202"/>
      <c r="D286" s="63"/>
      <c r="E286" s="64"/>
      <c r="F286" s="64"/>
      <c r="G286" s="64"/>
      <c r="H286" s="64"/>
      <c r="I286" s="64">
        <f>-I284-I285</f>
        <v>-184.80999999999949</v>
      </c>
      <c r="J286" s="64"/>
      <c r="K286" s="16"/>
      <c r="L286" s="92"/>
      <c r="M286" s="64"/>
      <c r="N286" s="16"/>
      <c r="O286" s="92"/>
      <c r="P286" s="64"/>
      <c r="Q286" s="40"/>
      <c r="R286" s="46"/>
      <c r="S286" s="39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22"/>
      <c r="AP286" s="30"/>
    </row>
    <row r="287" spans="1:46" s="2" customFormat="1" ht="17.25" customHeight="1" x14ac:dyDescent="0.25">
      <c r="A287" s="29"/>
      <c r="B287" s="201" t="s">
        <v>327</v>
      </c>
      <c r="C287" s="202"/>
      <c r="D287" s="63">
        <f>100+50+20+150+50+30+30+50+10+80+20+20+39+60+80+30+30+20</f>
        <v>869</v>
      </c>
      <c r="E287" s="64"/>
      <c r="F287" s="64"/>
      <c r="G287" s="64"/>
      <c r="H287" s="64"/>
      <c r="I287" s="64">
        <f>-D287</f>
        <v>-869</v>
      </c>
      <c r="J287" s="64"/>
      <c r="K287" s="57"/>
      <c r="L287" s="88"/>
      <c r="M287" s="62"/>
      <c r="N287" s="57"/>
      <c r="O287" s="88"/>
      <c r="P287" s="62"/>
      <c r="Q287" s="47"/>
      <c r="R287" s="39"/>
      <c r="S287" s="39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22"/>
      <c r="AQ287" s="10"/>
      <c r="AR287" s="11"/>
    </row>
    <row r="288" spans="1:46" s="2" customFormat="1" ht="17.25" customHeight="1" x14ac:dyDescent="0.25">
      <c r="A288" s="29"/>
      <c r="B288" s="201" t="s">
        <v>328</v>
      </c>
      <c r="C288" s="202"/>
      <c r="D288" s="63">
        <f>-17*0.99-1.2</f>
        <v>-18.029999999999998</v>
      </c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47"/>
      <c r="R288" s="39"/>
      <c r="S288" s="39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22"/>
      <c r="AQ288" s="10"/>
      <c r="AR288" s="11"/>
    </row>
    <row r="289" spans="1:46" s="2" customFormat="1" ht="17.25" customHeight="1" x14ac:dyDescent="0.25">
      <c r="A289" s="24"/>
      <c r="B289" s="205" t="s">
        <v>263</v>
      </c>
      <c r="C289" s="206"/>
      <c r="D289" s="63">
        <v>-18500</v>
      </c>
      <c r="E289" s="64"/>
      <c r="F289" s="64"/>
      <c r="G289" s="64"/>
      <c r="H289" s="64"/>
      <c r="I289" s="64"/>
      <c r="J289" s="64"/>
      <c r="K289" s="16"/>
      <c r="L289" s="92"/>
      <c r="M289" s="64"/>
      <c r="N289" s="16"/>
      <c r="O289" s="92"/>
      <c r="P289" s="64"/>
      <c r="Q289" s="40">
        <f>-D289</f>
        <v>18500</v>
      </c>
      <c r="R289" s="40"/>
      <c r="S289" s="39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22"/>
      <c r="AQ289" s="10"/>
      <c r="AR289" s="11"/>
    </row>
    <row r="290" spans="1:46" s="2" customFormat="1" ht="17.25" customHeight="1" x14ac:dyDescent="0.25">
      <c r="A290" s="29"/>
      <c r="B290" s="201" t="s">
        <v>276</v>
      </c>
      <c r="C290" s="202"/>
      <c r="D290" s="63">
        <v>-4.9000000000000004</v>
      </c>
      <c r="E290" s="64"/>
      <c r="F290" s="64"/>
      <c r="G290" s="64"/>
      <c r="H290" s="64"/>
      <c r="I290" s="64"/>
      <c r="J290" s="64"/>
      <c r="K290" s="57"/>
      <c r="L290" s="88"/>
      <c r="M290" s="62"/>
      <c r="N290" s="57"/>
      <c r="O290" s="88"/>
      <c r="P290" s="62"/>
      <c r="Q290" s="47"/>
      <c r="R290" s="39"/>
      <c r="S290" s="39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22"/>
      <c r="AQ290" s="10"/>
      <c r="AR290" s="11"/>
    </row>
    <row r="291" spans="1:46" s="4" customFormat="1" ht="17.25" customHeight="1" x14ac:dyDescent="0.25">
      <c r="A291" s="23"/>
      <c r="B291" s="201" t="s">
        <v>13</v>
      </c>
      <c r="C291" s="203"/>
      <c r="D291" s="63"/>
      <c r="E291" s="64">
        <f>20+11.07+15+50+25+1158.28+150+70+15+14.99+544+1284+1259+894+150+717+1295+1778+946+97+10+20+30+50+75+307+240+20</f>
        <v>11245.34</v>
      </c>
      <c r="F291" s="64"/>
      <c r="G291" s="64"/>
      <c r="H291" s="64">
        <f>-E291</f>
        <v>-11245.34</v>
      </c>
      <c r="I291" s="66"/>
      <c r="J291" s="64"/>
      <c r="K291" s="16"/>
      <c r="L291" s="92"/>
      <c r="M291" s="64"/>
      <c r="N291" s="16"/>
      <c r="O291" s="92"/>
      <c r="P291" s="64"/>
      <c r="Q291" s="40"/>
      <c r="R291" s="46">
        <f>-D291</f>
        <v>0</v>
      </c>
      <c r="S291" s="39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22"/>
      <c r="AP291" s="30"/>
    </row>
    <row r="292" spans="1:46" s="2" customFormat="1" ht="17.25" customHeight="1" x14ac:dyDescent="0.25">
      <c r="A292" s="24"/>
      <c r="B292" s="205" t="s">
        <v>263</v>
      </c>
      <c r="C292" s="206"/>
      <c r="D292" s="63"/>
      <c r="E292" s="64">
        <v>-4620</v>
      </c>
      <c r="F292" s="64"/>
      <c r="G292" s="64"/>
      <c r="H292" s="64"/>
      <c r="I292" s="64"/>
      <c r="J292" s="64"/>
      <c r="K292" s="16"/>
      <c r="L292" s="92"/>
      <c r="M292" s="64"/>
      <c r="N292" s="16"/>
      <c r="O292" s="92"/>
      <c r="P292" s="64"/>
      <c r="Q292" s="40">
        <f>-E292</f>
        <v>4620</v>
      </c>
      <c r="R292" s="40"/>
      <c r="S292" s="39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22"/>
      <c r="AQ292" s="10"/>
      <c r="AR292" s="11"/>
    </row>
    <row r="293" spans="1:46" s="2" customFormat="1" ht="17.25" customHeight="1" x14ac:dyDescent="0.2">
      <c r="A293" s="23"/>
      <c r="B293" s="201" t="s">
        <v>53</v>
      </c>
      <c r="C293" s="203"/>
      <c r="D293" s="63"/>
      <c r="E293" s="64">
        <v>-1664.69</v>
      </c>
      <c r="F293" s="74"/>
      <c r="G293" s="74"/>
      <c r="H293" s="64"/>
      <c r="I293" s="64"/>
      <c r="J293" s="64"/>
      <c r="K293" s="16"/>
      <c r="L293" s="16"/>
      <c r="M293" s="64"/>
      <c r="N293" s="16"/>
      <c r="O293" s="16"/>
      <c r="P293" s="64"/>
      <c r="Q293" s="46"/>
      <c r="R293" s="39"/>
      <c r="S293" s="40"/>
      <c r="T293" s="16"/>
      <c r="U293" s="16"/>
      <c r="V293" s="16"/>
      <c r="W293" s="16"/>
      <c r="X293" s="16"/>
      <c r="Y293" s="19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35"/>
      <c r="AQ293" s="10"/>
      <c r="AR293" s="27"/>
    </row>
    <row r="294" spans="1:46" s="2" customFormat="1" ht="17.25" customHeight="1" x14ac:dyDescent="0.2">
      <c r="A294" s="23"/>
      <c r="B294" s="201" t="s">
        <v>370</v>
      </c>
      <c r="C294" s="203"/>
      <c r="D294" s="63"/>
      <c r="E294" s="64">
        <v>-224.4</v>
      </c>
      <c r="F294" s="74"/>
      <c r="G294" s="74"/>
      <c r="H294" s="64"/>
      <c r="I294" s="64"/>
      <c r="J294" s="64"/>
      <c r="K294" s="16"/>
      <c r="L294" s="16"/>
      <c r="M294" s="64"/>
      <c r="N294" s="16"/>
      <c r="O294" s="16"/>
      <c r="P294" s="64"/>
      <c r="Q294" s="46"/>
      <c r="R294" s="39"/>
      <c r="S294" s="40"/>
      <c r="T294" s="16"/>
      <c r="U294" s="16"/>
      <c r="V294" s="16"/>
      <c r="W294" s="16"/>
      <c r="X294" s="16"/>
      <c r="Y294" s="19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35"/>
      <c r="AQ294" s="10"/>
      <c r="AR294" s="27"/>
    </row>
    <row r="295" spans="1:46" s="2" customFormat="1" ht="17.25" customHeight="1" x14ac:dyDescent="0.25">
      <c r="A295" s="29"/>
      <c r="B295" s="52" t="s">
        <v>377</v>
      </c>
      <c r="C295" s="54"/>
      <c r="D295" s="63"/>
      <c r="E295" s="64">
        <v>-395</v>
      </c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47"/>
      <c r="R295" s="39"/>
      <c r="S295" s="39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22"/>
      <c r="AQ295" s="10" t="s">
        <v>4</v>
      </c>
      <c r="AR295" s="11" t="e">
        <v>#REF!</v>
      </c>
    </row>
    <row r="296" spans="1:46" s="2" customFormat="1" ht="17.25" customHeight="1" thickBot="1" x14ac:dyDescent="0.25">
      <c r="A296" s="24"/>
      <c r="B296" s="216"/>
      <c r="C296" s="217"/>
      <c r="D296" s="83"/>
      <c r="E296" s="81"/>
      <c r="F296" s="81"/>
      <c r="G296" s="81"/>
      <c r="H296" s="81"/>
      <c r="I296" s="81"/>
      <c r="J296" s="81"/>
      <c r="K296" s="37"/>
      <c r="L296" s="93"/>
      <c r="M296" s="81"/>
      <c r="N296" s="37"/>
      <c r="O296" s="93"/>
      <c r="P296" s="81"/>
      <c r="Q296" s="40"/>
      <c r="R296" s="40"/>
      <c r="S296" s="39"/>
      <c r="T296" s="16"/>
      <c r="U296" s="16"/>
      <c r="V296" s="16"/>
      <c r="W296" s="16"/>
      <c r="X296" s="16"/>
      <c r="Y296" s="19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41"/>
      <c r="AQ296" s="10"/>
      <c r="AR296" s="11"/>
    </row>
    <row r="297" spans="1:46" s="4" customFormat="1" ht="17.25" customHeight="1" x14ac:dyDescent="0.25">
      <c r="A297" s="23"/>
      <c r="B297" s="210" t="s">
        <v>94</v>
      </c>
      <c r="C297" s="203"/>
      <c r="D297" s="66"/>
      <c r="E297" s="66"/>
      <c r="F297" s="117"/>
      <c r="G297" s="117"/>
      <c r="H297" s="66"/>
      <c r="I297" s="66"/>
      <c r="J297" s="66">
        <f>-M297</f>
        <v>7407.75</v>
      </c>
      <c r="K297" s="58">
        <v>-1245</v>
      </c>
      <c r="L297" s="89">
        <v>5.95</v>
      </c>
      <c r="M297" s="73">
        <f>K297*L297</f>
        <v>-7407.75</v>
      </c>
      <c r="N297" s="58"/>
      <c r="O297" s="89"/>
      <c r="P297" s="73"/>
      <c r="Q297" s="39"/>
      <c r="R297" s="39"/>
      <c r="S297" s="8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35"/>
      <c r="AP297" s="12" t="e">
        <f>#REF!</f>
        <v>#REF!</v>
      </c>
    </row>
    <row r="298" spans="1:46" s="4" customFormat="1" ht="17.25" customHeight="1" x14ac:dyDescent="0.25">
      <c r="A298" s="23"/>
      <c r="B298" s="201" t="s">
        <v>95</v>
      </c>
      <c r="C298" s="202"/>
      <c r="D298" s="64"/>
      <c r="E298" s="64"/>
      <c r="F298" s="117"/>
      <c r="G298" s="117"/>
      <c r="H298" s="64"/>
      <c r="I298" s="64"/>
      <c r="J298" s="64">
        <f>-P298</f>
        <v>7397.04</v>
      </c>
      <c r="K298" s="57"/>
      <c r="L298" s="88"/>
      <c r="M298" s="62"/>
      <c r="N298" s="57">
        <v>-1813</v>
      </c>
      <c r="O298" s="88">
        <v>4.08</v>
      </c>
      <c r="P298" s="62">
        <f>N298*O298</f>
        <v>-7397.04</v>
      </c>
      <c r="Q298" s="39"/>
      <c r="R298" s="39"/>
      <c r="S298" s="8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35"/>
      <c r="AP298" s="12" t="e">
        <f>#REF!</f>
        <v>#REF!</v>
      </c>
    </row>
    <row r="299" spans="1:46" s="4" customFormat="1" ht="17.25" customHeight="1" x14ac:dyDescent="0.25">
      <c r="A299" s="23"/>
      <c r="B299" s="201" t="s">
        <v>97</v>
      </c>
      <c r="C299" s="203"/>
      <c r="D299" s="64"/>
      <c r="E299" s="64"/>
      <c r="F299" s="64"/>
      <c r="G299" s="64"/>
      <c r="H299" s="64">
        <f>-J299-I299</f>
        <v>5163.7800000000007</v>
      </c>
      <c r="I299" s="64">
        <v>9641.01</v>
      </c>
      <c r="J299" s="64">
        <f>-SUM(J297:J298)</f>
        <v>-14804.79</v>
      </c>
      <c r="K299" s="57"/>
      <c r="L299" s="88"/>
      <c r="M299" s="62"/>
      <c r="N299" s="57"/>
      <c r="O299" s="88"/>
      <c r="P299" s="62"/>
      <c r="Q299" s="39"/>
      <c r="R299" s="39"/>
      <c r="S299" s="39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22"/>
      <c r="AO299" s="43">
        <f>A267</f>
        <v>0</v>
      </c>
      <c r="AP299" s="12" t="e">
        <f>#REF!</f>
        <v>#REF!</v>
      </c>
      <c r="AT299" s="2"/>
    </row>
    <row r="300" spans="1:46" s="4" customFormat="1" ht="17.25" customHeight="1" x14ac:dyDescent="0.25">
      <c r="A300" s="23"/>
      <c r="B300" s="201" t="s">
        <v>93</v>
      </c>
      <c r="C300" s="202"/>
      <c r="D300" s="64"/>
      <c r="E300" s="64"/>
      <c r="F300" s="64"/>
      <c r="G300" s="64"/>
      <c r="H300" s="64"/>
      <c r="I300" s="64"/>
      <c r="J300" s="64"/>
      <c r="K300" s="57">
        <v>18</v>
      </c>
      <c r="L300" s="88"/>
      <c r="M300" s="62">
        <f>(K303*L284)-M284-M297</f>
        <v>1208.9481793960949</v>
      </c>
      <c r="N300" s="57">
        <v>-77</v>
      </c>
      <c r="O300" s="88"/>
      <c r="P300" s="62">
        <f>(N303*(P284)/(N284))-P284-P298</f>
        <v>263.76355932203569</v>
      </c>
      <c r="Q300" s="39"/>
      <c r="R300" s="39"/>
      <c r="S300" s="39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22"/>
      <c r="AO300" s="43">
        <f>A278</f>
        <v>0</v>
      </c>
      <c r="AP300" s="12" t="e">
        <f>#REF!</f>
        <v>#REF!</v>
      </c>
      <c r="AT300" s="2"/>
    </row>
    <row r="301" spans="1:46" s="2" customFormat="1" ht="17.25" customHeight="1" x14ac:dyDescent="0.2">
      <c r="A301" s="24"/>
      <c r="B301" s="201"/>
      <c r="C301" s="204"/>
      <c r="D301" s="63"/>
      <c r="E301" s="64"/>
      <c r="F301" s="64"/>
      <c r="G301" s="64"/>
      <c r="H301" s="64"/>
      <c r="I301" s="64"/>
      <c r="J301" s="64"/>
      <c r="K301" s="16"/>
      <c r="L301" s="16"/>
      <c r="M301" s="64"/>
      <c r="N301" s="16"/>
      <c r="O301" s="16"/>
      <c r="P301" s="64"/>
      <c r="Q301" s="46"/>
      <c r="R301" s="46"/>
      <c r="S301" s="39"/>
      <c r="T301" s="16"/>
      <c r="U301" s="16"/>
      <c r="V301" s="16"/>
      <c r="W301" s="16"/>
      <c r="X301" s="16"/>
      <c r="Y301" s="19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43">
        <f>A285</f>
        <v>46073</v>
      </c>
      <c r="AQ301" s="10"/>
      <c r="AR301" s="11"/>
    </row>
    <row r="302" spans="1:46" s="2" customFormat="1" ht="17.25" customHeight="1" thickBot="1" x14ac:dyDescent="0.3">
      <c r="A302" s="56"/>
      <c r="B302" s="101" t="s">
        <v>102</v>
      </c>
      <c r="C302" s="102">
        <f>D303+E303+F303+G303+H303+I303+J303+M303+P303</f>
        <v>121640.05954000012</v>
      </c>
      <c r="D302" s="84"/>
      <c r="E302" s="85"/>
      <c r="F302" s="85"/>
      <c r="G302" s="85"/>
      <c r="H302" s="85"/>
      <c r="I302" s="85"/>
      <c r="J302" s="85"/>
      <c r="K302" s="28"/>
      <c r="L302" s="28"/>
      <c r="M302" s="85"/>
      <c r="N302" s="28"/>
      <c r="O302" s="28"/>
      <c r="P302" s="85"/>
      <c r="Q302" s="48"/>
      <c r="R302" s="48"/>
      <c r="S302" s="51"/>
      <c r="T302" s="28"/>
      <c r="U302" s="28"/>
      <c r="V302" s="28"/>
      <c r="W302" s="28"/>
      <c r="X302" s="28"/>
      <c r="Y302" s="36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42">
        <f>SUM($Q284:AN302)</f>
        <v>-468887.82890000002</v>
      </c>
      <c r="AQ302" s="10"/>
      <c r="AR302" s="11"/>
      <c r="AS302" s="2" t="s">
        <v>5</v>
      </c>
    </row>
    <row r="303" spans="1:46" s="2" customFormat="1" ht="17.25" customHeight="1" thickTop="1" thickBot="1" x14ac:dyDescent="0.3">
      <c r="A303" s="103"/>
      <c r="B303" s="104" t="s">
        <v>103</v>
      </c>
      <c r="C303" s="105">
        <f>AO303</f>
        <v>-347247.76935999992</v>
      </c>
      <c r="D303" s="106">
        <f t="shared" ref="D303:K303" si="38">SUM(D284:D302)</f>
        <v>1283.9270400000546</v>
      </c>
      <c r="E303" s="107">
        <f t="shared" si="38"/>
        <v>-23682.180000000008</v>
      </c>
      <c r="F303" s="107">
        <f t="shared" si="38"/>
        <v>0.65000000000145519</v>
      </c>
      <c r="G303" s="107">
        <f t="shared" si="38"/>
        <v>0</v>
      </c>
      <c r="H303" s="107">
        <f t="shared" si="38"/>
        <v>73149.242500000066</v>
      </c>
      <c r="I303" s="107">
        <f t="shared" si="38"/>
        <v>8772.01</v>
      </c>
      <c r="J303" s="107">
        <f t="shared" si="38"/>
        <v>0</v>
      </c>
      <c r="K303" s="108">
        <f t="shared" si="38"/>
        <v>6655</v>
      </c>
      <c r="L303" s="109">
        <f>M303/K303</f>
        <v>5.0519984973703984</v>
      </c>
      <c r="M303" s="107">
        <f>ROUND(SUM(M284:M302),2)</f>
        <v>33621.050000000003</v>
      </c>
      <c r="N303" s="108">
        <f>SUM(N284:N302)</f>
        <v>7550</v>
      </c>
      <c r="O303" s="109">
        <f>P303/N303</f>
        <v>3.774219867549669</v>
      </c>
      <c r="P303" s="107">
        <f>ROUND(SUM(P284:P302),2)</f>
        <v>28495.360000000001</v>
      </c>
      <c r="Q303" s="110">
        <f t="shared" ref="Q303:AN303" si="39">SUM(Q284:Q302)</f>
        <v>-519117.12890000001</v>
      </c>
      <c r="R303" s="107">
        <f t="shared" si="39"/>
        <v>50229.299999999996</v>
      </c>
      <c r="S303" s="107">
        <f t="shared" si="39"/>
        <v>0</v>
      </c>
      <c r="T303" s="107">
        <f t="shared" si="39"/>
        <v>0</v>
      </c>
      <c r="U303" s="107">
        <f t="shared" si="39"/>
        <v>0</v>
      </c>
      <c r="V303" s="107">
        <f t="shared" si="39"/>
        <v>0</v>
      </c>
      <c r="W303" s="107">
        <f t="shared" si="39"/>
        <v>0</v>
      </c>
      <c r="X303" s="107">
        <f t="shared" si="39"/>
        <v>0</v>
      </c>
      <c r="Y303" s="107">
        <f t="shared" si="39"/>
        <v>0</v>
      </c>
      <c r="Z303" s="107">
        <f t="shared" si="39"/>
        <v>0</v>
      </c>
      <c r="AA303" s="107">
        <f t="shared" si="39"/>
        <v>0</v>
      </c>
      <c r="AB303" s="107">
        <f t="shared" si="39"/>
        <v>0</v>
      </c>
      <c r="AC303" s="107">
        <f t="shared" si="39"/>
        <v>0</v>
      </c>
      <c r="AD303" s="107">
        <f t="shared" si="39"/>
        <v>0</v>
      </c>
      <c r="AE303" s="107">
        <f t="shared" si="39"/>
        <v>0</v>
      </c>
      <c r="AF303" s="107">
        <f t="shared" si="39"/>
        <v>0</v>
      </c>
      <c r="AG303" s="107">
        <f t="shared" si="39"/>
        <v>0</v>
      </c>
      <c r="AH303" s="107">
        <f t="shared" si="39"/>
        <v>0</v>
      </c>
      <c r="AI303" s="107">
        <f t="shared" si="39"/>
        <v>0</v>
      </c>
      <c r="AJ303" s="107">
        <f t="shared" si="39"/>
        <v>0</v>
      </c>
      <c r="AK303" s="107">
        <f t="shared" si="39"/>
        <v>0</v>
      </c>
      <c r="AL303" s="107">
        <f t="shared" si="39"/>
        <v>0</v>
      </c>
      <c r="AM303" s="107">
        <f t="shared" si="39"/>
        <v>0</v>
      </c>
      <c r="AN303" s="107">
        <f t="shared" si="39"/>
        <v>0</v>
      </c>
      <c r="AO303" s="111">
        <f>D303+E303+F303+G303+H303+I303+J303+M303+P303+SUM(Q303:AN303)</f>
        <v>-347247.76935999992</v>
      </c>
      <c r="AP303" s="4"/>
      <c r="AQ303" s="5"/>
      <c r="AR303" s="5"/>
      <c r="AS303" s="2" t="s">
        <v>6</v>
      </c>
    </row>
    <row r="304" spans="1:46" s="2" customFormat="1" ht="17.25" customHeight="1" thickTop="1" x14ac:dyDescent="0.25">
      <c r="A304" s="23">
        <f>A285+1</f>
        <v>46074</v>
      </c>
      <c r="B304" s="210" t="s">
        <v>64</v>
      </c>
      <c r="C304" s="203"/>
      <c r="D304" s="63">
        <v>8554.7000000000007</v>
      </c>
      <c r="E304" s="66"/>
      <c r="F304" s="66"/>
      <c r="G304" s="66"/>
      <c r="H304" s="66"/>
      <c r="I304" s="66">
        <f>-D304</f>
        <v>-8554.7000000000007</v>
      </c>
      <c r="J304" s="66"/>
      <c r="K304" s="18"/>
      <c r="L304" s="18"/>
      <c r="M304" s="66"/>
      <c r="N304" s="18"/>
      <c r="O304" s="18"/>
      <c r="P304" s="66"/>
      <c r="Q304" s="46"/>
      <c r="R304" s="46"/>
      <c r="S304" s="45"/>
      <c r="T304" s="18"/>
      <c r="U304" s="18"/>
      <c r="V304" s="18"/>
      <c r="W304" s="18"/>
      <c r="X304" s="18"/>
      <c r="Y304" s="14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31"/>
      <c r="AQ304" s="10"/>
      <c r="AR304" s="27"/>
    </row>
    <row r="305" spans="1:46" s="4" customFormat="1" ht="17.25" customHeight="1" x14ac:dyDescent="0.25">
      <c r="A305" s="23"/>
      <c r="B305" s="201" t="s">
        <v>96</v>
      </c>
      <c r="C305" s="202"/>
      <c r="D305" s="63"/>
      <c r="E305" s="64"/>
      <c r="F305" s="64"/>
      <c r="G305" s="64"/>
      <c r="H305" s="64"/>
      <c r="I305" s="64">
        <f>-I303-I304</f>
        <v>-217.30999999999949</v>
      </c>
      <c r="J305" s="64"/>
      <c r="K305" s="16"/>
      <c r="L305" s="92"/>
      <c r="M305" s="64"/>
      <c r="N305" s="16"/>
      <c r="O305" s="92"/>
      <c r="P305" s="64"/>
      <c r="Q305" s="40"/>
      <c r="R305" s="46"/>
      <c r="S305" s="39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22"/>
      <c r="AP305" s="30"/>
    </row>
    <row r="306" spans="1:46" s="2" customFormat="1" ht="17.25" customHeight="1" x14ac:dyDescent="0.25">
      <c r="A306" s="29"/>
      <c r="B306" s="201" t="s">
        <v>327</v>
      </c>
      <c r="C306" s="202"/>
      <c r="D306" s="63">
        <f>100+10+34+40+130+100+50+30</f>
        <v>494</v>
      </c>
      <c r="E306" s="64"/>
      <c r="F306" s="64"/>
      <c r="G306" s="64"/>
      <c r="H306" s="64"/>
      <c r="I306" s="64">
        <f>-D306</f>
        <v>-494</v>
      </c>
      <c r="J306" s="64"/>
      <c r="K306" s="57"/>
      <c r="L306" s="88"/>
      <c r="M306" s="62"/>
      <c r="N306" s="57"/>
      <c r="O306" s="88"/>
      <c r="P306" s="62"/>
      <c r="Q306" s="47"/>
      <c r="R306" s="39"/>
      <c r="S306" s="39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22"/>
      <c r="AQ306" s="10"/>
      <c r="AR306" s="11"/>
    </row>
    <row r="307" spans="1:46" s="2" customFormat="1" ht="17.25" customHeight="1" x14ac:dyDescent="0.25">
      <c r="A307" s="29"/>
      <c r="B307" s="201" t="s">
        <v>328</v>
      </c>
      <c r="C307" s="202"/>
      <c r="D307" s="63">
        <f>-7*0.99-1.04</f>
        <v>-7.97</v>
      </c>
      <c r="E307" s="64"/>
      <c r="F307" s="64"/>
      <c r="G307" s="64"/>
      <c r="H307" s="64"/>
      <c r="I307" s="64"/>
      <c r="J307" s="64"/>
      <c r="K307" s="57"/>
      <c r="L307" s="88"/>
      <c r="M307" s="62"/>
      <c r="N307" s="57"/>
      <c r="O307" s="88"/>
      <c r="P307" s="62"/>
      <c r="Q307" s="47"/>
      <c r="R307" s="39"/>
      <c r="S307" s="39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22"/>
      <c r="AQ307" s="10"/>
      <c r="AR307" s="11"/>
    </row>
    <row r="308" spans="1:46" s="2" customFormat="1" ht="17.25" customHeight="1" thickBot="1" x14ac:dyDescent="0.25">
      <c r="A308" s="24"/>
      <c r="B308" s="216"/>
      <c r="C308" s="217"/>
      <c r="D308" s="83"/>
      <c r="E308" s="81"/>
      <c r="F308" s="81"/>
      <c r="G308" s="81"/>
      <c r="H308" s="81"/>
      <c r="I308" s="81"/>
      <c r="J308" s="81"/>
      <c r="K308" s="37"/>
      <c r="L308" s="93"/>
      <c r="M308" s="81"/>
      <c r="N308" s="37"/>
      <c r="O308" s="93"/>
      <c r="P308" s="81"/>
      <c r="Q308" s="40"/>
      <c r="R308" s="40"/>
      <c r="S308" s="39"/>
      <c r="T308" s="16"/>
      <c r="U308" s="16"/>
      <c r="V308" s="16"/>
      <c r="W308" s="16"/>
      <c r="X308" s="16"/>
      <c r="Y308" s="19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41"/>
      <c r="AQ308" s="10"/>
      <c r="AR308" s="11"/>
    </row>
    <row r="309" spans="1:46" s="4" customFormat="1" ht="17.25" customHeight="1" x14ac:dyDescent="0.25">
      <c r="A309" s="23"/>
      <c r="B309" s="210" t="s">
        <v>94</v>
      </c>
      <c r="C309" s="203"/>
      <c r="D309" s="66"/>
      <c r="E309" s="66"/>
      <c r="F309" s="117"/>
      <c r="G309" s="117"/>
      <c r="H309" s="66"/>
      <c r="I309" s="66"/>
      <c r="J309" s="66">
        <f>-M309</f>
        <v>8579.9</v>
      </c>
      <c r="K309" s="58">
        <v>-1442</v>
      </c>
      <c r="L309" s="89">
        <v>5.95</v>
      </c>
      <c r="M309" s="73">
        <f>K309*L309</f>
        <v>-8579.9</v>
      </c>
      <c r="N309" s="58"/>
      <c r="O309" s="89"/>
      <c r="P309" s="73"/>
      <c r="Q309" s="39"/>
      <c r="R309" s="39"/>
      <c r="S309" s="8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35"/>
      <c r="AP309" s="12" t="e">
        <f>#REF!</f>
        <v>#REF!</v>
      </c>
    </row>
    <row r="310" spans="1:46" s="4" customFormat="1" ht="17.25" customHeight="1" x14ac:dyDescent="0.25">
      <c r="A310" s="23"/>
      <c r="B310" s="201" t="s">
        <v>95</v>
      </c>
      <c r="C310" s="202"/>
      <c r="D310" s="64"/>
      <c r="E310" s="64"/>
      <c r="F310" s="117"/>
      <c r="G310" s="117"/>
      <c r="H310" s="64"/>
      <c r="I310" s="64"/>
      <c r="J310" s="64">
        <f>-P310</f>
        <v>7845.84</v>
      </c>
      <c r="K310" s="57"/>
      <c r="L310" s="88"/>
      <c r="M310" s="62"/>
      <c r="N310" s="57">
        <v>-1923</v>
      </c>
      <c r="O310" s="88">
        <v>4.08</v>
      </c>
      <c r="P310" s="62">
        <f>N310*O310</f>
        <v>-7845.84</v>
      </c>
      <c r="Q310" s="39"/>
      <c r="R310" s="39"/>
      <c r="S310" s="8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35"/>
      <c r="AP310" s="12" t="e">
        <f>#REF!</f>
        <v>#REF!</v>
      </c>
    </row>
    <row r="311" spans="1:46" s="4" customFormat="1" ht="17.25" customHeight="1" x14ac:dyDescent="0.25">
      <c r="A311" s="23"/>
      <c r="B311" s="201" t="s">
        <v>97</v>
      </c>
      <c r="C311" s="203"/>
      <c r="D311" s="64"/>
      <c r="E311" s="64"/>
      <c r="F311" s="64"/>
      <c r="G311" s="64"/>
      <c r="H311" s="64">
        <f>-J311-I311</f>
        <v>5394.4799999999977</v>
      </c>
      <c r="I311" s="64">
        <v>11031.26</v>
      </c>
      <c r="J311" s="64">
        <f>-SUM(J309:J310)</f>
        <v>-16425.739999999998</v>
      </c>
      <c r="K311" s="57"/>
      <c r="L311" s="88"/>
      <c r="M311" s="62"/>
      <c r="N311" s="57"/>
      <c r="O311" s="88"/>
      <c r="P311" s="62"/>
      <c r="Q311" s="39"/>
      <c r="R311" s="39"/>
      <c r="S311" s="39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22"/>
      <c r="AO311" s="43">
        <f>A281</f>
        <v>0</v>
      </c>
      <c r="AP311" s="12" t="e">
        <f>#REF!</f>
        <v>#REF!</v>
      </c>
      <c r="AT311" s="2"/>
    </row>
    <row r="312" spans="1:46" s="4" customFormat="1" ht="17.25" customHeight="1" x14ac:dyDescent="0.25">
      <c r="A312" s="23"/>
      <c r="B312" s="201" t="s">
        <v>93</v>
      </c>
      <c r="C312" s="202"/>
      <c r="D312" s="64"/>
      <c r="E312" s="64"/>
      <c r="F312" s="64"/>
      <c r="G312" s="64"/>
      <c r="H312" s="64"/>
      <c r="I312" s="64"/>
      <c r="J312" s="64"/>
      <c r="K312" s="57">
        <v>-91</v>
      </c>
      <c r="L312" s="88"/>
      <c r="M312" s="62">
        <f>(K315*(M303)/(K303))-M303-M309</f>
        <v>835.18630353117805</v>
      </c>
      <c r="N312" s="57">
        <v>-71</v>
      </c>
      <c r="O312" s="88"/>
      <c r="P312" s="62">
        <f>(N315*(P303)/(N303))-P303-P310</f>
        <v>320.04558410595928</v>
      </c>
      <c r="Q312" s="39"/>
      <c r="R312" s="39"/>
      <c r="S312" s="39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22"/>
      <c r="AO312" s="43">
        <f>A297</f>
        <v>0</v>
      </c>
      <c r="AP312" s="12" t="e">
        <f>#REF!</f>
        <v>#REF!</v>
      </c>
      <c r="AT312" s="2"/>
    </row>
    <row r="313" spans="1:46" s="2" customFormat="1" ht="17.25" customHeight="1" x14ac:dyDescent="0.2">
      <c r="A313" s="24"/>
      <c r="B313" s="201"/>
      <c r="C313" s="204"/>
      <c r="D313" s="63"/>
      <c r="E313" s="64"/>
      <c r="F313" s="64"/>
      <c r="G313" s="64"/>
      <c r="H313" s="64"/>
      <c r="I313" s="64"/>
      <c r="J313" s="64"/>
      <c r="K313" s="16"/>
      <c r="L313" s="16"/>
      <c r="M313" s="64"/>
      <c r="N313" s="16"/>
      <c r="O313" s="16"/>
      <c r="P313" s="64"/>
      <c r="Q313" s="46"/>
      <c r="R313" s="46"/>
      <c r="S313" s="39"/>
      <c r="T313" s="16"/>
      <c r="U313" s="16"/>
      <c r="V313" s="16"/>
      <c r="W313" s="16"/>
      <c r="X313" s="16"/>
      <c r="Y313" s="19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43">
        <f>A295</f>
        <v>0</v>
      </c>
      <c r="AQ313" s="10"/>
      <c r="AR313" s="11"/>
    </row>
    <row r="314" spans="1:46" s="2" customFormat="1" ht="17.25" customHeight="1" thickBot="1" x14ac:dyDescent="0.3">
      <c r="A314" s="56"/>
      <c r="B314" s="101" t="s">
        <v>102</v>
      </c>
      <c r="C314" s="102">
        <f>D315+E315+F315+G315+H315+I315+J315+M315+P315</f>
        <v>122570.0195400001</v>
      </c>
      <c r="D314" s="84"/>
      <c r="E314" s="85"/>
      <c r="F314" s="85"/>
      <c r="G314" s="85"/>
      <c r="H314" s="85"/>
      <c r="I314" s="85"/>
      <c r="J314" s="85"/>
      <c r="K314" s="28"/>
      <c r="L314" s="28"/>
      <c r="M314" s="85"/>
      <c r="N314" s="28"/>
      <c r="O314" s="28"/>
      <c r="P314" s="85"/>
      <c r="Q314" s="48"/>
      <c r="R314" s="48"/>
      <c r="S314" s="51"/>
      <c r="T314" s="28"/>
      <c r="U314" s="28"/>
      <c r="V314" s="28"/>
      <c r="W314" s="28"/>
      <c r="X314" s="28"/>
      <c r="Y314" s="36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42">
        <f>SUM($Q303:AN314)</f>
        <v>-468887.82890000002</v>
      </c>
      <c r="AQ314" s="10"/>
      <c r="AR314" s="11"/>
      <c r="AS314" s="2" t="s">
        <v>5</v>
      </c>
    </row>
    <row r="315" spans="1:46" s="2" customFormat="1" ht="17.25" customHeight="1" thickTop="1" thickBot="1" x14ac:dyDescent="0.3">
      <c r="A315" s="103"/>
      <c r="B315" s="104" t="s">
        <v>103</v>
      </c>
      <c r="C315" s="105">
        <f>AO315</f>
        <v>-346317.80935999996</v>
      </c>
      <c r="D315" s="106">
        <f t="shared" ref="D315:K315" si="40">SUM(D303:D314)</f>
        <v>10324.657040000056</v>
      </c>
      <c r="E315" s="107">
        <f t="shared" si="40"/>
        <v>-23682.180000000008</v>
      </c>
      <c r="F315" s="107">
        <f t="shared" si="40"/>
        <v>0.65000000000145519</v>
      </c>
      <c r="G315" s="107">
        <f t="shared" si="40"/>
        <v>0</v>
      </c>
      <c r="H315" s="107">
        <f t="shared" si="40"/>
        <v>78543.722500000062</v>
      </c>
      <c r="I315" s="107">
        <f t="shared" si="40"/>
        <v>10537.26</v>
      </c>
      <c r="J315" s="107">
        <f t="shared" si="40"/>
        <v>0</v>
      </c>
      <c r="K315" s="108">
        <f t="shared" si="40"/>
        <v>5122</v>
      </c>
      <c r="L315" s="109">
        <f>M315/K315</f>
        <v>5.0519992190550562</v>
      </c>
      <c r="M315" s="107">
        <f>ROUND(SUM(M303:M314),2)</f>
        <v>25876.34</v>
      </c>
      <c r="N315" s="108">
        <f>SUM(N303:N314)</f>
        <v>5556</v>
      </c>
      <c r="O315" s="109">
        <f>P315/N315</f>
        <v>3.774220662347012</v>
      </c>
      <c r="P315" s="107">
        <f>ROUND(SUM(P303:P314),2)</f>
        <v>20969.57</v>
      </c>
      <c r="Q315" s="110">
        <f t="shared" ref="Q315:AN315" si="41">SUM(Q303:Q314)</f>
        <v>-519117.12890000001</v>
      </c>
      <c r="R315" s="107">
        <f t="shared" si="41"/>
        <v>50229.299999999996</v>
      </c>
      <c r="S315" s="107">
        <f t="shared" si="41"/>
        <v>0</v>
      </c>
      <c r="T315" s="107">
        <f t="shared" si="41"/>
        <v>0</v>
      </c>
      <c r="U315" s="107">
        <f t="shared" si="41"/>
        <v>0</v>
      </c>
      <c r="V315" s="107">
        <f t="shared" si="41"/>
        <v>0</v>
      </c>
      <c r="W315" s="107">
        <f t="shared" si="41"/>
        <v>0</v>
      </c>
      <c r="X315" s="107">
        <f t="shared" si="41"/>
        <v>0</v>
      </c>
      <c r="Y315" s="107">
        <f t="shared" si="41"/>
        <v>0</v>
      </c>
      <c r="Z315" s="107">
        <f t="shared" si="41"/>
        <v>0</v>
      </c>
      <c r="AA315" s="107">
        <f t="shared" si="41"/>
        <v>0</v>
      </c>
      <c r="AB315" s="107">
        <f t="shared" si="41"/>
        <v>0</v>
      </c>
      <c r="AC315" s="107">
        <f t="shared" si="41"/>
        <v>0</v>
      </c>
      <c r="AD315" s="107">
        <f t="shared" si="41"/>
        <v>0</v>
      </c>
      <c r="AE315" s="107">
        <f t="shared" si="41"/>
        <v>0</v>
      </c>
      <c r="AF315" s="107">
        <f t="shared" si="41"/>
        <v>0</v>
      </c>
      <c r="AG315" s="107">
        <f t="shared" si="41"/>
        <v>0</v>
      </c>
      <c r="AH315" s="107">
        <f t="shared" si="41"/>
        <v>0</v>
      </c>
      <c r="AI315" s="107">
        <f t="shared" si="41"/>
        <v>0</v>
      </c>
      <c r="AJ315" s="107">
        <f t="shared" si="41"/>
        <v>0</v>
      </c>
      <c r="AK315" s="107">
        <f t="shared" si="41"/>
        <v>0</v>
      </c>
      <c r="AL315" s="107">
        <f t="shared" si="41"/>
        <v>0</v>
      </c>
      <c r="AM315" s="107">
        <f t="shared" si="41"/>
        <v>0</v>
      </c>
      <c r="AN315" s="107">
        <f t="shared" si="41"/>
        <v>0</v>
      </c>
      <c r="AO315" s="111">
        <f>D315+E315+F315+G315+H315+I315+J315+M315+P315+SUM(Q315:AN315)</f>
        <v>-346317.80935999996</v>
      </c>
      <c r="AP315" s="4"/>
      <c r="AQ315" s="5"/>
      <c r="AR315" s="5"/>
      <c r="AS315" s="2" t="s">
        <v>6</v>
      </c>
    </row>
    <row r="316" spans="1:46" s="2" customFormat="1" ht="17.25" customHeight="1" thickTop="1" x14ac:dyDescent="0.25">
      <c r="A316" s="23">
        <f>A304+1</f>
        <v>46075</v>
      </c>
      <c r="B316" s="210" t="s">
        <v>64</v>
      </c>
      <c r="C316" s="203"/>
      <c r="D316" s="63">
        <v>10283.5</v>
      </c>
      <c r="E316" s="66"/>
      <c r="F316" s="66"/>
      <c r="G316" s="66"/>
      <c r="H316" s="66"/>
      <c r="I316" s="66">
        <f>-D316</f>
        <v>-10283.5</v>
      </c>
      <c r="J316" s="66"/>
      <c r="K316" s="18"/>
      <c r="L316" s="18"/>
      <c r="M316" s="66"/>
      <c r="N316" s="18"/>
      <c r="O316" s="18"/>
      <c r="P316" s="66"/>
      <c r="Q316" s="46"/>
      <c r="R316" s="46"/>
      <c r="S316" s="45"/>
      <c r="T316" s="18"/>
      <c r="U316" s="18"/>
      <c r="V316" s="18"/>
      <c r="W316" s="18"/>
      <c r="X316" s="18"/>
      <c r="Y316" s="14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31"/>
      <c r="AQ316" s="10"/>
      <c r="AR316" s="27"/>
    </row>
    <row r="317" spans="1:46" s="4" customFormat="1" ht="17.25" customHeight="1" x14ac:dyDescent="0.25">
      <c r="A317" s="23"/>
      <c r="B317" s="201" t="s">
        <v>96</v>
      </c>
      <c r="C317" s="202"/>
      <c r="D317" s="63"/>
      <c r="E317" s="64"/>
      <c r="F317" s="64"/>
      <c r="G317" s="64"/>
      <c r="H317" s="64"/>
      <c r="I317" s="64">
        <f>-I315-I316</f>
        <v>-253.76000000000022</v>
      </c>
      <c r="J317" s="64"/>
      <c r="K317" s="16"/>
      <c r="L317" s="92"/>
      <c r="M317" s="64"/>
      <c r="N317" s="16"/>
      <c r="O317" s="92"/>
      <c r="P317" s="64"/>
      <c r="Q317" s="40"/>
      <c r="R317" s="46"/>
      <c r="S317" s="39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22"/>
      <c r="AP317" s="30"/>
    </row>
    <row r="318" spans="1:46" s="2" customFormat="1" ht="17.25" customHeight="1" x14ac:dyDescent="0.25">
      <c r="A318" s="29"/>
      <c r="B318" s="201" t="s">
        <v>327</v>
      </c>
      <c r="C318" s="202"/>
      <c r="D318" s="63">
        <f>60+115+100+10+45+50+53+60+10+120+28+100+50+100+30</f>
        <v>931</v>
      </c>
      <c r="E318" s="64"/>
      <c r="F318" s="64"/>
      <c r="G318" s="64"/>
      <c r="H318" s="64"/>
      <c r="I318" s="64">
        <f>-D318</f>
        <v>-931</v>
      </c>
      <c r="J318" s="64"/>
      <c r="K318" s="57"/>
      <c r="L318" s="88"/>
      <c r="M318" s="62"/>
      <c r="N318" s="57"/>
      <c r="O318" s="88"/>
      <c r="P318" s="62"/>
      <c r="Q318" s="47"/>
      <c r="R318" s="39"/>
      <c r="S318" s="39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22"/>
      <c r="AQ318" s="10"/>
      <c r="AR318" s="11"/>
    </row>
    <row r="319" spans="1:46" s="2" customFormat="1" ht="17.25" customHeight="1" x14ac:dyDescent="0.25">
      <c r="A319" s="29"/>
      <c r="B319" s="201" t="s">
        <v>328</v>
      </c>
      <c r="C319" s="202"/>
      <c r="D319" s="63">
        <f>-15*0.99</f>
        <v>-14.85</v>
      </c>
      <c r="E319" s="64"/>
      <c r="F319" s="64"/>
      <c r="G319" s="64"/>
      <c r="H319" s="64"/>
      <c r="I319" s="64"/>
      <c r="J319" s="64"/>
      <c r="K319" s="57"/>
      <c r="L319" s="88"/>
      <c r="M319" s="62"/>
      <c r="N319" s="57"/>
      <c r="O319" s="88"/>
      <c r="P319" s="62"/>
      <c r="Q319" s="47"/>
      <c r="R319" s="39"/>
      <c r="S319" s="39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22"/>
      <c r="AQ319" s="10"/>
      <c r="AR319" s="11"/>
    </row>
    <row r="320" spans="1:46" s="2" customFormat="1" ht="17.25" customHeight="1" thickBot="1" x14ac:dyDescent="0.25">
      <c r="A320" s="24"/>
      <c r="B320" s="216"/>
      <c r="C320" s="217"/>
      <c r="D320" s="83"/>
      <c r="E320" s="81"/>
      <c r="F320" s="81"/>
      <c r="G320" s="81"/>
      <c r="H320" s="81"/>
      <c r="I320" s="81"/>
      <c r="J320" s="81"/>
      <c r="K320" s="37"/>
      <c r="L320" s="93"/>
      <c r="M320" s="81"/>
      <c r="N320" s="37"/>
      <c r="O320" s="93"/>
      <c r="P320" s="81"/>
      <c r="Q320" s="40"/>
      <c r="R320" s="40"/>
      <c r="S320" s="39"/>
      <c r="T320" s="16"/>
      <c r="U320" s="16"/>
      <c r="V320" s="16"/>
      <c r="W320" s="16"/>
      <c r="X320" s="16"/>
      <c r="Y320" s="19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41"/>
      <c r="AQ320" s="10"/>
      <c r="AR320" s="11"/>
    </row>
    <row r="321" spans="1:46" s="4" customFormat="1" ht="17.25" customHeight="1" x14ac:dyDescent="0.25">
      <c r="A321" s="23"/>
      <c r="B321" s="210" t="s">
        <v>94</v>
      </c>
      <c r="C321" s="203"/>
      <c r="D321" s="66"/>
      <c r="E321" s="66"/>
      <c r="F321" s="117"/>
      <c r="G321" s="117"/>
      <c r="H321" s="66"/>
      <c r="I321" s="66"/>
      <c r="J321" s="66">
        <f>-M321</f>
        <v>5938.1</v>
      </c>
      <c r="K321" s="58">
        <v>-998</v>
      </c>
      <c r="L321" s="89">
        <v>5.95</v>
      </c>
      <c r="M321" s="73">
        <f>K321*L321</f>
        <v>-5938.1</v>
      </c>
      <c r="N321" s="58"/>
      <c r="O321" s="89"/>
      <c r="P321" s="73"/>
      <c r="Q321" s="39"/>
      <c r="R321" s="39"/>
      <c r="S321" s="8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35"/>
      <c r="AP321" s="12" t="e">
        <f>#REF!</f>
        <v>#REF!</v>
      </c>
    </row>
    <row r="322" spans="1:46" s="4" customFormat="1" ht="17.25" customHeight="1" x14ac:dyDescent="0.25">
      <c r="A322" s="23"/>
      <c r="B322" s="201" t="s">
        <v>95</v>
      </c>
      <c r="C322" s="202"/>
      <c r="D322" s="64"/>
      <c r="E322" s="64"/>
      <c r="F322" s="117"/>
      <c r="G322" s="117"/>
      <c r="H322" s="64"/>
      <c r="I322" s="64"/>
      <c r="J322" s="64">
        <f>-P322</f>
        <v>4002.48</v>
      </c>
      <c r="K322" s="57"/>
      <c r="L322" s="88"/>
      <c r="M322" s="62"/>
      <c r="N322" s="57">
        <v>-981</v>
      </c>
      <c r="O322" s="88">
        <v>4.08</v>
      </c>
      <c r="P322" s="62">
        <f>N322*O322</f>
        <v>-4002.48</v>
      </c>
      <c r="Q322" s="39"/>
      <c r="R322" s="39"/>
      <c r="S322" s="8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35"/>
      <c r="AP322" s="12" t="e">
        <f>#REF!</f>
        <v>#REF!</v>
      </c>
    </row>
    <row r="323" spans="1:46" s="4" customFormat="1" ht="17.25" customHeight="1" x14ac:dyDescent="0.25">
      <c r="A323" s="23"/>
      <c r="B323" s="201" t="s">
        <v>97</v>
      </c>
      <c r="C323" s="203"/>
      <c r="D323" s="64"/>
      <c r="E323" s="64"/>
      <c r="F323" s="64"/>
      <c r="G323" s="64"/>
      <c r="H323" s="64">
        <f>-J323-I323</f>
        <v>2834.0599999999995</v>
      </c>
      <c r="I323" s="64">
        <v>7106.52</v>
      </c>
      <c r="J323" s="64">
        <f>-SUM(J321:J322)</f>
        <v>-9940.58</v>
      </c>
      <c r="K323" s="57"/>
      <c r="L323" s="88"/>
      <c r="M323" s="62"/>
      <c r="N323" s="57"/>
      <c r="O323" s="88"/>
      <c r="P323" s="62"/>
      <c r="Q323" s="39"/>
      <c r="R323" s="39"/>
      <c r="S323" s="39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22"/>
      <c r="AO323" s="43">
        <f>A300</f>
        <v>0</v>
      </c>
      <c r="AP323" s="12" t="e">
        <f>#REF!</f>
        <v>#REF!</v>
      </c>
      <c r="AT323" s="2"/>
    </row>
    <row r="324" spans="1:46" s="4" customFormat="1" ht="17.25" customHeight="1" x14ac:dyDescent="0.25">
      <c r="A324" s="23"/>
      <c r="B324" s="201" t="s">
        <v>93</v>
      </c>
      <c r="C324" s="202"/>
      <c r="D324" s="64"/>
      <c r="E324" s="64"/>
      <c r="F324" s="64"/>
      <c r="G324" s="64"/>
      <c r="H324" s="64"/>
      <c r="I324" s="64"/>
      <c r="J324" s="64"/>
      <c r="K324" s="57">
        <v>51</v>
      </c>
      <c r="L324" s="88"/>
      <c r="M324" s="62">
        <f>(K327*L315)-M315-M321</f>
        <v>1153.8567395548616</v>
      </c>
      <c r="N324" s="57">
        <v>139</v>
      </c>
      <c r="O324" s="88"/>
      <c r="P324" s="62">
        <f>(N327*O315)-P315-P322</f>
        <v>824.58620230381393</v>
      </c>
      <c r="Q324" s="39"/>
      <c r="R324" s="39"/>
      <c r="S324" s="39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22"/>
      <c r="AO324" s="43">
        <f>A309</f>
        <v>0</v>
      </c>
      <c r="AP324" s="12" t="e">
        <f>#REF!</f>
        <v>#REF!</v>
      </c>
      <c r="AT324" s="2"/>
    </row>
    <row r="325" spans="1:46" s="2" customFormat="1" ht="17.25" customHeight="1" x14ac:dyDescent="0.2">
      <c r="A325" s="24"/>
      <c r="B325" s="201"/>
      <c r="C325" s="204"/>
      <c r="D325" s="63"/>
      <c r="E325" s="64"/>
      <c r="F325" s="64"/>
      <c r="G325" s="64"/>
      <c r="H325" s="64"/>
      <c r="I325" s="64"/>
      <c r="J325" s="64"/>
      <c r="K325" s="16"/>
      <c r="L325" s="16"/>
      <c r="M325" s="64"/>
      <c r="N325" s="16"/>
      <c r="O325" s="16"/>
      <c r="P325" s="64"/>
      <c r="Q325" s="46"/>
      <c r="R325" s="46"/>
      <c r="S325" s="39"/>
      <c r="T325" s="16"/>
      <c r="U325" s="16"/>
      <c r="V325" s="16"/>
      <c r="W325" s="16"/>
      <c r="X325" s="16"/>
      <c r="Y325" s="19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43">
        <f>A316</f>
        <v>46075</v>
      </c>
      <c r="AQ325" s="10"/>
      <c r="AR325" s="11"/>
    </row>
    <row r="326" spans="1:46" s="2" customFormat="1" ht="17.25" customHeight="1" thickBot="1" x14ac:dyDescent="0.3">
      <c r="A326" s="56"/>
      <c r="B326" s="101" t="s">
        <v>102</v>
      </c>
      <c r="C326" s="102">
        <f>D327+E327+F327+G327+H327+I327+J327+M327+P327</f>
        <v>124279.85954000009</v>
      </c>
      <c r="D326" s="84"/>
      <c r="E326" s="85"/>
      <c r="F326" s="85"/>
      <c r="G326" s="85"/>
      <c r="H326" s="85"/>
      <c r="I326" s="85"/>
      <c r="J326" s="85"/>
      <c r="K326" s="28"/>
      <c r="L326" s="28"/>
      <c r="M326" s="85"/>
      <c r="N326" s="28"/>
      <c r="O326" s="28"/>
      <c r="P326" s="85"/>
      <c r="Q326" s="48"/>
      <c r="R326" s="48"/>
      <c r="S326" s="51"/>
      <c r="T326" s="28"/>
      <c r="U326" s="28"/>
      <c r="V326" s="28"/>
      <c r="W326" s="28"/>
      <c r="X326" s="28"/>
      <c r="Y326" s="36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42">
        <f>SUM($Q315:AN326)</f>
        <v>-468887.82890000002</v>
      </c>
      <c r="AQ326" s="10"/>
      <c r="AR326" s="11"/>
      <c r="AS326" s="2" t="s">
        <v>5</v>
      </c>
    </row>
    <row r="327" spans="1:46" s="2" customFormat="1" ht="17.25" customHeight="1" thickTop="1" thickBot="1" x14ac:dyDescent="0.3">
      <c r="A327" s="103"/>
      <c r="B327" s="104" t="s">
        <v>103</v>
      </c>
      <c r="C327" s="105">
        <f>AO327</f>
        <v>-344607.96935999993</v>
      </c>
      <c r="D327" s="106">
        <f t="shared" ref="D327:K327" si="42">SUM(D315:D326)</f>
        <v>21524.307040000058</v>
      </c>
      <c r="E327" s="107">
        <f t="shared" si="42"/>
        <v>-23682.180000000008</v>
      </c>
      <c r="F327" s="107">
        <f t="shared" si="42"/>
        <v>0.65000000000145519</v>
      </c>
      <c r="G327" s="107">
        <f t="shared" si="42"/>
        <v>0</v>
      </c>
      <c r="H327" s="107">
        <f t="shared" si="42"/>
        <v>81377.782500000059</v>
      </c>
      <c r="I327" s="107">
        <f t="shared" si="42"/>
        <v>6175.52</v>
      </c>
      <c r="J327" s="107">
        <f t="shared" si="42"/>
        <v>0</v>
      </c>
      <c r="K327" s="108">
        <f t="shared" si="42"/>
        <v>4175</v>
      </c>
      <c r="L327" s="109">
        <f>M327/K327</f>
        <v>5.0519999999999996</v>
      </c>
      <c r="M327" s="107">
        <f>ROUND(SUM(M315:M326),2)</f>
        <v>21092.1</v>
      </c>
      <c r="N327" s="108">
        <f>SUM(N315:N326)</f>
        <v>4714</v>
      </c>
      <c r="O327" s="109">
        <f>P327/N327</f>
        <v>3.7742214679677555</v>
      </c>
      <c r="P327" s="107">
        <f>ROUND(SUM(P315:P326),2)</f>
        <v>17791.68</v>
      </c>
      <c r="Q327" s="110">
        <f t="shared" ref="Q327:AN327" si="43">SUM(Q315:Q326)</f>
        <v>-519117.12890000001</v>
      </c>
      <c r="R327" s="107">
        <f t="shared" si="43"/>
        <v>50229.299999999996</v>
      </c>
      <c r="S327" s="107">
        <f t="shared" si="43"/>
        <v>0</v>
      </c>
      <c r="T327" s="107">
        <f t="shared" si="43"/>
        <v>0</v>
      </c>
      <c r="U327" s="107">
        <f t="shared" si="43"/>
        <v>0</v>
      </c>
      <c r="V327" s="107">
        <f t="shared" si="43"/>
        <v>0</v>
      </c>
      <c r="W327" s="107">
        <f t="shared" si="43"/>
        <v>0</v>
      </c>
      <c r="X327" s="107">
        <f t="shared" si="43"/>
        <v>0</v>
      </c>
      <c r="Y327" s="107">
        <f t="shared" si="43"/>
        <v>0</v>
      </c>
      <c r="Z327" s="107">
        <f t="shared" si="43"/>
        <v>0</v>
      </c>
      <c r="AA327" s="107">
        <f t="shared" si="43"/>
        <v>0</v>
      </c>
      <c r="AB327" s="107">
        <f t="shared" si="43"/>
        <v>0</v>
      </c>
      <c r="AC327" s="107">
        <f t="shared" si="43"/>
        <v>0</v>
      </c>
      <c r="AD327" s="107">
        <f t="shared" si="43"/>
        <v>0</v>
      </c>
      <c r="AE327" s="107">
        <f t="shared" si="43"/>
        <v>0</v>
      </c>
      <c r="AF327" s="107">
        <f t="shared" si="43"/>
        <v>0</v>
      </c>
      <c r="AG327" s="107">
        <f t="shared" si="43"/>
        <v>0</v>
      </c>
      <c r="AH327" s="107">
        <f t="shared" si="43"/>
        <v>0</v>
      </c>
      <c r="AI327" s="107">
        <f t="shared" si="43"/>
        <v>0</v>
      </c>
      <c r="AJ327" s="107">
        <f t="shared" si="43"/>
        <v>0</v>
      </c>
      <c r="AK327" s="107">
        <f t="shared" si="43"/>
        <v>0</v>
      </c>
      <c r="AL327" s="107">
        <f t="shared" si="43"/>
        <v>0</v>
      </c>
      <c r="AM327" s="107">
        <f t="shared" si="43"/>
        <v>0</v>
      </c>
      <c r="AN327" s="107">
        <f t="shared" si="43"/>
        <v>0</v>
      </c>
      <c r="AO327" s="111">
        <f>D327+E327+F327+G327+H327+I327+J327+M327+P327+SUM(Q327:AN327)</f>
        <v>-344607.96935999993</v>
      </c>
      <c r="AP327" s="4"/>
      <c r="AQ327" s="5"/>
      <c r="AR327" s="5"/>
      <c r="AS327" s="2" t="s">
        <v>6</v>
      </c>
    </row>
    <row r="328" spans="1:46" s="2" customFormat="1" ht="17.25" customHeight="1" thickTop="1" x14ac:dyDescent="0.25">
      <c r="A328" s="23">
        <f>A316+1</f>
        <v>46076</v>
      </c>
      <c r="B328" s="210" t="s">
        <v>64</v>
      </c>
      <c r="C328" s="203"/>
      <c r="D328" s="63">
        <v>6017.57</v>
      </c>
      <c r="E328" s="66"/>
      <c r="F328" s="66"/>
      <c r="G328" s="66"/>
      <c r="H328" s="66"/>
      <c r="I328" s="66">
        <f>-D328</f>
        <v>-6017.57</v>
      </c>
      <c r="J328" s="66"/>
      <c r="K328" s="18"/>
      <c r="L328" s="18"/>
      <c r="M328" s="66"/>
      <c r="N328" s="18"/>
      <c r="O328" s="18"/>
      <c r="P328" s="66"/>
      <c r="Q328" s="46"/>
      <c r="R328" s="46"/>
      <c r="S328" s="45"/>
      <c r="T328" s="18"/>
      <c r="U328" s="18"/>
      <c r="V328" s="18"/>
      <c r="W328" s="18"/>
      <c r="X328" s="18"/>
      <c r="Y328" s="14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31"/>
      <c r="AQ328" s="10"/>
      <c r="AR328" s="27"/>
    </row>
    <row r="329" spans="1:46" s="4" customFormat="1" ht="17.25" customHeight="1" x14ac:dyDescent="0.25">
      <c r="A329" s="23"/>
      <c r="B329" s="201" t="s">
        <v>96</v>
      </c>
      <c r="C329" s="202"/>
      <c r="D329" s="63"/>
      <c r="E329" s="64"/>
      <c r="F329" s="64"/>
      <c r="G329" s="64"/>
      <c r="H329" s="64"/>
      <c r="I329" s="64">
        <f>-I327-I328</f>
        <v>-157.95000000000073</v>
      </c>
      <c r="J329" s="64"/>
      <c r="K329" s="16"/>
      <c r="L329" s="92"/>
      <c r="M329" s="64"/>
      <c r="N329" s="16"/>
      <c r="O329" s="92"/>
      <c r="P329" s="64"/>
      <c r="Q329" s="40"/>
      <c r="R329" s="46"/>
      <c r="S329" s="39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22"/>
      <c r="AP329" s="30"/>
    </row>
    <row r="330" spans="1:46" s="2" customFormat="1" ht="17.25" customHeight="1" x14ac:dyDescent="0.25">
      <c r="A330" s="29"/>
      <c r="B330" s="201" t="s">
        <v>327</v>
      </c>
      <c r="C330" s="202"/>
      <c r="D330" s="63">
        <f>299.99+159.5+10+20+40.8+100+35+50+20+120+6+50+25+50</f>
        <v>986.29</v>
      </c>
      <c r="E330" s="64"/>
      <c r="F330" s="64"/>
      <c r="G330" s="64"/>
      <c r="H330" s="64"/>
      <c r="I330" s="64">
        <f>-D330</f>
        <v>-986.29</v>
      </c>
      <c r="J330" s="64"/>
      <c r="K330" s="57"/>
      <c r="L330" s="88"/>
      <c r="M330" s="62"/>
      <c r="N330" s="57"/>
      <c r="O330" s="88"/>
      <c r="P330" s="62"/>
      <c r="Q330" s="47"/>
      <c r="R330" s="39"/>
      <c r="S330" s="39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22"/>
      <c r="AQ330" s="10"/>
      <c r="AR330" s="11"/>
    </row>
    <row r="331" spans="1:46" s="2" customFormat="1" ht="17.25" customHeight="1" x14ac:dyDescent="0.25">
      <c r="A331" s="29"/>
      <c r="B331" s="201" t="s">
        <v>328</v>
      </c>
      <c r="C331" s="202"/>
      <c r="D331" s="63">
        <f>-12*0.99-2.4-1.28</f>
        <v>-15.559999999999999</v>
      </c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47"/>
      <c r="R331" s="39"/>
      <c r="S331" s="39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22"/>
      <c r="AQ331" s="10"/>
      <c r="AR331" s="11"/>
    </row>
    <row r="332" spans="1:46" s="4" customFormat="1" ht="17.25" customHeight="1" x14ac:dyDescent="0.25">
      <c r="A332" s="23"/>
      <c r="B332" s="201" t="s">
        <v>13</v>
      </c>
      <c r="C332" s="203"/>
      <c r="D332" s="63"/>
      <c r="E332" s="64">
        <f>20+50+50+150+50+210+30+30+60+70+100+100+35+20+100+80+50+4+30+20+30+50+1824+552+809+569+707</f>
        <v>5800</v>
      </c>
      <c r="F332" s="64"/>
      <c r="G332" s="64"/>
      <c r="H332" s="64">
        <f>-E332</f>
        <v>-5800</v>
      </c>
      <c r="I332" s="66"/>
      <c r="J332" s="64"/>
      <c r="K332" s="16"/>
      <c r="L332" s="92"/>
      <c r="M332" s="64"/>
      <c r="N332" s="16"/>
      <c r="O332" s="92"/>
      <c r="P332" s="64"/>
      <c r="Q332" s="40"/>
      <c r="R332" s="46">
        <f>-D332</f>
        <v>0</v>
      </c>
      <c r="S332" s="39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22"/>
      <c r="AP332" s="30"/>
    </row>
    <row r="333" spans="1:46" s="2" customFormat="1" ht="17.25" customHeight="1" thickBot="1" x14ac:dyDescent="0.25">
      <c r="A333" s="24"/>
      <c r="B333" s="216"/>
      <c r="C333" s="217"/>
      <c r="D333" s="83"/>
      <c r="E333" s="81"/>
      <c r="F333" s="81"/>
      <c r="G333" s="81"/>
      <c r="H333" s="81"/>
      <c r="I333" s="81"/>
      <c r="J333" s="81"/>
      <c r="K333" s="37"/>
      <c r="L333" s="93"/>
      <c r="M333" s="81"/>
      <c r="N333" s="37"/>
      <c r="O333" s="93"/>
      <c r="P333" s="81"/>
      <c r="Q333" s="40"/>
      <c r="R333" s="40"/>
      <c r="S333" s="39"/>
      <c r="T333" s="16"/>
      <c r="U333" s="16"/>
      <c r="V333" s="16"/>
      <c r="W333" s="16"/>
      <c r="X333" s="16"/>
      <c r="Y333" s="19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41"/>
      <c r="AQ333" s="10"/>
      <c r="AR333" s="11"/>
    </row>
    <row r="334" spans="1:46" s="4" customFormat="1" ht="17.25" customHeight="1" x14ac:dyDescent="0.25">
      <c r="A334" s="23"/>
      <c r="B334" s="210" t="s">
        <v>94</v>
      </c>
      <c r="C334" s="203"/>
      <c r="D334" s="66"/>
      <c r="E334" s="66"/>
      <c r="F334" s="117"/>
      <c r="G334" s="117"/>
      <c r="H334" s="66"/>
      <c r="I334" s="66"/>
      <c r="J334" s="66">
        <f>-M334</f>
        <v>7044.8</v>
      </c>
      <c r="K334" s="58">
        <v>-1184</v>
      </c>
      <c r="L334" s="89">
        <v>5.95</v>
      </c>
      <c r="M334" s="73">
        <f>K334*L334</f>
        <v>-7044.8</v>
      </c>
      <c r="N334" s="58"/>
      <c r="O334" s="89"/>
      <c r="P334" s="73"/>
      <c r="Q334" s="39"/>
      <c r="R334" s="39"/>
      <c r="S334" s="8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35"/>
      <c r="AP334" s="12" t="e">
        <f>#REF!</f>
        <v>#REF!</v>
      </c>
    </row>
    <row r="335" spans="1:46" s="4" customFormat="1" ht="17.25" customHeight="1" x14ac:dyDescent="0.25">
      <c r="A335" s="23"/>
      <c r="B335" s="201" t="s">
        <v>95</v>
      </c>
      <c r="C335" s="202"/>
      <c r="D335" s="64"/>
      <c r="E335" s="64"/>
      <c r="F335" s="117"/>
      <c r="G335" s="117"/>
      <c r="H335" s="64"/>
      <c r="I335" s="64"/>
      <c r="J335" s="64">
        <f>-P335</f>
        <v>6499.4400000000005</v>
      </c>
      <c r="K335" s="57"/>
      <c r="L335" s="88"/>
      <c r="M335" s="62"/>
      <c r="N335" s="57">
        <v>-1593</v>
      </c>
      <c r="O335" s="88">
        <v>4.08</v>
      </c>
      <c r="P335" s="62">
        <f>N335*O335</f>
        <v>-6499.4400000000005</v>
      </c>
      <c r="Q335" s="39"/>
      <c r="R335" s="39"/>
      <c r="S335" s="8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35"/>
      <c r="AP335" s="12" t="e">
        <f>#REF!</f>
        <v>#REF!</v>
      </c>
    </row>
    <row r="336" spans="1:46" s="4" customFormat="1" ht="17.25" customHeight="1" x14ac:dyDescent="0.25">
      <c r="A336" s="23"/>
      <c r="B336" s="201" t="s">
        <v>97</v>
      </c>
      <c r="C336" s="203"/>
      <c r="D336" s="64"/>
      <c r="E336" s="64"/>
      <c r="F336" s="64"/>
      <c r="G336" s="64"/>
      <c r="H336" s="64">
        <f>-J336-I336</f>
        <v>4888.3100000000013</v>
      </c>
      <c r="I336" s="64">
        <v>8655.93</v>
      </c>
      <c r="J336" s="64">
        <f>-SUM(J334:J335)</f>
        <v>-13544.240000000002</v>
      </c>
      <c r="K336" s="57"/>
      <c r="L336" s="88"/>
      <c r="M336" s="62"/>
      <c r="N336" s="57"/>
      <c r="O336" s="88"/>
      <c r="P336" s="62"/>
      <c r="Q336" s="39"/>
      <c r="R336" s="39"/>
      <c r="S336" s="39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22"/>
      <c r="AO336" s="43">
        <f>A312</f>
        <v>0</v>
      </c>
      <c r="AP336" s="12" t="e">
        <f>#REF!</f>
        <v>#REF!</v>
      </c>
      <c r="AT336" s="2"/>
    </row>
    <row r="337" spans="1:46" s="4" customFormat="1" ht="17.25" customHeight="1" x14ac:dyDescent="0.25">
      <c r="A337" s="23"/>
      <c r="B337" s="201" t="s">
        <v>93</v>
      </c>
      <c r="C337" s="202"/>
      <c r="D337" s="64"/>
      <c r="E337" s="64"/>
      <c r="F337" s="64"/>
      <c r="G337" s="64"/>
      <c r="H337" s="64"/>
      <c r="I337" s="64"/>
      <c r="J337" s="64"/>
      <c r="K337" s="57">
        <v>51</v>
      </c>
      <c r="L337" s="88"/>
      <c r="M337" s="62">
        <f>(K340*(M327)/(K327))-M327-M334</f>
        <v>1320.8840000000009</v>
      </c>
      <c r="N337" s="57">
        <v>24</v>
      </c>
      <c r="O337" s="88"/>
      <c r="P337" s="62">
        <f>(N340*(P327)/(N327))-P327-P335</f>
        <v>577.6865167585911</v>
      </c>
      <c r="Q337" s="39"/>
      <c r="R337" s="39"/>
      <c r="S337" s="39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22"/>
      <c r="AO337" s="43">
        <f>A321</f>
        <v>0</v>
      </c>
      <c r="AP337" s="12" t="e">
        <f>#REF!</f>
        <v>#REF!</v>
      </c>
      <c r="AT337" s="2"/>
    </row>
    <row r="338" spans="1:46" s="2" customFormat="1" ht="17.25" customHeight="1" x14ac:dyDescent="0.2">
      <c r="A338" s="24"/>
      <c r="B338" s="201"/>
      <c r="C338" s="204"/>
      <c r="D338" s="63"/>
      <c r="E338" s="64"/>
      <c r="F338" s="64"/>
      <c r="G338" s="64"/>
      <c r="H338" s="64"/>
      <c r="I338" s="64"/>
      <c r="J338" s="64"/>
      <c r="K338" s="16"/>
      <c r="L338" s="16"/>
      <c r="M338" s="64"/>
      <c r="N338" s="16"/>
      <c r="O338" s="16"/>
      <c r="P338" s="64"/>
      <c r="Q338" s="46"/>
      <c r="R338" s="46"/>
      <c r="S338" s="39"/>
      <c r="T338" s="16"/>
      <c r="U338" s="16"/>
      <c r="V338" s="16"/>
      <c r="W338" s="16"/>
      <c r="X338" s="16"/>
      <c r="Y338" s="19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43">
        <f>A328</f>
        <v>46076</v>
      </c>
      <c r="AQ338" s="10"/>
      <c r="AR338" s="11"/>
    </row>
    <row r="339" spans="1:46" s="2" customFormat="1" ht="17.25" customHeight="1" thickBot="1" x14ac:dyDescent="0.3">
      <c r="A339" s="56"/>
      <c r="B339" s="101" t="s">
        <v>102</v>
      </c>
      <c r="C339" s="102">
        <f>D340+E340+F340+G340+H340+I340+J340+M340+P340</f>
        <v>126004.91954000009</v>
      </c>
      <c r="D339" s="84"/>
      <c r="E339" s="85"/>
      <c r="F339" s="85"/>
      <c r="G339" s="85"/>
      <c r="H339" s="85"/>
      <c r="I339" s="85"/>
      <c r="J339" s="85"/>
      <c r="K339" s="28"/>
      <c r="L339" s="28"/>
      <c r="M339" s="85"/>
      <c r="N339" s="28"/>
      <c r="O339" s="28"/>
      <c r="P339" s="85"/>
      <c r="Q339" s="48"/>
      <c r="R339" s="48"/>
      <c r="S339" s="51"/>
      <c r="T339" s="28"/>
      <c r="U339" s="28"/>
      <c r="V339" s="28"/>
      <c r="W339" s="28"/>
      <c r="X339" s="28"/>
      <c r="Y339" s="36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42">
        <f>SUM($Q327:AN339)</f>
        <v>-468887.82890000002</v>
      </c>
      <c r="AQ339" s="10"/>
      <c r="AR339" s="11"/>
      <c r="AS339" s="2" t="s">
        <v>5</v>
      </c>
    </row>
    <row r="340" spans="1:46" s="2" customFormat="1" ht="17.25" customHeight="1" thickTop="1" thickBot="1" x14ac:dyDescent="0.3">
      <c r="A340" s="103"/>
      <c r="B340" s="104" t="s">
        <v>103</v>
      </c>
      <c r="C340" s="105">
        <f>AO340</f>
        <v>-342882.90935999993</v>
      </c>
      <c r="D340" s="106">
        <f t="shared" ref="D340:K340" si="44">SUM(D327:D339)</f>
        <v>28512.607040000057</v>
      </c>
      <c r="E340" s="107">
        <f t="shared" si="44"/>
        <v>-17882.180000000008</v>
      </c>
      <c r="F340" s="107">
        <f t="shared" si="44"/>
        <v>0.65000000000145519</v>
      </c>
      <c r="G340" s="107">
        <f t="shared" si="44"/>
        <v>0</v>
      </c>
      <c r="H340" s="107">
        <f t="shared" si="44"/>
        <v>80466.092500000057</v>
      </c>
      <c r="I340" s="107">
        <f t="shared" si="44"/>
        <v>7669.64</v>
      </c>
      <c r="J340" s="107">
        <f t="shared" si="44"/>
        <v>0</v>
      </c>
      <c r="K340" s="108">
        <f t="shared" si="44"/>
        <v>3042</v>
      </c>
      <c r="L340" s="109">
        <f>M340/K340</f>
        <v>5.051998685075608</v>
      </c>
      <c r="M340" s="107">
        <f>ROUND(SUM(M327:M339),2)</f>
        <v>15368.18</v>
      </c>
      <c r="N340" s="108">
        <f>SUM(N327:N339)</f>
        <v>3145</v>
      </c>
      <c r="O340" s="109">
        <f>P340/N340</f>
        <v>3.7742225755166934</v>
      </c>
      <c r="P340" s="107">
        <f>ROUND(SUM(P327:P339),2)</f>
        <v>11869.93</v>
      </c>
      <c r="Q340" s="110">
        <f t="shared" ref="Q340:AN340" si="45">SUM(Q327:Q339)</f>
        <v>-519117.12890000001</v>
      </c>
      <c r="R340" s="107">
        <f t="shared" si="45"/>
        <v>50229.299999999996</v>
      </c>
      <c r="S340" s="107">
        <f t="shared" si="45"/>
        <v>0</v>
      </c>
      <c r="T340" s="107">
        <f t="shared" si="45"/>
        <v>0</v>
      </c>
      <c r="U340" s="107">
        <f t="shared" si="45"/>
        <v>0</v>
      </c>
      <c r="V340" s="107">
        <f t="shared" si="45"/>
        <v>0</v>
      </c>
      <c r="W340" s="107">
        <f t="shared" si="45"/>
        <v>0</v>
      </c>
      <c r="X340" s="107">
        <f t="shared" si="45"/>
        <v>0</v>
      </c>
      <c r="Y340" s="107">
        <f t="shared" si="45"/>
        <v>0</v>
      </c>
      <c r="Z340" s="107">
        <f t="shared" si="45"/>
        <v>0</v>
      </c>
      <c r="AA340" s="107">
        <f t="shared" si="45"/>
        <v>0</v>
      </c>
      <c r="AB340" s="107">
        <f t="shared" si="45"/>
        <v>0</v>
      </c>
      <c r="AC340" s="107">
        <f t="shared" si="45"/>
        <v>0</v>
      </c>
      <c r="AD340" s="107">
        <f t="shared" si="45"/>
        <v>0</v>
      </c>
      <c r="AE340" s="107">
        <f t="shared" si="45"/>
        <v>0</v>
      </c>
      <c r="AF340" s="107">
        <f t="shared" si="45"/>
        <v>0</v>
      </c>
      <c r="AG340" s="107">
        <f t="shared" si="45"/>
        <v>0</v>
      </c>
      <c r="AH340" s="107">
        <f t="shared" si="45"/>
        <v>0</v>
      </c>
      <c r="AI340" s="107">
        <f t="shared" si="45"/>
        <v>0</v>
      </c>
      <c r="AJ340" s="107">
        <f t="shared" si="45"/>
        <v>0</v>
      </c>
      <c r="AK340" s="107">
        <f t="shared" si="45"/>
        <v>0</v>
      </c>
      <c r="AL340" s="107">
        <f t="shared" si="45"/>
        <v>0</v>
      </c>
      <c r="AM340" s="107">
        <f t="shared" si="45"/>
        <v>0</v>
      </c>
      <c r="AN340" s="107">
        <f t="shared" si="45"/>
        <v>0</v>
      </c>
      <c r="AO340" s="111">
        <f>D340+E340+F340+G340+H340+I340+J340+M340+P340+SUM(Q340:AN340)</f>
        <v>-342882.90935999993</v>
      </c>
      <c r="AP340" s="4"/>
      <c r="AQ340" s="5"/>
      <c r="AR340" s="5"/>
      <c r="AS340" s="2" t="s">
        <v>6</v>
      </c>
    </row>
    <row r="341" spans="1:46" s="2" customFormat="1" ht="17.25" customHeight="1" thickTop="1" x14ac:dyDescent="0.25">
      <c r="A341" s="23">
        <f>A328+1</f>
        <v>46077</v>
      </c>
      <c r="B341" s="210" t="s">
        <v>64</v>
      </c>
      <c r="C341" s="203"/>
      <c r="D341" s="63">
        <v>7480.35</v>
      </c>
      <c r="E341" s="66"/>
      <c r="F341" s="66"/>
      <c r="G341" s="66"/>
      <c r="H341" s="66"/>
      <c r="I341" s="66">
        <f>-D341</f>
        <v>-7480.35</v>
      </c>
      <c r="J341" s="66"/>
      <c r="K341" s="18"/>
      <c r="L341" s="18"/>
      <c r="M341" s="66"/>
      <c r="N341" s="18"/>
      <c r="O341" s="18"/>
      <c r="P341" s="66"/>
      <c r="Q341" s="46"/>
      <c r="R341" s="46"/>
      <c r="S341" s="45"/>
      <c r="T341" s="18"/>
      <c r="U341" s="18"/>
      <c r="V341" s="18"/>
      <c r="W341" s="18"/>
      <c r="X341" s="18"/>
      <c r="Y341" s="14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31"/>
      <c r="AQ341" s="10"/>
      <c r="AR341" s="27"/>
    </row>
    <row r="342" spans="1:46" s="4" customFormat="1" ht="17.25" customHeight="1" x14ac:dyDescent="0.25">
      <c r="A342" s="23"/>
      <c r="B342" s="201" t="s">
        <v>96</v>
      </c>
      <c r="C342" s="202"/>
      <c r="D342" s="63"/>
      <c r="E342" s="64"/>
      <c r="F342" s="64"/>
      <c r="G342" s="64"/>
      <c r="H342" s="64"/>
      <c r="I342" s="64">
        <f>-I340-I341</f>
        <v>-189.28999999999996</v>
      </c>
      <c r="J342" s="64"/>
      <c r="K342" s="16"/>
      <c r="L342" s="92"/>
      <c r="M342" s="64"/>
      <c r="N342" s="16"/>
      <c r="O342" s="92"/>
      <c r="P342" s="64"/>
      <c r="Q342" s="40"/>
      <c r="R342" s="46"/>
      <c r="S342" s="39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22"/>
      <c r="AP342" s="30"/>
    </row>
    <row r="343" spans="1:46" s="2" customFormat="1" ht="17.25" customHeight="1" x14ac:dyDescent="0.25">
      <c r="A343" s="29"/>
      <c r="B343" s="201" t="s">
        <v>327</v>
      </c>
      <c r="C343" s="202"/>
      <c r="D343" s="63">
        <f>30+65+20+50+100+50+50+30+50+10+20</f>
        <v>475</v>
      </c>
      <c r="E343" s="64"/>
      <c r="F343" s="64"/>
      <c r="G343" s="64"/>
      <c r="H343" s="64"/>
      <c r="I343" s="64">
        <f>-D343</f>
        <v>-475</v>
      </c>
      <c r="J343" s="64"/>
      <c r="K343" s="57"/>
      <c r="L343" s="88"/>
      <c r="M343" s="62"/>
      <c r="N343" s="57"/>
      <c r="O343" s="88"/>
      <c r="P343" s="62"/>
      <c r="Q343" s="47"/>
      <c r="R343" s="39"/>
      <c r="S343" s="39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22"/>
      <c r="AQ343" s="10"/>
      <c r="AR343" s="11"/>
    </row>
    <row r="344" spans="1:46" s="2" customFormat="1" ht="17.25" customHeight="1" x14ac:dyDescent="0.25">
      <c r="A344" s="29"/>
      <c r="B344" s="201" t="s">
        <v>328</v>
      </c>
      <c r="C344" s="202"/>
      <c r="D344" s="63">
        <f>-11*0.99</f>
        <v>-10.89</v>
      </c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47"/>
      <c r="R344" s="39"/>
      <c r="S344" s="39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22"/>
      <c r="AQ344" s="10"/>
      <c r="AR344" s="11"/>
    </row>
    <row r="345" spans="1:46" s="4" customFormat="1" ht="17.25" customHeight="1" x14ac:dyDescent="0.25">
      <c r="A345" s="23"/>
      <c r="B345" s="201" t="s">
        <v>13</v>
      </c>
      <c r="C345" s="203"/>
      <c r="D345" s="63"/>
      <c r="E345" s="64">
        <f>100+40+100+116+50+100+20+12.9+50+90+20</f>
        <v>698.9</v>
      </c>
      <c r="F345" s="64"/>
      <c r="G345" s="64"/>
      <c r="H345" s="64">
        <f>-E345</f>
        <v>-698.9</v>
      </c>
      <c r="I345" s="66"/>
      <c r="J345" s="64"/>
      <c r="K345" s="16"/>
      <c r="L345" s="92"/>
      <c r="M345" s="64"/>
      <c r="N345" s="16"/>
      <c r="O345" s="92"/>
      <c r="P345" s="64"/>
      <c r="Q345" s="40"/>
      <c r="R345" s="46">
        <f>-D345</f>
        <v>0</v>
      </c>
      <c r="S345" s="39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22"/>
      <c r="AP345" s="30"/>
    </row>
    <row r="346" spans="1:46" s="2" customFormat="1" ht="17.25" customHeight="1" x14ac:dyDescent="0.25">
      <c r="A346" s="29"/>
      <c r="B346" s="201" t="s">
        <v>72</v>
      </c>
      <c r="C346" s="202"/>
      <c r="D346" s="63">
        <v>-36380</v>
      </c>
      <c r="E346" s="64"/>
      <c r="F346" s="64">
        <f>-D346</f>
        <v>36380</v>
      </c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47"/>
      <c r="R346" s="39"/>
      <c r="S346" s="39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22"/>
      <c r="AQ346" s="10" t="s">
        <v>4</v>
      </c>
      <c r="AR346" s="11" t="e">
        <v>#REF!</v>
      </c>
    </row>
    <row r="347" spans="1:46" s="2" customFormat="1" ht="17.25" customHeight="1" thickBot="1" x14ac:dyDescent="0.25">
      <c r="A347" s="24"/>
      <c r="B347" s="216"/>
      <c r="C347" s="217"/>
      <c r="D347" s="83"/>
      <c r="E347" s="81"/>
      <c r="F347" s="81"/>
      <c r="G347" s="81"/>
      <c r="H347" s="81"/>
      <c r="I347" s="81"/>
      <c r="J347" s="81"/>
      <c r="K347" s="37"/>
      <c r="L347" s="93"/>
      <c r="M347" s="81"/>
      <c r="N347" s="37"/>
      <c r="O347" s="93"/>
      <c r="P347" s="81"/>
      <c r="Q347" s="40"/>
      <c r="R347" s="40"/>
      <c r="S347" s="39"/>
      <c r="T347" s="16"/>
      <c r="U347" s="16"/>
      <c r="V347" s="16"/>
      <c r="W347" s="16"/>
      <c r="X347" s="16"/>
      <c r="Y347" s="19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41"/>
      <c r="AQ347" s="10"/>
      <c r="AR347" s="11"/>
    </row>
    <row r="348" spans="1:46" s="4" customFormat="1" ht="17.25" customHeight="1" x14ac:dyDescent="0.25">
      <c r="A348" s="23"/>
      <c r="B348" s="210" t="s">
        <v>94</v>
      </c>
      <c r="C348" s="203"/>
      <c r="D348" s="66"/>
      <c r="E348" s="66"/>
      <c r="F348" s="117"/>
      <c r="G348" s="117"/>
      <c r="H348" s="66"/>
      <c r="I348" s="66"/>
      <c r="J348" s="66">
        <f>-M348</f>
        <v>5164.6000000000004</v>
      </c>
      <c r="K348" s="58">
        <v>-868</v>
      </c>
      <c r="L348" s="89">
        <v>5.95</v>
      </c>
      <c r="M348" s="73">
        <f>K348*L348</f>
        <v>-5164.6000000000004</v>
      </c>
      <c r="N348" s="58"/>
      <c r="O348" s="89"/>
      <c r="P348" s="73"/>
      <c r="Q348" s="39"/>
      <c r="R348" s="39"/>
      <c r="S348" s="8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35"/>
      <c r="AP348" s="12" t="e">
        <f>#REF!</f>
        <v>#REF!</v>
      </c>
    </row>
    <row r="349" spans="1:46" s="4" customFormat="1" ht="17.25" customHeight="1" x14ac:dyDescent="0.25">
      <c r="A349" s="23"/>
      <c r="B349" s="201" t="s">
        <v>95</v>
      </c>
      <c r="C349" s="202"/>
      <c r="D349" s="64"/>
      <c r="E349" s="64"/>
      <c r="F349" s="117"/>
      <c r="G349" s="117"/>
      <c r="H349" s="64"/>
      <c r="I349" s="64"/>
      <c r="J349" s="64">
        <f>-P349</f>
        <v>7372.56</v>
      </c>
      <c r="K349" s="57"/>
      <c r="L349" s="88"/>
      <c r="M349" s="62"/>
      <c r="N349" s="57">
        <v>-1807</v>
      </c>
      <c r="O349" s="88">
        <v>4.08</v>
      </c>
      <c r="P349" s="62">
        <f>N349*O349</f>
        <v>-7372.56</v>
      </c>
      <c r="Q349" s="39"/>
      <c r="R349" s="39"/>
      <c r="S349" s="8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35"/>
      <c r="AP349" s="12" t="e">
        <f>#REF!</f>
        <v>#REF!</v>
      </c>
    </row>
    <row r="350" spans="1:46" s="4" customFormat="1" ht="17.25" customHeight="1" x14ac:dyDescent="0.25">
      <c r="A350" s="23"/>
      <c r="B350" s="201" t="s">
        <v>97</v>
      </c>
      <c r="C350" s="203"/>
      <c r="D350" s="64"/>
      <c r="E350" s="64"/>
      <c r="F350" s="64"/>
      <c r="G350" s="64"/>
      <c r="H350" s="64">
        <f>-J350-I350</f>
        <v>3751.9799999999996</v>
      </c>
      <c r="I350" s="64">
        <v>8785.18</v>
      </c>
      <c r="J350" s="64">
        <f>-SUM(J348:J349)</f>
        <v>-12537.16</v>
      </c>
      <c r="K350" s="57"/>
      <c r="L350" s="88"/>
      <c r="M350" s="62"/>
      <c r="N350" s="57"/>
      <c r="O350" s="88"/>
      <c r="P350" s="62"/>
      <c r="Q350" s="39"/>
      <c r="R350" s="39"/>
      <c r="S350" s="39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22"/>
      <c r="AO350" s="43">
        <f>A324</f>
        <v>0</v>
      </c>
      <c r="AP350" s="12" t="e">
        <f>#REF!</f>
        <v>#REF!</v>
      </c>
      <c r="AT350" s="2"/>
    </row>
    <row r="351" spans="1:46" s="4" customFormat="1" ht="17.25" customHeight="1" x14ac:dyDescent="0.25">
      <c r="A351" s="23"/>
      <c r="B351" s="201" t="s">
        <v>93</v>
      </c>
      <c r="C351" s="202"/>
      <c r="D351" s="64"/>
      <c r="E351" s="64"/>
      <c r="F351" s="64"/>
      <c r="G351" s="64"/>
      <c r="H351" s="64"/>
      <c r="I351" s="64"/>
      <c r="J351" s="64"/>
      <c r="K351" s="57">
        <v>-10</v>
      </c>
      <c r="L351" s="88"/>
      <c r="M351" s="62">
        <f>(K354*(M340)/(K340))-M340-M348</f>
        <v>728.94515450361541</v>
      </c>
      <c r="N351" s="57">
        <v>63</v>
      </c>
      <c r="O351" s="88"/>
      <c r="P351" s="62">
        <f>(N354*(P340)/(N340))-P340-P349</f>
        <v>790.31582829888703</v>
      </c>
      <c r="Q351" s="39"/>
      <c r="R351" s="39"/>
      <c r="S351" s="39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22"/>
      <c r="AO351" s="43">
        <f>A334</f>
        <v>0</v>
      </c>
      <c r="AP351" s="12" t="e">
        <f>#REF!</f>
        <v>#REF!</v>
      </c>
      <c r="AT351" s="2"/>
    </row>
    <row r="352" spans="1:46" s="2" customFormat="1" ht="17.25" customHeight="1" x14ac:dyDescent="0.2">
      <c r="A352" s="24"/>
      <c r="B352" s="201"/>
      <c r="C352" s="204"/>
      <c r="D352" s="63"/>
      <c r="E352" s="64"/>
      <c r="F352" s="64"/>
      <c r="G352" s="64"/>
      <c r="H352" s="64"/>
      <c r="I352" s="64"/>
      <c r="J352" s="64"/>
      <c r="K352" s="16"/>
      <c r="L352" s="16"/>
      <c r="M352" s="64"/>
      <c r="N352" s="16"/>
      <c r="O352" s="16"/>
      <c r="P352" s="64"/>
      <c r="Q352" s="46"/>
      <c r="R352" s="46"/>
      <c r="S352" s="39"/>
      <c r="T352" s="16"/>
      <c r="U352" s="16"/>
      <c r="V352" s="16"/>
      <c r="W352" s="16"/>
      <c r="X352" s="16"/>
      <c r="Y352" s="19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43">
        <f>A341</f>
        <v>46077</v>
      </c>
      <c r="AQ352" s="10"/>
      <c r="AR352" s="11"/>
    </row>
    <row r="353" spans="1:46" s="2" customFormat="1" ht="17.25" customHeight="1" thickBot="1" x14ac:dyDescent="0.3">
      <c r="A353" s="56"/>
      <c r="B353" s="101" t="s">
        <v>102</v>
      </c>
      <c r="C353" s="102">
        <f>D354+E354+F354+G354+H354+I354+J354+M354+P354</f>
        <v>127324.00954000012</v>
      </c>
      <c r="D353" s="84"/>
      <c r="E353" s="85"/>
      <c r="F353" s="85"/>
      <c r="G353" s="85"/>
      <c r="H353" s="85"/>
      <c r="I353" s="85"/>
      <c r="J353" s="85"/>
      <c r="K353" s="28"/>
      <c r="L353" s="28"/>
      <c r="M353" s="85"/>
      <c r="N353" s="28"/>
      <c r="O353" s="28"/>
      <c r="P353" s="85"/>
      <c r="Q353" s="48"/>
      <c r="R353" s="48"/>
      <c r="S353" s="51"/>
      <c r="T353" s="28"/>
      <c r="U353" s="28"/>
      <c r="V353" s="28"/>
      <c r="W353" s="28"/>
      <c r="X353" s="28"/>
      <c r="Y353" s="36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42">
        <f>SUM($Q340:AN353)</f>
        <v>-468887.82890000002</v>
      </c>
      <c r="AQ353" s="10"/>
      <c r="AR353" s="11"/>
      <c r="AS353" s="2" t="s">
        <v>5</v>
      </c>
    </row>
    <row r="354" spans="1:46" s="2" customFormat="1" ht="17.25" customHeight="1" thickTop="1" thickBot="1" x14ac:dyDescent="0.3">
      <c r="A354" s="103"/>
      <c r="B354" s="104" t="s">
        <v>103</v>
      </c>
      <c r="C354" s="105">
        <f>AO354</f>
        <v>-341563.81935999991</v>
      </c>
      <c r="D354" s="106">
        <f t="shared" ref="D354:K354" si="46">SUM(D340:D353)</f>
        <v>77.067040000059933</v>
      </c>
      <c r="E354" s="107">
        <f t="shared" si="46"/>
        <v>-17183.280000000006</v>
      </c>
      <c r="F354" s="107">
        <f t="shared" si="46"/>
        <v>36380.65</v>
      </c>
      <c r="G354" s="107">
        <f t="shared" si="46"/>
        <v>0</v>
      </c>
      <c r="H354" s="107">
        <f t="shared" si="46"/>
        <v>83519.172500000059</v>
      </c>
      <c r="I354" s="107">
        <f t="shared" si="46"/>
        <v>8310.18</v>
      </c>
      <c r="J354" s="107">
        <f t="shared" si="46"/>
        <v>0</v>
      </c>
      <c r="K354" s="108">
        <f t="shared" si="46"/>
        <v>2164</v>
      </c>
      <c r="L354" s="109">
        <f>M354/K354</f>
        <v>5.0520009242144184</v>
      </c>
      <c r="M354" s="107">
        <f>ROUND(SUM(M340:M353),2)</f>
        <v>10932.53</v>
      </c>
      <c r="N354" s="108">
        <f>SUM(N340:N353)</f>
        <v>1401</v>
      </c>
      <c r="O354" s="109">
        <f>P354/N354</f>
        <v>3.7742255531763025</v>
      </c>
      <c r="P354" s="107">
        <f>ROUND(SUM(P340:P353),2)</f>
        <v>5287.69</v>
      </c>
      <c r="Q354" s="110">
        <f t="shared" ref="Q354:AN354" si="47">SUM(Q340:Q353)</f>
        <v>-519117.12890000001</v>
      </c>
      <c r="R354" s="107">
        <f t="shared" si="47"/>
        <v>50229.299999999996</v>
      </c>
      <c r="S354" s="107">
        <f t="shared" si="47"/>
        <v>0</v>
      </c>
      <c r="T354" s="107">
        <f t="shared" si="47"/>
        <v>0</v>
      </c>
      <c r="U354" s="107">
        <f t="shared" si="47"/>
        <v>0</v>
      </c>
      <c r="V354" s="107">
        <f t="shared" si="47"/>
        <v>0</v>
      </c>
      <c r="W354" s="107">
        <f t="shared" si="47"/>
        <v>0</v>
      </c>
      <c r="X354" s="107">
        <f t="shared" si="47"/>
        <v>0</v>
      </c>
      <c r="Y354" s="107">
        <f t="shared" si="47"/>
        <v>0</v>
      </c>
      <c r="Z354" s="107">
        <f t="shared" si="47"/>
        <v>0</v>
      </c>
      <c r="AA354" s="107">
        <f t="shared" si="47"/>
        <v>0</v>
      </c>
      <c r="AB354" s="107">
        <f t="shared" si="47"/>
        <v>0</v>
      </c>
      <c r="AC354" s="107">
        <f t="shared" si="47"/>
        <v>0</v>
      </c>
      <c r="AD354" s="107">
        <f t="shared" si="47"/>
        <v>0</v>
      </c>
      <c r="AE354" s="107">
        <f t="shared" si="47"/>
        <v>0</v>
      </c>
      <c r="AF354" s="107">
        <f t="shared" si="47"/>
        <v>0</v>
      </c>
      <c r="AG354" s="107">
        <f t="shared" si="47"/>
        <v>0</v>
      </c>
      <c r="AH354" s="107">
        <f t="shared" si="47"/>
        <v>0</v>
      </c>
      <c r="AI354" s="107">
        <f t="shared" si="47"/>
        <v>0</v>
      </c>
      <c r="AJ354" s="107">
        <f t="shared" si="47"/>
        <v>0</v>
      </c>
      <c r="AK354" s="107">
        <f t="shared" si="47"/>
        <v>0</v>
      </c>
      <c r="AL354" s="107">
        <f t="shared" si="47"/>
        <v>0</v>
      </c>
      <c r="AM354" s="107">
        <f t="shared" si="47"/>
        <v>0</v>
      </c>
      <c r="AN354" s="107">
        <f t="shared" si="47"/>
        <v>0</v>
      </c>
      <c r="AO354" s="111">
        <f>D354+E354+F354+G354+H354+I354+J354+M354+P354+SUM(Q354:AN354)</f>
        <v>-341563.81935999991</v>
      </c>
      <c r="AP354" s="4"/>
      <c r="AQ354" s="5"/>
      <c r="AR354" s="5"/>
      <c r="AS354" s="2" t="s">
        <v>6</v>
      </c>
    </row>
    <row r="355" spans="1:46" s="2" customFormat="1" ht="17.25" customHeight="1" thickTop="1" x14ac:dyDescent="0.25">
      <c r="A355" s="23">
        <f>A341+1</f>
        <v>46078</v>
      </c>
      <c r="B355" s="210" t="s">
        <v>64</v>
      </c>
      <c r="C355" s="203"/>
      <c r="D355" s="63">
        <v>8118.2</v>
      </c>
      <c r="E355" s="66"/>
      <c r="F355" s="66"/>
      <c r="G355" s="66"/>
      <c r="H355" s="66"/>
      <c r="I355" s="66">
        <f>-D355</f>
        <v>-8118.2</v>
      </c>
      <c r="J355" s="66"/>
      <c r="K355" s="18"/>
      <c r="L355" s="18"/>
      <c r="M355" s="66"/>
      <c r="N355" s="18"/>
      <c r="O355" s="18"/>
      <c r="P355" s="66"/>
      <c r="Q355" s="46"/>
      <c r="R355" s="46"/>
      <c r="S355" s="45"/>
      <c r="T355" s="18"/>
      <c r="U355" s="18"/>
      <c r="V355" s="18"/>
      <c r="W355" s="18"/>
      <c r="X355" s="18"/>
      <c r="Y355" s="14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31"/>
      <c r="AQ355" s="10"/>
      <c r="AR355" s="27"/>
    </row>
    <row r="356" spans="1:46" s="4" customFormat="1" ht="17.25" customHeight="1" x14ac:dyDescent="0.25">
      <c r="A356" s="23"/>
      <c r="B356" s="201" t="s">
        <v>96</v>
      </c>
      <c r="C356" s="202"/>
      <c r="D356" s="63"/>
      <c r="E356" s="64"/>
      <c r="F356" s="64"/>
      <c r="G356" s="64"/>
      <c r="H356" s="64"/>
      <c r="I356" s="64">
        <f>-I354-I355</f>
        <v>-191.98000000000047</v>
      </c>
      <c r="J356" s="64"/>
      <c r="K356" s="16"/>
      <c r="L356" s="92"/>
      <c r="M356" s="64"/>
      <c r="N356" s="16"/>
      <c r="O356" s="92"/>
      <c r="P356" s="64"/>
      <c r="Q356" s="40"/>
      <c r="R356" s="46"/>
      <c r="S356" s="39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22"/>
      <c r="AP356" s="30"/>
    </row>
    <row r="357" spans="1:46" s="2" customFormat="1" ht="17.25" customHeight="1" x14ac:dyDescent="0.25">
      <c r="A357" s="29"/>
      <c r="B357" s="201" t="s">
        <v>327</v>
      </c>
      <c r="C357" s="202"/>
      <c r="D357" s="63">
        <f>30+10+50+69.5+10+20+40+15+75+10+50+35</f>
        <v>414.5</v>
      </c>
      <c r="E357" s="64"/>
      <c r="F357" s="64"/>
      <c r="G357" s="64"/>
      <c r="H357" s="64"/>
      <c r="I357" s="64">
        <f>-D357</f>
        <v>-414.5</v>
      </c>
      <c r="J357" s="64"/>
      <c r="K357" s="57"/>
      <c r="L357" s="88"/>
      <c r="M357" s="62"/>
      <c r="N357" s="57"/>
      <c r="O357" s="88"/>
      <c r="P357" s="62"/>
      <c r="Q357" s="47"/>
      <c r="R357" s="39"/>
      <c r="S357" s="39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22"/>
      <c r="AQ357" s="10"/>
      <c r="AR357" s="11"/>
    </row>
    <row r="358" spans="1:46" s="2" customFormat="1" ht="17.25" customHeight="1" x14ac:dyDescent="0.25">
      <c r="A358" s="29"/>
      <c r="B358" s="201" t="s">
        <v>328</v>
      </c>
      <c r="C358" s="202"/>
      <c r="D358" s="63">
        <f>-12*0.99</f>
        <v>-11.879999999999999</v>
      </c>
      <c r="E358" s="64"/>
      <c r="F358" s="64"/>
      <c r="G358" s="64"/>
      <c r="H358" s="64"/>
      <c r="I358" s="64"/>
      <c r="J358" s="64"/>
      <c r="K358" s="57"/>
      <c r="L358" s="88"/>
      <c r="M358" s="62"/>
      <c r="N358" s="57"/>
      <c r="O358" s="88"/>
      <c r="P358" s="62"/>
      <c r="Q358" s="47"/>
      <c r="R358" s="39"/>
      <c r="S358" s="39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22"/>
      <c r="AQ358" s="10"/>
      <c r="AR358" s="11"/>
    </row>
    <row r="359" spans="1:46" s="2" customFormat="1" ht="17.25" customHeight="1" x14ac:dyDescent="0.25">
      <c r="A359" s="29"/>
      <c r="B359" s="201" t="s">
        <v>72</v>
      </c>
      <c r="C359" s="202"/>
      <c r="D359" s="63">
        <v>36380</v>
      </c>
      <c r="E359" s="64"/>
      <c r="F359" s="64">
        <f>-D359</f>
        <v>-36380</v>
      </c>
      <c r="G359" s="64"/>
      <c r="H359" s="64"/>
      <c r="I359" s="64"/>
      <c r="J359" s="64"/>
      <c r="K359" s="57"/>
      <c r="L359" s="88"/>
      <c r="M359" s="62"/>
      <c r="N359" s="57"/>
      <c r="O359" s="88"/>
      <c r="P359" s="62"/>
      <c r="Q359" s="47"/>
      <c r="R359" s="39"/>
      <c r="S359" s="39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22"/>
      <c r="AQ359" s="10" t="s">
        <v>4</v>
      </c>
      <c r="AR359" s="11" t="e">
        <v>#REF!</v>
      </c>
    </row>
    <row r="360" spans="1:46" s="2" customFormat="1" ht="17.25" customHeight="1" x14ac:dyDescent="0.25">
      <c r="A360" s="24"/>
      <c r="B360" s="205" t="s">
        <v>392</v>
      </c>
      <c r="C360" s="206"/>
      <c r="D360" s="64">
        <v>-25750</v>
      </c>
      <c r="E360" s="64"/>
      <c r="F360" s="64"/>
      <c r="G360" s="64"/>
      <c r="H360" s="64"/>
      <c r="I360" s="64"/>
      <c r="J360" s="64"/>
      <c r="K360" s="57">
        <v>5000</v>
      </c>
      <c r="L360" s="88">
        <v>5.15</v>
      </c>
      <c r="M360" s="62">
        <f>K360*L360</f>
        <v>25750</v>
      </c>
      <c r="N360" s="57"/>
      <c r="O360" s="88"/>
      <c r="P360" s="62"/>
      <c r="Q360" s="39"/>
      <c r="R360" s="39"/>
      <c r="S360" s="39"/>
      <c r="T360" s="16"/>
      <c r="U360" s="16">
        <f>-P360</f>
        <v>0</v>
      </c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22"/>
      <c r="AQ360" s="10"/>
      <c r="AR360" s="11"/>
    </row>
    <row r="361" spans="1:46" s="2" customFormat="1" ht="17.25" customHeight="1" x14ac:dyDescent="0.2">
      <c r="A361" s="23"/>
      <c r="B361" s="205" t="s">
        <v>385</v>
      </c>
      <c r="C361" s="206"/>
      <c r="D361" s="64">
        <v>-18000</v>
      </c>
      <c r="E361" s="64"/>
      <c r="F361" s="64"/>
      <c r="G361" s="64"/>
      <c r="H361" s="64"/>
      <c r="I361" s="64"/>
      <c r="J361" s="64"/>
      <c r="K361" s="57"/>
      <c r="L361" s="88"/>
      <c r="M361" s="62"/>
      <c r="N361" s="57">
        <v>5000</v>
      </c>
      <c r="O361" s="88">
        <v>3.6</v>
      </c>
      <c r="P361" s="62">
        <f>N361*O361</f>
        <v>18000</v>
      </c>
      <c r="Q361" s="39"/>
      <c r="R361" s="39"/>
      <c r="S361" s="39"/>
      <c r="T361" s="16"/>
      <c r="U361" s="16"/>
      <c r="V361" s="16"/>
      <c r="W361" s="16"/>
      <c r="X361" s="16"/>
      <c r="Y361" s="19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35"/>
      <c r="AQ361" s="10"/>
      <c r="AR361" s="27"/>
    </row>
    <row r="362" spans="1:46" s="2" customFormat="1" ht="17.25" customHeight="1" x14ac:dyDescent="0.25">
      <c r="A362" s="29"/>
      <c r="B362" s="201" t="s">
        <v>276</v>
      </c>
      <c r="C362" s="202"/>
      <c r="D362" s="63">
        <f>-4.9-4.9</f>
        <v>-9.8000000000000007</v>
      </c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47"/>
      <c r="R362" s="39"/>
      <c r="S362" s="39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22"/>
      <c r="AQ362" s="10"/>
      <c r="AR362" s="11"/>
    </row>
    <row r="363" spans="1:46" s="4" customFormat="1" ht="17.25" customHeight="1" x14ac:dyDescent="0.25">
      <c r="A363" s="23"/>
      <c r="B363" s="201" t="s">
        <v>13</v>
      </c>
      <c r="C363" s="203"/>
      <c r="D363" s="63"/>
      <c r="E363" s="64">
        <f>100+14+15+40+65+20+20+50+70+10+50+1374+100+1280+10</f>
        <v>3218</v>
      </c>
      <c r="F363" s="64"/>
      <c r="G363" s="64"/>
      <c r="H363" s="64">
        <f>-E363</f>
        <v>-3218</v>
      </c>
      <c r="I363" s="66"/>
      <c r="J363" s="64"/>
      <c r="K363" s="16"/>
      <c r="L363" s="92"/>
      <c r="M363" s="64"/>
      <c r="N363" s="16"/>
      <c r="O363" s="92"/>
      <c r="P363" s="64"/>
      <c r="Q363" s="40"/>
      <c r="R363" s="46">
        <f>-D363</f>
        <v>0</v>
      </c>
      <c r="S363" s="39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22"/>
      <c r="AP363" s="30"/>
    </row>
    <row r="364" spans="1:46" s="2" customFormat="1" ht="17.25" customHeight="1" thickBot="1" x14ac:dyDescent="0.25">
      <c r="A364" s="24"/>
      <c r="B364" s="216"/>
      <c r="C364" s="217"/>
      <c r="D364" s="83"/>
      <c r="E364" s="81"/>
      <c r="F364" s="81"/>
      <c r="G364" s="81"/>
      <c r="H364" s="81"/>
      <c r="I364" s="81"/>
      <c r="J364" s="81"/>
      <c r="K364" s="37"/>
      <c r="L364" s="93"/>
      <c r="M364" s="81"/>
      <c r="N364" s="37"/>
      <c r="O364" s="93"/>
      <c r="P364" s="81"/>
      <c r="Q364" s="40"/>
      <c r="R364" s="40"/>
      <c r="S364" s="39"/>
      <c r="T364" s="16"/>
      <c r="U364" s="16"/>
      <c r="V364" s="16"/>
      <c r="W364" s="16"/>
      <c r="X364" s="16"/>
      <c r="Y364" s="19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41"/>
      <c r="AQ364" s="10"/>
      <c r="AR364" s="11"/>
    </row>
    <row r="365" spans="1:46" s="4" customFormat="1" ht="17.25" customHeight="1" x14ac:dyDescent="0.25">
      <c r="A365" s="23"/>
      <c r="B365" s="210" t="s">
        <v>94</v>
      </c>
      <c r="C365" s="203"/>
      <c r="D365" s="66"/>
      <c r="E365" s="66"/>
      <c r="F365" s="117"/>
      <c r="G365" s="117"/>
      <c r="H365" s="66"/>
      <c r="I365" s="66"/>
      <c r="J365" s="66">
        <f>-M365</f>
        <v>7562.45</v>
      </c>
      <c r="K365" s="58">
        <v>-1271</v>
      </c>
      <c r="L365" s="89">
        <v>5.95</v>
      </c>
      <c r="M365" s="73">
        <f>K365*L365</f>
        <v>-7562.45</v>
      </c>
      <c r="N365" s="58"/>
      <c r="O365" s="89"/>
      <c r="P365" s="73"/>
      <c r="Q365" s="39"/>
      <c r="R365" s="39"/>
      <c r="S365" s="8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35"/>
      <c r="AP365" s="12" t="e">
        <f>#REF!</f>
        <v>#REF!</v>
      </c>
    </row>
    <row r="366" spans="1:46" s="4" customFormat="1" ht="17.25" customHeight="1" x14ac:dyDescent="0.25">
      <c r="A366" s="23"/>
      <c r="B366" s="201" t="s">
        <v>95</v>
      </c>
      <c r="C366" s="202"/>
      <c r="D366" s="64"/>
      <c r="E366" s="64"/>
      <c r="F366" s="117"/>
      <c r="G366" s="117"/>
      <c r="H366" s="64"/>
      <c r="I366" s="64"/>
      <c r="J366" s="64">
        <f>-P366</f>
        <v>7866.24</v>
      </c>
      <c r="K366" s="57"/>
      <c r="L366" s="88"/>
      <c r="M366" s="62"/>
      <c r="N366" s="57">
        <v>-1928</v>
      </c>
      <c r="O366" s="88">
        <v>4.08</v>
      </c>
      <c r="P366" s="62">
        <f>N366*O366</f>
        <v>-7866.24</v>
      </c>
      <c r="Q366" s="39"/>
      <c r="R366" s="39"/>
      <c r="S366" s="8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35"/>
      <c r="AP366" s="12" t="e">
        <f>#REF!</f>
        <v>#REF!</v>
      </c>
    </row>
    <row r="367" spans="1:46" s="4" customFormat="1" ht="17.25" customHeight="1" x14ac:dyDescent="0.25">
      <c r="A367" s="23"/>
      <c r="B367" s="201" t="s">
        <v>97</v>
      </c>
      <c r="C367" s="203"/>
      <c r="D367" s="64"/>
      <c r="E367" s="64"/>
      <c r="F367" s="64"/>
      <c r="G367" s="64"/>
      <c r="H367" s="64">
        <f>-J367-I367</f>
        <v>5299.7099999999991</v>
      </c>
      <c r="I367" s="64">
        <v>10128.98</v>
      </c>
      <c r="J367" s="64">
        <f>-SUM(J365:J366)</f>
        <v>-15428.689999999999</v>
      </c>
      <c r="K367" s="57"/>
      <c r="L367" s="88"/>
      <c r="M367" s="62"/>
      <c r="N367" s="57"/>
      <c r="O367" s="88"/>
      <c r="P367" s="62"/>
      <c r="Q367" s="39"/>
      <c r="R367" s="39"/>
      <c r="S367" s="39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22"/>
      <c r="AO367" s="43">
        <f>A337</f>
        <v>0</v>
      </c>
      <c r="AP367" s="12" t="e">
        <f>#REF!</f>
        <v>#REF!</v>
      </c>
      <c r="AT367" s="2"/>
    </row>
    <row r="368" spans="1:46" s="4" customFormat="1" ht="17.25" customHeight="1" x14ac:dyDescent="0.25">
      <c r="A368" s="23"/>
      <c r="B368" s="201" t="s">
        <v>93</v>
      </c>
      <c r="C368" s="202"/>
      <c r="D368" s="64"/>
      <c r="E368" s="64"/>
      <c r="F368" s="64"/>
      <c r="G368" s="64"/>
      <c r="H368" s="64"/>
      <c r="I368" s="64"/>
      <c r="J368" s="64"/>
      <c r="K368" s="57">
        <v>-114</v>
      </c>
      <c r="L368" s="88"/>
      <c r="M368" s="62">
        <f>(K371*(M354+M360)/(K354+K360))-M354-M365-M360</f>
        <v>470.69901591290181</v>
      </c>
      <c r="N368" s="57">
        <v>-260</v>
      </c>
      <c r="O368" s="88"/>
      <c r="P368" s="62">
        <f>(N371*(P354+P361)/(N354+N361))-P354-P366-P361</f>
        <v>-93.995231995002541</v>
      </c>
      <c r="Q368" s="39"/>
      <c r="R368" s="39"/>
      <c r="S368" s="39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22"/>
      <c r="AO368" s="43">
        <f>A348</f>
        <v>0</v>
      </c>
      <c r="AP368" s="12" t="e">
        <f>#REF!</f>
        <v>#REF!</v>
      </c>
      <c r="AT368" s="2"/>
    </row>
    <row r="369" spans="1:46" s="2" customFormat="1" ht="17.25" customHeight="1" x14ac:dyDescent="0.2">
      <c r="A369" s="24"/>
      <c r="B369" s="201"/>
      <c r="C369" s="204"/>
      <c r="D369" s="63"/>
      <c r="E369" s="64"/>
      <c r="F369" s="64"/>
      <c r="G369" s="64"/>
      <c r="H369" s="64"/>
      <c r="I369" s="64"/>
      <c r="J369" s="64"/>
      <c r="K369" s="16"/>
      <c r="L369" s="16"/>
      <c r="M369" s="64"/>
      <c r="N369" s="16"/>
      <c r="O369" s="16"/>
      <c r="P369" s="64"/>
      <c r="Q369" s="46"/>
      <c r="R369" s="46"/>
      <c r="S369" s="39"/>
      <c r="T369" s="16"/>
      <c r="U369" s="16"/>
      <c r="V369" s="16"/>
      <c r="W369" s="16"/>
      <c r="X369" s="16"/>
      <c r="Y369" s="19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43">
        <f>A355</f>
        <v>46078</v>
      </c>
      <c r="AQ369" s="10"/>
      <c r="AR369" s="11"/>
    </row>
    <row r="370" spans="1:46" s="2" customFormat="1" ht="17.25" customHeight="1" thickBot="1" x14ac:dyDescent="0.3">
      <c r="A370" s="56"/>
      <c r="B370" s="101" t="s">
        <v>102</v>
      </c>
      <c r="C370" s="102">
        <f>D371+E371+F371+G371+H371+I371+J371+M371+P371</f>
        <v>127487.04954000011</v>
      </c>
      <c r="D370" s="84"/>
      <c r="E370" s="85"/>
      <c r="F370" s="85"/>
      <c r="G370" s="85"/>
      <c r="H370" s="85"/>
      <c r="I370" s="85"/>
      <c r="J370" s="85"/>
      <c r="K370" s="28"/>
      <c r="L370" s="28"/>
      <c r="M370" s="85"/>
      <c r="N370" s="28"/>
      <c r="O370" s="28"/>
      <c r="P370" s="85"/>
      <c r="Q370" s="48"/>
      <c r="R370" s="48"/>
      <c r="S370" s="51"/>
      <c r="T370" s="28"/>
      <c r="U370" s="28"/>
      <c r="V370" s="28"/>
      <c r="W370" s="28"/>
      <c r="X370" s="28"/>
      <c r="Y370" s="36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42">
        <f>SUM($Q354:AN370)</f>
        <v>-468887.82890000002</v>
      </c>
      <c r="AQ370" s="10"/>
      <c r="AR370" s="11"/>
      <c r="AS370" s="2" t="s">
        <v>5</v>
      </c>
    </row>
    <row r="371" spans="1:46" s="2" customFormat="1" ht="17.25" customHeight="1" thickTop="1" thickBot="1" x14ac:dyDescent="0.3">
      <c r="A371" s="103"/>
      <c r="B371" s="104" t="s">
        <v>103</v>
      </c>
      <c r="C371" s="105">
        <f>AO371</f>
        <v>-341400.77935999993</v>
      </c>
      <c r="D371" s="106">
        <f t="shared" ref="D371:K371" si="48">SUM(D354:D370)</f>
        <v>1218.0870400000597</v>
      </c>
      <c r="E371" s="107">
        <f t="shared" si="48"/>
        <v>-13965.280000000006</v>
      </c>
      <c r="F371" s="107">
        <f t="shared" si="48"/>
        <v>0.65000000000145519</v>
      </c>
      <c r="G371" s="107">
        <f t="shared" si="48"/>
        <v>0</v>
      </c>
      <c r="H371" s="107">
        <f t="shared" si="48"/>
        <v>85600.882500000065</v>
      </c>
      <c r="I371" s="107">
        <f t="shared" si="48"/>
        <v>9714.48</v>
      </c>
      <c r="J371" s="107">
        <f t="shared" si="48"/>
        <v>0</v>
      </c>
      <c r="K371" s="108">
        <f t="shared" si="48"/>
        <v>5779</v>
      </c>
      <c r="L371" s="109">
        <f>M371/K371</f>
        <v>5.1203979927323067</v>
      </c>
      <c r="M371" s="107">
        <f>ROUND(SUM(M354:M370),2)</f>
        <v>29590.78</v>
      </c>
      <c r="N371" s="108">
        <f>SUM(N354:N370)</f>
        <v>4213</v>
      </c>
      <c r="O371" s="109">
        <f>P371/N371</f>
        <v>3.6381319724661765</v>
      </c>
      <c r="P371" s="107">
        <f>ROUND(SUM(P354:P370),2)</f>
        <v>15327.45</v>
      </c>
      <c r="Q371" s="110">
        <f t="shared" ref="Q371:AN371" si="49">SUM(Q354:Q370)</f>
        <v>-519117.12890000001</v>
      </c>
      <c r="R371" s="107">
        <f t="shared" si="49"/>
        <v>50229.299999999996</v>
      </c>
      <c r="S371" s="107">
        <f t="shared" si="49"/>
        <v>0</v>
      </c>
      <c r="T371" s="107">
        <f t="shared" si="49"/>
        <v>0</v>
      </c>
      <c r="U371" s="107">
        <f t="shared" si="49"/>
        <v>0</v>
      </c>
      <c r="V371" s="107">
        <f t="shared" si="49"/>
        <v>0</v>
      </c>
      <c r="W371" s="107">
        <f t="shared" si="49"/>
        <v>0</v>
      </c>
      <c r="X371" s="107">
        <f t="shared" si="49"/>
        <v>0</v>
      </c>
      <c r="Y371" s="107">
        <f t="shared" si="49"/>
        <v>0</v>
      </c>
      <c r="Z371" s="107">
        <f t="shared" si="49"/>
        <v>0</v>
      </c>
      <c r="AA371" s="107">
        <f t="shared" si="49"/>
        <v>0</v>
      </c>
      <c r="AB371" s="107">
        <f t="shared" si="49"/>
        <v>0</v>
      </c>
      <c r="AC371" s="107">
        <f t="shared" si="49"/>
        <v>0</v>
      </c>
      <c r="AD371" s="107">
        <f t="shared" si="49"/>
        <v>0</v>
      </c>
      <c r="AE371" s="107">
        <f t="shared" si="49"/>
        <v>0</v>
      </c>
      <c r="AF371" s="107">
        <f t="shared" si="49"/>
        <v>0</v>
      </c>
      <c r="AG371" s="107">
        <f t="shared" si="49"/>
        <v>0</v>
      </c>
      <c r="AH371" s="107">
        <f t="shared" si="49"/>
        <v>0</v>
      </c>
      <c r="AI371" s="107">
        <f t="shared" si="49"/>
        <v>0</v>
      </c>
      <c r="AJ371" s="107">
        <f t="shared" si="49"/>
        <v>0</v>
      </c>
      <c r="AK371" s="107">
        <f t="shared" si="49"/>
        <v>0</v>
      </c>
      <c r="AL371" s="107">
        <f t="shared" si="49"/>
        <v>0</v>
      </c>
      <c r="AM371" s="107">
        <f t="shared" si="49"/>
        <v>0</v>
      </c>
      <c r="AN371" s="107">
        <f t="shared" si="49"/>
        <v>0</v>
      </c>
      <c r="AO371" s="111">
        <f>D371+E371+F371+G371+H371+I371+J371+M371+P371+SUM(Q371:AN371)</f>
        <v>-341400.77935999993</v>
      </c>
      <c r="AP371" s="4"/>
      <c r="AQ371" s="5"/>
      <c r="AR371" s="5"/>
      <c r="AS371" s="2" t="s">
        <v>6</v>
      </c>
    </row>
    <row r="372" spans="1:46" s="2" customFormat="1" ht="17.25" customHeight="1" thickTop="1" x14ac:dyDescent="0.25">
      <c r="A372" s="23">
        <f>A355+1</f>
        <v>46079</v>
      </c>
      <c r="B372" s="210" t="s">
        <v>64</v>
      </c>
      <c r="C372" s="203"/>
      <c r="D372" s="63">
        <v>9475.5</v>
      </c>
      <c r="E372" s="66"/>
      <c r="F372" s="66"/>
      <c r="G372" s="66"/>
      <c r="H372" s="66"/>
      <c r="I372" s="66">
        <f>-D372</f>
        <v>-9475.5</v>
      </c>
      <c r="J372" s="66"/>
      <c r="K372" s="18"/>
      <c r="L372" s="18"/>
      <c r="M372" s="66"/>
      <c r="N372" s="18"/>
      <c r="O372" s="18"/>
      <c r="P372" s="66"/>
      <c r="Q372" s="46"/>
      <c r="R372" s="46"/>
      <c r="S372" s="45"/>
      <c r="T372" s="18"/>
      <c r="U372" s="18"/>
      <c r="V372" s="18"/>
      <c r="W372" s="18"/>
      <c r="X372" s="18"/>
      <c r="Y372" s="14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31"/>
      <c r="AQ372" s="10"/>
      <c r="AR372" s="27"/>
    </row>
    <row r="373" spans="1:46" s="4" customFormat="1" ht="17.25" customHeight="1" x14ac:dyDescent="0.25">
      <c r="A373" s="23"/>
      <c r="B373" s="201" t="s">
        <v>96</v>
      </c>
      <c r="C373" s="202"/>
      <c r="D373" s="63"/>
      <c r="E373" s="64"/>
      <c r="F373" s="64"/>
      <c r="G373" s="64"/>
      <c r="H373" s="64"/>
      <c r="I373" s="64">
        <f>-I371-I372</f>
        <v>-238.97999999999956</v>
      </c>
      <c r="J373" s="64"/>
      <c r="K373" s="16"/>
      <c r="L373" s="92"/>
      <c r="M373" s="64"/>
      <c r="N373" s="16"/>
      <c r="O373" s="92"/>
      <c r="P373" s="64"/>
      <c r="Q373" s="40"/>
      <c r="R373" s="46"/>
      <c r="S373" s="39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22"/>
      <c r="AP373" s="30"/>
    </row>
    <row r="374" spans="1:46" s="2" customFormat="1" ht="17.25" customHeight="1" x14ac:dyDescent="0.25">
      <c r="A374" s="29"/>
      <c r="B374" s="201" t="s">
        <v>327</v>
      </c>
      <c r="C374" s="202"/>
      <c r="D374" s="63">
        <f>150+15+160+15+100+20+100+30+20</f>
        <v>610</v>
      </c>
      <c r="E374" s="64"/>
      <c r="F374" s="64"/>
      <c r="G374" s="64"/>
      <c r="H374" s="64"/>
      <c r="I374" s="64">
        <f>-D374</f>
        <v>-610</v>
      </c>
      <c r="J374" s="64"/>
      <c r="K374" s="57"/>
      <c r="L374" s="88"/>
      <c r="M374" s="62"/>
      <c r="N374" s="57"/>
      <c r="O374" s="88"/>
      <c r="P374" s="62"/>
      <c r="Q374" s="47"/>
      <c r="R374" s="39"/>
      <c r="S374" s="39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22"/>
      <c r="AQ374" s="10"/>
      <c r="AR374" s="11"/>
    </row>
    <row r="375" spans="1:46" s="2" customFormat="1" ht="17.25" customHeight="1" x14ac:dyDescent="0.25">
      <c r="A375" s="29"/>
      <c r="B375" s="201" t="s">
        <v>328</v>
      </c>
      <c r="C375" s="202"/>
      <c r="D375" s="63">
        <f>-7*0.99-1.2-1.28</f>
        <v>-9.4099999999999984</v>
      </c>
      <c r="E375" s="64"/>
      <c r="F375" s="64"/>
      <c r="G375" s="64"/>
      <c r="H375" s="64"/>
      <c r="I375" s="64"/>
      <c r="J375" s="64"/>
      <c r="K375" s="57"/>
      <c r="L375" s="88"/>
      <c r="M375" s="62"/>
      <c r="N375" s="57"/>
      <c r="O375" s="88"/>
      <c r="P375" s="62"/>
      <c r="Q375" s="47"/>
      <c r="R375" s="39"/>
      <c r="S375" s="39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22"/>
      <c r="AQ375" s="10"/>
      <c r="AR375" s="11"/>
    </row>
    <row r="376" spans="1:46" s="4" customFormat="1" ht="17.25" customHeight="1" x14ac:dyDescent="0.25">
      <c r="A376" s="23"/>
      <c r="B376" s="201" t="s">
        <v>13</v>
      </c>
      <c r="C376" s="203"/>
      <c r="D376" s="63"/>
      <c r="E376" s="64">
        <f>80+100+100+110+50.1+34.5+15.5+30+1703.51+81+30</f>
        <v>2334.61</v>
      </c>
      <c r="F376" s="64"/>
      <c r="G376" s="64"/>
      <c r="H376" s="64">
        <f>-E376</f>
        <v>-2334.61</v>
      </c>
      <c r="I376" s="66"/>
      <c r="J376" s="64"/>
      <c r="K376" s="16"/>
      <c r="L376" s="92"/>
      <c r="M376" s="64"/>
      <c r="N376" s="16"/>
      <c r="O376" s="92"/>
      <c r="P376" s="64"/>
      <c r="Q376" s="40"/>
      <c r="R376" s="46">
        <f>-D376</f>
        <v>0</v>
      </c>
      <c r="S376" s="39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22"/>
      <c r="AP376" s="30"/>
    </row>
    <row r="377" spans="1:46" s="2" customFormat="1" ht="17.25" customHeight="1" x14ac:dyDescent="0.25">
      <c r="A377" s="29"/>
      <c r="B377" s="205" t="s">
        <v>455</v>
      </c>
      <c r="C377" s="206"/>
      <c r="D377" s="63"/>
      <c r="E377" s="20">
        <v>-6005.09</v>
      </c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47"/>
      <c r="R377" s="39"/>
      <c r="S377" s="39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22"/>
      <c r="AQ377" s="10" t="s">
        <v>4</v>
      </c>
      <c r="AR377" s="11" t="e">
        <v>#REF!</v>
      </c>
    </row>
    <row r="378" spans="1:46" s="2" customFormat="1" ht="17.25" customHeight="1" x14ac:dyDescent="0.25">
      <c r="A378" s="29"/>
      <c r="B378" s="201" t="s">
        <v>370</v>
      </c>
      <c r="C378" s="202"/>
      <c r="D378" s="63"/>
      <c r="E378" s="64">
        <v>-577.70000000000005</v>
      </c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47"/>
      <c r="R378" s="39"/>
      <c r="S378" s="39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22"/>
      <c r="AQ378" s="10" t="s">
        <v>4</v>
      </c>
      <c r="AR378" s="11" t="e">
        <v>#REF!</v>
      </c>
    </row>
    <row r="379" spans="1:46" s="2" customFormat="1" ht="17.25" customHeight="1" thickBot="1" x14ac:dyDescent="0.25">
      <c r="A379" s="24"/>
      <c r="B379" s="216"/>
      <c r="C379" s="217"/>
      <c r="D379" s="83"/>
      <c r="E379" s="81"/>
      <c r="F379" s="81"/>
      <c r="G379" s="81"/>
      <c r="H379" s="81"/>
      <c r="I379" s="81"/>
      <c r="J379" s="81"/>
      <c r="K379" s="37"/>
      <c r="L379" s="93"/>
      <c r="M379" s="81"/>
      <c r="N379" s="37"/>
      <c r="O379" s="93"/>
      <c r="P379" s="81"/>
      <c r="Q379" s="40"/>
      <c r="R379" s="40"/>
      <c r="S379" s="39"/>
      <c r="T379" s="16"/>
      <c r="U379" s="16"/>
      <c r="V379" s="16"/>
      <c r="W379" s="16"/>
      <c r="X379" s="16"/>
      <c r="Y379" s="19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41"/>
      <c r="AQ379" s="10"/>
      <c r="AR379" s="11"/>
    </row>
    <row r="380" spans="1:46" s="4" customFormat="1" ht="17.25" customHeight="1" x14ac:dyDescent="0.25">
      <c r="A380" s="23"/>
      <c r="B380" s="210" t="s">
        <v>94</v>
      </c>
      <c r="C380" s="203"/>
      <c r="D380" s="66"/>
      <c r="E380" s="66"/>
      <c r="F380" s="117"/>
      <c r="G380" s="117"/>
      <c r="H380" s="66"/>
      <c r="I380" s="66"/>
      <c r="J380" s="66">
        <f>-M380</f>
        <v>6515.25</v>
      </c>
      <c r="K380" s="58">
        <v>-1095</v>
      </c>
      <c r="L380" s="89">
        <v>5.95</v>
      </c>
      <c r="M380" s="73">
        <f>K380*L380</f>
        <v>-6515.25</v>
      </c>
      <c r="N380" s="58"/>
      <c r="O380" s="89"/>
      <c r="P380" s="73"/>
      <c r="Q380" s="39"/>
      <c r="R380" s="39"/>
      <c r="S380" s="8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35"/>
      <c r="AP380" s="12" t="e">
        <f>#REF!</f>
        <v>#REF!</v>
      </c>
    </row>
    <row r="381" spans="1:46" s="4" customFormat="1" ht="17.25" customHeight="1" x14ac:dyDescent="0.25">
      <c r="A381" s="23"/>
      <c r="B381" s="201" t="s">
        <v>95</v>
      </c>
      <c r="C381" s="202"/>
      <c r="D381" s="64"/>
      <c r="E381" s="64"/>
      <c r="F381" s="117"/>
      <c r="G381" s="117"/>
      <c r="H381" s="64"/>
      <c r="I381" s="64"/>
      <c r="J381" s="64">
        <f>-P381</f>
        <v>8029.4400000000005</v>
      </c>
      <c r="K381" s="57"/>
      <c r="L381" s="88"/>
      <c r="M381" s="62"/>
      <c r="N381" s="57">
        <v>-1968</v>
      </c>
      <c r="O381" s="88">
        <v>4.08</v>
      </c>
      <c r="P381" s="62">
        <f>N381*O381</f>
        <v>-8029.4400000000005</v>
      </c>
      <c r="Q381" s="39"/>
      <c r="R381" s="39"/>
      <c r="S381" s="8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35"/>
      <c r="AP381" s="12" t="e">
        <f>#REF!</f>
        <v>#REF!</v>
      </c>
    </row>
    <row r="382" spans="1:46" s="4" customFormat="1" ht="17.25" customHeight="1" x14ac:dyDescent="0.25">
      <c r="A382" s="23"/>
      <c r="B382" s="201" t="s">
        <v>97</v>
      </c>
      <c r="C382" s="203"/>
      <c r="D382" s="64"/>
      <c r="E382" s="64"/>
      <c r="F382" s="64"/>
      <c r="G382" s="64"/>
      <c r="H382" s="64">
        <f>-J382-I382</f>
        <v>4515.8900000000012</v>
      </c>
      <c r="I382" s="64">
        <v>10028.799999999999</v>
      </c>
      <c r="J382" s="64">
        <f>-SUM(J380:J381)</f>
        <v>-14544.69</v>
      </c>
      <c r="K382" s="57"/>
      <c r="L382" s="88"/>
      <c r="M382" s="62"/>
      <c r="N382" s="57"/>
      <c r="O382" s="88"/>
      <c r="P382" s="62"/>
      <c r="Q382" s="39"/>
      <c r="R382" s="39"/>
      <c r="S382" s="39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22"/>
      <c r="AO382" s="43"/>
      <c r="AP382" s="12" t="e">
        <f>#REF!</f>
        <v>#REF!</v>
      </c>
      <c r="AT382" s="2"/>
    </row>
    <row r="383" spans="1:46" s="4" customFormat="1" ht="17.25" customHeight="1" x14ac:dyDescent="0.25">
      <c r="A383" s="23"/>
      <c r="B383" s="201" t="s">
        <v>93</v>
      </c>
      <c r="C383" s="202"/>
      <c r="D383" s="64"/>
      <c r="E383" s="64"/>
      <c r="F383" s="64"/>
      <c r="G383" s="64"/>
      <c r="H383" s="64"/>
      <c r="I383" s="64"/>
      <c r="J383" s="64"/>
      <c r="K383" s="57">
        <v>53</v>
      </c>
      <c r="L383" s="88"/>
      <c r="M383" s="62">
        <f>(K386*L371)-M371-M380</f>
        <v>1179.7952915729365</v>
      </c>
      <c r="N383" s="57">
        <v>29</v>
      </c>
      <c r="O383" s="88"/>
      <c r="P383" s="62">
        <f>(N386*O371)-P371-P381</f>
        <v>975.10210538808496</v>
      </c>
      <c r="Q383" s="39"/>
      <c r="R383" s="39"/>
      <c r="S383" s="39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22"/>
      <c r="AO383" s="43">
        <f>A365</f>
        <v>0</v>
      </c>
      <c r="AP383" s="12" t="e">
        <f>#REF!</f>
        <v>#REF!</v>
      </c>
      <c r="AT383" s="2"/>
    </row>
    <row r="384" spans="1:46" s="2" customFormat="1" ht="17.25" customHeight="1" x14ac:dyDescent="0.2">
      <c r="A384" s="24"/>
      <c r="B384" s="201"/>
      <c r="C384" s="204"/>
      <c r="D384" s="63"/>
      <c r="E384" s="64"/>
      <c r="F384" s="64"/>
      <c r="G384" s="64"/>
      <c r="H384" s="64"/>
      <c r="I384" s="64"/>
      <c r="J384" s="64"/>
      <c r="K384" s="16"/>
      <c r="L384" s="16"/>
      <c r="M384" s="64"/>
      <c r="N384" s="16"/>
      <c r="O384" s="16"/>
      <c r="P384" s="64"/>
      <c r="Q384" s="46"/>
      <c r="R384" s="46"/>
      <c r="S384" s="39"/>
      <c r="T384" s="16"/>
      <c r="U384" s="16"/>
      <c r="V384" s="16"/>
      <c r="W384" s="16"/>
      <c r="X384" s="16"/>
      <c r="Y384" s="19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43">
        <f>A372</f>
        <v>46079</v>
      </c>
      <c r="AQ384" s="10"/>
      <c r="AR384" s="11"/>
    </row>
    <row r="385" spans="1:45" s="2" customFormat="1" ht="17.25" customHeight="1" thickBot="1" x14ac:dyDescent="0.3">
      <c r="A385" s="56"/>
      <c r="B385" s="101" t="s">
        <v>102</v>
      </c>
      <c r="C385" s="102">
        <f>D386+E386+F386+G386+H386+I386+J386+M386+P386</f>
        <v>122810.76954000012</v>
      </c>
      <c r="D385" s="84"/>
      <c r="E385" s="85"/>
      <c r="F385" s="85"/>
      <c r="G385" s="85"/>
      <c r="H385" s="85"/>
      <c r="I385" s="85"/>
      <c r="J385" s="85"/>
      <c r="K385" s="28"/>
      <c r="L385" s="28"/>
      <c r="M385" s="85"/>
      <c r="N385" s="28"/>
      <c r="O385" s="28"/>
      <c r="P385" s="85"/>
      <c r="Q385" s="48"/>
      <c r="R385" s="48"/>
      <c r="S385" s="51"/>
      <c r="T385" s="28"/>
      <c r="U385" s="28"/>
      <c r="V385" s="28"/>
      <c r="W385" s="28"/>
      <c r="X385" s="28"/>
      <c r="Y385" s="36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42">
        <f>SUM($Q371:AN385)</f>
        <v>-468887.82890000002</v>
      </c>
      <c r="AQ385" s="10"/>
      <c r="AR385" s="11"/>
      <c r="AS385" s="2" t="s">
        <v>5</v>
      </c>
    </row>
    <row r="386" spans="1:45" s="2" customFormat="1" ht="17.25" customHeight="1" thickTop="1" thickBot="1" x14ac:dyDescent="0.3">
      <c r="A386" s="103"/>
      <c r="B386" s="104" t="s">
        <v>103</v>
      </c>
      <c r="C386" s="105">
        <f>AO386</f>
        <v>-346077.0593599999</v>
      </c>
      <c r="D386" s="106">
        <f t="shared" ref="D386:K386" si="50">SUM(D371:D385)</f>
        <v>11294.177040000061</v>
      </c>
      <c r="E386" s="107">
        <f t="shared" si="50"/>
        <v>-18213.460000000006</v>
      </c>
      <c r="F386" s="107">
        <f t="shared" si="50"/>
        <v>0.65000000000145519</v>
      </c>
      <c r="G386" s="107">
        <f t="shared" si="50"/>
        <v>0</v>
      </c>
      <c r="H386" s="107">
        <f t="shared" si="50"/>
        <v>87782.162500000064</v>
      </c>
      <c r="I386" s="107">
        <f t="shared" si="50"/>
        <v>9418.7999999999993</v>
      </c>
      <c r="J386" s="107">
        <f t="shared" si="50"/>
        <v>0</v>
      </c>
      <c r="K386" s="108">
        <f t="shared" si="50"/>
        <v>4737</v>
      </c>
      <c r="L386" s="109">
        <f>M386/K386</f>
        <v>5.1203989867004438</v>
      </c>
      <c r="M386" s="107">
        <f>ROUND(SUM(M371:M385),2)</f>
        <v>24255.33</v>
      </c>
      <c r="N386" s="108">
        <f>SUM(N371:N385)</f>
        <v>2274</v>
      </c>
      <c r="O386" s="109">
        <f>P386/N386</f>
        <v>3.6381310466138963</v>
      </c>
      <c r="P386" s="107">
        <f>ROUND(SUM(P371:P385),2)</f>
        <v>8273.11</v>
      </c>
      <c r="Q386" s="110">
        <f t="shared" ref="Q386:AN386" si="51">SUM(Q371:Q385)</f>
        <v>-519117.12890000001</v>
      </c>
      <c r="R386" s="107">
        <f t="shared" si="51"/>
        <v>50229.299999999996</v>
      </c>
      <c r="S386" s="107">
        <f t="shared" si="51"/>
        <v>0</v>
      </c>
      <c r="T386" s="107">
        <f t="shared" si="51"/>
        <v>0</v>
      </c>
      <c r="U386" s="107">
        <f t="shared" si="51"/>
        <v>0</v>
      </c>
      <c r="V386" s="107">
        <f t="shared" si="51"/>
        <v>0</v>
      </c>
      <c r="W386" s="107">
        <f t="shared" si="51"/>
        <v>0</v>
      </c>
      <c r="X386" s="107">
        <f t="shared" si="51"/>
        <v>0</v>
      </c>
      <c r="Y386" s="107">
        <f t="shared" si="51"/>
        <v>0</v>
      </c>
      <c r="Z386" s="107">
        <f t="shared" si="51"/>
        <v>0</v>
      </c>
      <c r="AA386" s="107">
        <f t="shared" si="51"/>
        <v>0</v>
      </c>
      <c r="AB386" s="107">
        <f t="shared" si="51"/>
        <v>0</v>
      </c>
      <c r="AC386" s="107">
        <f t="shared" si="51"/>
        <v>0</v>
      </c>
      <c r="AD386" s="107">
        <f t="shared" si="51"/>
        <v>0</v>
      </c>
      <c r="AE386" s="107">
        <f t="shared" si="51"/>
        <v>0</v>
      </c>
      <c r="AF386" s="107">
        <f t="shared" si="51"/>
        <v>0</v>
      </c>
      <c r="AG386" s="107">
        <f t="shared" si="51"/>
        <v>0</v>
      </c>
      <c r="AH386" s="107">
        <f t="shared" si="51"/>
        <v>0</v>
      </c>
      <c r="AI386" s="107">
        <f t="shared" si="51"/>
        <v>0</v>
      </c>
      <c r="AJ386" s="107">
        <f t="shared" si="51"/>
        <v>0</v>
      </c>
      <c r="AK386" s="107">
        <f t="shared" si="51"/>
        <v>0</v>
      </c>
      <c r="AL386" s="107">
        <f t="shared" si="51"/>
        <v>0</v>
      </c>
      <c r="AM386" s="107">
        <f t="shared" si="51"/>
        <v>0</v>
      </c>
      <c r="AN386" s="107">
        <f t="shared" si="51"/>
        <v>0</v>
      </c>
      <c r="AO386" s="111">
        <f>D386+E386+F386+G386+H386+I386+J386+M386+P386+SUM(Q386:AN386)</f>
        <v>-346077.0593599999</v>
      </c>
      <c r="AP386" s="4"/>
      <c r="AQ386" s="5"/>
      <c r="AR386" s="5"/>
      <c r="AS386" s="2" t="s">
        <v>6</v>
      </c>
    </row>
    <row r="387" spans="1:45" s="2" customFormat="1" ht="17.25" customHeight="1" thickTop="1" x14ac:dyDescent="0.25">
      <c r="A387" s="23">
        <f>A372+1</f>
        <v>46080</v>
      </c>
      <c r="B387" s="210" t="s">
        <v>64</v>
      </c>
      <c r="C387" s="203"/>
      <c r="D387" s="63">
        <v>9184.68</v>
      </c>
      <c r="E387" s="66"/>
      <c r="F387" s="66"/>
      <c r="G387" s="66"/>
      <c r="H387" s="66"/>
      <c r="I387" s="66">
        <f>-D387</f>
        <v>-9184.68</v>
      </c>
      <c r="J387" s="66"/>
      <c r="K387" s="18"/>
      <c r="L387" s="18"/>
      <c r="M387" s="66"/>
      <c r="N387" s="18"/>
      <c r="O387" s="18"/>
      <c r="P387" s="66"/>
      <c r="Q387" s="46"/>
      <c r="R387" s="46"/>
      <c r="S387" s="45"/>
      <c r="T387" s="18"/>
      <c r="U387" s="18"/>
      <c r="V387" s="18"/>
      <c r="W387" s="18"/>
      <c r="X387" s="18"/>
      <c r="Y387" s="14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31"/>
      <c r="AQ387" s="10"/>
      <c r="AR387" s="27"/>
    </row>
    <row r="388" spans="1:45" s="4" customFormat="1" ht="17.25" customHeight="1" x14ac:dyDescent="0.25">
      <c r="A388" s="23"/>
      <c r="B388" s="201" t="s">
        <v>96</v>
      </c>
      <c r="C388" s="202"/>
      <c r="D388" s="63"/>
      <c r="E388" s="64"/>
      <c r="F388" s="64"/>
      <c r="G388" s="64"/>
      <c r="H388" s="64"/>
      <c r="I388" s="64">
        <f>-I386-I387</f>
        <v>-234.11999999999898</v>
      </c>
      <c r="J388" s="64"/>
      <c r="K388" s="16"/>
      <c r="L388" s="92"/>
      <c r="M388" s="64"/>
      <c r="N388" s="16"/>
      <c r="O388" s="92"/>
      <c r="P388" s="64"/>
      <c r="Q388" s="40"/>
      <c r="R388" s="46"/>
      <c r="S388" s="39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22"/>
      <c r="AP388" s="30"/>
    </row>
    <row r="389" spans="1:45" s="2" customFormat="1" ht="17.25" customHeight="1" x14ac:dyDescent="0.25">
      <c r="A389" s="29"/>
      <c r="B389" s="201" t="s">
        <v>327</v>
      </c>
      <c r="C389" s="202"/>
      <c r="D389" s="63">
        <f>5+100+31+50+53+60+20+12+60+5+30+20+50+170+26+30+50</f>
        <v>772</v>
      </c>
      <c r="E389" s="64"/>
      <c r="F389" s="64"/>
      <c r="G389" s="64"/>
      <c r="H389" s="64"/>
      <c r="I389" s="64">
        <f>-D389</f>
        <v>-772</v>
      </c>
      <c r="J389" s="64"/>
      <c r="K389" s="57"/>
      <c r="L389" s="88"/>
      <c r="M389" s="62"/>
      <c r="N389" s="57"/>
      <c r="O389" s="88"/>
      <c r="P389" s="62"/>
      <c r="Q389" s="47"/>
      <c r="R389" s="39"/>
      <c r="S389" s="39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22"/>
      <c r="AQ389" s="10"/>
      <c r="AR389" s="11"/>
    </row>
    <row r="390" spans="1:45" s="2" customFormat="1" ht="17.25" customHeight="1" x14ac:dyDescent="0.25">
      <c r="A390" s="29"/>
      <c r="B390" s="201" t="s">
        <v>264</v>
      </c>
      <c r="C390" s="202"/>
      <c r="D390" s="63">
        <v>1299.0999999999999</v>
      </c>
      <c r="E390" s="64"/>
      <c r="F390" s="64"/>
      <c r="G390" s="64"/>
      <c r="H390" s="64">
        <f>-D390</f>
        <v>-1299.0999999999999</v>
      </c>
      <c r="I390" s="64"/>
      <c r="J390" s="64"/>
      <c r="K390" s="57"/>
      <c r="L390" s="88"/>
      <c r="M390" s="62"/>
      <c r="N390" s="57"/>
      <c r="O390" s="88"/>
      <c r="P390" s="62"/>
      <c r="Q390" s="47"/>
      <c r="R390" s="39"/>
      <c r="S390" s="39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22"/>
      <c r="AQ390" s="10"/>
      <c r="AR390" s="11"/>
    </row>
    <row r="391" spans="1:45" s="2" customFormat="1" ht="17.25" customHeight="1" x14ac:dyDescent="0.25">
      <c r="A391" s="29"/>
      <c r="B391" s="201" t="s">
        <v>328</v>
      </c>
      <c r="C391" s="202"/>
      <c r="D391" s="63">
        <f>-16*0.99-1.36-10.39</f>
        <v>-27.59</v>
      </c>
      <c r="E391" s="64"/>
      <c r="F391" s="64"/>
      <c r="G391" s="64"/>
      <c r="H391" s="64"/>
      <c r="I391" s="64"/>
      <c r="J391" s="64"/>
      <c r="K391" s="57"/>
      <c r="L391" s="88"/>
      <c r="M391" s="62"/>
      <c r="N391" s="57"/>
      <c r="O391" s="88"/>
      <c r="P391" s="62"/>
      <c r="Q391" s="47"/>
      <c r="R391" s="39"/>
      <c r="S391" s="39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22"/>
      <c r="AQ391" s="10"/>
      <c r="AR391" s="11"/>
    </row>
    <row r="392" spans="1:45" s="4" customFormat="1" ht="17.25" customHeight="1" x14ac:dyDescent="0.25">
      <c r="A392" s="23"/>
      <c r="B392" s="201" t="s">
        <v>13</v>
      </c>
      <c r="C392" s="203"/>
      <c r="D392" s="63"/>
      <c r="E392" s="64">
        <f>50+100+50+20+20+60+50+50+20+20+906+1842+300+1123+1900+362+1117</f>
        <v>7990</v>
      </c>
      <c r="F392" s="64"/>
      <c r="G392" s="64"/>
      <c r="H392" s="64">
        <f>-E392</f>
        <v>-7990</v>
      </c>
      <c r="I392" s="66"/>
      <c r="J392" s="64"/>
      <c r="K392" s="16"/>
      <c r="L392" s="92"/>
      <c r="M392" s="64"/>
      <c r="N392" s="16"/>
      <c r="O392" s="92"/>
      <c r="P392" s="64"/>
      <c r="Q392" s="40"/>
      <c r="R392" s="46">
        <f>-D392</f>
        <v>0</v>
      </c>
      <c r="S392" s="39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22"/>
      <c r="AP392" s="30"/>
    </row>
    <row r="393" spans="1:45" s="2" customFormat="1" ht="17.25" customHeight="1" x14ac:dyDescent="0.25">
      <c r="A393" s="24"/>
      <c r="B393" s="201" t="s">
        <v>378</v>
      </c>
      <c r="C393" s="203"/>
      <c r="D393" s="63"/>
      <c r="E393" s="64">
        <v>-1362.23</v>
      </c>
      <c r="F393" s="64"/>
      <c r="G393" s="64"/>
      <c r="H393" s="64"/>
      <c r="I393" s="64"/>
      <c r="J393" s="64"/>
      <c r="K393" s="16"/>
      <c r="L393" s="92"/>
      <c r="M393" s="64"/>
      <c r="N393" s="16"/>
      <c r="O393" s="92"/>
      <c r="P393" s="64"/>
      <c r="Q393" s="40"/>
      <c r="R393" s="40"/>
      <c r="S393" s="39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22"/>
      <c r="AQ393" s="10"/>
      <c r="AR393" s="11"/>
    </row>
    <row r="394" spans="1:45" s="2" customFormat="1" ht="17.25" customHeight="1" x14ac:dyDescent="0.2">
      <c r="A394" s="23"/>
      <c r="B394" s="201" t="s">
        <v>379</v>
      </c>
      <c r="C394" s="203"/>
      <c r="D394" s="63"/>
      <c r="E394" s="64">
        <v>-42.36</v>
      </c>
      <c r="F394" s="74"/>
      <c r="G394" s="74"/>
      <c r="H394" s="64"/>
      <c r="I394" s="64"/>
      <c r="J394" s="64"/>
      <c r="K394" s="16"/>
      <c r="L394" s="16"/>
      <c r="M394" s="64"/>
      <c r="N394" s="16"/>
      <c r="O394" s="16"/>
      <c r="P394" s="64"/>
      <c r="Q394" s="46"/>
      <c r="R394" s="39"/>
      <c r="S394" s="40"/>
      <c r="T394" s="16"/>
      <c r="U394" s="16"/>
      <c r="V394" s="16"/>
      <c r="W394" s="16"/>
      <c r="X394" s="16"/>
      <c r="Y394" s="19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35"/>
      <c r="AQ394" s="10"/>
      <c r="AR394" s="27"/>
    </row>
    <row r="395" spans="1:45" s="2" customFormat="1" ht="17.25" customHeight="1" x14ac:dyDescent="0.2">
      <c r="A395" s="23"/>
      <c r="B395" s="205" t="s">
        <v>380</v>
      </c>
      <c r="C395" s="250"/>
      <c r="D395" s="63"/>
      <c r="E395" s="20">
        <v>-1459.74</v>
      </c>
      <c r="F395" s="74"/>
      <c r="G395" s="74"/>
      <c r="H395" s="64"/>
      <c r="I395" s="64"/>
      <c r="J395" s="64"/>
      <c r="K395" s="16"/>
      <c r="L395" s="16"/>
      <c r="M395" s="64"/>
      <c r="N395" s="16"/>
      <c r="O395" s="16"/>
      <c r="P395" s="64"/>
      <c r="Q395" s="46"/>
      <c r="R395" s="39"/>
      <c r="S395" s="40"/>
      <c r="T395" s="16"/>
      <c r="U395" s="16"/>
      <c r="V395" s="16"/>
      <c r="W395" s="16"/>
      <c r="X395" s="16"/>
      <c r="Y395" s="19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35"/>
      <c r="AQ395" s="10"/>
      <c r="AR395" s="27"/>
    </row>
    <row r="396" spans="1:45" s="2" customFormat="1" ht="17.25" customHeight="1" x14ac:dyDescent="0.2">
      <c r="A396" s="23"/>
      <c r="B396" s="201" t="s">
        <v>374</v>
      </c>
      <c r="C396" s="203"/>
      <c r="D396" s="74">
        <f>-E396</f>
        <v>30200</v>
      </c>
      <c r="E396" s="64">
        <v>-30200</v>
      </c>
      <c r="F396" s="74"/>
      <c r="G396" s="74"/>
      <c r="H396" s="64"/>
      <c r="I396" s="64"/>
      <c r="J396" s="64"/>
      <c r="K396" s="16"/>
      <c r="L396" s="16"/>
      <c r="M396" s="64"/>
      <c r="N396" s="16"/>
      <c r="O396" s="16"/>
      <c r="P396" s="64"/>
      <c r="Q396" s="46"/>
      <c r="R396" s="39"/>
      <c r="S396" s="40"/>
      <c r="T396" s="16"/>
      <c r="U396" s="16"/>
      <c r="V396" s="16"/>
      <c r="W396" s="16"/>
      <c r="X396" s="16"/>
      <c r="Y396" s="19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35"/>
      <c r="AQ396" s="10"/>
      <c r="AR396" s="27"/>
    </row>
    <row r="397" spans="1:45" s="2" customFormat="1" ht="17.25" customHeight="1" x14ac:dyDescent="0.25">
      <c r="A397" s="29"/>
      <c r="B397" s="201" t="s">
        <v>309</v>
      </c>
      <c r="C397" s="202"/>
      <c r="D397" s="63">
        <v>-241.6</v>
      </c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47"/>
      <c r="R397" s="39"/>
      <c r="S397" s="39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22"/>
      <c r="AQ397" s="10" t="s">
        <v>4</v>
      </c>
      <c r="AR397" s="11" t="e">
        <v>#REF!</v>
      </c>
    </row>
    <row r="398" spans="1:45" s="2" customFormat="1" ht="17.25" customHeight="1" x14ac:dyDescent="0.25">
      <c r="A398" s="24"/>
      <c r="B398" s="205" t="s">
        <v>393</v>
      </c>
      <c r="C398" s="206"/>
      <c r="D398" s="64">
        <v>-51590</v>
      </c>
      <c r="E398" s="64"/>
      <c r="F398" s="64"/>
      <c r="G398" s="64"/>
      <c r="H398" s="64"/>
      <c r="I398" s="64"/>
      <c r="J398" s="64"/>
      <c r="K398" s="167">
        <v>10000</v>
      </c>
      <c r="L398" s="92">
        <v>5.1589999999999998</v>
      </c>
      <c r="M398" s="64">
        <f>K398*L398</f>
        <v>51590</v>
      </c>
      <c r="N398" s="57"/>
      <c r="O398" s="88"/>
      <c r="P398" s="62"/>
      <c r="Q398" s="39"/>
      <c r="R398" s="39"/>
      <c r="S398" s="39"/>
      <c r="T398" s="16"/>
      <c r="U398" s="16">
        <f>-P398</f>
        <v>0</v>
      </c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22"/>
      <c r="AQ398" s="10"/>
      <c r="AR398" s="11"/>
    </row>
    <row r="399" spans="1:45" s="2" customFormat="1" ht="17.25" customHeight="1" x14ac:dyDescent="0.25">
      <c r="A399" s="29"/>
      <c r="B399" s="201" t="s">
        <v>276</v>
      </c>
      <c r="C399" s="202"/>
      <c r="D399" s="63">
        <v>-4.9000000000000004</v>
      </c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47"/>
      <c r="R399" s="39"/>
      <c r="S399" s="39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22"/>
      <c r="AQ399" s="10"/>
      <c r="AR399" s="11"/>
    </row>
    <row r="400" spans="1:45" s="2" customFormat="1" ht="17.25" customHeight="1" x14ac:dyDescent="0.2">
      <c r="A400" s="23"/>
      <c r="B400" s="211" t="s">
        <v>446</v>
      </c>
      <c r="C400" s="206"/>
      <c r="D400" s="64"/>
      <c r="E400" s="64"/>
      <c r="F400" s="64"/>
      <c r="G400" s="74"/>
      <c r="H400" s="64"/>
      <c r="I400" s="64"/>
      <c r="J400" s="64"/>
      <c r="K400" s="16"/>
      <c r="L400" s="16"/>
      <c r="M400" s="64"/>
      <c r="N400" s="167">
        <v>5000</v>
      </c>
      <c r="O400" s="92">
        <v>3.64</v>
      </c>
      <c r="P400" s="64">
        <f>N400*O400</f>
        <v>18200</v>
      </c>
      <c r="Q400" s="46">
        <f>-P400</f>
        <v>-18200</v>
      </c>
      <c r="R400" s="39"/>
      <c r="S400" s="40"/>
      <c r="T400" s="16"/>
      <c r="U400" s="16"/>
      <c r="V400" s="16">
        <f>-D400</f>
        <v>0</v>
      </c>
      <c r="W400" s="16"/>
      <c r="X400" s="16"/>
      <c r="Y400" s="19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35"/>
      <c r="AQ400" s="10"/>
      <c r="AR400" s="27"/>
    </row>
    <row r="401" spans="1:46" s="2" customFormat="1" ht="17.25" customHeight="1" thickBot="1" x14ac:dyDescent="0.25">
      <c r="A401" s="24"/>
      <c r="B401" s="216"/>
      <c r="C401" s="217"/>
      <c r="D401" s="83"/>
      <c r="E401" s="81"/>
      <c r="F401" s="81"/>
      <c r="G401" s="81"/>
      <c r="H401" s="81"/>
      <c r="I401" s="81"/>
      <c r="J401" s="81"/>
      <c r="K401" s="37"/>
      <c r="L401" s="93"/>
      <c r="M401" s="81"/>
      <c r="N401" s="37"/>
      <c r="O401" s="93"/>
      <c r="P401" s="81"/>
      <c r="Q401" s="40"/>
      <c r="R401" s="40"/>
      <c r="S401" s="39"/>
      <c r="T401" s="16"/>
      <c r="U401" s="16"/>
      <c r="V401" s="16"/>
      <c r="W401" s="16"/>
      <c r="X401" s="16"/>
      <c r="Y401" s="19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41"/>
      <c r="AQ401" s="10"/>
      <c r="AR401" s="11"/>
    </row>
    <row r="402" spans="1:46" s="4" customFormat="1" ht="17.25" customHeight="1" x14ac:dyDescent="0.25">
      <c r="A402" s="23"/>
      <c r="B402" s="210" t="s">
        <v>94</v>
      </c>
      <c r="C402" s="203"/>
      <c r="D402" s="66"/>
      <c r="E402" s="66"/>
      <c r="F402" s="117"/>
      <c r="G402" s="117"/>
      <c r="H402" s="66"/>
      <c r="I402" s="66"/>
      <c r="J402" s="66">
        <f>-M402</f>
        <v>8258.6</v>
      </c>
      <c r="K402" s="58">
        <v>-1388</v>
      </c>
      <c r="L402" s="89">
        <v>5.95</v>
      </c>
      <c r="M402" s="73">
        <f>K402*L402</f>
        <v>-8258.6</v>
      </c>
      <c r="N402" s="58"/>
      <c r="O402" s="89"/>
      <c r="P402" s="73"/>
      <c r="Q402" s="39"/>
      <c r="R402" s="39"/>
      <c r="S402" s="8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35"/>
      <c r="AP402" s="12" t="e">
        <f>#REF!</f>
        <v>#REF!</v>
      </c>
    </row>
    <row r="403" spans="1:46" s="4" customFormat="1" ht="17.25" customHeight="1" x14ac:dyDescent="0.25">
      <c r="A403" s="23"/>
      <c r="B403" s="201" t="s">
        <v>95</v>
      </c>
      <c r="C403" s="202"/>
      <c r="D403" s="64"/>
      <c r="E403" s="64"/>
      <c r="F403" s="117"/>
      <c r="G403" s="117"/>
      <c r="H403" s="64"/>
      <c r="I403" s="64"/>
      <c r="J403" s="64">
        <f>-P403</f>
        <v>8290.56</v>
      </c>
      <c r="K403" s="57"/>
      <c r="L403" s="88"/>
      <c r="M403" s="62"/>
      <c r="N403" s="57">
        <v>-2032</v>
      </c>
      <c r="O403" s="88">
        <v>4.08</v>
      </c>
      <c r="P403" s="62">
        <f>N403*O403</f>
        <v>-8290.56</v>
      </c>
      <c r="Q403" s="39"/>
      <c r="R403" s="39"/>
      <c r="S403" s="8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35"/>
      <c r="AP403" s="12" t="e">
        <f>#REF!</f>
        <v>#REF!</v>
      </c>
    </row>
    <row r="404" spans="1:46" s="4" customFormat="1" ht="17.25" customHeight="1" x14ac:dyDescent="0.25">
      <c r="A404" s="23"/>
      <c r="B404" s="201" t="s">
        <v>97</v>
      </c>
      <c r="C404" s="203"/>
      <c r="D404" s="64"/>
      <c r="E404" s="64"/>
      <c r="F404" s="64"/>
      <c r="G404" s="64"/>
      <c r="H404" s="64">
        <f>-J404-I404</f>
        <v>4439.67</v>
      </c>
      <c r="I404" s="64">
        <v>12109.49</v>
      </c>
      <c r="J404" s="64">
        <f>-SUM(J402:J403)</f>
        <v>-16549.16</v>
      </c>
      <c r="K404" s="57"/>
      <c r="L404" s="88"/>
      <c r="M404" s="62"/>
      <c r="N404" s="57"/>
      <c r="O404" s="88"/>
      <c r="P404" s="62"/>
      <c r="Q404" s="39"/>
      <c r="R404" s="39"/>
      <c r="S404" s="39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22"/>
      <c r="AO404" s="43"/>
      <c r="AP404" s="12" t="e">
        <f>#REF!</f>
        <v>#REF!</v>
      </c>
      <c r="AT404" s="2"/>
    </row>
    <row r="405" spans="1:46" s="4" customFormat="1" ht="17.25" customHeight="1" x14ac:dyDescent="0.25">
      <c r="A405" s="23"/>
      <c r="B405" s="201" t="s">
        <v>93</v>
      </c>
      <c r="C405" s="202"/>
      <c r="D405" s="64"/>
      <c r="E405" s="64"/>
      <c r="F405" s="64"/>
      <c r="G405" s="64"/>
      <c r="H405" s="64"/>
      <c r="I405" s="64"/>
      <c r="J405" s="64"/>
      <c r="K405" s="57">
        <v>-27</v>
      </c>
      <c r="L405" s="88"/>
      <c r="M405" s="62">
        <f>(K408*(M386+M398)/(K386+K398))-M386-M402-M398</f>
        <v>976.17196512179362</v>
      </c>
      <c r="N405" s="57">
        <v>-143</v>
      </c>
      <c r="O405" s="88"/>
      <c r="P405" s="62">
        <f>(N408*(P386+P400)/(N386+N400))-P386-P403-P400</f>
        <v>374.83079323618585</v>
      </c>
      <c r="Q405" s="39"/>
      <c r="R405" s="39"/>
      <c r="S405" s="39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22"/>
      <c r="AO405" s="43">
        <f>A380</f>
        <v>0</v>
      </c>
      <c r="AP405" s="12" t="e">
        <f>#REF!</f>
        <v>#REF!</v>
      </c>
      <c r="AT405" s="2"/>
    </row>
    <row r="406" spans="1:46" s="2" customFormat="1" ht="17.25" customHeight="1" x14ac:dyDescent="0.2">
      <c r="A406" s="24"/>
      <c r="B406" s="201"/>
      <c r="C406" s="204"/>
      <c r="D406" s="63"/>
      <c r="E406" s="64"/>
      <c r="F406" s="64"/>
      <c r="G406" s="64"/>
      <c r="H406" s="64"/>
      <c r="I406" s="64"/>
      <c r="J406" s="64"/>
      <c r="K406" s="16"/>
      <c r="L406" s="16"/>
      <c r="M406" s="64"/>
      <c r="N406" s="16"/>
      <c r="O406" s="16"/>
      <c r="P406" s="64"/>
      <c r="Q406" s="46"/>
      <c r="R406" s="46"/>
      <c r="S406" s="39"/>
      <c r="T406" s="16"/>
      <c r="U406" s="16"/>
      <c r="V406" s="16"/>
      <c r="W406" s="16"/>
      <c r="X406" s="16"/>
      <c r="Y406" s="19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43">
        <f>A387</f>
        <v>46080</v>
      </c>
      <c r="AQ406" s="10"/>
      <c r="AR406" s="11"/>
    </row>
    <row r="407" spans="1:46" s="2" customFormat="1" ht="17.25" customHeight="1" thickBot="1" x14ac:dyDescent="0.3">
      <c r="A407" s="56"/>
      <c r="B407" s="101" t="s">
        <v>102</v>
      </c>
      <c r="C407" s="102">
        <f>D408+E408+F408+G408+H408+I408+J408+M408+P408</f>
        <v>138989.22954000009</v>
      </c>
      <c r="D407" s="84"/>
      <c r="E407" s="85"/>
      <c r="F407" s="85"/>
      <c r="G407" s="85"/>
      <c r="H407" s="85"/>
      <c r="I407" s="85"/>
      <c r="J407" s="85"/>
      <c r="K407" s="28"/>
      <c r="L407" s="28"/>
      <c r="M407" s="85"/>
      <c r="N407" s="28"/>
      <c r="O407" s="28"/>
      <c r="P407" s="85"/>
      <c r="Q407" s="48"/>
      <c r="R407" s="48"/>
      <c r="S407" s="51"/>
      <c r="T407" s="28"/>
      <c r="U407" s="28"/>
      <c r="V407" s="28"/>
      <c r="W407" s="28"/>
      <c r="X407" s="28"/>
      <c r="Y407" s="36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42">
        <f>SUM($Q386:AN407)</f>
        <v>-487087.82890000002</v>
      </c>
      <c r="AQ407" s="10"/>
      <c r="AR407" s="11"/>
      <c r="AS407" s="2" t="s">
        <v>5</v>
      </c>
    </row>
    <row r="408" spans="1:46" s="2" customFormat="1" ht="17.25" customHeight="1" thickTop="1" thickBot="1" x14ac:dyDescent="0.3">
      <c r="A408" s="103"/>
      <c r="B408" s="104" t="s">
        <v>103</v>
      </c>
      <c r="C408" s="105">
        <f>AO408</f>
        <v>-348098.59935999993</v>
      </c>
      <c r="D408" s="106">
        <f t="shared" ref="D408:K408" si="52">SUM(D386:D407)</f>
        <v>885.86704000005705</v>
      </c>
      <c r="E408" s="107">
        <f t="shared" si="52"/>
        <v>-43287.790000000008</v>
      </c>
      <c r="F408" s="107">
        <f t="shared" si="52"/>
        <v>0.65000000000145519</v>
      </c>
      <c r="G408" s="107">
        <f t="shared" si="52"/>
        <v>0</v>
      </c>
      <c r="H408" s="107">
        <f t="shared" si="52"/>
        <v>82932.732500000056</v>
      </c>
      <c r="I408" s="107">
        <f t="shared" si="52"/>
        <v>11337.49</v>
      </c>
      <c r="J408" s="107">
        <f t="shared" si="52"/>
        <v>0</v>
      </c>
      <c r="K408" s="108">
        <f t="shared" si="52"/>
        <v>13322</v>
      </c>
      <c r="L408" s="109">
        <f>M408/K408</f>
        <v>5.1465921032877944</v>
      </c>
      <c r="M408" s="107">
        <f>ROUND(SUM(M386:M407),2)</f>
        <v>68562.899999999994</v>
      </c>
      <c r="N408" s="108">
        <f>SUM(N386:N407)</f>
        <v>5099</v>
      </c>
      <c r="O408" s="109">
        <f>P408/N408</f>
        <v>3.6394155716807219</v>
      </c>
      <c r="P408" s="107">
        <f>ROUND(SUM(P386:P407),2)</f>
        <v>18557.38</v>
      </c>
      <c r="Q408" s="110">
        <f t="shared" ref="Q408:AN408" si="53">SUM(Q386:Q407)</f>
        <v>-537317.12890000001</v>
      </c>
      <c r="R408" s="107">
        <f t="shared" si="53"/>
        <v>50229.299999999996</v>
      </c>
      <c r="S408" s="107">
        <f t="shared" si="53"/>
        <v>0</v>
      </c>
      <c r="T408" s="107">
        <f t="shared" si="53"/>
        <v>0</v>
      </c>
      <c r="U408" s="107">
        <f t="shared" si="53"/>
        <v>0</v>
      </c>
      <c r="V408" s="107">
        <f t="shared" si="53"/>
        <v>0</v>
      </c>
      <c r="W408" s="107">
        <f t="shared" si="53"/>
        <v>0</v>
      </c>
      <c r="X408" s="107">
        <f t="shared" si="53"/>
        <v>0</v>
      </c>
      <c r="Y408" s="107">
        <f t="shared" si="53"/>
        <v>0</v>
      </c>
      <c r="Z408" s="107">
        <f t="shared" si="53"/>
        <v>0</v>
      </c>
      <c r="AA408" s="107">
        <f t="shared" si="53"/>
        <v>0</v>
      </c>
      <c r="AB408" s="107">
        <f t="shared" si="53"/>
        <v>0</v>
      </c>
      <c r="AC408" s="107">
        <f t="shared" si="53"/>
        <v>0</v>
      </c>
      <c r="AD408" s="107">
        <f t="shared" si="53"/>
        <v>0</v>
      </c>
      <c r="AE408" s="107">
        <f t="shared" si="53"/>
        <v>0</v>
      </c>
      <c r="AF408" s="107">
        <f t="shared" si="53"/>
        <v>0</v>
      </c>
      <c r="AG408" s="107">
        <f t="shared" si="53"/>
        <v>0</v>
      </c>
      <c r="AH408" s="107">
        <f t="shared" si="53"/>
        <v>0</v>
      </c>
      <c r="AI408" s="107">
        <f t="shared" si="53"/>
        <v>0</v>
      </c>
      <c r="AJ408" s="107">
        <f t="shared" si="53"/>
        <v>0</v>
      </c>
      <c r="AK408" s="107">
        <f t="shared" si="53"/>
        <v>0</v>
      </c>
      <c r="AL408" s="107">
        <f t="shared" si="53"/>
        <v>0</v>
      </c>
      <c r="AM408" s="107">
        <f t="shared" si="53"/>
        <v>0</v>
      </c>
      <c r="AN408" s="107">
        <f t="shared" si="53"/>
        <v>0</v>
      </c>
      <c r="AO408" s="111">
        <f>D408+E408+F408+G408+H408+I408+J408+M408+P408+SUM(Q408:AN408)</f>
        <v>-348098.59935999993</v>
      </c>
      <c r="AP408" s="4"/>
      <c r="AQ408" s="5"/>
      <c r="AR408" s="5"/>
      <c r="AS408" s="2" t="s">
        <v>6</v>
      </c>
    </row>
    <row r="409" spans="1:46" s="2" customFormat="1" ht="17.25" customHeight="1" thickTop="1" x14ac:dyDescent="0.25">
      <c r="A409" s="23">
        <f>A387+1</f>
        <v>46081</v>
      </c>
      <c r="B409" s="210" t="s">
        <v>64</v>
      </c>
      <c r="C409" s="203"/>
      <c r="D409" s="63">
        <v>11041.59</v>
      </c>
      <c r="E409" s="66"/>
      <c r="F409" s="66"/>
      <c r="G409" s="66"/>
      <c r="H409" s="66"/>
      <c r="I409" s="66">
        <f>-D409</f>
        <v>-11041.59</v>
      </c>
      <c r="J409" s="66"/>
      <c r="K409" s="18"/>
      <c r="L409" s="18"/>
      <c r="M409" s="66"/>
      <c r="N409" s="18"/>
      <c r="O409" s="18"/>
      <c r="P409" s="66"/>
      <c r="Q409" s="46"/>
      <c r="R409" s="46"/>
      <c r="S409" s="45"/>
      <c r="T409" s="18"/>
      <c r="U409" s="18"/>
      <c r="V409" s="18"/>
      <c r="W409" s="18"/>
      <c r="X409" s="18"/>
      <c r="Y409" s="14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31"/>
      <c r="AQ409" s="10"/>
      <c r="AR409" s="27"/>
    </row>
    <row r="410" spans="1:46" s="4" customFormat="1" ht="17.25" customHeight="1" x14ac:dyDescent="0.25">
      <c r="A410" s="23"/>
      <c r="B410" s="201" t="s">
        <v>96</v>
      </c>
      <c r="C410" s="202"/>
      <c r="D410" s="63"/>
      <c r="E410" s="64"/>
      <c r="F410" s="64"/>
      <c r="G410" s="64"/>
      <c r="H410" s="64"/>
      <c r="I410" s="64">
        <f>-I408-I409</f>
        <v>-295.89999999999964</v>
      </c>
      <c r="J410" s="64"/>
      <c r="K410" s="16"/>
      <c r="L410" s="92"/>
      <c r="M410" s="64"/>
      <c r="N410" s="16"/>
      <c r="O410" s="92"/>
      <c r="P410" s="64"/>
      <c r="Q410" s="40"/>
      <c r="R410" s="46"/>
      <c r="S410" s="39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22"/>
      <c r="AP410" s="30"/>
    </row>
    <row r="411" spans="1:46" s="2" customFormat="1" ht="17.25" customHeight="1" x14ac:dyDescent="0.25">
      <c r="A411" s="29"/>
      <c r="B411" s="201" t="s">
        <v>327</v>
      </c>
      <c r="C411" s="202"/>
      <c r="D411" s="63">
        <f>100+20+50+65+50+40+50+60+15+50+40+100+45+50+70</f>
        <v>805</v>
      </c>
      <c r="E411" s="64"/>
      <c r="F411" s="64"/>
      <c r="G411" s="64"/>
      <c r="H411" s="64"/>
      <c r="I411" s="64">
        <f>-D411</f>
        <v>-805</v>
      </c>
      <c r="J411" s="64"/>
      <c r="K411" s="57"/>
      <c r="L411" s="88"/>
      <c r="M411" s="62"/>
      <c r="N411" s="57"/>
      <c r="O411" s="88"/>
      <c r="P411" s="62"/>
      <c r="Q411" s="47"/>
      <c r="R411" s="39"/>
      <c r="S411" s="39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22"/>
      <c r="AQ411" s="10"/>
      <c r="AR411" s="11"/>
    </row>
    <row r="412" spans="1:46" s="2" customFormat="1" ht="17.25" customHeight="1" x14ac:dyDescent="0.25">
      <c r="A412" s="29"/>
      <c r="B412" s="201" t="s">
        <v>328</v>
      </c>
      <c r="C412" s="202"/>
      <c r="D412" s="63">
        <f>-15*0.99</f>
        <v>-14.85</v>
      </c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47"/>
      <c r="R412" s="39"/>
      <c r="S412" s="39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22"/>
      <c r="AQ412" s="10"/>
      <c r="AR412" s="11"/>
    </row>
    <row r="413" spans="1:46" s="2" customFormat="1" ht="17.25" customHeight="1" thickBot="1" x14ac:dyDescent="0.25">
      <c r="A413" s="24"/>
      <c r="B413" s="216"/>
      <c r="C413" s="217"/>
      <c r="D413" s="83"/>
      <c r="E413" s="81"/>
      <c r="F413" s="81"/>
      <c r="G413" s="81"/>
      <c r="H413" s="81"/>
      <c r="I413" s="81"/>
      <c r="J413" s="81"/>
      <c r="K413" s="37"/>
      <c r="L413" s="93"/>
      <c r="M413" s="81"/>
      <c r="N413" s="37"/>
      <c r="O413" s="93"/>
      <c r="P413" s="81"/>
      <c r="Q413" s="40"/>
      <c r="R413" s="40"/>
      <c r="S413" s="39"/>
      <c r="T413" s="16"/>
      <c r="U413" s="16"/>
      <c r="V413" s="16"/>
      <c r="W413" s="16"/>
      <c r="X413" s="16"/>
      <c r="Y413" s="19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41"/>
      <c r="AQ413" s="10"/>
      <c r="AR413" s="11"/>
    </row>
    <row r="414" spans="1:46" s="4" customFormat="1" ht="17.25" customHeight="1" x14ac:dyDescent="0.25">
      <c r="A414" s="23"/>
      <c r="B414" s="210" t="s">
        <v>94</v>
      </c>
      <c r="C414" s="203"/>
      <c r="D414" s="66"/>
      <c r="E414" s="66"/>
      <c r="F414" s="117"/>
      <c r="G414" s="117"/>
      <c r="H414" s="66"/>
      <c r="I414" s="66"/>
      <c r="J414" s="66">
        <f>-M414</f>
        <v>6848.45</v>
      </c>
      <c r="K414" s="58">
        <v>-1151</v>
      </c>
      <c r="L414" s="89">
        <v>5.95</v>
      </c>
      <c r="M414" s="73">
        <f>K414*L414</f>
        <v>-6848.45</v>
      </c>
      <c r="N414" s="58"/>
      <c r="O414" s="89"/>
      <c r="P414" s="73"/>
      <c r="Q414" s="39"/>
      <c r="R414" s="39"/>
      <c r="S414" s="8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35"/>
      <c r="AP414" s="12" t="e">
        <f>#REF!</f>
        <v>#REF!</v>
      </c>
    </row>
    <row r="415" spans="1:46" s="4" customFormat="1" ht="17.25" customHeight="1" x14ac:dyDescent="0.25">
      <c r="A415" s="23"/>
      <c r="B415" s="201" t="s">
        <v>95</v>
      </c>
      <c r="C415" s="202"/>
      <c r="D415" s="64"/>
      <c r="E415" s="64"/>
      <c r="F415" s="117"/>
      <c r="G415" s="117"/>
      <c r="H415" s="64"/>
      <c r="I415" s="64"/>
      <c r="J415" s="64">
        <f>-P415</f>
        <v>7833.6</v>
      </c>
      <c r="K415" s="57"/>
      <c r="L415" s="88"/>
      <c r="M415" s="62"/>
      <c r="N415" s="57">
        <v>-1920</v>
      </c>
      <c r="O415" s="88">
        <v>4.08</v>
      </c>
      <c r="P415" s="62">
        <f>N415*O415</f>
        <v>-7833.6</v>
      </c>
      <c r="Q415" s="39"/>
      <c r="R415" s="39"/>
      <c r="S415" s="8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35"/>
      <c r="AP415" s="12" t="e">
        <f>#REF!</f>
        <v>#REF!</v>
      </c>
    </row>
    <row r="416" spans="1:46" s="4" customFormat="1" ht="17.25" customHeight="1" x14ac:dyDescent="0.25">
      <c r="A416" s="23"/>
      <c r="B416" s="201" t="s">
        <v>97</v>
      </c>
      <c r="C416" s="203"/>
      <c r="D416" s="64"/>
      <c r="E416" s="64"/>
      <c r="F416" s="64"/>
      <c r="G416" s="64"/>
      <c r="H416" s="64">
        <f>-J416-I416</f>
        <v>3872.3999999999996</v>
      </c>
      <c r="I416" s="64">
        <v>10809.65</v>
      </c>
      <c r="J416" s="64">
        <f>-SUM(J414:J415)</f>
        <v>-14682.05</v>
      </c>
      <c r="K416" s="57"/>
      <c r="L416" s="88"/>
      <c r="M416" s="62"/>
      <c r="N416" s="57"/>
      <c r="O416" s="88"/>
      <c r="P416" s="62"/>
      <c r="Q416" s="39"/>
      <c r="R416" s="39"/>
      <c r="S416" s="39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22"/>
      <c r="AO416" s="43">
        <f>A392</f>
        <v>0</v>
      </c>
      <c r="AP416" s="12" t="e">
        <f>#REF!</f>
        <v>#REF!</v>
      </c>
      <c r="AT416" s="2"/>
    </row>
    <row r="417" spans="1:46" s="4" customFormat="1" ht="17.25" customHeight="1" x14ac:dyDescent="0.25">
      <c r="A417" s="23"/>
      <c r="B417" s="201" t="s">
        <v>93</v>
      </c>
      <c r="C417" s="202"/>
      <c r="D417" s="64"/>
      <c r="E417" s="64"/>
      <c r="F417" s="64"/>
      <c r="G417" s="64"/>
      <c r="H417" s="64"/>
      <c r="I417" s="64"/>
      <c r="J417" s="64"/>
      <c r="K417" s="57">
        <v>-1</v>
      </c>
      <c r="L417" s="88"/>
      <c r="M417" s="62">
        <f>(K420*L408)-M408-M414</f>
        <v>919.57589701246161</v>
      </c>
      <c r="N417" s="57">
        <v>-396</v>
      </c>
      <c r="O417" s="88"/>
      <c r="P417" s="62">
        <f>(N420*(P408)/(N408))-P408-P415</f>
        <v>-595.28646401255173</v>
      </c>
      <c r="Q417" s="39"/>
      <c r="R417" s="39"/>
      <c r="S417" s="39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22"/>
      <c r="AO417" s="43">
        <f>A402</f>
        <v>0</v>
      </c>
      <c r="AP417" s="12" t="e">
        <f>#REF!</f>
        <v>#REF!</v>
      </c>
      <c r="AT417" s="2"/>
    </row>
    <row r="418" spans="1:46" s="2" customFormat="1" ht="17.25" customHeight="1" x14ac:dyDescent="0.2">
      <c r="A418" s="24"/>
      <c r="B418" s="201"/>
      <c r="C418" s="204"/>
      <c r="D418" s="63"/>
      <c r="E418" s="64"/>
      <c r="F418" s="64"/>
      <c r="G418" s="64"/>
      <c r="H418" s="64"/>
      <c r="I418" s="64"/>
      <c r="J418" s="64"/>
      <c r="K418" s="16"/>
      <c r="L418" s="16"/>
      <c r="M418" s="64"/>
      <c r="N418" s="16"/>
      <c r="O418" s="16"/>
      <c r="P418" s="64"/>
      <c r="Q418" s="46"/>
      <c r="R418" s="46"/>
      <c r="S418" s="39"/>
      <c r="T418" s="16"/>
      <c r="U418" s="16"/>
      <c r="V418" s="16"/>
      <c r="W418" s="16"/>
      <c r="X418" s="16"/>
      <c r="Y418" s="19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43">
        <f>A409</f>
        <v>46081</v>
      </c>
      <c r="AQ418" s="10"/>
      <c r="AR418" s="11"/>
    </row>
    <row r="419" spans="1:46" s="2" customFormat="1" ht="17.25" customHeight="1" thickBot="1" x14ac:dyDescent="0.3">
      <c r="A419" s="56"/>
      <c r="B419" s="101" t="s">
        <v>102</v>
      </c>
      <c r="C419" s="102">
        <f>D420+E420+F420+G420+H420+I420+J420+M420+P420</f>
        <v>139002.7695400001</v>
      </c>
      <c r="D419" s="84"/>
      <c r="E419" s="85"/>
      <c r="F419" s="85"/>
      <c r="G419" s="85"/>
      <c r="H419" s="85"/>
      <c r="I419" s="85"/>
      <c r="J419" s="85"/>
      <c r="K419" s="28"/>
      <c r="L419" s="28"/>
      <c r="M419" s="85"/>
      <c r="N419" s="28"/>
      <c r="O419" s="28"/>
      <c r="P419" s="85"/>
      <c r="Q419" s="48"/>
      <c r="R419" s="48"/>
      <c r="S419" s="51"/>
      <c r="T419" s="28"/>
      <c r="U419" s="28"/>
      <c r="V419" s="28"/>
      <c r="W419" s="28"/>
      <c r="X419" s="28"/>
      <c r="Y419" s="36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42">
        <f>SUM($Q408:AN419)</f>
        <v>-487087.82890000002</v>
      </c>
      <c r="AQ419" s="10"/>
      <c r="AR419" s="11"/>
      <c r="AS419" s="2" t="s">
        <v>5</v>
      </c>
    </row>
    <row r="420" spans="1:46" s="2" customFormat="1" ht="17.25" customHeight="1" thickTop="1" thickBot="1" x14ac:dyDescent="0.3">
      <c r="A420" s="103"/>
      <c r="B420" s="104" t="s">
        <v>103</v>
      </c>
      <c r="C420" s="105">
        <f>AO420</f>
        <v>-348085.05935999996</v>
      </c>
      <c r="D420" s="106">
        <f t="shared" ref="D420:K420" si="54">SUM(D408:D419)</f>
        <v>12717.607040000057</v>
      </c>
      <c r="E420" s="107">
        <f t="shared" si="54"/>
        <v>-43287.790000000008</v>
      </c>
      <c r="F420" s="107">
        <f t="shared" si="54"/>
        <v>0.65000000000145519</v>
      </c>
      <c r="G420" s="107">
        <f t="shared" si="54"/>
        <v>0</v>
      </c>
      <c r="H420" s="107">
        <f t="shared" si="54"/>
        <v>86805.132500000051</v>
      </c>
      <c r="I420" s="107">
        <f t="shared" si="54"/>
        <v>10004.65</v>
      </c>
      <c r="J420" s="107">
        <f t="shared" si="54"/>
        <v>0</v>
      </c>
      <c r="K420" s="108">
        <f t="shared" si="54"/>
        <v>12170</v>
      </c>
      <c r="L420" s="109">
        <f>M420/K420</f>
        <v>5.1465924404272805</v>
      </c>
      <c r="M420" s="107">
        <f>ROUND(SUM(M408:M419),2)</f>
        <v>62634.03</v>
      </c>
      <c r="N420" s="108">
        <f>SUM(N408:N419)</f>
        <v>2783</v>
      </c>
      <c r="O420" s="109">
        <f>P420/N420</f>
        <v>3.6394143011139057</v>
      </c>
      <c r="P420" s="107">
        <f>ROUND(SUM(P408:P419),2)</f>
        <v>10128.49</v>
      </c>
      <c r="Q420" s="110">
        <f t="shared" ref="Q420:AN420" si="55">SUM(Q408:Q419)</f>
        <v>-537317.12890000001</v>
      </c>
      <c r="R420" s="107">
        <f t="shared" si="55"/>
        <v>50229.299999999996</v>
      </c>
      <c r="S420" s="107">
        <f t="shared" si="55"/>
        <v>0</v>
      </c>
      <c r="T420" s="107">
        <f t="shared" si="55"/>
        <v>0</v>
      </c>
      <c r="U420" s="107">
        <f t="shared" si="55"/>
        <v>0</v>
      </c>
      <c r="V420" s="107">
        <f t="shared" si="55"/>
        <v>0</v>
      </c>
      <c r="W420" s="107">
        <f t="shared" si="55"/>
        <v>0</v>
      </c>
      <c r="X420" s="107">
        <f t="shared" si="55"/>
        <v>0</v>
      </c>
      <c r="Y420" s="107">
        <f t="shared" si="55"/>
        <v>0</v>
      </c>
      <c r="Z420" s="107">
        <f t="shared" si="55"/>
        <v>0</v>
      </c>
      <c r="AA420" s="107">
        <f t="shared" si="55"/>
        <v>0</v>
      </c>
      <c r="AB420" s="107">
        <f t="shared" si="55"/>
        <v>0</v>
      </c>
      <c r="AC420" s="107">
        <f t="shared" si="55"/>
        <v>0</v>
      </c>
      <c r="AD420" s="107">
        <f t="shared" si="55"/>
        <v>0</v>
      </c>
      <c r="AE420" s="107">
        <f t="shared" si="55"/>
        <v>0</v>
      </c>
      <c r="AF420" s="107">
        <f t="shared" si="55"/>
        <v>0</v>
      </c>
      <c r="AG420" s="107">
        <f t="shared" si="55"/>
        <v>0</v>
      </c>
      <c r="AH420" s="107">
        <f t="shared" si="55"/>
        <v>0</v>
      </c>
      <c r="AI420" s="107">
        <f t="shared" si="55"/>
        <v>0</v>
      </c>
      <c r="AJ420" s="107">
        <f t="shared" si="55"/>
        <v>0</v>
      </c>
      <c r="AK420" s="107">
        <f t="shared" si="55"/>
        <v>0</v>
      </c>
      <c r="AL420" s="107">
        <f t="shared" si="55"/>
        <v>0</v>
      </c>
      <c r="AM420" s="107">
        <f t="shared" si="55"/>
        <v>0</v>
      </c>
      <c r="AN420" s="107">
        <f t="shared" si="55"/>
        <v>0</v>
      </c>
      <c r="AO420" s="111">
        <f>D420+E420+F420+G420+H420+I420+J420+M420+P420+SUM(Q420:AN420)</f>
        <v>-348085.05935999996</v>
      </c>
      <c r="AP420" s="4"/>
      <c r="AQ420" s="5"/>
      <c r="AR420" s="5"/>
      <c r="AS420" s="2" t="s">
        <v>6</v>
      </c>
    </row>
    <row r="421" spans="1:46" s="2" customFormat="1" ht="17.25" customHeight="1" thickTop="1" x14ac:dyDescent="0.25">
      <c r="A421" s="23"/>
      <c r="B421" s="210"/>
      <c r="C421" s="203"/>
      <c r="D421" s="63"/>
      <c r="E421" s="66"/>
      <c r="F421" s="66"/>
      <c r="G421" s="66"/>
      <c r="H421" s="66"/>
      <c r="I421" s="66"/>
      <c r="J421" s="66"/>
      <c r="K421" s="18"/>
      <c r="L421" s="18"/>
      <c r="M421" s="66"/>
      <c r="N421" s="18"/>
      <c r="O421" s="18"/>
      <c r="P421" s="66"/>
      <c r="Q421" s="46"/>
      <c r="R421" s="46"/>
      <c r="S421" s="45"/>
      <c r="T421" s="18"/>
      <c r="U421" s="18"/>
      <c r="V421" s="18"/>
      <c r="W421" s="18"/>
      <c r="X421" s="18"/>
      <c r="Y421" s="14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31"/>
      <c r="AQ421" s="10"/>
      <c r="AR421" s="27"/>
    </row>
    <row r="422" spans="1:46" s="2" customFormat="1" ht="17.25" customHeight="1" x14ac:dyDescent="0.2">
      <c r="A422" s="23"/>
      <c r="B422" s="201" t="s">
        <v>168</v>
      </c>
      <c r="C422" s="204"/>
      <c r="D422" s="63"/>
      <c r="E422" s="64"/>
      <c r="F422" s="74"/>
      <c r="G422" s="74"/>
      <c r="H422" s="64">
        <v>-12222.84</v>
      </c>
      <c r="I422" s="64"/>
      <c r="J422" s="64"/>
      <c r="K422" s="16"/>
      <c r="L422" s="16"/>
      <c r="M422" s="64"/>
      <c r="N422" s="16"/>
      <c r="O422" s="16"/>
      <c r="P422" s="64"/>
      <c r="Q422" s="46"/>
      <c r="R422" s="39"/>
      <c r="S422" s="40"/>
      <c r="T422" s="16"/>
      <c r="U422" s="16"/>
      <c r="V422" s="16"/>
      <c r="W422" s="16"/>
      <c r="X422" s="16"/>
      <c r="Y422" s="19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35"/>
      <c r="AQ422" s="10"/>
      <c r="AR422" s="27"/>
    </row>
    <row r="423" spans="1:46" s="2" customFormat="1" ht="17.25" customHeight="1" x14ac:dyDescent="0.2">
      <c r="A423" s="23"/>
      <c r="B423" s="201" t="s">
        <v>169</v>
      </c>
      <c r="C423" s="204"/>
      <c r="D423" s="63"/>
      <c r="E423" s="64"/>
      <c r="F423" s="74"/>
      <c r="G423" s="74"/>
      <c r="H423" s="64">
        <v>-6500</v>
      </c>
      <c r="I423" s="64"/>
      <c r="J423" s="64"/>
      <c r="K423" s="16"/>
      <c r="L423" s="16"/>
      <c r="M423" s="64"/>
      <c r="N423" s="16"/>
      <c r="O423" s="16"/>
      <c r="P423" s="64"/>
      <c r="Q423" s="46"/>
      <c r="R423" s="39"/>
      <c r="S423" s="40"/>
      <c r="T423" s="16"/>
      <c r="U423" s="16"/>
      <c r="V423" s="16"/>
      <c r="W423" s="16"/>
      <c r="X423" s="16"/>
      <c r="Y423" s="19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35"/>
      <c r="AQ423" s="10"/>
      <c r="AR423" s="27"/>
    </row>
    <row r="424" spans="1:46" s="2" customFormat="1" ht="17.25" customHeight="1" x14ac:dyDescent="0.2">
      <c r="A424" s="23"/>
      <c r="B424" s="201" t="s">
        <v>170</v>
      </c>
      <c r="C424" s="204"/>
      <c r="D424" s="63"/>
      <c r="E424" s="64"/>
      <c r="F424" s="74"/>
      <c r="G424" s="74"/>
      <c r="H424" s="64">
        <v>-1920</v>
      </c>
      <c r="I424" s="64"/>
      <c r="J424" s="64"/>
      <c r="K424" s="16"/>
      <c r="L424" s="16"/>
      <c r="M424" s="64"/>
      <c r="N424" s="16"/>
      <c r="O424" s="16"/>
      <c r="P424" s="64"/>
      <c r="Q424" s="46"/>
      <c r="R424" s="39"/>
      <c r="S424" s="40"/>
      <c r="T424" s="16"/>
      <c r="U424" s="16"/>
      <c r="V424" s="16"/>
      <c r="W424" s="16"/>
      <c r="X424" s="16"/>
      <c r="Y424" s="19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35"/>
      <c r="AQ424" s="10"/>
      <c r="AR424" s="27"/>
    </row>
    <row r="425" spans="1:46" s="2" customFormat="1" ht="17.25" customHeight="1" x14ac:dyDescent="0.2">
      <c r="A425" s="23"/>
      <c r="B425" s="201" t="s">
        <v>171</v>
      </c>
      <c r="C425" s="204"/>
      <c r="D425" s="63"/>
      <c r="E425" s="64"/>
      <c r="F425" s="74"/>
      <c r="G425" s="74"/>
      <c r="H425" s="64">
        <v>-600</v>
      </c>
      <c r="I425" s="64"/>
      <c r="J425" s="64"/>
      <c r="K425" s="16"/>
      <c r="L425" s="16"/>
      <c r="M425" s="64"/>
      <c r="N425" s="16"/>
      <c r="O425" s="16"/>
      <c r="P425" s="64"/>
      <c r="Q425" s="46"/>
      <c r="R425" s="39"/>
      <c r="S425" s="40"/>
      <c r="T425" s="16"/>
      <c r="U425" s="16"/>
      <c r="V425" s="16"/>
      <c r="W425" s="16"/>
      <c r="X425" s="16"/>
      <c r="Y425" s="19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35"/>
      <c r="AQ425" s="10"/>
      <c r="AR425" s="27"/>
    </row>
    <row r="426" spans="1:46" s="2" customFormat="1" ht="17.25" customHeight="1" x14ac:dyDescent="0.2">
      <c r="A426" s="23"/>
      <c r="B426" s="201" t="s">
        <v>172</v>
      </c>
      <c r="C426" s="204"/>
      <c r="D426" s="63"/>
      <c r="E426" s="64"/>
      <c r="F426" s="74"/>
      <c r="G426" s="74"/>
      <c r="H426" s="64">
        <v>-480</v>
      </c>
      <c r="I426" s="64"/>
      <c r="J426" s="64"/>
      <c r="K426" s="16"/>
      <c r="L426" s="16"/>
      <c r="M426" s="64"/>
      <c r="N426" s="16"/>
      <c r="O426" s="16"/>
      <c r="P426" s="64"/>
      <c r="Q426" s="46"/>
      <c r="R426" s="39"/>
      <c r="S426" s="40"/>
      <c r="T426" s="16"/>
      <c r="U426" s="16"/>
      <c r="V426" s="16"/>
      <c r="W426" s="16"/>
      <c r="X426" s="16"/>
      <c r="Y426" s="19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35"/>
      <c r="AQ426" s="10"/>
      <c r="AR426" s="27"/>
    </row>
    <row r="427" spans="1:46" s="2" customFormat="1" ht="17.25" customHeight="1" thickBot="1" x14ac:dyDescent="0.25">
      <c r="A427" s="24"/>
      <c r="B427" s="216"/>
      <c r="C427" s="217"/>
      <c r="D427" s="83"/>
      <c r="E427" s="81"/>
      <c r="F427" s="81"/>
      <c r="G427" s="81"/>
      <c r="H427" s="81"/>
      <c r="I427" s="81"/>
      <c r="J427" s="81"/>
      <c r="K427" s="37"/>
      <c r="L427" s="93"/>
      <c r="M427" s="81"/>
      <c r="N427" s="37"/>
      <c r="O427" s="93"/>
      <c r="P427" s="81"/>
      <c r="Q427" s="40"/>
      <c r="R427" s="40"/>
      <c r="S427" s="39"/>
      <c r="T427" s="16"/>
      <c r="U427" s="16"/>
      <c r="V427" s="16"/>
      <c r="W427" s="16"/>
      <c r="X427" s="16"/>
      <c r="Y427" s="19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41"/>
      <c r="AQ427" s="10"/>
      <c r="AR427" s="11"/>
    </row>
    <row r="428" spans="1:46" s="4" customFormat="1" ht="17.25" customHeight="1" x14ac:dyDescent="0.25">
      <c r="A428" s="23"/>
      <c r="B428" s="210"/>
      <c r="C428" s="203"/>
      <c r="D428" s="66"/>
      <c r="E428" s="66"/>
      <c r="F428" s="117"/>
      <c r="G428" s="117"/>
      <c r="H428" s="66"/>
      <c r="I428" s="66"/>
      <c r="J428" s="66"/>
      <c r="K428" s="58"/>
      <c r="L428" s="89"/>
      <c r="M428" s="73"/>
      <c r="N428" s="58"/>
      <c r="O428" s="89"/>
      <c r="P428" s="73"/>
      <c r="Q428" s="39"/>
      <c r="R428" s="39"/>
      <c r="S428" s="8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35"/>
      <c r="AP428" s="12" t="e">
        <f>#REF!</f>
        <v>#REF!</v>
      </c>
    </row>
    <row r="429" spans="1:46" s="4" customFormat="1" ht="17.25" customHeight="1" x14ac:dyDescent="0.25">
      <c r="A429" s="23"/>
      <c r="B429" s="201"/>
      <c r="C429" s="202"/>
      <c r="D429" s="64"/>
      <c r="E429" s="64"/>
      <c r="F429" s="117"/>
      <c r="G429" s="117"/>
      <c r="H429" s="64"/>
      <c r="I429" s="64"/>
      <c r="J429" s="64"/>
      <c r="K429" s="57"/>
      <c r="L429" s="88"/>
      <c r="M429" s="62"/>
      <c r="N429" s="57"/>
      <c r="O429" s="88"/>
      <c r="P429" s="62"/>
      <c r="Q429" s="39"/>
      <c r="R429" s="39"/>
      <c r="S429" s="8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35"/>
      <c r="AP429" s="12" t="e">
        <f>#REF!</f>
        <v>#REF!</v>
      </c>
    </row>
    <row r="430" spans="1:46" s="4" customFormat="1" ht="17.25" customHeight="1" x14ac:dyDescent="0.25">
      <c r="A430" s="23"/>
      <c r="B430" s="201"/>
      <c r="C430" s="203"/>
      <c r="D430" s="64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39"/>
      <c r="R430" s="39"/>
      <c r="S430" s="39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22"/>
      <c r="AO430" s="43"/>
      <c r="AP430" s="12" t="e">
        <f>#REF!</f>
        <v>#REF!</v>
      </c>
      <c r="AT430" s="2"/>
    </row>
    <row r="431" spans="1:46" s="4" customFormat="1" ht="17.25" customHeight="1" x14ac:dyDescent="0.25">
      <c r="A431" s="23"/>
      <c r="B431" s="201"/>
      <c r="C431" s="202"/>
      <c r="D431" s="64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39"/>
      <c r="R431" s="39"/>
      <c r="S431" s="39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22"/>
      <c r="AO431" s="43">
        <f>A414</f>
        <v>0</v>
      </c>
      <c r="AP431" s="12" t="e">
        <f>#REF!</f>
        <v>#REF!</v>
      </c>
      <c r="AT431" s="2"/>
    </row>
    <row r="432" spans="1:46" s="2" customFormat="1" ht="17.25" customHeight="1" x14ac:dyDescent="0.2">
      <c r="A432" s="24"/>
      <c r="B432" s="201"/>
      <c r="C432" s="204"/>
      <c r="D432" s="63"/>
      <c r="E432" s="64"/>
      <c r="F432" s="64"/>
      <c r="G432" s="64"/>
      <c r="H432" s="64"/>
      <c r="I432" s="64"/>
      <c r="J432" s="64"/>
      <c r="K432" s="16"/>
      <c r="L432" s="16"/>
      <c r="M432" s="64"/>
      <c r="N432" s="16"/>
      <c r="O432" s="16"/>
      <c r="P432" s="64"/>
      <c r="Q432" s="46"/>
      <c r="R432" s="46"/>
      <c r="S432" s="39"/>
      <c r="T432" s="16"/>
      <c r="U432" s="16"/>
      <c r="V432" s="16"/>
      <c r="W432" s="16"/>
      <c r="X432" s="16"/>
      <c r="Y432" s="19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43">
        <f>A421</f>
        <v>0</v>
      </c>
      <c r="AQ432" s="10"/>
      <c r="AR432" s="11"/>
    </row>
    <row r="433" spans="1:46" s="2" customFormat="1" ht="17.25" customHeight="1" thickBot="1" x14ac:dyDescent="0.3">
      <c r="A433" s="56"/>
      <c r="B433" s="101" t="s">
        <v>102</v>
      </c>
      <c r="C433" s="102">
        <f>D434+E434+F434+G434+H434+I434+J434+M434+P434</f>
        <v>117279.92954000011</v>
      </c>
      <c r="D433" s="84"/>
      <c r="E433" s="85"/>
      <c r="F433" s="85"/>
      <c r="G433" s="85"/>
      <c r="H433" s="85"/>
      <c r="I433" s="85"/>
      <c r="J433" s="85"/>
      <c r="K433" s="28"/>
      <c r="L433" s="28"/>
      <c r="M433" s="85"/>
      <c r="N433" s="28"/>
      <c r="O433" s="28"/>
      <c r="P433" s="85"/>
      <c r="Q433" s="48"/>
      <c r="R433" s="48"/>
      <c r="S433" s="51"/>
      <c r="T433" s="28"/>
      <c r="U433" s="28"/>
      <c r="V433" s="28"/>
      <c r="W433" s="28"/>
      <c r="X433" s="28"/>
      <c r="Y433" s="36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42">
        <f>SUM($Q420:AN433)</f>
        <v>-487087.82890000002</v>
      </c>
      <c r="AQ433" s="10"/>
      <c r="AR433" s="11"/>
      <c r="AS433" s="2" t="s">
        <v>5</v>
      </c>
    </row>
    <row r="434" spans="1:46" s="2" customFormat="1" ht="17.25" customHeight="1" thickTop="1" thickBot="1" x14ac:dyDescent="0.3">
      <c r="A434" s="103"/>
      <c r="B434" s="104" t="s">
        <v>103</v>
      </c>
      <c r="C434" s="105">
        <f>AO434</f>
        <v>-369807.89935999992</v>
      </c>
      <c r="D434" s="106">
        <f t="shared" ref="D434:K434" si="56">SUM(D420:D433)</f>
        <v>12717.607040000057</v>
      </c>
      <c r="E434" s="107">
        <f t="shared" si="56"/>
        <v>-43287.790000000008</v>
      </c>
      <c r="F434" s="107">
        <f t="shared" si="56"/>
        <v>0.65000000000145519</v>
      </c>
      <c r="G434" s="107">
        <f t="shared" si="56"/>
        <v>0</v>
      </c>
      <c r="H434" s="107">
        <f t="shared" si="56"/>
        <v>65082.292500000054</v>
      </c>
      <c r="I434" s="107">
        <f t="shared" si="56"/>
        <v>10004.65</v>
      </c>
      <c r="J434" s="107">
        <f t="shared" si="56"/>
        <v>0</v>
      </c>
      <c r="K434" s="108">
        <f t="shared" si="56"/>
        <v>12170</v>
      </c>
      <c r="L434" s="109">
        <f>M434/K434</f>
        <v>5.1465924404272805</v>
      </c>
      <c r="M434" s="107">
        <f>ROUND(SUM(M420:M433),2)</f>
        <v>62634.03</v>
      </c>
      <c r="N434" s="108">
        <f>SUM(N420:N433)</f>
        <v>2783</v>
      </c>
      <c r="O434" s="109">
        <f>P434/N434</f>
        <v>3.6394143011139057</v>
      </c>
      <c r="P434" s="107">
        <f>ROUND(SUM(P420:P433),2)</f>
        <v>10128.49</v>
      </c>
      <c r="Q434" s="110">
        <f t="shared" ref="Q434:AN434" si="57">SUM(Q420:Q433)</f>
        <v>-537317.12890000001</v>
      </c>
      <c r="R434" s="107">
        <f t="shared" si="57"/>
        <v>50229.299999999996</v>
      </c>
      <c r="S434" s="107">
        <f t="shared" si="57"/>
        <v>0</v>
      </c>
      <c r="T434" s="107">
        <f t="shared" si="57"/>
        <v>0</v>
      </c>
      <c r="U434" s="107">
        <f t="shared" si="57"/>
        <v>0</v>
      </c>
      <c r="V434" s="107">
        <f t="shared" si="57"/>
        <v>0</v>
      </c>
      <c r="W434" s="107">
        <f t="shared" si="57"/>
        <v>0</v>
      </c>
      <c r="X434" s="107">
        <f t="shared" si="57"/>
        <v>0</v>
      </c>
      <c r="Y434" s="107">
        <f t="shared" si="57"/>
        <v>0</v>
      </c>
      <c r="Z434" s="107">
        <f t="shared" si="57"/>
        <v>0</v>
      </c>
      <c r="AA434" s="107">
        <f t="shared" si="57"/>
        <v>0</v>
      </c>
      <c r="AB434" s="107">
        <f t="shared" si="57"/>
        <v>0</v>
      </c>
      <c r="AC434" s="107">
        <f t="shared" si="57"/>
        <v>0</v>
      </c>
      <c r="AD434" s="107">
        <f t="shared" si="57"/>
        <v>0</v>
      </c>
      <c r="AE434" s="107">
        <f t="shared" si="57"/>
        <v>0</v>
      </c>
      <c r="AF434" s="107">
        <f t="shared" si="57"/>
        <v>0</v>
      </c>
      <c r="AG434" s="107">
        <f t="shared" si="57"/>
        <v>0</v>
      </c>
      <c r="AH434" s="107">
        <f t="shared" si="57"/>
        <v>0</v>
      </c>
      <c r="AI434" s="107">
        <f t="shared" si="57"/>
        <v>0</v>
      </c>
      <c r="AJ434" s="107">
        <f t="shared" si="57"/>
        <v>0</v>
      </c>
      <c r="AK434" s="107">
        <f t="shared" si="57"/>
        <v>0</v>
      </c>
      <c r="AL434" s="107">
        <f t="shared" si="57"/>
        <v>0</v>
      </c>
      <c r="AM434" s="107">
        <f t="shared" si="57"/>
        <v>0</v>
      </c>
      <c r="AN434" s="107">
        <f t="shared" si="57"/>
        <v>0</v>
      </c>
      <c r="AO434" s="111">
        <f>D434+E434+F434+G434+H434+I434+J434+M434+P434+SUM(Q434:AN434)</f>
        <v>-369807.89935999992</v>
      </c>
      <c r="AP434" s="4"/>
      <c r="AQ434" s="5"/>
      <c r="AR434" s="5"/>
      <c r="AS434" s="2" t="s">
        <v>6</v>
      </c>
    </row>
    <row r="435" spans="1:46" s="2" customFormat="1" ht="17.25" customHeight="1" thickTop="1" x14ac:dyDescent="0.25">
      <c r="A435" s="23"/>
      <c r="B435" s="210"/>
      <c r="C435" s="203"/>
      <c r="D435" s="63"/>
      <c r="E435" s="66"/>
      <c r="F435" s="66"/>
      <c r="G435" s="66"/>
      <c r="H435" s="66"/>
      <c r="I435" s="66"/>
      <c r="J435" s="66"/>
      <c r="K435" s="18"/>
      <c r="L435" s="18"/>
      <c r="M435" s="66"/>
      <c r="N435" s="18"/>
      <c r="O435" s="18"/>
      <c r="P435" s="66"/>
      <c r="Q435" s="46"/>
      <c r="R435" s="46"/>
      <c r="S435" s="45"/>
      <c r="T435" s="18"/>
      <c r="U435" s="18"/>
      <c r="V435" s="18"/>
      <c r="W435" s="18"/>
      <c r="X435" s="18"/>
      <c r="Y435" s="14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31"/>
      <c r="AQ435" s="10"/>
      <c r="AR435" s="27"/>
    </row>
    <row r="436" spans="1:46" s="4" customFormat="1" ht="17.25" customHeight="1" x14ac:dyDescent="0.25">
      <c r="A436" s="23"/>
      <c r="B436" s="201"/>
      <c r="C436" s="202"/>
      <c r="D436" s="63"/>
      <c r="E436" s="64"/>
      <c r="F436" s="64"/>
      <c r="G436" s="64"/>
      <c r="H436" s="64"/>
      <c r="I436" s="117"/>
      <c r="J436" s="64"/>
      <c r="K436" s="16"/>
      <c r="L436" s="92"/>
      <c r="M436" s="64"/>
      <c r="N436" s="16"/>
      <c r="O436" s="92"/>
      <c r="P436" s="64"/>
      <c r="Q436" s="40"/>
      <c r="R436" s="46"/>
      <c r="S436" s="39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22"/>
      <c r="AP436" s="30"/>
    </row>
    <row r="437" spans="1:46" s="2" customFormat="1" ht="17.25" customHeight="1" x14ac:dyDescent="0.2">
      <c r="A437" s="23"/>
      <c r="B437" s="201"/>
      <c r="C437" s="203"/>
      <c r="D437" s="63"/>
      <c r="E437" s="64"/>
      <c r="F437" s="64"/>
      <c r="G437" s="64"/>
      <c r="H437" s="64"/>
      <c r="I437" s="64"/>
      <c r="J437" s="64"/>
      <c r="K437" s="16"/>
      <c r="L437" s="16"/>
      <c r="M437" s="64"/>
      <c r="N437" s="16"/>
      <c r="O437" s="16"/>
      <c r="P437" s="64"/>
      <c r="Q437" s="46"/>
      <c r="R437" s="39"/>
      <c r="S437" s="40"/>
      <c r="T437" s="16"/>
      <c r="U437" s="16"/>
      <c r="V437" s="16"/>
      <c r="W437" s="16"/>
      <c r="X437" s="16"/>
      <c r="Y437" s="19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35"/>
      <c r="AQ437" s="10"/>
      <c r="AR437" s="27"/>
    </row>
    <row r="438" spans="1:46" s="2" customFormat="1" ht="17.25" customHeight="1" x14ac:dyDescent="0.25">
      <c r="A438" s="24"/>
      <c r="B438" s="201"/>
      <c r="C438" s="203"/>
      <c r="D438" s="63"/>
      <c r="E438" s="64"/>
      <c r="F438" s="64"/>
      <c r="G438" s="64"/>
      <c r="H438" s="64"/>
      <c r="I438" s="64"/>
      <c r="J438" s="64"/>
      <c r="K438" s="16"/>
      <c r="L438" s="92"/>
      <c r="M438" s="64"/>
      <c r="N438" s="16"/>
      <c r="O438" s="92"/>
      <c r="P438" s="64"/>
      <c r="Q438" s="40"/>
      <c r="R438" s="40"/>
      <c r="S438" s="39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22"/>
      <c r="AQ438" s="10"/>
      <c r="AR438" s="11"/>
    </row>
    <row r="439" spans="1:46" s="2" customFormat="1" ht="17.25" customHeight="1" x14ac:dyDescent="0.2">
      <c r="A439" s="23"/>
      <c r="B439" s="201"/>
      <c r="C439" s="202"/>
      <c r="D439" s="63"/>
      <c r="E439" s="64"/>
      <c r="F439" s="74"/>
      <c r="G439" s="74"/>
      <c r="H439" s="64"/>
      <c r="I439" s="64"/>
      <c r="J439" s="64"/>
      <c r="K439" s="16"/>
      <c r="L439" s="16"/>
      <c r="M439" s="64"/>
      <c r="N439" s="16"/>
      <c r="O439" s="16"/>
      <c r="P439" s="64"/>
      <c r="Q439" s="46"/>
      <c r="R439" s="39"/>
      <c r="S439" s="40"/>
      <c r="T439" s="16"/>
      <c r="U439" s="16"/>
      <c r="V439" s="16"/>
      <c r="W439" s="16"/>
      <c r="X439" s="16"/>
      <c r="Y439" s="19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35"/>
      <c r="AQ439" s="10"/>
      <c r="AR439" s="27"/>
    </row>
    <row r="440" spans="1:46" s="2" customFormat="1" ht="17.25" customHeight="1" x14ac:dyDescent="0.2">
      <c r="A440" s="23"/>
      <c r="B440" s="201"/>
      <c r="C440" s="202"/>
      <c r="D440" s="63"/>
      <c r="E440" s="64"/>
      <c r="F440" s="74"/>
      <c r="G440" s="74"/>
      <c r="H440" s="64"/>
      <c r="I440" s="64"/>
      <c r="J440" s="64"/>
      <c r="K440" s="16"/>
      <c r="L440" s="16"/>
      <c r="M440" s="64"/>
      <c r="N440" s="16"/>
      <c r="O440" s="16"/>
      <c r="P440" s="64"/>
      <c r="Q440" s="46"/>
      <c r="R440" s="39"/>
      <c r="S440" s="40"/>
      <c r="T440" s="16"/>
      <c r="U440" s="16"/>
      <c r="V440" s="16"/>
      <c r="W440" s="16"/>
      <c r="X440" s="16"/>
      <c r="Y440" s="19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35"/>
      <c r="AQ440" s="10"/>
      <c r="AR440" s="27"/>
    </row>
    <row r="441" spans="1:46" s="2" customFormat="1" ht="17.25" customHeight="1" x14ac:dyDescent="0.25">
      <c r="A441" s="29"/>
      <c r="B441" s="201"/>
      <c r="C441" s="202"/>
      <c r="D441" s="63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47"/>
      <c r="R441" s="39"/>
      <c r="S441" s="39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22"/>
      <c r="AQ441" s="10" t="s">
        <v>4</v>
      </c>
      <c r="AR441" s="11" t="e">
        <v>#REF!</v>
      </c>
    </row>
    <row r="442" spans="1:46" s="2" customFormat="1" ht="17.25" customHeight="1" x14ac:dyDescent="0.25">
      <c r="A442" s="29"/>
      <c r="B442" s="201"/>
      <c r="C442" s="202"/>
      <c r="D442" s="63"/>
      <c r="E442" s="64"/>
      <c r="F442" s="64"/>
      <c r="G442" s="64"/>
      <c r="H442" s="64"/>
      <c r="I442" s="64"/>
      <c r="J442" s="64"/>
      <c r="K442" s="57"/>
      <c r="L442" s="88"/>
      <c r="M442" s="62"/>
      <c r="N442" s="57"/>
      <c r="O442" s="88"/>
      <c r="P442" s="62"/>
      <c r="Q442" s="47"/>
      <c r="R442" s="39"/>
      <c r="S442" s="39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22"/>
      <c r="AQ442" s="10" t="s">
        <v>4</v>
      </c>
      <c r="AR442" s="11" t="e">
        <v>#REF!</v>
      </c>
    </row>
    <row r="443" spans="1:46" s="2" customFormat="1" ht="17.25" customHeight="1" x14ac:dyDescent="0.25">
      <c r="A443" s="29"/>
      <c r="B443" s="201"/>
      <c r="C443" s="202"/>
      <c r="D443" s="63"/>
      <c r="E443" s="64"/>
      <c r="F443" s="64"/>
      <c r="G443" s="64"/>
      <c r="H443" s="64"/>
      <c r="I443" s="64"/>
      <c r="J443" s="64"/>
      <c r="K443" s="57"/>
      <c r="L443" s="88"/>
      <c r="M443" s="62"/>
      <c r="N443" s="57"/>
      <c r="O443" s="88"/>
      <c r="P443" s="62"/>
      <c r="Q443" s="47"/>
      <c r="R443" s="39"/>
      <c r="S443" s="39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22"/>
      <c r="AQ443" s="10" t="s">
        <v>4</v>
      </c>
      <c r="AR443" s="11" t="e">
        <v>#REF!</v>
      </c>
    </row>
    <row r="444" spans="1:46" s="2" customFormat="1" ht="17.25" customHeight="1" x14ac:dyDescent="0.2">
      <c r="A444" s="23"/>
      <c r="B444" s="201"/>
      <c r="C444" s="202"/>
      <c r="D444" s="63"/>
      <c r="E444" s="64"/>
      <c r="F444" s="74"/>
      <c r="G444" s="74"/>
      <c r="H444" s="64"/>
      <c r="I444" s="64"/>
      <c r="J444" s="64"/>
      <c r="K444" s="16"/>
      <c r="L444" s="16"/>
      <c r="M444" s="64"/>
      <c r="N444" s="16"/>
      <c r="O444" s="16"/>
      <c r="P444" s="64"/>
      <c r="Q444" s="46"/>
      <c r="R444" s="39"/>
      <c r="S444" s="40"/>
      <c r="T444" s="16"/>
      <c r="U444" s="16"/>
      <c r="V444" s="16"/>
      <c r="W444" s="16"/>
      <c r="X444" s="16"/>
      <c r="Y444" s="19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35"/>
      <c r="AQ444" s="10"/>
      <c r="AR444" s="27"/>
    </row>
    <row r="445" spans="1:46" s="2" customFormat="1" ht="17.25" customHeight="1" thickBot="1" x14ac:dyDescent="0.25">
      <c r="A445" s="24"/>
      <c r="B445" s="216"/>
      <c r="C445" s="217"/>
      <c r="D445" s="83"/>
      <c r="E445" s="81"/>
      <c r="F445" s="81"/>
      <c r="G445" s="81"/>
      <c r="H445" s="81"/>
      <c r="I445" s="81"/>
      <c r="J445" s="81"/>
      <c r="K445" s="37"/>
      <c r="L445" s="93"/>
      <c r="M445" s="81"/>
      <c r="N445" s="37"/>
      <c r="O445" s="93"/>
      <c r="P445" s="81"/>
      <c r="Q445" s="40"/>
      <c r="R445" s="40"/>
      <c r="S445" s="39"/>
      <c r="T445" s="16"/>
      <c r="U445" s="16"/>
      <c r="V445" s="16"/>
      <c r="W445" s="16"/>
      <c r="X445" s="16"/>
      <c r="Y445" s="19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41"/>
      <c r="AQ445" s="10"/>
      <c r="AR445" s="11"/>
    </row>
    <row r="446" spans="1:46" s="4" customFormat="1" ht="17.25" customHeight="1" x14ac:dyDescent="0.25">
      <c r="A446" s="23"/>
      <c r="B446" s="210"/>
      <c r="C446" s="203"/>
      <c r="D446" s="66"/>
      <c r="E446" s="66"/>
      <c r="F446" s="117"/>
      <c r="G446" s="117"/>
      <c r="H446" s="66"/>
      <c r="I446" s="66"/>
      <c r="J446" s="66"/>
      <c r="K446" s="58"/>
      <c r="L446" s="89"/>
      <c r="M446" s="73"/>
      <c r="N446" s="58"/>
      <c r="O446" s="89"/>
      <c r="P446" s="73"/>
      <c r="Q446" s="39"/>
      <c r="R446" s="39"/>
      <c r="S446" s="8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35"/>
      <c r="AP446" s="12" t="e">
        <f>#REF!</f>
        <v>#REF!</v>
      </c>
    </row>
    <row r="447" spans="1:46" s="4" customFormat="1" ht="17.25" customHeight="1" x14ac:dyDescent="0.25">
      <c r="A447" s="23"/>
      <c r="B447" s="201"/>
      <c r="C447" s="202"/>
      <c r="D447" s="64"/>
      <c r="E447" s="64"/>
      <c r="F447" s="117"/>
      <c r="G447" s="117"/>
      <c r="H447" s="64"/>
      <c r="I447" s="64"/>
      <c r="J447" s="64"/>
      <c r="K447" s="57"/>
      <c r="L447" s="88"/>
      <c r="M447" s="62"/>
      <c r="N447" s="57"/>
      <c r="O447" s="88"/>
      <c r="P447" s="62"/>
      <c r="Q447" s="39"/>
      <c r="R447" s="39"/>
      <c r="S447" s="8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35"/>
      <c r="AP447" s="12" t="e">
        <f>#REF!</f>
        <v>#REF!</v>
      </c>
    </row>
    <row r="448" spans="1:46" s="4" customFormat="1" ht="17.25" customHeight="1" x14ac:dyDescent="0.25">
      <c r="A448" s="23"/>
      <c r="B448" s="201"/>
      <c r="C448" s="203"/>
      <c r="D448" s="64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39"/>
      <c r="R448" s="39"/>
      <c r="S448" s="39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22"/>
      <c r="AO448" s="43"/>
      <c r="AP448" s="12" t="e">
        <f>#REF!</f>
        <v>#REF!</v>
      </c>
      <c r="AT448" s="2"/>
    </row>
    <row r="449" spans="1:46" s="4" customFormat="1" ht="17.25" customHeight="1" x14ac:dyDescent="0.25">
      <c r="A449" s="23"/>
      <c r="B449" s="201"/>
      <c r="C449" s="202"/>
      <c r="D449" s="64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39"/>
      <c r="R449" s="39"/>
      <c r="S449" s="39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22"/>
      <c r="AO449" s="43">
        <f>A428</f>
        <v>0</v>
      </c>
      <c r="AP449" s="12" t="e">
        <f>#REF!</f>
        <v>#REF!</v>
      </c>
      <c r="AT449" s="2"/>
    </row>
    <row r="450" spans="1:46" s="2" customFormat="1" ht="17.25" customHeight="1" x14ac:dyDescent="0.2">
      <c r="A450" s="24"/>
      <c r="B450" s="201"/>
      <c r="C450" s="204"/>
      <c r="D450" s="63"/>
      <c r="E450" s="64"/>
      <c r="F450" s="64"/>
      <c r="G450" s="64"/>
      <c r="H450" s="64"/>
      <c r="I450" s="64"/>
      <c r="J450" s="64"/>
      <c r="K450" s="16"/>
      <c r="L450" s="16"/>
      <c r="M450" s="64"/>
      <c r="N450" s="16"/>
      <c r="O450" s="16"/>
      <c r="P450" s="64"/>
      <c r="Q450" s="46"/>
      <c r="R450" s="46"/>
      <c r="S450" s="39"/>
      <c r="T450" s="16"/>
      <c r="U450" s="16"/>
      <c r="V450" s="16"/>
      <c r="W450" s="16"/>
      <c r="X450" s="16"/>
      <c r="Y450" s="19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43">
        <f>A435</f>
        <v>0</v>
      </c>
      <c r="AQ450" s="10"/>
      <c r="AR450" s="11"/>
    </row>
    <row r="451" spans="1:46" s="2" customFormat="1" ht="17.25" customHeight="1" thickBot="1" x14ac:dyDescent="0.3">
      <c r="A451" s="56"/>
      <c r="B451" s="101" t="s">
        <v>102</v>
      </c>
      <c r="C451" s="102">
        <f>D452+E452+F452+G452+H452+I452+J452+M452+P452</f>
        <v>117279.92954000011</v>
      </c>
      <c r="D451" s="84"/>
      <c r="E451" s="85"/>
      <c r="F451" s="85"/>
      <c r="G451" s="85"/>
      <c r="H451" s="85"/>
      <c r="I451" s="85"/>
      <c r="J451" s="85"/>
      <c r="K451" s="28"/>
      <c r="L451" s="28"/>
      <c r="M451" s="85"/>
      <c r="N451" s="28"/>
      <c r="O451" s="28"/>
      <c r="P451" s="85"/>
      <c r="Q451" s="48"/>
      <c r="R451" s="48"/>
      <c r="S451" s="51"/>
      <c r="T451" s="28"/>
      <c r="U451" s="28"/>
      <c r="V451" s="28"/>
      <c r="W451" s="28"/>
      <c r="X451" s="28"/>
      <c r="Y451" s="36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42">
        <f>SUM($Q434:AN451)</f>
        <v>-487087.82890000002</v>
      </c>
      <c r="AQ451" s="10"/>
      <c r="AR451" s="11"/>
      <c r="AS451" s="2" t="s">
        <v>5</v>
      </c>
    </row>
    <row r="452" spans="1:46" s="2" customFormat="1" ht="17.25" customHeight="1" thickTop="1" thickBot="1" x14ac:dyDescent="0.3">
      <c r="A452" s="103"/>
      <c r="B452" s="104" t="s">
        <v>103</v>
      </c>
      <c r="C452" s="105">
        <f>AO452</f>
        <v>-369807.89935999992</v>
      </c>
      <c r="D452" s="106">
        <f t="shared" ref="D452:K452" si="58">SUM(D434:D451)</f>
        <v>12717.607040000057</v>
      </c>
      <c r="E452" s="107">
        <f t="shared" si="58"/>
        <v>-43287.790000000008</v>
      </c>
      <c r="F452" s="107">
        <f t="shared" si="58"/>
        <v>0.65000000000145519</v>
      </c>
      <c r="G452" s="107">
        <f t="shared" si="58"/>
        <v>0</v>
      </c>
      <c r="H452" s="107">
        <f t="shared" si="58"/>
        <v>65082.292500000054</v>
      </c>
      <c r="I452" s="107">
        <f t="shared" si="58"/>
        <v>10004.65</v>
      </c>
      <c r="J452" s="107">
        <f t="shared" si="58"/>
        <v>0</v>
      </c>
      <c r="K452" s="108">
        <f t="shared" si="58"/>
        <v>12170</v>
      </c>
      <c r="L452" s="109">
        <f>M452/K452</f>
        <v>5.1465924404272805</v>
      </c>
      <c r="M452" s="107">
        <f>ROUND(SUM(M434:M451),2)</f>
        <v>62634.03</v>
      </c>
      <c r="N452" s="108">
        <f>SUM(N434:N451)</f>
        <v>2783</v>
      </c>
      <c r="O452" s="109">
        <f>P452/N452</f>
        <v>3.6394143011139057</v>
      </c>
      <c r="P452" s="107">
        <f>ROUND(SUM(P434:P451),2)</f>
        <v>10128.49</v>
      </c>
      <c r="Q452" s="110">
        <f t="shared" ref="Q452:AN452" si="59">SUM(Q434:Q451)</f>
        <v>-537317.12890000001</v>
      </c>
      <c r="R452" s="107">
        <f t="shared" si="59"/>
        <v>50229.299999999996</v>
      </c>
      <c r="S452" s="107">
        <f t="shared" si="59"/>
        <v>0</v>
      </c>
      <c r="T452" s="107">
        <f t="shared" si="59"/>
        <v>0</v>
      </c>
      <c r="U452" s="107">
        <f t="shared" si="59"/>
        <v>0</v>
      </c>
      <c r="V452" s="107">
        <f t="shared" si="59"/>
        <v>0</v>
      </c>
      <c r="W452" s="107">
        <f t="shared" si="59"/>
        <v>0</v>
      </c>
      <c r="X452" s="107">
        <f t="shared" si="59"/>
        <v>0</v>
      </c>
      <c r="Y452" s="107">
        <f t="shared" si="59"/>
        <v>0</v>
      </c>
      <c r="Z452" s="107">
        <f t="shared" si="59"/>
        <v>0</v>
      </c>
      <c r="AA452" s="107">
        <f t="shared" si="59"/>
        <v>0</v>
      </c>
      <c r="AB452" s="107">
        <f t="shared" si="59"/>
        <v>0</v>
      </c>
      <c r="AC452" s="107">
        <f t="shared" si="59"/>
        <v>0</v>
      </c>
      <c r="AD452" s="107">
        <f t="shared" si="59"/>
        <v>0</v>
      </c>
      <c r="AE452" s="107">
        <f t="shared" si="59"/>
        <v>0</v>
      </c>
      <c r="AF452" s="107">
        <f t="shared" si="59"/>
        <v>0</v>
      </c>
      <c r="AG452" s="107">
        <f t="shared" si="59"/>
        <v>0</v>
      </c>
      <c r="AH452" s="107">
        <f t="shared" si="59"/>
        <v>0</v>
      </c>
      <c r="AI452" s="107">
        <f t="shared" si="59"/>
        <v>0</v>
      </c>
      <c r="AJ452" s="107">
        <f t="shared" si="59"/>
        <v>0</v>
      </c>
      <c r="AK452" s="107">
        <f t="shared" si="59"/>
        <v>0</v>
      </c>
      <c r="AL452" s="107">
        <f t="shared" si="59"/>
        <v>0</v>
      </c>
      <c r="AM452" s="107">
        <f t="shared" si="59"/>
        <v>0</v>
      </c>
      <c r="AN452" s="107">
        <f t="shared" si="59"/>
        <v>0</v>
      </c>
      <c r="AO452" s="111">
        <f>D452+E452+F452+G452+H452+I452+J452+M452+P452+SUM(Q452:AN452)</f>
        <v>-369807.89935999992</v>
      </c>
      <c r="AP452" s="4"/>
      <c r="AQ452" s="5"/>
      <c r="AR452" s="5"/>
      <c r="AS452" s="2" t="s">
        <v>6</v>
      </c>
    </row>
    <row r="453" spans="1:46" s="2" customFormat="1" ht="17.25" customHeight="1" thickTop="1" x14ac:dyDescent="0.25">
      <c r="A453" s="23"/>
      <c r="B453" s="210"/>
      <c r="C453" s="203"/>
      <c r="D453" s="63"/>
      <c r="E453" s="66"/>
      <c r="F453" s="66"/>
      <c r="G453" s="66"/>
      <c r="H453" s="66"/>
      <c r="I453" s="66"/>
      <c r="J453" s="66"/>
      <c r="K453" s="18"/>
      <c r="L453" s="18"/>
      <c r="M453" s="66"/>
      <c r="N453" s="18"/>
      <c r="O453" s="18"/>
      <c r="P453" s="66"/>
      <c r="Q453" s="46"/>
      <c r="R453" s="46"/>
      <c r="S453" s="45"/>
      <c r="T453" s="18"/>
      <c r="U453" s="18"/>
      <c r="V453" s="18"/>
      <c r="W453" s="18"/>
      <c r="X453" s="18"/>
      <c r="Y453" s="14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31"/>
      <c r="AQ453" s="10"/>
      <c r="AR453" s="27"/>
    </row>
    <row r="454" spans="1:46" s="4" customFormat="1" ht="17.25" customHeight="1" x14ac:dyDescent="0.25">
      <c r="A454" s="23"/>
      <c r="B454" s="201"/>
      <c r="C454" s="202"/>
      <c r="D454" s="63"/>
      <c r="E454" s="64"/>
      <c r="F454" s="64"/>
      <c r="G454" s="64"/>
      <c r="H454" s="64"/>
      <c r="I454" s="117"/>
      <c r="J454" s="64"/>
      <c r="K454" s="16"/>
      <c r="L454" s="92"/>
      <c r="M454" s="64"/>
      <c r="N454" s="16"/>
      <c r="O454" s="92"/>
      <c r="P454" s="64"/>
      <c r="Q454" s="40"/>
      <c r="R454" s="46"/>
      <c r="S454" s="39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22"/>
      <c r="AP454" s="30"/>
    </row>
    <row r="455" spans="1:46" s="2" customFormat="1" ht="17.25" customHeight="1" x14ac:dyDescent="0.2">
      <c r="A455" s="23"/>
      <c r="B455" s="201"/>
      <c r="C455" s="203"/>
      <c r="D455" s="63"/>
      <c r="E455" s="64"/>
      <c r="F455" s="64"/>
      <c r="G455" s="64"/>
      <c r="H455" s="64"/>
      <c r="I455" s="64"/>
      <c r="J455" s="64"/>
      <c r="K455" s="16"/>
      <c r="L455" s="16"/>
      <c r="M455" s="64"/>
      <c r="N455" s="16"/>
      <c r="O455" s="16"/>
      <c r="P455" s="64"/>
      <c r="Q455" s="46"/>
      <c r="R455" s="39"/>
      <c r="S455" s="40"/>
      <c r="T455" s="16"/>
      <c r="U455" s="16"/>
      <c r="V455" s="16"/>
      <c r="W455" s="16"/>
      <c r="X455" s="16"/>
      <c r="Y455" s="19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35"/>
      <c r="AQ455" s="10"/>
      <c r="AR455" s="27"/>
    </row>
    <row r="456" spans="1:46" s="2" customFormat="1" ht="17.25" customHeight="1" x14ac:dyDescent="0.2">
      <c r="A456" s="23"/>
      <c r="B456" s="208"/>
      <c r="C456" s="209"/>
      <c r="D456" s="63"/>
      <c r="E456" s="64"/>
      <c r="F456" s="74"/>
      <c r="G456" s="74"/>
      <c r="H456" s="64"/>
      <c r="I456" s="64"/>
      <c r="J456" s="64"/>
      <c r="K456" s="16"/>
      <c r="L456" s="16"/>
      <c r="M456" s="64"/>
      <c r="N456" s="16"/>
      <c r="O456" s="16"/>
      <c r="P456" s="64"/>
      <c r="Q456" s="46"/>
      <c r="R456" s="39"/>
      <c r="S456" s="40"/>
      <c r="T456" s="16"/>
      <c r="U456" s="16"/>
      <c r="V456" s="16"/>
      <c r="W456" s="16"/>
      <c r="X456" s="16"/>
      <c r="Y456" s="19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35"/>
      <c r="AQ456" s="10"/>
      <c r="AR456" s="27"/>
    </row>
    <row r="457" spans="1:46" s="2" customFormat="1" ht="17.25" customHeight="1" x14ac:dyDescent="0.2">
      <c r="A457" s="23"/>
      <c r="B457" s="201"/>
      <c r="C457" s="202"/>
      <c r="D457" s="63"/>
      <c r="E457" s="64"/>
      <c r="F457" s="74"/>
      <c r="G457" s="74"/>
      <c r="H457" s="64"/>
      <c r="I457" s="64"/>
      <c r="J457" s="64"/>
      <c r="K457" s="16"/>
      <c r="L457" s="16"/>
      <c r="M457" s="64"/>
      <c r="N457" s="16"/>
      <c r="O457" s="16"/>
      <c r="P457" s="64"/>
      <c r="Q457" s="46"/>
      <c r="R457" s="39"/>
      <c r="S457" s="40"/>
      <c r="T457" s="16"/>
      <c r="U457" s="16"/>
      <c r="V457" s="16"/>
      <c r="W457" s="16"/>
      <c r="X457" s="16"/>
      <c r="Y457" s="19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35"/>
      <c r="AQ457" s="10"/>
      <c r="AR457" s="27"/>
    </row>
    <row r="458" spans="1:46" s="2" customFormat="1" ht="17.25" customHeight="1" x14ac:dyDescent="0.2">
      <c r="A458" s="23"/>
      <c r="B458" s="201"/>
      <c r="C458" s="202"/>
      <c r="D458" s="63"/>
      <c r="E458" s="64"/>
      <c r="F458" s="74"/>
      <c r="G458" s="74"/>
      <c r="H458" s="64"/>
      <c r="I458" s="64"/>
      <c r="J458" s="64"/>
      <c r="K458" s="16"/>
      <c r="L458" s="16"/>
      <c r="M458" s="64"/>
      <c r="N458" s="16"/>
      <c r="O458" s="16"/>
      <c r="P458" s="64"/>
      <c r="Q458" s="46"/>
      <c r="R458" s="39"/>
      <c r="S458" s="40"/>
      <c r="T458" s="16"/>
      <c r="U458" s="16"/>
      <c r="V458" s="16"/>
      <c r="W458" s="16"/>
      <c r="X458" s="16"/>
      <c r="Y458" s="19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35"/>
      <c r="AQ458" s="10"/>
      <c r="AR458" s="27"/>
    </row>
    <row r="459" spans="1:46" s="2" customFormat="1" ht="17.25" customHeight="1" x14ac:dyDescent="0.25">
      <c r="A459" s="29"/>
      <c r="B459" s="201"/>
      <c r="C459" s="202"/>
      <c r="D459" s="63"/>
      <c r="E459" s="64"/>
      <c r="F459" s="64"/>
      <c r="G459" s="64"/>
      <c r="H459" s="64"/>
      <c r="I459" s="64"/>
      <c r="J459" s="64"/>
      <c r="K459" s="57"/>
      <c r="L459" s="88"/>
      <c r="M459" s="62"/>
      <c r="N459" s="57"/>
      <c r="O459" s="88"/>
      <c r="P459" s="62"/>
      <c r="Q459" s="47"/>
      <c r="R459" s="39"/>
      <c r="S459" s="39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22"/>
      <c r="AQ459" s="10" t="s">
        <v>4</v>
      </c>
      <c r="AR459" s="11" t="e">
        <v>#REF!</v>
      </c>
    </row>
    <row r="460" spans="1:46" s="2" customFormat="1" ht="17.25" customHeight="1" x14ac:dyDescent="0.25">
      <c r="A460" s="29"/>
      <c r="B460" s="201"/>
      <c r="C460" s="202"/>
      <c r="D460" s="63"/>
      <c r="E460" s="64"/>
      <c r="F460" s="64"/>
      <c r="G460" s="64"/>
      <c r="H460" s="64"/>
      <c r="I460" s="64"/>
      <c r="J460" s="64"/>
      <c r="K460" s="57"/>
      <c r="L460" s="88"/>
      <c r="M460" s="62"/>
      <c r="N460" s="57"/>
      <c r="O460" s="88"/>
      <c r="P460" s="62"/>
      <c r="Q460" s="47"/>
      <c r="R460" s="39"/>
      <c r="S460" s="39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22"/>
      <c r="AQ460" s="10" t="s">
        <v>4</v>
      </c>
      <c r="AR460" s="11" t="e">
        <v>#REF!</v>
      </c>
    </row>
    <row r="461" spans="1:46" s="2" customFormat="1" ht="17.25" customHeight="1" x14ac:dyDescent="0.2">
      <c r="A461" s="23"/>
      <c r="B461" s="201"/>
      <c r="C461" s="204"/>
      <c r="D461" s="63"/>
      <c r="E461" s="64"/>
      <c r="F461" s="74"/>
      <c r="G461" s="74"/>
      <c r="H461" s="64"/>
      <c r="I461" s="64"/>
      <c r="J461" s="64"/>
      <c r="K461" s="16"/>
      <c r="L461" s="16"/>
      <c r="M461" s="64"/>
      <c r="N461" s="16"/>
      <c r="O461" s="16"/>
      <c r="P461" s="64"/>
      <c r="Q461" s="46"/>
      <c r="R461" s="39"/>
      <c r="S461" s="40"/>
      <c r="T461" s="16"/>
      <c r="U461" s="16"/>
      <c r="V461" s="16"/>
      <c r="W461" s="16"/>
      <c r="X461" s="16"/>
      <c r="Y461" s="19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35"/>
      <c r="AQ461" s="10"/>
      <c r="AR461" s="27"/>
    </row>
    <row r="462" spans="1:46" s="2" customFormat="1" ht="17.25" customHeight="1" thickBot="1" x14ac:dyDescent="0.25">
      <c r="A462" s="24"/>
      <c r="B462" s="216"/>
      <c r="C462" s="242"/>
      <c r="D462" s="83"/>
      <c r="E462" s="81"/>
      <c r="F462" s="81"/>
      <c r="G462" s="81"/>
      <c r="H462" s="81"/>
      <c r="I462" s="81"/>
      <c r="J462" s="81"/>
      <c r="K462" s="37"/>
      <c r="L462" s="93"/>
      <c r="M462" s="81"/>
      <c r="N462" s="37"/>
      <c r="O462" s="93"/>
      <c r="P462" s="81"/>
      <c r="Q462" s="40"/>
      <c r="R462" s="40"/>
      <c r="S462" s="39"/>
      <c r="T462" s="16"/>
      <c r="U462" s="16"/>
      <c r="V462" s="16"/>
      <c r="W462" s="16"/>
      <c r="X462" s="16"/>
      <c r="Y462" s="19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41"/>
      <c r="AQ462" s="10"/>
      <c r="AR462" s="11"/>
    </row>
    <row r="463" spans="1:46" s="4" customFormat="1" ht="17.25" customHeight="1" x14ac:dyDescent="0.25">
      <c r="A463" s="23"/>
      <c r="B463" s="210"/>
      <c r="C463" s="203"/>
      <c r="D463" s="66"/>
      <c r="E463" s="66"/>
      <c r="F463" s="117"/>
      <c r="G463" s="117"/>
      <c r="H463" s="66"/>
      <c r="I463" s="66"/>
      <c r="J463" s="66"/>
      <c r="K463" s="58"/>
      <c r="L463" s="89"/>
      <c r="M463" s="73"/>
      <c r="N463" s="58"/>
      <c r="O463" s="89"/>
      <c r="P463" s="73"/>
      <c r="Q463" s="39"/>
      <c r="R463" s="39"/>
      <c r="S463" s="8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35"/>
      <c r="AP463" s="12" t="e">
        <f>#REF!</f>
        <v>#REF!</v>
      </c>
    </row>
    <row r="464" spans="1:46" s="4" customFormat="1" ht="17.25" customHeight="1" x14ac:dyDescent="0.25">
      <c r="A464" s="23"/>
      <c r="B464" s="201"/>
      <c r="C464" s="202"/>
      <c r="D464" s="64"/>
      <c r="E464" s="64"/>
      <c r="F464" s="117"/>
      <c r="G464" s="117"/>
      <c r="H464" s="64"/>
      <c r="I464" s="64"/>
      <c r="J464" s="64"/>
      <c r="K464" s="57"/>
      <c r="L464" s="88"/>
      <c r="M464" s="62"/>
      <c r="N464" s="57"/>
      <c r="O464" s="88"/>
      <c r="P464" s="62"/>
      <c r="Q464" s="39"/>
      <c r="R464" s="39"/>
      <c r="S464" s="8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35"/>
      <c r="AP464" s="12" t="e">
        <f>#REF!</f>
        <v>#REF!</v>
      </c>
    </row>
    <row r="465" spans="1:46" s="4" customFormat="1" ht="17.25" customHeight="1" x14ac:dyDescent="0.25">
      <c r="A465" s="23"/>
      <c r="B465" s="201"/>
      <c r="C465" s="203"/>
      <c r="D465" s="64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39"/>
      <c r="R465" s="39"/>
      <c r="S465" s="39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22"/>
      <c r="AO465" s="43">
        <f>A351</f>
        <v>0</v>
      </c>
      <c r="AP465" s="12" t="e">
        <f>#REF!</f>
        <v>#REF!</v>
      </c>
      <c r="AT465" s="2"/>
    </row>
    <row r="466" spans="1:46" s="4" customFormat="1" ht="17.25" customHeight="1" x14ac:dyDescent="0.25">
      <c r="A466" s="23"/>
      <c r="B466" s="201"/>
      <c r="C466" s="202"/>
      <c r="D466" s="64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39"/>
      <c r="R466" s="39"/>
      <c r="S466" s="39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22"/>
      <c r="AO466" s="43">
        <f>A365</f>
        <v>0</v>
      </c>
      <c r="AP466" s="12" t="e">
        <f>#REF!</f>
        <v>#REF!</v>
      </c>
      <c r="AT466" s="2"/>
    </row>
    <row r="467" spans="1:46" s="2" customFormat="1" ht="17.25" customHeight="1" x14ac:dyDescent="0.2">
      <c r="A467" s="24"/>
      <c r="B467" s="201"/>
      <c r="C467" s="204"/>
      <c r="D467" s="63"/>
      <c r="E467" s="64"/>
      <c r="F467" s="64"/>
      <c r="G467" s="64"/>
      <c r="H467" s="64"/>
      <c r="I467" s="64"/>
      <c r="J467" s="64"/>
      <c r="K467" s="16"/>
      <c r="L467" s="16"/>
      <c r="M467" s="64"/>
      <c r="N467" s="16"/>
      <c r="O467" s="16"/>
      <c r="P467" s="64"/>
      <c r="Q467" s="46"/>
      <c r="R467" s="46"/>
      <c r="S467" s="39"/>
      <c r="T467" s="16"/>
      <c r="U467" s="16"/>
      <c r="V467" s="16"/>
      <c r="W467" s="16"/>
      <c r="X467" s="16"/>
      <c r="Y467" s="19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43">
        <f>A453</f>
        <v>0</v>
      </c>
      <c r="AQ467" s="10"/>
      <c r="AR467" s="11"/>
    </row>
    <row r="468" spans="1:46" s="2" customFormat="1" ht="17.25" customHeight="1" thickBot="1" x14ac:dyDescent="0.3">
      <c r="A468" s="56"/>
      <c r="B468" s="101" t="s">
        <v>102</v>
      </c>
      <c r="C468" s="102">
        <f>D469+E469+F469+G469+H469+I469+J469+M469+P469</f>
        <v>117279.92954000011</v>
      </c>
      <c r="D468" s="84"/>
      <c r="E468" s="85"/>
      <c r="F468" s="85"/>
      <c r="G468" s="85"/>
      <c r="H468" s="85"/>
      <c r="I468" s="85"/>
      <c r="J468" s="85"/>
      <c r="K468" s="28"/>
      <c r="L468" s="28"/>
      <c r="M468" s="85"/>
      <c r="N468" s="28"/>
      <c r="O468" s="28"/>
      <c r="P468" s="85"/>
      <c r="Q468" s="48"/>
      <c r="R468" s="48"/>
      <c r="S468" s="51"/>
      <c r="T468" s="28"/>
      <c r="U468" s="28"/>
      <c r="V468" s="28"/>
      <c r="W468" s="28"/>
      <c r="X468" s="28"/>
      <c r="Y468" s="36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42">
        <f>SUM($Q452:AN468)</f>
        <v>-487087.82890000002</v>
      </c>
      <c r="AQ468" s="10"/>
      <c r="AR468" s="11"/>
      <c r="AS468" s="2" t="s">
        <v>5</v>
      </c>
    </row>
    <row r="469" spans="1:46" s="2" customFormat="1" ht="17.25" customHeight="1" thickTop="1" thickBot="1" x14ac:dyDescent="0.3">
      <c r="A469" s="103"/>
      <c r="B469" s="104" t="s">
        <v>103</v>
      </c>
      <c r="C469" s="105">
        <f>AO469</f>
        <v>-369807.89935999992</v>
      </c>
      <c r="D469" s="106">
        <f t="shared" ref="D469:K469" si="60">SUM(D452:D468)</f>
        <v>12717.607040000057</v>
      </c>
      <c r="E469" s="106">
        <f t="shared" si="60"/>
        <v>-43287.790000000008</v>
      </c>
      <c r="F469" s="106">
        <f t="shared" si="60"/>
        <v>0.65000000000145519</v>
      </c>
      <c r="G469" s="106">
        <f t="shared" si="60"/>
        <v>0</v>
      </c>
      <c r="H469" s="106">
        <f t="shared" si="60"/>
        <v>65082.292500000054</v>
      </c>
      <c r="I469" s="106">
        <f t="shared" si="60"/>
        <v>10004.65</v>
      </c>
      <c r="J469" s="106">
        <f t="shared" si="60"/>
        <v>0</v>
      </c>
      <c r="K469" s="108">
        <f t="shared" si="60"/>
        <v>12170</v>
      </c>
      <c r="L469" s="109">
        <f>M469/K469</f>
        <v>5.1465924404272805</v>
      </c>
      <c r="M469" s="107">
        <f>ROUND(SUM(M452:M468),2)</f>
        <v>62634.03</v>
      </c>
      <c r="N469" s="108">
        <f>SUM(N452:N468)</f>
        <v>2783</v>
      </c>
      <c r="O469" s="109">
        <f>P469/N469</f>
        <v>3.6394143011139057</v>
      </c>
      <c r="P469" s="107">
        <f>ROUND(SUM(P452:P468),2)</f>
        <v>10128.49</v>
      </c>
      <c r="Q469" s="110">
        <f t="shared" ref="Q469:V469" si="61">SUM(Q452:Q468)</f>
        <v>-537317.12890000001</v>
      </c>
      <c r="R469" s="110">
        <f t="shared" si="61"/>
        <v>50229.299999999996</v>
      </c>
      <c r="S469" s="110">
        <f t="shared" si="61"/>
        <v>0</v>
      </c>
      <c r="T469" s="110">
        <f t="shared" si="61"/>
        <v>0</v>
      </c>
      <c r="U469" s="110">
        <f t="shared" si="61"/>
        <v>0</v>
      </c>
      <c r="V469" s="110">
        <f t="shared" si="61"/>
        <v>0</v>
      </c>
      <c r="W469" s="107">
        <f t="shared" ref="W469:AN469" si="62">SUM(W371:W468)</f>
        <v>0</v>
      </c>
      <c r="X469" s="107">
        <f t="shared" si="62"/>
        <v>0</v>
      </c>
      <c r="Y469" s="107">
        <f t="shared" si="62"/>
        <v>0</v>
      </c>
      <c r="Z469" s="107">
        <f t="shared" si="62"/>
        <v>0</v>
      </c>
      <c r="AA469" s="107">
        <f t="shared" si="62"/>
        <v>0</v>
      </c>
      <c r="AB469" s="107">
        <f t="shared" si="62"/>
        <v>0</v>
      </c>
      <c r="AC469" s="107">
        <f t="shared" si="62"/>
        <v>0</v>
      </c>
      <c r="AD469" s="107">
        <f t="shared" si="62"/>
        <v>0</v>
      </c>
      <c r="AE469" s="107">
        <f t="shared" si="62"/>
        <v>0</v>
      </c>
      <c r="AF469" s="107">
        <f t="shared" si="62"/>
        <v>0</v>
      </c>
      <c r="AG469" s="107">
        <f t="shared" si="62"/>
        <v>0</v>
      </c>
      <c r="AH469" s="107">
        <f t="shared" si="62"/>
        <v>0</v>
      </c>
      <c r="AI469" s="107">
        <f t="shared" si="62"/>
        <v>0</v>
      </c>
      <c r="AJ469" s="107">
        <f t="shared" si="62"/>
        <v>0</v>
      </c>
      <c r="AK469" s="107">
        <f t="shared" si="62"/>
        <v>0</v>
      </c>
      <c r="AL469" s="107">
        <f t="shared" si="62"/>
        <v>0</v>
      </c>
      <c r="AM469" s="107">
        <f t="shared" si="62"/>
        <v>0</v>
      </c>
      <c r="AN469" s="107">
        <f t="shared" si="62"/>
        <v>0</v>
      </c>
      <c r="AO469" s="111">
        <f>D469+E469+F469+G469+H469+I469+J469+M469+P469+SUM(Q469:AN469)</f>
        <v>-369807.89935999992</v>
      </c>
      <c r="AP469" s="4"/>
      <c r="AQ469" s="5"/>
      <c r="AR469" s="5"/>
      <c r="AS469" s="2" t="s">
        <v>6</v>
      </c>
    </row>
    <row r="470" spans="1:46" ht="17.25" customHeight="1" thickTop="1" x14ac:dyDescent="0.25">
      <c r="A470" s="127"/>
      <c r="B470" s="125"/>
      <c r="C470" s="125"/>
      <c r="D470" s="128"/>
      <c r="E470" s="128"/>
      <c r="F470" s="128"/>
      <c r="G470" s="128"/>
      <c r="H470" s="128"/>
      <c r="I470" s="128"/>
      <c r="J470" s="128"/>
    </row>
    <row r="471" spans="1:46" ht="17.25" customHeight="1" x14ac:dyDescent="0.25">
      <c r="A471" s="127"/>
      <c r="B471" s="131" t="s">
        <v>150</v>
      </c>
      <c r="C471" s="126">
        <f>N477</f>
        <v>37611.667761521072</v>
      </c>
      <c r="D471" s="128"/>
      <c r="E471" s="218" t="s">
        <v>243</v>
      </c>
      <c r="F471" s="218"/>
      <c r="G471" s="218"/>
      <c r="H471" s="213">
        <f>E70</f>
        <v>-3214.6899999999996</v>
      </c>
      <c r="I471" s="213"/>
      <c r="J471" s="129"/>
      <c r="K471" s="219" t="s">
        <v>87</v>
      </c>
      <c r="L471" s="220"/>
      <c r="M471" s="221"/>
      <c r="N471" s="223" t="s">
        <v>88</v>
      </c>
      <c r="O471" s="224"/>
      <c r="P471" s="225"/>
      <c r="R471" s="121"/>
    </row>
    <row r="472" spans="1:46" ht="17.25" customHeight="1" x14ac:dyDescent="0.25">
      <c r="A472" s="127"/>
      <c r="B472" s="131" t="s">
        <v>151</v>
      </c>
      <c r="C472" s="126">
        <f>I4+I16+I34+I52+I66+I82+I99+I111+I123+I137+I158+I189+I204+I216+I228+I240+I252+I272+I286+I305+I317+I329+I342+I356+I454+I373+I388+I410+I436+I175+D6+D18+D36+D54+D68+D84+D101+D113+D125+D139+D160+D177+D191+D206+D218+D230+D242+D254+D274+D288+D307+D319+D331+D344+D358+D375+D391+D412</f>
        <v>-6681.0699999999952</v>
      </c>
      <c r="D472" s="128"/>
      <c r="E472" s="218" t="s">
        <v>158</v>
      </c>
      <c r="F472" s="218"/>
      <c r="G472" s="218"/>
      <c r="H472" s="213">
        <f>D142+D397</f>
        <v>-320.8</v>
      </c>
      <c r="I472" s="213"/>
      <c r="J472" s="129"/>
      <c r="K472" s="226" t="s">
        <v>143</v>
      </c>
      <c r="L472" s="227"/>
      <c r="M472" s="57">
        <f>(K8+K26+K44+K58+K74+K91+K103+K115+K129+K150+K167+K181+K196+K208+K220+K232+K244+K264+K278+K297+K309+K321+K334+K348+K365+K463+K380+K402+K414+K428+K446)*-1</f>
        <v>31705</v>
      </c>
      <c r="N472" s="226" t="s">
        <v>143</v>
      </c>
      <c r="O472" s="227"/>
      <c r="P472" s="57">
        <f>(N9+N27+N45+N59+N75+N92+N104+N116+N130+N151+N168+N182+N197+N209+N221+N233+N245+N265+N279+N298+N310+N322+N335+N349+N366+N464+N381+N403+N415+N429+N447)*-1</f>
        <v>50101</v>
      </c>
      <c r="R472" s="121">
        <f>I10+I28+I46+I60+I76+I93+I105+I117+I131+I152+I169+I198+I210+I222+I234+I246+I266+I280+I299+I311+I323+I336+I350+I367+I382+I404+I416+I430+I448+I465+I183</f>
        <v>277208.68</v>
      </c>
    </row>
    <row r="473" spans="1:46" ht="17.25" customHeight="1" x14ac:dyDescent="0.25">
      <c r="A473" s="127"/>
      <c r="B473" s="131" t="s">
        <v>160</v>
      </c>
      <c r="C473" s="126">
        <f>E21+E40+D55+E89+E144+E145+E146+E147+E148+D178+E193+D257+E260+E261+E293+E294+E295++E378+E393+E394</f>
        <v>-7748.46</v>
      </c>
      <c r="D473" s="128"/>
      <c r="E473" s="218" t="s">
        <v>157</v>
      </c>
      <c r="F473" s="218"/>
      <c r="G473" s="218"/>
      <c r="H473" s="213">
        <f>D24+D38+D86+D164+D256+D258+D290+D362+D399</f>
        <v>-58.800000000000004</v>
      </c>
      <c r="I473" s="213"/>
      <c r="J473" s="129"/>
      <c r="K473" s="226" t="s">
        <v>144</v>
      </c>
      <c r="L473" s="227"/>
      <c r="M473" s="121">
        <f>(M11+M29+M47+M61+M77+M94+M106+M118+M132+M153+M170+M184+M199+M211+M223+M235+M247+M267+M281+M300+M312+M324+M337+M351+M368+M466+M383+M405+M417+M431+M449)</f>
        <v>26254.231742442706</v>
      </c>
      <c r="N473" s="226" t="s">
        <v>144</v>
      </c>
      <c r="O473" s="227"/>
      <c r="P473" s="121">
        <f>(P11+P29+P47+P61+P77+P94+P106+P118+P132+P153+P170+P184+P199+P211+P223+P235+P247+P267+P281+P300+P312+P324+P337+P351+P368+P466+P383+P405+P417+P431+P449)</f>
        <v>11357.436019078365</v>
      </c>
      <c r="R473" s="121">
        <v>-312909.86</v>
      </c>
    </row>
    <row r="474" spans="1:46" ht="17.25" customHeight="1" x14ac:dyDescent="0.25">
      <c r="A474" s="127"/>
      <c r="B474" s="131" t="s">
        <v>244</v>
      </c>
      <c r="C474" s="126">
        <f>H71+H72+H422+H424+H425+H426</f>
        <v>-19849.12</v>
      </c>
      <c r="D474" s="128"/>
      <c r="E474" s="230" t="s">
        <v>156</v>
      </c>
      <c r="F474" s="230"/>
      <c r="G474" s="230"/>
      <c r="H474" s="213">
        <f>E41+E143</f>
        <v>-2884.33</v>
      </c>
      <c r="I474" s="213"/>
      <c r="J474" s="133"/>
      <c r="K474" s="226" t="s">
        <v>145</v>
      </c>
      <c r="L474" s="227"/>
      <c r="M474" s="57">
        <f>(K11+K29+K47+K61+K77+K94+K106+K118+K132+K153+K170+K184+K199+K211+K223+K235+K247+K267+K281+K300+K312+K324+K337+K351+K368+K466+K383+K405+K417+K431+K449)</f>
        <v>-125</v>
      </c>
      <c r="N474" s="226" t="s">
        <v>145</v>
      </c>
      <c r="O474" s="227"/>
      <c r="P474" s="57">
        <f>(N11+N29+N47+N61+N77+N94+N106+N118+N132+N153+N170+N184+N199+N211+N223+N235+N247+N267+N281+N300+N312+N324+N337+N351+N368+N466+N383+N405+N417+N431+N449)</f>
        <v>-1316</v>
      </c>
      <c r="R474" s="121">
        <f>SUM(R472:R473)</f>
        <v>-35701.179999999993</v>
      </c>
    </row>
    <row r="475" spans="1:46" ht="17.25" customHeight="1" x14ac:dyDescent="0.25">
      <c r="A475" s="127"/>
      <c r="B475" s="131" t="s">
        <v>245</v>
      </c>
      <c r="C475" s="126">
        <f>H423</f>
        <v>-6500</v>
      </c>
      <c r="D475" s="3"/>
      <c r="E475" s="230" t="s">
        <v>300</v>
      </c>
      <c r="F475" s="230"/>
      <c r="G475" s="230"/>
      <c r="H475" s="213"/>
      <c r="I475" s="213"/>
      <c r="J475" s="129"/>
      <c r="K475" s="228"/>
      <c r="L475" s="229"/>
      <c r="M475" s="122"/>
      <c r="N475" s="228"/>
      <c r="O475" s="229"/>
      <c r="P475" s="123"/>
    </row>
    <row r="476" spans="1:46" s="21" customFormat="1" ht="17.25" customHeight="1" x14ac:dyDescent="0.25">
      <c r="A476" s="127"/>
      <c r="B476" s="137" t="s">
        <v>149</v>
      </c>
      <c r="C476" s="138">
        <f>SUM(C471:C475)</f>
        <v>-3166.9822384789222</v>
      </c>
      <c r="D476" s="128"/>
      <c r="E476" s="231" t="s">
        <v>159</v>
      </c>
      <c r="F476" s="232"/>
      <c r="G476" s="232"/>
      <c r="H476" s="233">
        <f>SUM(H471:I475)</f>
        <v>-6478.62</v>
      </c>
      <c r="I476" s="234"/>
      <c r="J476" s="128"/>
      <c r="K476" s="241" t="s">
        <v>146</v>
      </c>
      <c r="L476" s="241"/>
      <c r="M476" s="241"/>
      <c r="N476" s="235">
        <f>M472+P472</f>
        <v>81806</v>
      </c>
      <c r="O476" s="236"/>
      <c r="P476" s="237"/>
      <c r="AP476" s="3"/>
      <c r="AQ476" s="3"/>
      <c r="AR476" s="3"/>
      <c r="AS476" s="3"/>
      <c r="AT476" s="3"/>
    </row>
    <row r="477" spans="1:46" s="21" customFormat="1" ht="17.25" customHeight="1" x14ac:dyDescent="0.25">
      <c r="A477" s="127"/>
      <c r="B477" s="3"/>
      <c r="C477" s="3"/>
      <c r="D477" s="3"/>
      <c r="J477" s="128"/>
      <c r="K477" s="241" t="s">
        <v>147</v>
      </c>
      <c r="L477" s="241"/>
      <c r="M477" s="241"/>
      <c r="N477" s="238">
        <f>M473+P473</f>
        <v>37611.667761521072</v>
      </c>
      <c r="O477" s="239"/>
      <c r="P477" s="240"/>
      <c r="AP477" s="3"/>
      <c r="AQ477" s="3"/>
      <c r="AR477" s="3"/>
      <c r="AS477" s="3"/>
      <c r="AT477" s="3"/>
    </row>
    <row r="478" spans="1:46" s="21" customFormat="1" ht="17.25" customHeight="1" x14ac:dyDescent="0.25">
      <c r="A478" s="127"/>
      <c r="B478" s="137" t="s">
        <v>242</v>
      </c>
      <c r="C478" s="138">
        <f>C476+H476</f>
        <v>-9645.6022384789212</v>
      </c>
      <c r="D478" s="255" t="s">
        <v>457</v>
      </c>
      <c r="E478" s="256"/>
      <c r="F478" s="256"/>
      <c r="G478" s="256"/>
      <c r="H478" s="256"/>
      <c r="I478" s="256"/>
      <c r="J478" s="128"/>
      <c r="K478" s="241" t="s">
        <v>148</v>
      </c>
      <c r="L478" s="241"/>
      <c r="M478" s="241"/>
      <c r="N478" s="235">
        <f>M474+P474</f>
        <v>-1441</v>
      </c>
      <c r="O478" s="236"/>
      <c r="P478" s="237"/>
      <c r="AP478" s="3"/>
      <c r="AQ478" s="3"/>
      <c r="AR478" s="3"/>
      <c r="AS478" s="3"/>
      <c r="AT478" s="3"/>
    </row>
    <row r="479" spans="1:46" s="21" customFormat="1" ht="17.25" customHeight="1" x14ac:dyDescent="0.25">
      <c r="A479" s="25"/>
      <c r="B479" s="3"/>
      <c r="C479" s="124"/>
      <c r="E479" s="230"/>
      <c r="F479" s="230"/>
      <c r="G479" s="230"/>
      <c r="H479" s="213"/>
      <c r="I479" s="213"/>
      <c r="AP479" s="3"/>
      <c r="AQ479" s="3"/>
      <c r="AR479" s="3"/>
      <c r="AS479" s="3"/>
      <c r="AT479" s="3"/>
    </row>
    <row r="480" spans="1:46" s="21" customFormat="1" ht="17.25" customHeight="1" x14ac:dyDescent="0.25">
      <c r="A480" s="25"/>
      <c r="B480" s="137" t="s">
        <v>454</v>
      </c>
      <c r="C480" s="138">
        <f>E377+E395</f>
        <v>-7464.83</v>
      </c>
      <c r="E480" s="230"/>
      <c r="F480" s="230"/>
      <c r="G480" s="230"/>
      <c r="H480" s="213"/>
      <c r="I480" s="213"/>
      <c r="AP480" s="3"/>
      <c r="AQ480" s="3"/>
      <c r="AR480" s="3"/>
      <c r="AS480" s="3"/>
      <c r="AT480" s="3"/>
    </row>
    <row r="481" spans="1:46" s="21" customFormat="1" ht="17.25" customHeight="1" x14ac:dyDescent="0.25">
      <c r="A481" s="25"/>
      <c r="B481" s="3"/>
      <c r="C481" s="124"/>
      <c r="E481" s="230"/>
      <c r="F481" s="230"/>
      <c r="G481" s="230"/>
      <c r="H481" s="213"/>
      <c r="I481" s="213"/>
      <c r="AP481" s="3"/>
      <c r="AQ481" s="3"/>
      <c r="AR481" s="3"/>
      <c r="AS481" s="3"/>
      <c r="AT481" s="3"/>
    </row>
    <row r="482" spans="1:46" ht="17.25" customHeight="1" x14ac:dyDescent="0.25">
      <c r="B482" s="137" t="s">
        <v>242</v>
      </c>
      <c r="C482" s="138">
        <f>C469-C2</f>
        <v>-13895.708900000085</v>
      </c>
    </row>
    <row r="483" spans="1:46" ht="17.25" customHeight="1" x14ac:dyDescent="0.25">
      <c r="E483" s="222">
        <f>C478+C480-C482</f>
        <v>-3214.7233384788342</v>
      </c>
      <c r="F483" s="222"/>
      <c r="H483" s="169">
        <f>-E483+H471</f>
        <v>3.3338478834593843E-2</v>
      </c>
    </row>
  </sheetData>
  <sheetProtection selectLockedCells="1" selectUnlockedCells="1"/>
  <mergeCells count="442">
    <mergeCell ref="E479:G479"/>
    <mergeCell ref="H479:I479"/>
    <mergeCell ref="E483:F483"/>
    <mergeCell ref="K477:M477"/>
    <mergeCell ref="E481:G481"/>
    <mergeCell ref="H481:I481"/>
    <mergeCell ref="N477:P477"/>
    <mergeCell ref="K478:M478"/>
    <mergeCell ref="N478:P478"/>
    <mergeCell ref="E475:G475"/>
    <mergeCell ref="H475:I475"/>
    <mergeCell ref="K475:L475"/>
    <mergeCell ref="N475:O475"/>
    <mergeCell ref="E476:G476"/>
    <mergeCell ref="H476:I476"/>
    <mergeCell ref="K476:M476"/>
    <mergeCell ref="N471:P471"/>
    <mergeCell ref="E472:G472"/>
    <mergeCell ref="H472:I472"/>
    <mergeCell ref="K472:L472"/>
    <mergeCell ref="N472:O472"/>
    <mergeCell ref="N476:P476"/>
    <mergeCell ref="E473:G473"/>
    <mergeCell ref="H473:I473"/>
    <mergeCell ref="K473:L473"/>
    <mergeCell ref="N473:O473"/>
    <mergeCell ref="E474:G474"/>
    <mergeCell ref="H474:I474"/>
    <mergeCell ref="K474:L474"/>
    <mergeCell ref="N474:O474"/>
    <mergeCell ref="B462:C462"/>
    <mergeCell ref="B463:C463"/>
    <mergeCell ref="B464:C464"/>
    <mergeCell ref="B465:C465"/>
    <mergeCell ref="B466:C466"/>
    <mergeCell ref="B467:C467"/>
    <mergeCell ref="E471:G471"/>
    <mergeCell ref="H471:I471"/>
    <mergeCell ref="K471:M471"/>
    <mergeCell ref="B453:C453"/>
    <mergeCell ref="B454:C454"/>
    <mergeCell ref="B455:C455"/>
    <mergeCell ref="B456:C456"/>
    <mergeCell ref="B457:C457"/>
    <mergeCell ref="B460:C460"/>
    <mergeCell ref="B459:C459"/>
    <mergeCell ref="B458:C458"/>
    <mergeCell ref="B461:C46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31:C431"/>
    <mergeCell ref="B432:C432"/>
    <mergeCell ref="B435:C435"/>
    <mergeCell ref="B436:C436"/>
    <mergeCell ref="B437:C437"/>
    <mergeCell ref="B438:C438"/>
    <mergeCell ref="B439:C439"/>
    <mergeCell ref="B440:C440"/>
    <mergeCell ref="B441:C441"/>
    <mergeCell ref="B415:C415"/>
    <mergeCell ref="B416:C416"/>
    <mergeCell ref="B417:C417"/>
    <mergeCell ref="B418:C418"/>
    <mergeCell ref="B421:C421"/>
    <mergeCell ref="B427:C427"/>
    <mergeCell ref="B428:C428"/>
    <mergeCell ref="B429:C429"/>
    <mergeCell ref="B430:C430"/>
    <mergeCell ref="B426:C426"/>
    <mergeCell ref="B404:C404"/>
    <mergeCell ref="B405:C405"/>
    <mergeCell ref="B406:C406"/>
    <mergeCell ref="B409:C409"/>
    <mergeCell ref="B410:C410"/>
    <mergeCell ref="B411:C411"/>
    <mergeCell ref="B412:C412"/>
    <mergeCell ref="B413:C413"/>
    <mergeCell ref="B414:C414"/>
    <mergeCell ref="B391:C391"/>
    <mergeCell ref="B389:C389"/>
    <mergeCell ref="B390:C390"/>
    <mergeCell ref="B397:C397"/>
    <mergeCell ref="B398:C398"/>
    <mergeCell ref="B400:C400"/>
    <mergeCell ref="B401:C401"/>
    <mergeCell ref="B402:C402"/>
    <mergeCell ref="B403:C403"/>
    <mergeCell ref="B399:C399"/>
    <mergeCell ref="B395:C395"/>
    <mergeCell ref="B396:C396"/>
    <mergeCell ref="B365:C365"/>
    <mergeCell ref="B357:C357"/>
    <mergeCell ref="B358:C358"/>
    <mergeCell ref="B359:C359"/>
    <mergeCell ref="B360:C360"/>
    <mergeCell ref="B373:C373"/>
    <mergeCell ref="B376:C376"/>
    <mergeCell ref="B379:C379"/>
    <mergeCell ref="B377:C377"/>
    <mergeCell ref="B378:C378"/>
    <mergeCell ref="B374:C374"/>
    <mergeCell ref="B375:C375"/>
    <mergeCell ref="B348:C348"/>
    <mergeCell ref="B349:C349"/>
    <mergeCell ref="B350:C350"/>
    <mergeCell ref="B351:C351"/>
    <mergeCell ref="B352:C352"/>
    <mergeCell ref="B355:C355"/>
    <mergeCell ref="B356:C356"/>
    <mergeCell ref="B363:C363"/>
    <mergeCell ref="B364:C364"/>
    <mergeCell ref="B309:C309"/>
    <mergeCell ref="B310:C310"/>
    <mergeCell ref="B311:C311"/>
    <mergeCell ref="B312:C312"/>
    <mergeCell ref="B313:C313"/>
    <mergeCell ref="B316:C316"/>
    <mergeCell ref="B317:C317"/>
    <mergeCell ref="B320:C320"/>
    <mergeCell ref="B321:C321"/>
    <mergeCell ref="B318:C318"/>
    <mergeCell ref="B319:C319"/>
    <mergeCell ref="B298:C298"/>
    <mergeCell ref="B299:C299"/>
    <mergeCell ref="B300:C300"/>
    <mergeCell ref="B301:C301"/>
    <mergeCell ref="B304:C304"/>
    <mergeCell ref="B305:C305"/>
    <mergeCell ref="B306:C306"/>
    <mergeCell ref="B307:C307"/>
    <mergeCell ref="B308:C308"/>
    <mergeCell ref="B265:C265"/>
    <mergeCell ref="B253:C253"/>
    <mergeCell ref="B254:C254"/>
    <mergeCell ref="B256:C256"/>
    <mergeCell ref="B255:C255"/>
    <mergeCell ref="B279:C279"/>
    <mergeCell ref="B280:C280"/>
    <mergeCell ref="B273:C273"/>
    <mergeCell ref="B274:C274"/>
    <mergeCell ref="B276:C276"/>
    <mergeCell ref="B266:C266"/>
    <mergeCell ref="B267:C267"/>
    <mergeCell ref="B268:C268"/>
    <mergeCell ref="B271:C271"/>
    <mergeCell ref="B272:C272"/>
    <mergeCell ref="B275:C275"/>
    <mergeCell ref="B277:C277"/>
    <mergeCell ref="B278:C278"/>
    <mergeCell ref="B246:C246"/>
    <mergeCell ref="B247:C247"/>
    <mergeCell ref="B248:C248"/>
    <mergeCell ref="B251:C251"/>
    <mergeCell ref="B252:C252"/>
    <mergeCell ref="B262:C262"/>
    <mergeCell ref="B263:C263"/>
    <mergeCell ref="B264:C264"/>
    <mergeCell ref="B259:C259"/>
    <mergeCell ref="B261:C261"/>
    <mergeCell ref="B260:C260"/>
    <mergeCell ref="B235:C235"/>
    <mergeCell ref="B236:C236"/>
    <mergeCell ref="B239:C239"/>
    <mergeCell ref="B240:C240"/>
    <mergeCell ref="B241:C241"/>
    <mergeCell ref="B242:C242"/>
    <mergeCell ref="B243:C243"/>
    <mergeCell ref="B244:C244"/>
    <mergeCell ref="B245:C245"/>
    <mergeCell ref="B191:C191"/>
    <mergeCell ref="B196:C196"/>
    <mergeCell ref="B197:C197"/>
    <mergeCell ref="B198:C198"/>
    <mergeCell ref="B199:C199"/>
    <mergeCell ref="B200:C200"/>
    <mergeCell ref="B208:C208"/>
    <mergeCell ref="B203:C203"/>
    <mergeCell ref="B204:C204"/>
    <mergeCell ref="B207:C207"/>
    <mergeCell ref="B205:C205"/>
    <mergeCell ref="B192:C192"/>
    <mergeCell ref="B193:C193"/>
    <mergeCell ref="B194:C194"/>
    <mergeCell ref="B195:C195"/>
    <mergeCell ref="B206:C206"/>
    <mergeCell ref="B162:C162"/>
    <mergeCell ref="B169:C169"/>
    <mergeCell ref="B170:C170"/>
    <mergeCell ref="B171:C171"/>
    <mergeCell ref="B174:C174"/>
    <mergeCell ref="B175:C175"/>
    <mergeCell ref="B178:C178"/>
    <mergeCell ref="B180:C180"/>
    <mergeCell ref="B181:C181"/>
    <mergeCell ref="B179:C179"/>
    <mergeCell ref="B163:C163"/>
    <mergeCell ref="B164:C164"/>
    <mergeCell ref="B176:C176"/>
    <mergeCell ref="B177:C177"/>
    <mergeCell ref="B148:C148"/>
    <mergeCell ref="B149:C149"/>
    <mergeCell ref="B150:C150"/>
    <mergeCell ref="B159:C159"/>
    <mergeCell ref="B160:C160"/>
    <mergeCell ref="B161:C161"/>
    <mergeCell ref="B151:C151"/>
    <mergeCell ref="B152:C152"/>
    <mergeCell ref="B153:C153"/>
    <mergeCell ref="B154:C154"/>
    <mergeCell ref="B157:C157"/>
    <mergeCell ref="B158:C158"/>
    <mergeCell ref="B143:C143"/>
    <mergeCell ref="B144:C144"/>
    <mergeCell ref="B145:C145"/>
    <mergeCell ref="B146:C146"/>
    <mergeCell ref="B147:C147"/>
    <mergeCell ref="B112:C112"/>
    <mergeCell ref="B113:C113"/>
    <mergeCell ref="B142:C142"/>
    <mergeCell ref="B136:C136"/>
    <mergeCell ref="B137:C137"/>
    <mergeCell ref="B140:C140"/>
    <mergeCell ref="B141:C141"/>
    <mergeCell ref="B138:C138"/>
    <mergeCell ref="B139:C139"/>
    <mergeCell ref="B128:C128"/>
    <mergeCell ref="B129:C129"/>
    <mergeCell ref="B130:C130"/>
    <mergeCell ref="B131:C131"/>
    <mergeCell ref="B132:C132"/>
    <mergeCell ref="B133:C133"/>
    <mergeCell ref="B117:C117"/>
    <mergeCell ref="B118:C118"/>
    <mergeCell ref="B119:C119"/>
    <mergeCell ref="B122:C122"/>
    <mergeCell ref="B123:C123"/>
    <mergeCell ref="B126:C126"/>
    <mergeCell ref="B124:C124"/>
    <mergeCell ref="B125:C125"/>
    <mergeCell ref="B127:C127"/>
    <mergeCell ref="B104:C104"/>
    <mergeCell ref="B105:C105"/>
    <mergeCell ref="B106:C106"/>
    <mergeCell ref="B107:C107"/>
    <mergeCell ref="B110:C110"/>
    <mergeCell ref="B111:C111"/>
    <mergeCell ref="B114:C114"/>
    <mergeCell ref="B115:C115"/>
    <mergeCell ref="B116:C116"/>
    <mergeCell ref="B91:C91"/>
    <mergeCell ref="B92:C92"/>
    <mergeCell ref="B93:C93"/>
    <mergeCell ref="B94:C94"/>
    <mergeCell ref="B95:C95"/>
    <mergeCell ref="B98:C98"/>
    <mergeCell ref="B99:C99"/>
    <mergeCell ref="B102:C102"/>
    <mergeCell ref="B103:C103"/>
    <mergeCell ref="B100:C100"/>
    <mergeCell ref="B101:C101"/>
    <mergeCell ref="B82:C82"/>
    <mergeCell ref="B87:C87"/>
    <mergeCell ref="B88:C88"/>
    <mergeCell ref="B89:C89"/>
    <mergeCell ref="B83:C83"/>
    <mergeCell ref="B84:C84"/>
    <mergeCell ref="B85:C85"/>
    <mergeCell ref="B86:C86"/>
    <mergeCell ref="B90:C90"/>
    <mergeCell ref="B73:C73"/>
    <mergeCell ref="B67:C67"/>
    <mergeCell ref="B68:C68"/>
    <mergeCell ref="B74:C74"/>
    <mergeCell ref="B75:C75"/>
    <mergeCell ref="B76:C76"/>
    <mergeCell ref="B77:C77"/>
    <mergeCell ref="B78:C78"/>
    <mergeCell ref="B81:C81"/>
    <mergeCell ref="B71:C71"/>
    <mergeCell ref="B72:C72"/>
    <mergeCell ref="B46:C46"/>
    <mergeCell ref="B47:C47"/>
    <mergeCell ref="B48:C48"/>
    <mergeCell ref="B51:C51"/>
    <mergeCell ref="B52:C52"/>
    <mergeCell ref="B56:C56"/>
    <mergeCell ref="B57:C57"/>
    <mergeCell ref="B58:C58"/>
    <mergeCell ref="B59:C59"/>
    <mergeCell ref="B60:C60"/>
    <mergeCell ref="B61:C61"/>
    <mergeCell ref="B62:C62"/>
    <mergeCell ref="B65:C65"/>
    <mergeCell ref="B66:C66"/>
    <mergeCell ref="B69:C69"/>
    <mergeCell ref="B70:C70"/>
    <mergeCell ref="B53:C53"/>
    <mergeCell ref="B54:C54"/>
    <mergeCell ref="B55:C55"/>
    <mergeCell ref="B41:C41"/>
    <mergeCell ref="B42:C42"/>
    <mergeCell ref="B43:C43"/>
    <mergeCell ref="B44:C44"/>
    <mergeCell ref="B45:C45"/>
    <mergeCell ref="B21:C21"/>
    <mergeCell ref="B24:C24"/>
    <mergeCell ref="B22:C22"/>
    <mergeCell ref="B23:C23"/>
    <mergeCell ref="B38:C38"/>
    <mergeCell ref="B35:C35"/>
    <mergeCell ref="B36:C36"/>
    <mergeCell ref="B34:C34"/>
    <mergeCell ref="B37:C37"/>
    <mergeCell ref="B25:C25"/>
    <mergeCell ref="B26:C26"/>
    <mergeCell ref="B27:C27"/>
    <mergeCell ref="B28:C28"/>
    <mergeCell ref="B29:C29"/>
    <mergeCell ref="B30:C30"/>
    <mergeCell ref="B33:C33"/>
    <mergeCell ref="B39:C39"/>
    <mergeCell ref="B40:C40"/>
    <mergeCell ref="B10:C10"/>
    <mergeCell ref="B11:C11"/>
    <mergeCell ref="B12:C12"/>
    <mergeCell ref="B15:C15"/>
    <mergeCell ref="B16:C16"/>
    <mergeCell ref="B17:C17"/>
    <mergeCell ref="B18:C18"/>
    <mergeCell ref="B19:C19"/>
    <mergeCell ref="B20:C20"/>
    <mergeCell ref="K1:M1"/>
    <mergeCell ref="N1:P1"/>
    <mergeCell ref="B3:C3"/>
    <mergeCell ref="B4:C4"/>
    <mergeCell ref="B5:C5"/>
    <mergeCell ref="B6:C6"/>
    <mergeCell ref="B7:C7"/>
    <mergeCell ref="B8:C8"/>
    <mergeCell ref="B9:C9"/>
    <mergeCell ref="B190:C190"/>
    <mergeCell ref="B165:C165"/>
    <mergeCell ref="B166:C166"/>
    <mergeCell ref="B167:C167"/>
    <mergeCell ref="B168:C168"/>
    <mergeCell ref="B182:C182"/>
    <mergeCell ref="B183:C183"/>
    <mergeCell ref="B184:C184"/>
    <mergeCell ref="B185:C185"/>
    <mergeCell ref="B188:C188"/>
    <mergeCell ref="B189:C189"/>
    <mergeCell ref="B217:C217"/>
    <mergeCell ref="B218:C218"/>
    <mergeCell ref="B257:C257"/>
    <mergeCell ref="B258:C258"/>
    <mergeCell ref="B216:C216"/>
    <mergeCell ref="B219:C219"/>
    <mergeCell ref="B220:C220"/>
    <mergeCell ref="B209:C209"/>
    <mergeCell ref="B210:C210"/>
    <mergeCell ref="B211:C211"/>
    <mergeCell ref="B212:C212"/>
    <mergeCell ref="B215:C215"/>
    <mergeCell ref="B221:C221"/>
    <mergeCell ref="B222:C222"/>
    <mergeCell ref="B223:C223"/>
    <mergeCell ref="B224:C224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81:C281"/>
    <mergeCell ref="B282:C282"/>
    <mergeCell ref="B285:C285"/>
    <mergeCell ref="B286:C286"/>
    <mergeCell ref="B291:C291"/>
    <mergeCell ref="B292:C292"/>
    <mergeCell ref="B287:C287"/>
    <mergeCell ref="B288:C288"/>
    <mergeCell ref="B294:C294"/>
    <mergeCell ref="B293:C293"/>
    <mergeCell ref="B289:C289"/>
    <mergeCell ref="B290:C290"/>
    <mergeCell ref="B296:C296"/>
    <mergeCell ref="B297:C297"/>
    <mergeCell ref="B322:C322"/>
    <mergeCell ref="B323:C323"/>
    <mergeCell ref="B324:C324"/>
    <mergeCell ref="B325:C325"/>
    <mergeCell ref="B361:C361"/>
    <mergeCell ref="B362:C362"/>
    <mergeCell ref="B328:C328"/>
    <mergeCell ref="B329:C329"/>
    <mergeCell ref="B332:C332"/>
    <mergeCell ref="B333:C333"/>
    <mergeCell ref="B334:C334"/>
    <mergeCell ref="B335:C335"/>
    <mergeCell ref="B330:C330"/>
    <mergeCell ref="B331:C331"/>
    <mergeCell ref="B336:C336"/>
    <mergeCell ref="B337:C337"/>
    <mergeCell ref="B338:C338"/>
    <mergeCell ref="B341:C341"/>
    <mergeCell ref="B342:C342"/>
    <mergeCell ref="B345:C345"/>
    <mergeCell ref="B343:C343"/>
    <mergeCell ref="B344:C344"/>
    <mergeCell ref="B346:C346"/>
    <mergeCell ref="B347:C347"/>
    <mergeCell ref="B366:C366"/>
    <mergeCell ref="B367:C367"/>
    <mergeCell ref="B368:C368"/>
    <mergeCell ref="B369:C369"/>
    <mergeCell ref="E480:G480"/>
    <mergeCell ref="H480:I480"/>
    <mergeCell ref="D478:I478"/>
    <mergeCell ref="B424:C424"/>
    <mergeCell ref="B425:C425"/>
    <mergeCell ref="B372:C372"/>
    <mergeCell ref="B422:C422"/>
    <mergeCell ref="B423:C423"/>
    <mergeCell ref="B380:C380"/>
    <mergeCell ref="B381:C381"/>
    <mergeCell ref="B382:C382"/>
    <mergeCell ref="B383:C383"/>
    <mergeCell ref="B384:C384"/>
    <mergeCell ref="B387:C387"/>
    <mergeCell ref="B388:C388"/>
    <mergeCell ref="B392:C392"/>
    <mergeCell ref="B393:C393"/>
    <mergeCell ref="B394:C394"/>
  </mergeCells>
  <pageMargins left="0.31496062992125984" right="0.31496062992125984" top="0.39370078740157483" bottom="0.39370078740157483" header="0.31496062992125984" footer="0.31496062992125984"/>
  <pageSetup paperSize="9" scale="57" fitToHeight="2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M18" sqref="M18:S18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466</v>
      </c>
      <c r="B1" s="158"/>
      <c r="C1" s="159">
        <f>D2+E2+F2+G2+H2+I2+J2+M2+P2</f>
        <v>117279.92954000011</v>
      </c>
      <c r="D1" s="187" t="s">
        <v>8</v>
      </c>
      <c r="E1" s="67" t="s">
        <v>9</v>
      </c>
      <c r="F1" s="188" t="s">
        <v>89</v>
      </c>
      <c r="G1" s="188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188" t="s">
        <v>10</v>
      </c>
      <c r="U1" s="188" t="s">
        <v>11</v>
      </c>
      <c r="V1" s="188" t="s">
        <v>89</v>
      </c>
      <c r="W1" s="188" t="s">
        <v>86</v>
      </c>
      <c r="X1" s="188" t="s">
        <v>238</v>
      </c>
      <c r="Y1" s="188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'Fev26'!D469</f>
        <v>12717.607040000057</v>
      </c>
      <c r="E2" s="68">
        <f>'Fev26'!E469</f>
        <v>-43287.790000000008</v>
      </c>
      <c r="F2" s="80">
        <f>'Fev26'!F469</f>
        <v>0.65000000000145519</v>
      </c>
      <c r="G2" s="80">
        <f>'Fev26'!G469</f>
        <v>0</v>
      </c>
      <c r="H2" s="68">
        <f>'Fev26'!H469</f>
        <v>65082.292500000054</v>
      </c>
      <c r="I2" s="68">
        <f>'Fev26'!I469</f>
        <v>10004.65</v>
      </c>
      <c r="J2" s="68">
        <f>'Fev26'!J469</f>
        <v>0</v>
      </c>
      <c r="K2" s="165">
        <f>'Fev26'!K469</f>
        <v>12170</v>
      </c>
      <c r="L2" s="166">
        <f>'Fev26'!L469</f>
        <v>5.1465924404272805</v>
      </c>
      <c r="M2" s="68">
        <f>'Fev26'!M469</f>
        <v>62634.03</v>
      </c>
      <c r="N2" s="165">
        <f>'Fev26'!N469</f>
        <v>2783</v>
      </c>
      <c r="O2" s="166">
        <f>'Fev26'!O469</f>
        <v>3.6394143011139057</v>
      </c>
      <c r="P2" s="68">
        <f>'Fev26'!P469</f>
        <v>10128.49</v>
      </c>
      <c r="Q2" s="165">
        <v>214</v>
      </c>
      <c r="R2" s="166">
        <v>6.0994999999999999</v>
      </c>
      <c r="S2" s="68">
        <f>Q2*R2</f>
        <v>1305.2929999999999</v>
      </c>
      <c r="T2" s="80">
        <f>'Fev26'!Q469</f>
        <v>-537317.12890000001</v>
      </c>
      <c r="U2" s="80">
        <f>'Fev26'!R469</f>
        <v>50229.299999999996</v>
      </c>
      <c r="V2" s="80">
        <f>'Fev26'!S469</f>
        <v>0</v>
      </c>
      <c r="W2" s="80">
        <f>'Fev26'!T469</f>
        <v>0</v>
      </c>
      <c r="X2" s="80">
        <f>'Fev26'!U469</f>
        <v>0</v>
      </c>
      <c r="Y2" s="80">
        <f>'Fev26'!V469</f>
        <v>0</v>
      </c>
      <c r="Z2" s="80">
        <f>'Fev26'!W469</f>
        <v>0</v>
      </c>
      <c r="AA2" s="80">
        <f>'Fev26'!X469</f>
        <v>0</v>
      </c>
      <c r="AB2" s="80">
        <f>'Fev26'!Y469</f>
        <v>0</v>
      </c>
      <c r="AC2" s="80">
        <f>'Fev26'!Z469</f>
        <v>0</v>
      </c>
      <c r="AD2" s="80">
        <f>'Fev26'!AA469</f>
        <v>0</v>
      </c>
      <c r="AE2" s="80">
        <f>'Fev26'!AB469</f>
        <v>0</v>
      </c>
      <c r="AF2" s="80">
        <f>'Fev26'!AC469</f>
        <v>0</v>
      </c>
      <c r="AG2" s="80">
        <f>'Fev26'!AD469</f>
        <v>0</v>
      </c>
      <c r="AH2" s="80">
        <f>'Fev26'!AE469</f>
        <v>0</v>
      </c>
      <c r="AI2" s="80">
        <f>'Fev26'!AF469</f>
        <v>0</v>
      </c>
      <c r="AJ2" s="80">
        <f>'Fev26'!AG469</f>
        <v>0</v>
      </c>
      <c r="AK2" s="80">
        <f>'Fev26'!AH469</f>
        <v>0</v>
      </c>
      <c r="AL2" s="80">
        <f>'Fev26'!AI469</f>
        <v>0</v>
      </c>
      <c r="AM2" s="80">
        <f>'Fev26'!AJ469</f>
        <v>0</v>
      </c>
      <c r="AN2" s="80">
        <f>'Fev26'!AK469</f>
        <v>0</v>
      </c>
      <c r="AO2" s="80">
        <f>'Fev26'!AL469</f>
        <v>0</v>
      </c>
      <c r="AP2" s="80">
        <f>'Fev26'!AM469</f>
        <v>0</v>
      </c>
      <c r="AQ2" s="80">
        <f>'Fev26'!AN469</f>
        <v>0</v>
      </c>
      <c r="AR2" s="68">
        <f>'Fev26'!AO469</f>
        <v>-369807.89935999992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46082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46083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46084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46085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46086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46087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46088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46089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46090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46091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46092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46093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46094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46095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>
        <f>A223</f>
        <v>0</v>
      </c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46096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46097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46098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46099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46100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46101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46102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46103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46104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46105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46106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46107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46108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46109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46110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46111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46112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Q531:S531"/>
    <mergeCell ref="Q532:R532"/>
    <mergeCell ref="Q533:R533"/>
    <mergeCell ref="Q534:R534"/>
    <mergeCell ref="Q535:R535"/>
    <mergeCell ref="Q536:S536"/>
    <mergeCell ref="N1:P1"/>
    <mergeCell ref="B4:C4"/>
    <mergeCell ref="B5:C5"/>
    <mergeCell ref="B6:C6"/>
    <mergeCell ref="B37:C37"/>
    <mergeCell ref="B38:C38"/>
    <mergeCell ref="Q1:S1"/>
    <mergeCell ref="B39:C39"/>
    <mergeCell ref="B10:C10"/>
    <mergeCell ref="B12:C12"/>
    <mergeCell ref="B13:C13"/>
    <mergeCell ref="B15:C15"/>
    <mergeCell ref="B16:C16"/>
    <mergeCell ref="B17:C17"/>
    <mergeCell ref="B14:C14"/>
    <mergeCell ref="K1:M1"/>
    <mergeCell ref="B29:C29"/>
    <mergeCell ref="B243:C243"/>
    <mergeCell ref="B51:C51"/>
    <mergeCell ref="B54:C54"/>
    <mergeCell ref="B55:C55"/>
    <mergeCell ref="B56:C56"/>
    <mergeCell ref="B43:C43"/>
    <mergeCell ref="B44:C44"/>
    <mergeCell ref="B45:C45"/>
    <mergeCell ref="B46:C46"/>
    <mergeCell ref="B47:C47"/>
    <mergeCell ref="B30:C30"/>
    <mergeCell ref="B33:C33"/>
    <mergeCell ref="B32:C32"/>
    <mergeCell ref="B85:C85"/>
    <mergeCell ref="B77:C77"/>
    <mergeCell ref="B68:C68"/>
    <mergeCell ref="B58:C58"/>
    <mergeCell ref="B75:C75"/>
    <mergeCell ref="B60:C60"/>
    <mergeCell ref="B61:C61"/>
    <mergeCell ref="B62:C62"/>
    <mergeCell ref="B63:C63"/>
    <mergeCell ref="B64:C64"/>
    <mergeCell ref="B65:C65"/>
    <mergeCell ref="B48:C48"/>
    <mergeCell ref="B49:C49"/>
    <mergeCell ref="B40:C40"/>
    <mergeCell ref="B41:C41"/>
    <mergeCell ref="B42:C42"/>
    <mergeCell ref="B31:C31"/>
    <mergeCell ref="B34:C34"/>
    <mergeCell ref="B57:C57"/>
    <mergeCell ref="B59:C59"/>
    <mergeCell ref="B50:C50"/>
    <mergeCell ref="B130:C130"/>
    <mergeCell ref="B131:C131"/>
    <mergeCell ref="B132:C132"/>
    <mergeCell ref="B133:C133"/>
    <mergeCell ref="B134:C134"/>
    <mergeCell ref="B135:C135"/>
    <mergeCell ref="B136:C136"/>
    <mergeCell ref="B102:C102"/>
    <mergeCell ref="B108:C108"/>
    <mergeCell ref="B110:C110"/>
    <mergeCell ref="B111:C111"/>
    <mergeCell ref="B109:C109"/>
    <mergeCell ref="B105:C105"/>
    <mergeCell ref="B106:C106"/>
    <mergeCell ref="B107:C107"/>
    <mergeCell ref="B116:C116"/>
    <mergeCell ref="B117:C117"/>
    <mergeCell ref="B118:C118"/>
    <mergeCell ref="B127:C127"/>
    <mergeCell ref="B128:C128"/>
    <mergeCell ref="B119:C119"/>
    <mergeCell ref="B122:C122"/>
    <mergeCell ref="B123:C123"/>
    <mergeCell ref="B124:C124"/>
    <mergeCell ref="B125:C125"/>
    <mergeCell ref="B126:C126"/>
    <mergeCell ref="B129:C129"/>
    <mergeCell ref="B157:C157"/>
    <mergeCell ref="B163:C163"/>
    <mergeCell ref="B164:C164"/>
    <mergeCell ref="B165:C165"/>
    <mergeCell ref="B166:C166"/>
    <mergeCell ref="B167:C167"/>
    <mergeCell ref="B139:C139"/>
    <mergeCell ref="B148:C148"/>
    <mergeCell ref="B149:C149"/>
    <mergeCell ref="B150:C150"/>
    <mergeCell ref="B151:C151"/>
    <mergeCell ref="B152:C152"/>
    <mergeCell ref="B156:C156"/>
    <mergeCell ref="B153:C153"/>
    <mergeCell ref="B140:C140"/>
    <mergeCell ref="B141:C141"/>
    <mergeCell ref="B142:C142"/>
    <mergeCell ref="B143:C143"/>
    <mergeCell ref="B145:C145"/>
    <mergeCell ref="B146:C146"/>
    <mergeCell ref="B144:C144"/>
    <mergeCell ref="B168:C168"/>
    <mergeCell ref="B169:C169"/>
    <mergeCell ref="B147:C147"/>
    <mergeCell ref="B197:C197"/>
    <mergeCell ref="B173:C173"/>
    <mergeCell ref="B174:C174"/>
    <mergeCell ref="B175:C175"/>
    <mergeCell ref="B176:C176"/>
    <mergeCell ref="B178:C178"/>
    <mergeCell ref="B179:C179"/>
    <mergeCell ref="B158:C158"/>
    <mergeCell ref="B159:C159"/>
    <mergeCell ref="B161:C161"/>
    <mergeCell ref="B162:C162"/>
    <mergeCell ref="B160:C160"/>
    <mergeCell ref="B195:C195"/>
    <mergeCell ref="B196:C196"/>
    <mergeCell ref="B187:C187"/>
    <mergeCell ref="B190:C190"/>
    <mergeCell ref="B191:C191"/>
    <mergeCell ref="B192:C192"/>
    <mergeCell ref="B193:C193"/>
    <mergeCell ref="B177:C177"/>
    <mergeCell ref="B170:C170"/>
    <mergeCell ref="B194:C194"/>
    <mergeCell ref="B180:C180"/>
    <mergeCell ref="B181:C181"/>
    <mergeCell ref="B182:C182"/>
    <mergeCell ref="B183:C183"/>
    <mergeCell ref="B184:C184"/>
    <mergeCell ref="B185:C185"/>
    <mergeCell ref="B186:C186"/>
    <mergeCell ref="B253:C253"/>
    <mergeCell ref="B198:C198"/>
    <mergeCell ref="B199:C199"/>
    <mergeCell ref="B200:C200"/>
    <mergeCell ref="B201:C201"/>
    <mergeCell ref="B202:C202"/>
    <mergeCell ref="B203:C203"/>
    <mergeCell ref="B214:C214"/>
    <mergeCell ref="B215:C215"/>
    <mergeCell ref="B216:C216"/>
    <mergeCell ref="B204:C204"/>
    <mergeCell ref="B217:C217"/>
    <mergeCell ref="B218:C218"/>
    <mergeCell ref="B219:C219"/>
    <mergeCell ref="B220:C220"/>
    <mergeCell ref="B221:C221"/>
    <mergeCell ref="B254:C254"/>
    <mergeCell ref="B241:C241"/>
    <mergeCell ref="B242:C242"/>
    <mergeCell ref="B245:C245"/>
    <mergeCell ref="B226:C226"/>
    <mergeCell ref="B227:C227"/>
    <mergeCell ref="B229:C229"/>
    <mergeCell ref="B230:C230"/>
    <mergeCell ref="B236:C236"/>
    <mergeCell ref="B237:C237"/>
    <mergeCell ref="B244:C244"/>
    <mergeCell ref="B246:C246"/>
    <mergeCell ref="B247:C247"/>
    <mergeCell ref="B238:C238"/>
    <mergeCell ref="B248:C248"/>
    <mergeCell ref="B249:C249"/>
    <mergeCell ref="B250:C250"/>
    <mergeCell ref="B251:C251"/>
    <mergeCell ref="B252:C252"/>
    <mergeCell ref="B231:C231"/>
    <mergeCell ref="B232:C232"/>
    <mergeCell ref="B233:C233"/>
    <mergeCell ref="B234:C234"/>
    <mergeCell ref="B235:C235"/>
    <mergeCell ref="B255:C255"/>
    <mergeCell ref="B265:C265"/>
    <mergeCell ref="B266:C266"/>
    <mergeCell ref="B267:C267"/>
    <mergeCell ref="B268:C268"/>
    <mergeCell ref="B269:C269"/>
    <mergeCell ref="B270:C270"/>
    <mergeCell ref="B271:C271"/>
    <mergeCell ref="B258:C258"/>
    <mergeCell ref="B259:C259"/>
    <mergeCell ref="B260:C260"/>
    <mergeCell ref="B262:C262"/>
    <mergeCell ref="B299:C299"/>
    <mergeCell ref="B275:C275"/>
    <mergeCell ref="B276:C276"/>
    <mergeCell ref="B277:C277"/>
    <mergeCell ref="B278:C278"/>
    <mergeCell ref="B279:C279"/>
    <mergeCell ref="B280:C280"/>
    <mergeCell ref="B261:C261"/>
    <mergeCell ref="B263:C263"/>
    <mergeCell ref="B264:C264"/>
    <mergeCell ref="B293:C293"/>
    <mergeCell ref="B294:C294"/>
    <mergeCell ref="B295:C295"/>
    <mergeCell ref="B297:C297"/>
    <mergeCell ref="B298:C298"/>
    <mergeCell ref="B289:C289"/>
    <mergeCell ref="B281:C281"/>
    <mergeCell ref="B272:C272"/>
    <mergeCell ref="B292:C292"/>
    <mergeCell ref="B282:C282"/>
    <mergeCell ref="B283:C283"/>
    <mergeCell ref="B284:C284"/>
    <mergeCell ref="B285:C285"/>
    <mergeCell ref="B286:C286"/>
    <mergeCell ref="B287:C287"/>
    <mergeCell ref="B288:C288"/>
    <mergeCell ref="B296:C296"/>
    <mergeCell ref="B351:C351"/>
    <mergeCell ref="B352:C352"/>
    <mergeCell ref="B353:C353"/>
    <mergeCell ref="B354:C354"/>
    <mergeCell ref="B355:C355"/>
    <mergeCell ref="B356:C356"/>
    <mergeCell ref="B323:C323"/>
    <mergeCell ref="B312:C312"/>
    <mergeCell ref="B314:C314"/>
    <mergeCell ref="B315:C315"/>
    <mergeCell ref="B313:C313"/>
    <mergeCell ref="B319:C319"/>
    <mergeCell ref="B300:C30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69:C369"/>
    <mergeCell ref="B370:C370"/>
    <mergeCell ref="B371:C371"/>
    <mergeCell ref="B372:C372"/>
    <mergeCell ref="B373:C373"/>
    <mergeCell ref="B378:C378"/>
    <mergeCell ref="B379:C379"/>
    <mergeCell ref="B380:C380"/>
    <mergeCell ref="B381:C381"/>
    <mergeCell ref="B366:C366"/>
    <mergeCell ref="B357:C357"/>
    <mergeCell ref="B360:C360"/>
    <mergeCell ref="B361:C361"/>
    <mergeCell ref="B362:C362"/>
    <mergeCell ref="B363:C363"/>
    <mergeCell ref="B364:C364"/>
    <mergeCell ref="B367:C367"/>
    <mergeCell ref="B368:C368"/>
    <mergeCell ref="B382:C382"/>
    <mergeCell ref="B374:C374"/>
    <mergeCell ref="B377:C377"/>
    <mergeCell ref="B383:C383"/>
    <mergeCell ref="B384:C384"/>
    <mergeCell ref="B418:C418"/>
    <mergeCell ref="B419:C419"/>
    <mergeCell ref="B420:C420"/>
    <mergeCell ref="B421:C421"/>
    <mergeCell ref="B391:C391"/>
    <mergeCell ref="B385:C385"/>
    <mergeCell ref="B386:C386"/>
    <mergeCell ref="B387:C387"/>
    <mergeCell ref="B388:C388"/>
    <mergeCell ref="B389:C389"/>
    <mergeCell ref="B390:C390"/>
    <mergeCell ref="B422:C422"/>
    <mergeCell ref="B423:C423"/>
    <mergeCell ref="B394:C394"/>
    <mergeCell ref="B395:C395"/>
    <mergeCell ref="B397:C397"/>
    <mergeCell ref="B396:C396"/>
    <mergeCell ref="B411:C411"/>
    <mergeCell ref="B412:C412"/>
    <mergeCell ref="B413:C413"/>
    <mergeCell ref="B414:C414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53:C453"/>
    <mergeCell ref="B454:C454"/>
    <mergeCell ref="B455:C455"/>
    <mergeCell ref="B456:C456"/>
    <mergeCell ref="B457:C457"/>
    <mergeCell ref="B458:C458"/>
    <mergeCell ref="B433:C433"/>
    <mergeCell ref="B434:C434"/>
    <mergeCell ref="B425:C425"/>
    <mergeCell ref="B428:C428"/>
    <mergeCell ref="B429:C429"/>
    <mergeCell ref="B430:C430"/>
    <mergeCell ref="B431:C431"/>
    <mergeCell ref="B448:C448"/>
    <mergeCell ref="B442:C442"/>
    <mergeCell ref="B470:C470"/>
    <mergeCell ref="B471:C471"/>
    <mergeCell ref="B472:C472"/>
    <mergeCell ref="B473:C473"/>
    <mergeCell ref="B516:C516"/>
    <mergeCell ref="B518:C518"/>
    <mergeCell ref="B519:C519"/>
    <mergeCell ref="B510:C510"/>
    <mergeCell ref="B513:C513"/>
    <mergeCell ref="B514:C514"/>
    <mergeCell ref="B515:C515"/>
    <mergeCell ref="B517:C517"/>
    <mergeCell ref="B505:C505"/>
    <mergeCell ref="B506:C506"/>
    <mergeCell ref="B507:C507"/>
    <mergeCell ref="B508:C508"/>
    <mergeCell ref="B509:C509"/>
    <mergeCell ref="B474:C474"/>
    <mergeCell ref="B475:C475"/>
    <mergeCell ref="B479:C479"/>
    <mergeCell ref="B480:C480"/>
    <mergeCell ref="B481:C481"/>
    <mergeCell ref="B482:C482"/>
    <mergeCell ref="B483:C483"/>
    <mergeCell ref="B459:C459"/>
    <mergeCell ref="B462:C462"/>
    <mergeCell ref="B463:C463"/>
    <mergeCell ref="B464:C464"/>
    <mergeCell ref="B465:C465"/>
    <mergeCell ref="B467:C467"/>
    <mergeCell ref="B468:C468"/>
    <mergeCell ref="B466:C466"/>
    <mergeCell ref="B469:C469"/>
    <mergeCell ref="B520:C520"/>
    <mergeCell ref="H534:I534"/>
    <mergeCell ref="K534:L534"/>
    <mergeCell ref="N534:O534"/>
    <mergeCell ref="E531:G531"/>
    <mergeCell ref="H531:I531"/>
    <mergeCell ref="K531:M531"/>
    <mergeCell ref="N531:P531"/>
    <mergeCell ref="E532:G532"/>
    <mergeCell ref="H532:I532"/>
    <mergeCell ref="K532:L532"/>
    <mergeCell ref="N532:O532"/>
    <mergeCell ref="E533:G533"/>
    <mergeCell ref="H533:I533"/>
    <mergeCell ref="B527:C527"/>
    <mergeCell ref="K533:L533"/>
    <mergeCell ref="N533:O533"/>
    <mergeCell ref="E534:G534"/>
    <mergeCell ref="B521:C521"/>
    <mergeCell ref="B522:C522"/>
    <mergeCell ref="B523:C523"/>
    <mergeCell ref="B524:C524"/>
    <mergeCell ref="B525:C525"/>
    <mergeCell ref="B526:C526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K535:L535"/>
    <mergeCell ref="N535:O535"/>
    <mergeCell ref="E536:G536"/>
    <mergeCell ref="H536:I536"/>
    <mergeCell ref="K536:M536"/>
    <mergeCell ref="N536:P536"/>
    <mergeCell ref="E540:G540"/>
    <mergeCell ref="H540:I540"/>
    <mergeCell ref="E541:G541"/>
    <mergeCell ref="H541:I541"/>
    <mergeCell ref="E535:G535"/>
    <mergeCell ref="H535:I535"/>
    <mergeCell ref="B207:C207"/>
    <mergeCell ref="B208:C208"/>
    <mergeCell ref="B365:C365"/>
    <mergeCell ref="B398:C398"/>
    <mergeCell ref="B415:C415"/>
    <mergeCell ref="B432:C432"/>
    <mergeCell ref="B211:C211"/>
    <mergeCell ref="B228:C228"/>
    <mergeCell ref="B224:C224"/>
    <mergeCell ref="B225:C225"/>
    <mergeCell ref="B209:C209"/>
    <mergeCell ref="B210:C210"/>
    <mergeCell ref="B212:C212"/>
    <mergeCell ref="B213:C213"/>
    <mergeCell ref="B416:C416"/>
    <mergeCell ref="B417:C417"/>
    <mergeCell ref="B408:C408"/>
    <mergeCell ref="B306:C306"/>
    <mergeCell ref="B309:C309"/>
    <mergeCell ref="B310:C310"/>
    <mergeCell ref="B311:C311"/>
    <mergeCell ref="B320:C320"/>
    <mergeCell ref="B321:C321"/>
    <mergeCell ref="B322:C322"/>
    <mergeCell ref="B25:C25"/>
    <mergeCell ref="B26:C26"/>
    <mergeCell ref="B27:C27"/>
    <mergeCell ref="B28:C28"/>
    <mergeCell ref="B7:C7"/>
    <mergeCell ref="B8:C8"/>
    <mergeCell ref="B3:C3"/>
    <mergeCell ref="B11:C11"/>
    <mergeCell ref="B20:C20"/>
    <mergeCell ref="B21:C21"/>
    <mergeCell ref="B22:C22"/>
    <mergeCell ref="B23:C23"/>
    <mergeCell ref="B24:C24"/>
    <mergeCell ref="B9:C9"/>
    <mergeCell ref="B66:C66"/>
    <mergeCell ref="B67:C67"/>
    <mergeCell ref="B78:C78"/>
    <mergeCell ref="B79:C79"/>
    <mergeCell ref="B80:C80"/>
    <mergeCell ref="B81:C81"/>
    <mergeCell ref="B82:C82"/>
    <mergeCell ref="B83:C83"/>
    <mergeCell ref="B84:C84"/>
    <mergeCell ref="B72:C72"/>
    <mergeCell ref="B73:C73"/>
    <mergeCell ref="B74:C74"/>
    <mergeCell ref="B76:C76"/>
    <mergeCell ref="B71:C71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12:C112"/>
    <mergeCell ref="B113:C113"/>
    <mergeCell ref="B114:C114"/>
    <mergeCell ref="B115:C11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50:C350"/>
    <mergeCell ref="B346:C346"/>
    <mergeCell ref="B348:C348"/>
    <mergeCell ref="B349:C349"/>
    <mergeCell ref="B340:C340"/>
    <mergeCell ref="B343:C343"/>
    <mergeCell ref="B344:C344"/>
    <mergeCell ref="B345:C345"/>
    <mergeCell ref="B347:C347"/>
    <mergeCell ref="B424:C424"/>
    <mergeCell ref="B435:C435"/>
    <mergeCell ref="B436:C436"/>
    <mergeCell ref="B437:C437"/>
    <mergeCell ref="B438:C438"/>
    <mergeCell ref="B439:C439"/>
    <mergeCell ref="B440:C440"/>
    <mergeCell ref="B441:C441"/>
    <mergeCell ref="B452:C452"/>
    <mergeCell ref="B450:C450"/>
    <mergeCell ref="B451:C451"/>
    <mergeCell ref="B445:C445"/>
    <mergeCell ref="B446:C446"/>
    <mergeCell ref="B447:C447"/>
    <mergeCell ref="B449:C449"/>
    <mergeCell ref="B484:C484"/>
    <mergeCell ref="B485:C485"/>
    <mergeCell ref="B476:C476"/>
    <mergeCell ref="B486:C486"/>
    <mergeCell ref="B487:C487"/>
    <mergeCell ref="B488:C488"/>
    <mergeCell ref="B489:C489"/>
    <mergeCell ref="B490:C490"/>
    <mergeCell ref="B491:C491"/>
    <mergeCell ref="B492:C492"/>
    <mergeCell ref="B503:C503"/>
    <mergeCell ref="B504:C504"/>
    <mergeCell ref="B500:C500"/>
    <mergeCell ref="B499:C499"/>
    <mergeCell ref="B501:C501"/>
    <mergeCell ref="B502:C502"/>
    <mergeCell ref="B493:C493"/>
    <mergeCell ref="B496:C496"/>
    <mergeCell ref="B497:C497"/>
    <mergeCell ref="B498:C498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465</v>
      </c>
      <c r="B1" s="158"/>
      <c r="C1" s="159">
        <f>D2+E2+F2+G2+H2+I2+J2+M2+P2</f>
        <v>117279.92954000011</v>
      </c>
      <c r="D1" s="197" t="s">
        <v>8</v>
      </c>
      <c r="E1" s="67" t="s">
        <v>9</v>
      </c>
      <c r="F1" s="198" t="s">
        <v>89</v>
      </c>
      <c r="G1" s="198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198" t="s">
        <v>10</v>
      </c>
      <c r="U1" s="198" t="s">
        <v>11</v>
      </c>
      <c r="V1" s="198" t="s">
        <v>89</v>
      </c>
      <c r="W1" s="198" t="s">
        <v>86</v>
      </c>
      <c r="X1" s="198" t="s">
        <v>238</v>
      </c>
      <c r="Y1" s="198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'Mar26'!D529</f>
        <v>12717.607040000057</v>
      </c>
      <c r="E2" s="68">
        <f>'Mar26'!E529</f>
        <v>-43287.790000000008</v>
      </c>
      <c r="F2" s="68">
        <f>'Mar26'!F529</f>
        <v>0.65000000000145519</v>
      </c>
      <c r="G2" s="68">
        <f>'Mar26'!G529</f>
        <v>0</v>
      </c>
      <c r="H2" s="68">
        <f>'Mar26'!H529</f>
        <v>65082.292500000054</v>
      </c>
      <c r="I2" s="68">
        <f>'Mar26'!I529</f>
        <v>10004.65</v>
      </c>
      <c r="J2" s="68">
        <f>'Mar26'!J529</f>
        <v>0</v>
      </c>
      <c r="K2" s="68">
        <f>'Mar26'!K529</f>
        <v>12170</v>
      </c>
      <c r="L2" s="68">
        <f>'Mar26'!L529</f>
        <v>5.1465924404272805</v>
      </c>
      <c r="M2" s="68">
        <f>'Mar26'!M529</f>
        <v>62634.03</v>
      </c>
      <c r="N2" s="68">
        <f>'Mar26'!N529</f>
        <v>2783</v>
      </c>
      <c r="O2" s="68">
        <f>'Mar26'!O529</f>
        <v>3.6394143011139057</v>
      </c>
      <c r="P2" s="68">
        <f>'Mar26'!P529</f>
        <v>10128.49</v>
      </c>
      <c r="Q2" s="68">
        <f>'Mar26'!Q529</f>
        <v>214</v>
      </c>
      <c r="R2" s="68">
        <f>'Mar26'!R529</f>
        <v>6.099485981308411</v>
      </c>
      <c r="S2" s="68">
        <f>'Mar26'!S529</f>
        <v>1305.29</v>
      </c>
      <c r="T2" s="68">
        <f>'Mar26'!T529</f>
        <v>-537317.12890000001</v>
      </c>
      <c r="U2" s="68">
        <f>'Mar26'!U529</f>
        <v>50229.299999999996</v>
      </c>
      <c r="V2" s="68">
        <f>'Mar26'!V529</f>
        <v>0</v>
      </c>
      <c r="W2" s="68">
        <f>'Mar26'!W529</f>
        <v>0</v>
      </c>
      <c r="X2" s="68">
        <f>'Mar26'!X529</f>
        <v>0</v>
      </c>
      <c r="Y2" s="68">
        <f>'Mar26'!Y529</f>
        <v>0</v>
      </c>
      <c r="Z2" s="68">
        <f>'Mar26'!Z529</f>
        <v>0</v>
      </c>
      <c r="AA2" s="68">
        <f>'Mar26'!AA529</f>
        <v>0</v>
      </c>
      <c r="AB2" s="68">
        <f>'Mar26'!AB529</f>
        <v>0</v>
      </c>
      <c r="AC2" s="68">
        <f>'Mar26'!AC529</f>
        <v>0</v>
      </c>
      <c r="AD2" s="68">
        <f>'Mar26'!AD529</f>
        <v>0</v>
      </c>
      <c r="AE2" s="68">
        <f>'Mar26'!AE529</f>
        <v>0</v>
      </c>
      <c r="AF2" s="68">
        <f>'Mar26'!AF529</f>
        <v>0</v>
      </c>
      <c r="AG2" s="68">
        <f>'Mar26'!AG529</f>
        <v>0</v>
      </c>
      <c r="AH2" s="68">
        <f>'Mar26'!AH529</f>
        <v>0</v>
      </c>
      <c r="AI2" s="68">
        <f>'Mar26'!AI529</f>
        <v>0</v>
      </c>
      <c r="AJ2" s="68">
        <f>'Mar26'!AJ529</f>
        <v>0</v>
      </c>
      <c r="AK2" s="68">
        <f>'Mar26'!AK529</f>
        <v>0</v>
      </c>
      <c r="AL2" s="68">
        <f>'Mar26'!AL529</f>
        <v>0</v>
      </c>
      <c r="AM2" s="68">
        <f>'Mar26'!AM529</f>
        <v>0</v>
      </c>
      <c r="AN2" s="68">
        <f>'Mar26'!AN529</f>
        <v>0</v>
      </c>
      <c r="AO2" s="68">
        <f>'Mar26'!AO529</f>
        <v>0</v>
      </c>
      <c r="AP2" s="68">
        <f>'Mar26'!AP529</f>
        <v>0</v>
      </c>
      <c r="AQ2" s="68">
        <f>'Mar26'!AQ529</f>
        <v>0</v>
      </c>
      <c r="AR2" s="68">
        <f>'Mar26'!AR529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46113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46114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46115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46116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46117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46118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46119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46120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46121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46122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46123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46124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46125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46126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46127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46128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46129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46130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46131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46132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46133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46134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46135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46136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46137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46138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46139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46140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46141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46142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46143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485</v>
      </c>
      <c r="B1" s="158"/>
      <c r="C1" s="159">
        <f>D2+E2+F2+G2+H2+I2+J2+M2+P2</f>
        <v>117279.92954000011</v>
      </c>
      <c r="D1" s="197" t="s">
        <v>8</v>
      </c>
      <c r="E1" s="67" t="s">
        <v>9</v>
      </c>
      <c r="F1" s="198" t="s">
        <v>89</v>
      </c>
      <c r="G1" s="198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198" t="s">
        <v>10</v>
      </c>
      <c r="U1" s="198" t="s">
        <v>11</v>
      </c>
      <c r="V1" s="198" t="s">
        <v>89</v>
      </c>
      <c r="W1" s="198" t="s">
        <v>86</v>
      </c>
      <c r="X1" s="198" t="s">
        <v>238</v>
      </c>
      <c r="Y1" s="198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'Abr26'!D529</f>
        <v>12717.607040000057</v>
      </c>
      <c r="E2" s="68">
        <f>'Abr26'!E529</f>
        <v>-43287.790000000008</v>
      </c>
      <c r="F2" s="68">
        <f>'Abr26'!F529</f>
        <v>0.65000000000145519</v>
      </c>
      <c r="G2" s="68">
        <f>'Abr26'!G529</f>
        <v>0</v>
      </c>
      <c r="H2" s="68">
        <f>'Abr26'!H529</f>
        <v>65082.292500000054</v>
      </c>
      <c r="I2" s="68">
        <f>'Abr26'!I529</f>
        <v>10004.65</v>
      </c>
      <c r="J2" s="68">
        <f>'Abr26'!J529</f>
        <v>0</v>
      </c>
      <c r="K2" s="68">
        <f>'Abr26'!K529</f>
        <v>12170</v>
      </c>
      <c r="L2" s="68">
        <f>'Abr26'!L529</f>
        <v>5.1465924404272805</v>
      </c>
      <c r="M2" s="68">
        <f>'Abr26'!M529</f>
        <v>62634.03</v>
      </c>
      <c r="N2" s="68">
        <f>'Abr26'!N529</f>
        <v>2783</v>
      </c>
      <c r="O2" s="68">
        <f>'Abr26'!O529</f>
        <v>3.6394143011139057</v>
      </c>
      <c r="P2" s="68">
        <f>'Abr26'!P529</f>
        <v>10128.49</v>
      </c>
      <c r="Q2" s="68">
        <f>'Abr26'!Q529</f>
        <v>214</v>
      </c>
      <c r="R2" s="68">
        <f>'Abr26'!R529</f>
        <v>6.099485981308411</v>
      </c>
      <c r="S2" s="68">
        <f>'Abr26'!S529</f>
        <v>1305.29</v>
      </c>
      <c r="T2" s="68">
        <f>'Abr26'!T529</f>
        <v>-537317.12890000001</v>
      </c>
      <c r="U2" s="68">
        <f>'Abr26'!U529</f>
        <v>50229.299999999996</v>
      </c>
      <c r="V2" s="68">
        <f>'Abr26'!V529</f>
        <v>0</v>
      </c>
      <c r="W2" s="68">
        <f>'Abr26'!W529</f>
        <v>0</v>
      </c>
      <c r="X2" s="68">
        <f>'Abr26'!X529</f>
        <v>0</v>
      </c>
      <c r="Y2" s="68">
        <f>'Abr26'!Y529</f>
        <v>0</v>
      </c>
      <c r="Z2" s="68">
        <f>'Abr26'!Z529</f>
        <v>0</v>
      </c>
      <c r="AA2" s="68">
        <f>'Abr26'!AA529</f>
        <v>0</v>
      </c>
      <c r="AB2" s="68">
        <f>'Abr26'!AB529</f>
        <v>0</v>
      </c>
      <c r="AC2" s="68">
        <f>'Abr26'!AC529</f>
        <v>0</v>
      </c>
      <c r="AD2" s="68">
        <f>'Abr26'!AD529</f>
        <v>0</v>
      </c>
      <c r="AE2" s="68">
        <f>'Abr26'!AE529</f>
        <v>0</v>
      </c>
      <c r="AF2" s="68">
        <f>'Abr26'!AF529</f>
        <v>0</v>
      </c>
      <c r="AG2" s="68">
        <f>'Abr26'!AG529</f>
        <v>0</v>
      </c>
      <c r="AH2" s="68">
        <f>'Abr26'!AH529</f>
        <v>0</v>
      </c>
      <c r="AI2" s="68">
        <f>'Abr26'!AI529</f>
        <v>0</v>
      </c>
      <c r="AJ2" s="68">
        <f>'Abr26'!AJ529</f>
        <v>0</v>
      </c>
      <c r="AK2" s="68">
        <f>'Abr26'!AK529</f>
        <v>0</v>
      </c>
      <c r="AL2" s="68">
        <f>'Abr26'!AL529</f>
        <v>0</v>
      </c>
      <c r="AM2" s="68">
        <f>'Abr26'!AM529</f>
        <v>0</v>
      </c>
      <c r="AN2" s="68">
        <f>'Abr26'!AN529</f>
        <v>0</v>
      </c>
      <c r="AO2" s="68">
        <f>'Abr26'!AO529</f>
        <v>0</v>
      </c>
      <c r="AP2" s="68">
        <f>'Abr26'!AP529</f>
        <v>0</v>
      </c>
      <c r="AQ2" s="68">
        <f>'Abr26'!AQ529</f>
        <v>0</v>
      </c>
      <c r="AR2" s="68">
        <f>'Abr26'!AR529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46143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46144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46145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46146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46147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46148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46149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46150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46151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46152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46153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46154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46155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46156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46157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46158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46159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46160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46161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46162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46163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46164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46165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46166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46167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46168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46169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46170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46171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46172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46173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486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'Mai26'!D529</f>
        <v>12717.607040000057</v>
      </c>
      <c r="E2" s="68">
        <f>'Mai26'!E529</f>
        <v>-43287.790000000008</v>
      </c>
      <c r="F2" s="68">
        <f>'Mai26'!F529</f>
        <v>0.65000000000145519</v>
      </c>
      <c r="G2" s="68">
        <f>'Mai26'!G529</f>
        <v>0</v>
      </c>
      <c r="H2" s="68">
        <f>'Mai26'!H529</f>
        <v>65082.292500000054</v>
      </c>
      <c r="I2" s="68">
        <f>'Mai26'!I529</f>
        <v>10004.65</v>
      </c>
      <c r="J2" s="68">
        <f>'Mai26'!J529</f>
        <v>0</v>
      </c>
      <c r="K2" s="68">
        <f>'Mai26'!K529</f>
        <v>12170</v>
      </c>
      <c r="L2" s="68">
        <f>'Mai26'!L529</f>
        <v>5.1465924404272805</v>
      </c>
      <c r="M2" s="68">
        <f>'Mai26'!M529</f>
        <v>62634.03</v>
      </c>
      <c r="N2" s="68">
        <f>'Mai26'!N529</f>
        <v>2783</v>
      </c>
      <c r="O2" s="68">
        <f>'Mai26'!O529</f>
        <v>3.6394143011139057</v>
      </c>
      <c r="P2" s="68">
        <f>'Mai26'!P529</f>
        <v>10128.49</v>
      </c>
      <c r="Q2" s="68">
        <f>'Mai26'!Q529</f>
        <v>214</v>
      </c>
      <c r="R2" s="68">
        <f>'Mai26'!R529</f>
        <v>6.099485981308411</v>
      </c>
      <c r="S2" s="68">
        <f>'Mai26'!S529</f>
        <v>1305.29</v>
      </c>
      <c r="T2" s="68">
        <f>'Mai26'!T529</f>
        <v>-537317.12890000001</v>
      </c>
      <c r="U2" s="68">
        <f>'Mai26'!U529</f>
        <v>50229.299999999996</v>
      </c>
      <c r="V2" s="68">
        <f>'Mai26'!V529</f>
        <v>0</v>
      </c>
      <c r="W2" s="68">
        <f>'Mai26'!W529</f>
        <v>0</v>
      </c>
      <c r="X2" s="68">
        <f>'Mai26'!X529</f>
        <v>0</v>
      </c>
      <c r="Y2" s="68">
        <f>'Mai26'!Y529</f>
        <v>0</v>
      </c>
      <c r="Z2" s="68">
        <f>'Mai26'!Z529</f>
        <v>0</v>
      </c>
      <c r="AA2" s="68">
        <f>'Mai26'!AA529</f>
        <v>0</v>
      </c>
      <c r="AB2" s="68">
        <f>'Mai26'!AB529</f>
        <v>0</v>
      </c>
      <c r="AC2" s="68">
        <f>'Mai26'!AC529</f>
        <v>0</v>
      </c>
      <c r="AD2" s="68">
        <f>'Mai26'!AD529</f>
        <v>0</v>
      </c>
      <c r="AE2" s="68">
        <f>'Mai26'!AE529</f>
        <v>0</v>
      </c>
      <c r="AF2" s="68">
        <f>'Mai26'!AF529</f>
        <v>0</v>
      </c>
      <c r="AG2" s="68">
        <f>'Mai26'!AG529</f>
        <v>0</v>
      </c>
      <c r="AH2" s="68">
        <f>'Mai26'!AH529</f>
        <v>0</v>
      </c>
      <c r="AI2" s="68">
        <f>'Mai26'!AI529</f>
        <v>0</v>
      </c>
      <c r="AJ2" s="68">
        <f>'Mai26'!AJ529</f>
        <v>0</v>
      </c>
      <c r="AK2" s="68">
        <f>'Mai26'!AK529</f>
        <v>0</v>
      </c>
      <c r="AL2" s="68">
        <f>'Mai26'!AL529</f>
        <v>0</v>
      </c>
      <c r="AM2" s="68">
        <f>'Mai26'!AM529</f>
        <v>0</v>
      </c>
      <c r="AN2" s="68">
        <f>'Mai26'!AN529</f>
        <v>0</v>
      </c>
      <c r="AO2" s="68">
        <f>'Mai26'!AO529</f>
        <v>0</v>
      </c>
      <c r="AP2" s="68">
        <f>'Mai26'!AP529</f>
        <v>0</v>
      </c>
      <c r="AQ2" s="68">
        <f>'Mai26'!AQ529</f>
        <v>0</v>
      </c>
      <c r="AR2" s="68">
        <f>'Mai26'!AR529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46174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46175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46176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46177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46178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46179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46180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46181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46182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46183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46184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46185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46186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46187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46188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46189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46190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46191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46192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46193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46194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46195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46196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46197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46198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46199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46200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46201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46202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46203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46204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487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'Jun26'!D529</f>
        <v>12717.607040000057</v>
      </c>
      <c r="E2" s="68">
        <f>'Jun26'!E529</f>
        <v>-43287.790000000008</v>
      </c>
      <c r="F2" s="68">
        <f>'Jun26'!F529</f>
        <v>0.65000000000145519</v>
      </c>
      <c r="G2" s="68">
        <f>'Jun26'!G529</f>
        <v>0</v>
      </c>
      <c r="H2" s="68">
        <f>'Jun26'!H529</f>
        <v>65082.292500000054</v>
      </c>
      <c r="I2" s="68">
        <f>'Jun26'!I529</f>
        <v>10004.65</v>
      </c>
      <c r="J2" s="68">
        <f>'Jun26'!J529</f>
        <v>0</v>
      </c>
      <c r="K2" s="68">
        <f>'Jun26'!K529</f>
        <v>12170</v>
      </c>
      <c r="L2" s="68">
        <f>'Jun26'!L529</f>
        <v>5.1465924404272805</v>
      </c>
      <c r="M2" s="68">
        <f>'Jun26'!M529</f>
        <v>62634.03</v>
      </c>
      <c r="N2" s="68">
        <f>'Jun26'!N529</f>
        <v>2783</v>
      </c>
      <c r="O2" s="68">
        <f>'Jun26'!O529</f>
        <v>3.6394143011139057</v>
      </c>
      <c r="P2" s="68">
        <f>'Jun26'!P529</f>
        <v>10128.49</v>
      </c>
      <c r="Q2" s="68">
        <f>'Jun26'!Q529</f>
        <v>214</v>
      </c>
      <c r="R2" s="68">
        <f>'Jun26'!R529</f>
        <v>6.099485981308411</v>
      </c>
      <c r="S2" s="68">
        <f>'Jun26'!S529</f>
        <v>1305.29</v>
      </c>
      <c r="T2" s="68">
        <f>'Jun26'!T529</f>
        <v>-537317.12890000001</v>
      </c>
      <c r="U2" s="68">
        <f>'Jun26'!U529</f>
        <v>50229.299999999996</v>
      </c>
      <c r="V2" s="68">
        <f>'Jun26'!V529</f>
        <v>0</v>
      </c>
      <c r="W2" s="68">
        <f>'Jun26'!W529</f>
        <v>0</v>
      </c>
      <c r="X2" s="68">
        <f>'Jun26'!X529</f>
        <v>0</v>
      </c>
      <c r="Y2" s="68">
        <f>'Jun26'!Y529</f>
        <v>0</v>
      </c>
      <c r="Z2" s="68">
        <f>'Jun26'!Z529</f>
        <v>0</v>
      </c>
      <c r="AA2" s="68">
        <f>'Jun26'!AA529</f>
        <v>0</v>
      </c>
      <c r="AB2" s="68">
        <f>'Jun26'!AB529</f>
        <v>0</v>
      </c>
      <c r="AC2" s="68">
        <f>'Jun26'!AC529</f>
        <v>0</v>
      </c>
      <c r="AD2" s="68">
        <f>'Jun26'!AD529</f>
        <v>0</v>
      </c>
      <c r="AE2" s="68">
        <f>'Jun26'!AE529</f>
        <v>0</v>
      </c>
      <c r="AF2" s="68">
        <f>'Jun26'!AF529</f>
        <v>0</v>
      </c>
      <c r="AG2" s="68">
        <f>'Jun26'!AG529</f>
        <v>0</v>
      </c>
      <c r="AH2" s="68">
        <f>'Jun26'!AH529</f>
        <v>0</v>
      </c>
      <c r="AI2" s="68">
        <f>'Jun26'!AI529</f>
        <v>0</v>
      </c>
      <c r="AJ2" s="68">
        <f>'Jun26'!AJ529</f>
        <v>0</v>
      </c>
      <c r="AK2" s="68">
        <f>'Jun26'!AK529</f>
        <v>0</v>
      </c>
      <c r="AL2" s="68">
        <f>'Jun26'!AL529</f>
        <v>0</v>
      </c>
      <c r="AM2" s="68">
        <f>'Jun26'!AM529</f>
        <v>0</v>
      </c>
      <c r="AN2" s="68">
        <f>'Jun26'!AN529</f>
        <v>0</v>
      </c>
      <c r="AO2" s="68">
        <f>'Jun26'!AO529</f>
        <v>0</v>
      </c>
      <c r="AP2" s="68">
        <f>'Jun26'!AP529</f>
        <v>0</v>
      </c>
      <c r="AQ2" s="68">
        <f>'Jun26'!AQ529</f>
        <v>0</v>
      </c>
      <c r="AR2" s="68">
        <f>'Jun26'!AR529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46204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46205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46206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46207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46208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46209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46210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46211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46212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46213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46214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46215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46216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46217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46218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46219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46220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46221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46222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46223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46224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46225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46226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46227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46228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46229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46230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46231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46232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46233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46234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488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'Jul26'!D529</f>
        <v>12717.607040000057</v>
      </c>
      <c r="E2" s="68">
        <f>'Jul26'!E529</f>
        <v>-43287.790000000008</v>
      </c>
      <c r="F2" s="68">
        <f>'Jul26'!F529</f>
        <v>0.65000000000145519</v>
      </c>
      <c r="G2" s="68">
        <f>'Jul26'!G529</f>
        <v>0</v>
      </c>
      <c r="H2" s="68">
        <f>'Jul26'!H529</f>
        <v>65082.292500000054</v>
      </c>
      <c r="I2" s="68">
        <f>'Jul26'!I529</f>
        <v>10004.65</v>
      </c>
      <c r="J2" s="68">
        <f>'Jul26'!J529</f>
        <v>0</v>
      </c>
      <c r="K2" s="68">
        <f>'Jul26'!K529</f>
        <v>12170</v>
      </c>
      <c r="L2" s="68">
        <f>'Jul26'!L529</f>
        <v>5.1465924404272805</v>
      </c>
      <c r="M2" s="68">
        <f>'Jul26'!M529</f>
        <v>62634.03</v>
      </c>
      <c r="N2" s="68">
        <f>'Jul26'!N529</f>
        <v>2783</v>
      </c>
      <c r="O2" s="68">
        <f>'Jul26'!O529</f>
        <v>3.6394143011139057</v>
      </c>
      <c r="P2" s="68">
        <f>'Jul26'!P529</f>
        <v>10128.49</v>
      </c>
      <c r="Q2" s="68">
        <f>'Jul26'!Q529</f>
        <v>214</v>
      </c>
      <c r="R2" s="68">
        <f>'Jul26'!R529</f>
        <v>6.099485981308411</v>
      </c>
      <c r="S2" s="68">
        <f>'Jul26'!S529</f>
        <v>1305.29</v>
      </c>
      <c r="T2" s="68">
        <f>'Jul26'!T529</f>
        <v>-537317.12890000001</v>
      </c>
      <c r="U2" s="68">
        <f>'Jul26'!U529</f>
        <v>50229.299999999996</v>
      </c>
      <c r="V2" s="68">
        <f>'Jul26'!V529</f>
        <v>0</v>
      </c>
      <c r="W2" s="68">
        <f>'Jul26'!W529</f>
        <v>0</v>
      </c>
      <c r="X2" s="68">
        <f>'Jul26'!X529</f>
        <v>0</v>
      </c>
      <c r="Y2" s="68">
        <f>'Jul26'!Y529</f>
        <v>0</v>
      </c>
      <c r="Z2" s="68">
        <f>'Jul26'!Z529</f>
        <v>0</v>
      </c>
      <c r="AA2" s="68">
        <f>'Jul26'!AA529</f>
        <v>0</v>
      </c>
      <c r="AB2" s="68">
        <f>'Jul26'!AB529</f>
        <v>0</v>
      </c>
      <c r="AC2" s="68">
        <f>'Jul26'!AC529</f>
        <v>0</v>
      </c>
      <c r="AD2" s="68">
        <f>'Jul26'!AD529</f>
        <v>0</v>
      </c>
      <c r="AE2" s="68">
        <f>'Jul26'!AE529</f>
        <v>0</v>
      </c>
      <c r="AF2" s="68">
        <f>'Jul26'!AF529</f>
        <v>0</v>
      </c>
      <c r="AG2" s="68">
        <f>'Jul26'!AG529</f>
        <v>0</v>
      </c>
      <c r="AH2" s="68">
        <f>'Jul26'!AH529</f>
        <v>0</v>
      </c>
      <c r="AI2" s="68">
        <f>'Jul26'!AI529</f>
        <v>0</v>
      </c>
      <c r="AJ2" s="68">
        <f>'Jul26'!AJ529</f>
        <v>0</v>
      </c>
      <c r="AK2" s="68">
        <f>'Jul26'!AK529</f>
        <v>0</v>
      </c>
      <c r="AL2" s="68">
        <f>'Jul26'!AL529</f>
        <v>0</v>
      </c>
      <c r="AM2" s="68">
        <f>'Jul26'!AM529</f>
        <v>0</v>
      </c>
      <c r="AN2" s="68">
        <f>'Jul26'!AN529</f>
        <v>0</v>
      </c>
      <c r="AO2" s="68">
        <f>'Jul26'!AO529</f>
        <v>0</v>
      </c>
      <c r="AP2" s="68">
        <f>'Jul26'!AP529</f>
        <v>0</v>
      </c>
      <c r="AQ2" s="68">
        <f>'Jul26'!AQ529</f>
        <v>0</v>
      </c>
      <c r="AR2" s="68">
        <f>'Jul26'!AR529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46235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46236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46237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46238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46239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46240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46241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46242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46243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46244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46245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46246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46247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46248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46249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46250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46251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46252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46253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46254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46255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46256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46257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46258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46259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46260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46261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46262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46263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46264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46265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489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'Ago26'!D529</f>
        <v>12717.607040000057</v>
      </c>
      <c r="E2" s="68">
        <f>'Ago26'!E529</f>
        <v>-43287.790000000008</v>
      </c>
      <c r="F2" s="68">
        <f>'Ago26'!F529</f>
        <v>0.65000000000145519</v>
      </c>
      <c r="G2" s="68">
        <f>'Ago26'!G529</f>
        <v>0</v>
      </c>
      <c r="H2" s="68">
        <f>'Ago26'!H529</f>
        <v>65082.292500000054</v>
      </c>
      <c r="I2" s="68">
        <f>'Ago26'!I529</f>
        <v>10004.65</v>
      </c>
      <c r="J2" s="68">
        <f>'Ago26'!J529</f>
        <v>0</v>
      </c>
      <c r="K2" s="68">
        <f>'Ago26'!K529</f>
        <v>12170</v>
      </c>
      <c r="L2" s="68">
        <f>'Ago26'!L529</f>
        <v>5.1465924404272805</v>
      </c>
      <c r="M2" s="68">
        <f>'Ago26'!M529</f>
        <v>62634.03</v>
      </c>
      <c r="N2" s="68">
        <f>'Ago26'!N529</f>
        <v>2783</v>
      </c>
      <c r="O2" s="68">
        <f>'Ago26'!O529</f>
        <v>3.6394143011139057</v>
      </c>
      <c r="P2" s="68">
        <f>'Ago26'!P529</f>
        <v>10128.49</v>
      </c>
      <c r="Q2" s="68">
        <f>'Ago26'!Q529</f>
        <v>214</v>
      </c>
      <c r="R2" s="68">
        <f>'Ago26'!R529</f>
        <v>6.099485981308411</v>
      </c>
      <c r="S2" s="68">
        <f>'Ago26'!S529</f>
        <v>1305.29</v>
      </c>
      <c r="T2" s="68">
        <f>'Ago26'!T529</f>
        <v>-537317.12890000001</v>
      </c>
      <c r="U2" s="68">
        <f>'Ago26'!U529</f>
        <v>50229.299999999996</v>
      </c>
      <c r="V2" s="68">
        <f>'Ago26'!V529</f>
        <v>0</v>
      </c>
      <c r="W2" s="68">
        <f>'Ago26'!W529</f>
        <v>0</v>
      </c>
      <c r="X2" s="68">
        <f>'Ago26'!X529</f>
        <v>0</v>
      </c>
      <c r="Y2" s="68">
        <f>'Ago26'!Y529</f>
        <v>0</v>
      </c>
      <c r="Z2" s="68">
        <f>'Ago26'!Z529</f>
        <v>0</v>
      </c>
      <c r="AA2" s="68">
        <f>'Ago26'!AA529</f>
        <v>0</v>
      </c>
      <c r="AB2" s="68">
        <f>'Ago26'!AB529</f>
        <v>0</v>
      </c>
      <c r="AC2" s="68">
        <f>'Ago26'!AC529</f>
        <v>0</v>
      </c>
      <c r="AD2" s="68">
        <f>'Ago26'!AD529</f>
        <v>0</v>
      </c>
      <c r="AE2" s="68">
        <f>'Ago26'!AE529</f>
        <v>0</v>
      </c>
      <c r="AF2" s="68">
        <f>'Ago26'!AF529</f>
        <v>0</v>
      </c>
      <c r="AG2" s="68">
        <f>'Ago26'!AG529</f>
        <v>0</v>
      </c>
      <c r="AH2" s="68">
        <f>'Ago26'!AH529</f>
        <v>0</v>
      </c>
      <c r="AI2" s="68">
        <f>'Ago26'!AI529</f>
        <v>0</v>
      </c>
      <c r="AJ2" s="68">
        <f>'Ago26'!AJ529</f>
        <v>0</v>
      </c>
      <c r="AK2" s="68">
        <f>'Ago26'!AK529</f>
        <v>0</v>
      </c>
      <c r="AL2" s="68">
        <f>'Ago26'!AL529</f>
        <v>0</v>
      </c>
      <c r="AM2" s="68">
        <f>'Ago26'!AM529</f>
        <v>0</v>
      </c>
      <c r="AN2" s="68">
        <f>'Ago26'!AN529</f>
        <v>0</v>
      </c>
      <c r="AO2" s="68">
        <f>'Ago26'!AO529</f>
        <v>0</v>
      </c>
      <c r="AP2" s="68">
        <f>'Ago26'!AP529</f>
        <v>0</v>
      </c>
      <c r="AQ2" s="68">
        <f>'Ago26'!AQ529</f>
        <v>0</v>
      </c>
      <c r="AR2" s="68">
        <f>'Ago26'!AR529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46266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46267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46268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46269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46270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46271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46272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46273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46274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46275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46276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46277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46278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46279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46280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46281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46282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46283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46284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46285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46286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46287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46288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46289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46290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46291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46292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46293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46294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46295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46296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490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'Set26'!D529</f>
        <v>12717.607040000057</v>
      </c>
      <c r="E2" s="68">
        <f>'Set26'!E529</f>
        <v>-43287.790000000008</v>
      </c>
      <c r="F2" s="68">
        <f>'Set26'!F529</f>
        <v>0.65000000000145519</v>
      </c>
      <c r="G2" s="68">
        <f>'Set26'!G529</f>
        <v>0</v>
      </c>
      <c r="H2" s="68">
        <f>'Set26'!H529</f>
        <v>65082.292500000054</v>
      </c>
      <c r="I2" s="68">
        <f>'Set26'!I529</f>
        <v>10004.65</v>
      </c>
      <c r="J2" s="68">
        <f>'Set26'!J529</f>
        <v>0</v>
      </c>
      <c r="K2" s="68">
        <f>'Set26'!K529</f>
        <v>12170</v>
      </c>
      <c r="L2" s="68">
        <f>'Set26'!L529</f>
        <v>5.1465924404272805</v>
      </c>
      <c r="M2" s="68">
        <f>'Set26'!M529</f>
        <v>62634.03</v>
      </c>
      <c r="N2" s="68">
        <f>'Set26'!N529</f>
        <v>2783</v>
      </c>
      <c r="O2" s="68">
        <f>'Set26'!O529</f>
        <v>3.6394143011139057</v>
      </c>
      <c r="P2" s="68">
        <f>'Set26'!P529</f>
        <v>10128.49</v>
      </c>
      <c r="Q2" s="68">
        <f>'Set26'!Q529</f>
        <v>214</v>
      </c>
      <c r="R2" s="68">
        <f>'Set26'!R529</f>
        <v>6.099485981308411</v>
      </c>
      <c r="S2" s="68">
        <f>'Set26'!S529</f>
        <v>1305.29</v>
      </c>
      <c r="T2" s="68">
        <f>'Set26'!T529</f>
        <v>-537317.12890000001</v>
      </c>
      <c r="U2" s="68">
        <f>'Set26'!U529</f>
        <v>50229.299999999996</v>
      </c>
      <c r="V2" s="68">
        <f>'Set26'!V529</f>
        <v>0</v>
      </c>
      <c r="W2" s="68">
        <f>'Set26'!W529</f>
        <v>0</v>
      </c>
      <c r="X2" s="68">
        <f>'Set26'!X529</f>
        <v>0</v>
      </c>
      <c r="Y2" s="68">
        <f>'Set26'!Y529</f>
        <v>0</v>
      </c>
      <c r="Z2" s="68">
        <f>'Set26'!Z529</f>
        <v>0</v>
      </c>
      <c r="AA2" s="68">
        <f>'Set26'!AA529</f>
        <v>0</v>
      </c>
      <c r="AB2" s="68">
        <f>'Set26'!AB529</f>
        <v>0</v>
      </c>
      <c r="AC2" s="68">
        <f>'Set26'!AC529</f>
        <v>0</v>
      </c>
      <c r="AD2" s="68">
        <f>'Set26'!AD529</f>
        <v>0</v>
      </c>
      <c r="AE2" s="68">
        <f>'Set26'!AE529</f>
        <v>0</v>
      </c>
      <c r="AF2" s="68">
        <f>'Set26'!AF529</f>
        <v>0</v>
      </c>
      <c r="AG2" s="68">
        <f>'Set26'!AG529</f>
        <v>0</v>
      </c>
      <c r="AH2" s="68">
        <f>'Set26'!AH529</f>
        <v>0</v>
      </c>
      <c r="AI2" s="68">
        <f>'Set26'!AI529</f>
        <v>0</v>
      </c>
      <c r="AJ2" s="68">
        <f>'Set26'!AJ529</f>
        <v>0</v>
      </c>
      <c r="AK2" s="68">
        <f>'Set26'!AK529</f>
        <v>0</v>
      </c>
      <c r="AL2" s="68">
        <f>'Set26'!AL529</f>
        <v>0</v>
      </c>
      <c r="AM2" s="68">
        <f>'Set26'!AM529</f>
        <v>0</v>
      </c>
      <c r="AN2" s="68">
        <f>'Set26'!AN529</f>
        <v>0</v>
      </c>
      <c r="AO2" s="68">
        <f>'Set26'!AO529</f>
        <v>0</v>
      </c>
      <c r="AP2" s="68">
        <f>'Set26'!AP529</f>
        <v>0</v>
      </c>
      <c r="AQ2" s="68">
        <f>'Set26'!AQ529</f>
        <v>0</v>
      </c>
      <c r="AR2" s="68">
        <f>'Set26'!AR529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46296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46297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46298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46299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46300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46301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46302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46303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46304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46305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46306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46307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46308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46309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46310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46311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46312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46313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46314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46315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46316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46317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46318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46319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46320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46321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46322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46323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46324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46325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46326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491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'Out26'!D529</f>
        <v>12717.607040000057</v>
      </c>
      <c r="E2" s="68">
        <f>'Out26'!E529</f>
        <v>-43287.790000000008</v>
      </c>
      <c r="F2" s="68">
        <f>'Out26'!F529</f>
        <v>0.65000000000145519</v>
      </c>
      <c r="G2" s="68">
        <f>'Out26'!G529</f>
        <v>0</v>
      </c>
      <c r="H2" s="68">
        <f>'Out26'!H529</f>
        <v>65082.292500000054</v>
      </c>
      <c r="I2" s="68">
        <f>'Out26'!I529</f>
        <v>10004.65</v>
      </c>
      <c r="J2" s="68">
        <f>'Out26'!J529</f>
        <v>0</v>
      </c>
      <c r="K2" s="68">
        <f>'Out26'!K529</f>
        <v>12170</v>
      </c>
      <c r="L2" s="68">
        <f>'Out26'!L529</f>
        <v>5.1465924404272805</v>
      </c>
      <c r="M2" s="68">
        <f>'Out26'!M529</f>
        <v>62634.03</v>
      </c>
      <c r="N2" s="68">
        <f>'Out26'!N529</f>
        <v>2783</v>
      </c>
      <c r="O2" s="68">
        <f>'Out26'!O529</f>
        <v>3.6394143011139057</v>
      </c>
      <c r="P2" s="68">
        <f>'Out26'!P529</f>
        <v>10128.49</v>
      </c>
      <c r="Q2" s="68">
        <f>'Out26'!Q529</f>
        <v>214</v>
      </c>
      <c r="R2" s="68">
        <f>'Out26'!R529</f>
        <v>6.099485981308411</v>
      </c>
      <c r="S2" s="68">
        <f>'Out26'!S529</f>
        <v>1305.29</v>
      </c>
      <c r="T2" s="68">
        <f>'Out26'!T529</f>
        <v>-537317.12890000001</v>
      </c>
      <c r="U2" s="68">
        <f>'Out26'!U529</f>
        <v>50229.299999999996</v>
      </c>
      <c r="V2" s="68">
        <f>'Out26'!V529</f>
        <v>0</v>
      </c>
      <c r="W2" s="68">
        <f>'Out26'!W529</f>
        <v>0</v>
      </c>
      <c r="X2" s="68">
        <f>'Out26'!X529</f>
        <v>0</v>
      </c>
      <c r="Y2" s="68">
        <f>'Out26'!Y529</f>
        <v>0</v>
      </c>
      <c r="Z2" s="68">
        <f>'Out26'!Z529</f>
        <v>0</v>
      </c>
      <c r="AA2" s="68">
        <f>'Out26'!AA529</f>
        <v>0</v>
      </c>
      <c r="AB2" s="68">
        <f>'Out26'!AB529</f>
        <v>0</v>
      </c>
      <c r="AC2" s="68">
        <f>'Out26'!AC529</f>
        <v>0</v>
      </c>
      <c r="AD2" s="68">
        <f>'Out26'!AD529</f>
        <v>0</v>
      </c>
      <c r="AE2" s="68">
        <f>'Out26'!AE529</f>
        <v>0</v>
      </c>
      <c r="AF2" s="68">
        <f>'Out26'!AF529</f>
        <v>0</v>
      </c>
      <c r="AG2" s="68">
        <f>'Out26'!AG529</f>
        <v>0</v>
      </c>
      <c r="AH2" s="68">
        <f>'Out26'!AH529</f>
        <v>0</v>
      </c>
      <c r="AI2" s="68">
        <f>'Out26'!AI529</f>
        <v>0</v>
      </c>
      <c r="AJ2" s="68">
        <f>'Out26'!AJ529</f>
        <v>0</v>
      </c>
      <c r="AK2" s="68">
        <f>'Out26'!AK529</f>
        <v>0</v>
      </c>
      <c r="AL2" s="68">
        <f>'Out26'!AL529</f>
        <v>0</v>
      </c>
      <c r="AM2" s="68">
        <f>'Out26'!AM529</f>
        <v>0</v>
      </c>
      <c r="AN2" s="68">
        <f>'Out26'!AN529</f>
        <v>0</v>
      </c>
      <c r="AO2" s="68">
        <f>'Out26'!AO529</f>
        <v>0</v>
      </c>
      <c r="AP2" s="68">
        <f>'Out26'!AP529</f>
        <v>0</v>
      </c>
      <c r="AQ2" s="68">
        <f>'Out26'!AQ529</f>
        <v>0</v>
      </c>
      <c r="AR2" s="68">
        <f>'Out26'!AR529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46327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46328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46329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46330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46331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46332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46333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46334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46335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46336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46337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46338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46339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46340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46341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46342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46343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46344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46345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46346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46347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46348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46349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46350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46351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46352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46353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46354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46355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46356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46357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543"/>
  <sheetViews>
    <sheetView showGridLines="0" showZeros="0" tabSelected="1" zoomScale="60" zoomScaleNormal="60" zoomScaleSheetLayoutView="70" workbookViewId="0">
      <pane xSplit="16" ySplit="1" topLeftCell="Q2" activePane="bottomRight" state="frozenSplit"/>
      <selection activeCell="B248" sqref="B248:C248"/>
      <selection pane="topRight" activeCell="B248" sqref="B248:C248"/>
      <selection pane="bottomLeft" activeCell="B248" sqref="B248:C248"/>
      <selection pane="bottomRight" activeCell="A2" sqref="A2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492</v>
      </c>
      <c r="B1" s="158"/>
      <c r="C1" s="159">
        <f>D2+E2+F2+G2+H2+I2+J2+M2+P2</f>
        <v>117279.92954000011</v>
      </c>
      <c r="D1" s="199" t="s">
        <v>8</v>
      </c>
      <c r="E1" s="67" t="s">
        <v>9</v>
      </c>
      <c r="F1" s="200" t="s">
        <v>89</v>
      </c>
      <c r="G1" s="200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200" t="s">
        <v>10</v>
      </c>
      <c r="U1" s="200" t="s">
        <v>11</v>
      </c>
      <c r="V1" s="200" t="s">
        <v>89</v>
      </c>
      <c r="W1" s="200" t="s">
        <v>86</v>
      </c>
      <c r="X1" s="200" t="s">
        <v>238</v>
      </c>
      <c r="Y1" s="200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'Nov26'!D529</f>
        <v>12717.607040000057</v>
      </c>
      <c r="E2" s="68">
        <f>'Nov26'!E529</f>
        <v>-43287.790000000008</v>
      </c>
      <c r="F2" s="68">
        <f>'Nov26'!F529</f>
        <v>0.65000000000145519</v>
      </c>
      <c r="G2" s="68">
        <f>'Nov26'!G529</f>
        <v>0</v>
      </c>
      <c r="H2" s="68">
        <f>'Nov26'!H529</f>
        <v>65082.292500000054</v>
      </c>
      <c r="I2" s="68">
        <f>'Nov26'!I529</f>
        <v>10004.65</v>
      </c>
      <c r="J2" s="68">
        <f>'Nov26'!J529</f>
        <v>0</v>
      </c>
      <c r="K2" s="68">
        <f>'Nov26'!K529</f>
        <v>12170</v>
      </c>
      <c r="L2" s="68">
        <f>'Nov26'!L529</f>
        <v>5.1465924404272805</v>
      </c>
      <c r="M2" s="68">
        <f>'Nov26'!M529</f>
        <v>62634.03</v>
      </c>
      <c r="N2" s="68">
        <f>'Nov26'!N529</f>
        <v>2783</v>
      </c>
      <c r="O2" s="68">
        <f>'Nov26'!O529</f>
        <v>3.6394143011139057</v>
      </c>
      <c r="P2" s="68">
        <f>'Nov26'!P529</f>
        <v>10128.49</v>
      </c>
      <c r="Q2" s="68">
        <f>'Nov26'!Q529</f>
        <v>214</v>
      </c>
      <c r="R2" s="68">
        <f>'Nov26'!R529</f>
        <v>6.099485981308411</v>
      </c>
      <c r="S2" s="68">
        <f>'Nov26'!S529</f>
        <v>1305.29</v>
      </c>
      <c r="T2" s="68">
        <f>'Nov26'!T529</f>
        <v>-537317.12890000001</v>
      </c>
      <c r="U2" s="68">
        <f>'Nov26'!U529</f>
        <v>50229.299999999996</v>
      </c>
      <c r="V2" s="68">
        <f>'Nov26'!V529</f>
        <v>0</v>
      </c>
      <c r="W2" s="68">
        <f>'Nov26'!W529</f>
        <v>0</v>
      </c>
      <c r="X2" s="68">
        <f>'Nov26'!X529</f>
        <v>0</v>
      </c>
      <c r="Y2" s="68">
        <f>'Nov26'!Y529</f>
        <v>0</v>
      </c>
      <c r="Z2" s="68">
        <f>'Nov26'!Z529</f>
        <v>0</v>
      </c>
      <c r="AA2" s="68">
        <f>'Nov26'!AA529</f>
        <v>0</v>
      </c>
      <c r="AB2" s="68">
        <f>'Nov26'!AB529</f>
        <v>0</v>
      </c>
      <c r="AC2" s="68">
        <f>'Nov26'!AC529</f>
        <v>0</v>
      </c>
      <c r="AD2" s="68">
        <f>'Nov26'!AD529</f>
        <v>0</v>
      </c>
      <c r="AE2" s="68">
        <f>'Nov26'!AE529</f>
        <v>0</v>
      </c>
      <c r="AF2" s="68">
        <f>'Nov26'!AF529</f>
        <v>0</v>
      </c>
      <c r="AG2" s="68">
        <f>'Nov26'!AG529</f>
        <v>0</v>
      </c>
      <c r="AH2" s="68">
        <f>'Nov26'!AH529</f>
        <v>0</v>
      </c>
      <c r="AI2" s="68">
        <f>'Nov26'!AI529</f>
        <v>0</v>
      </c>
      <c r="AJ2" s="68">
        <f>'Nov26'!AJ529</f>
        <v>0</v>
      </c>
      <c r="AK2" s="68">
        <f>'Nov26'!AK529</f>
        <v>0</v>
      </c>
      <c r="AL2" s="68">
        <f>'Nov26'!AL529</f>
        <v>0</v>
      </c>
      <c r="AM2" s="68">
        <f>'Nov26'!AM529</f>
        <v>0</v>
      </c>
      <c r="AN2" s="68">
        <f>'Nov26'!AN529</f>
        <v>0</v>
      </c>
      <c r="AO2" s="68">
        <f>'Nov26'!AO529</f>
        <v>0</v>
      </c>
      <c r="AP2" s="68">
        <f>'Nov26'!AP529</f>
        <v>0</v>
      </c>
      <c r="AQ2" s="68">
        <f>'Nov26'!AQ529</f>
        <v>0</v>
      </c>
      <c r="AR2" s="68">
        <f>'Nov26'!AR529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46357</v>
      </c>
      <c r="B3" s="261" t="s">
        <v>480</v>
      </c>
      <c r="C3" s="262"/>
      <c r="D3" s="63"/>
      <c r="E3" s="64"/>
      <c r="F3" s="64"/>
      <c r="G3" s="64"/>
      <c r="H3" s="64"/>
      <c r="I3" s="64"/>
      <c r="J3" s="64"/>
      <c r="K3" s="57"/>
      <c r="L3" s="88"/>
      <c r="M3" s="62"/>
      <c r="N3" s="57"/>
      <c r="O3" s="88"/>
      <c r="P3" s="62"/>
      <c r="Q3" s="16"/>
      <c r="R3" s="92"/>
      <c r="S3" s="64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/>
      <c r="AU3" s="11"/>
    </row>
    <row r="4" spans="1:49" s="2" customFormat="1" ht="17.25" customHeight="1" x14ac:dyDescent="0.25">
      <c r="A4" s="29"/>
      <c r="B4" s="201" t="s">
        <v>64</v>
      </c>
      <c r="C4" s="202"/>
      <c r="D4" s="65"/>
      <c r="E4" s="64"/>
      <c r="F4" s="64"/>
      <c r="G4" s="64"/>
      <c r="H4" s="64"/>
      <c r="I4" s="64"/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96</v>
      </c>
      <c r="C5" s="202"/>
      <c r="D5" s="65"/>
      <c r="E5" s="64"/>
      <c r="F5" s="64"/>
      <c r="G5" s="64"/>
      <c r="H5" s="64"/>
      <c r="I5" s="64"/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 t="s">
        <v>4</v>
      </c>
      <c r="AU5" s="11" t="e">
        <v>#REF!</v>
      </c>
    </row>
    <row r="6" spans="1:49" s="2" customFormat="1" ht="17.25" customHeight="1" x14ac:dyDescent="0.25">
      <c r="A6" s="29"/>
      <c r="B6" s="201" t="s">
        <v>327</v>
      </c>
      <c r="C6" s="202"/>
      <c r="D6" s="65"/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2" customFormat="1" ht="17.25" customHeight="1" x14ac:dyDescent="0.25">
      <c r="A7" s="29"/>
      <c r="B7" s="201" t="s">
        <v>328</v>
      </c>
      <c r="C7" s="202"/>
      <c r="D7" s="63"/>
      <c r="E7" s="64"/>
      <c r="F7" s="64"/>
      <c r="G7" s="64"/>
      <c r="H7" s="64"/>
      <c r="I7" s="64"/>
      <c r="J7" s="64"/>
      <c r="K7" s="57"/>
      <c r="L7" s="88"/>
      <c r="M7" s="62"/>
      <c r="N7" s="57"/>
      <c r="O7" s="88"/>
      <c r="P7" s="62"/>
      <c r="Q7" s="16"/>
      <c r="R7" s="92"/>
      <c r="S7" s="64"/>
      <c r="T7" s="47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22"/>
      <c r="AT7" s="10"/>
      <c r="AU7" s="11"/>
    </row>
    <row r="8" spans="1:49" s="2" customFormat="1" ht="17.25" customHeight="1" x14ac:dyDescent="0.25">
      <c r="A8" s="29"/>
      <c r="B8" s="261" t="s">
        <v>481</v>
      </c>
      <c r="C8" s="262"/>
      <c r="D8" s="63"/>
      <c r="E8" s="64"/>
      <c r="F8" s="64"/>
      <c r="G8" s="64"/>
      <c r="H8" s="64"/>
      <c r="I8" s="64"/>
      <c r="J8" s="64"/>
      <c r="K8" s="57"/>
      <c r="L8" s="88"/>
      <c r="M8" s="62"/>
      <c r="N8" s="57"/>
      <c r="O8" s="88"/>
      <c r="P8" s="62"/>
      <c r="Q8" s="16"/>
      <c r="R8" s="92"/>
      <c r="S8" s="64"/>
      <c r="T8" s="47"/>
      <c r="U8" s="39"/>
      <c r="V8" s="39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22"/>
      <c r="AT8" s="10"/>
      <c r="AU8" s="11"/>
    </row>
    <row r="9" spans="1:49" s="2" customFormat="1" ht="17.25" customHeight="1" x14ac:dyDescent="0.25">
      <c r="A9" s="29"/>
      <c r="B9" s="201" t="s">
        <v>483</v>
      </c>
      <c r="C9" s="202"/>
      <c r="D9" s="63"/>
      <c r="E9" s="64"/>
      <c r="F9" s="64"/>
      <c r="G9" s="64"/>
      <c r="H9" s="64"/>
      <c r="I9" s="64"/>
      <c r="J9" s="64"/>
      <c r="K9" s="57"/>
      <c r="L9" s="88"/>
      <c r="M9" s="62"/>
      <c r="N9" s="57"/>
      <c r="O9" s="88"/>
      <c r="P9" s="62"/>
      <c r="Q9" s="16"/>
      <c r="R9" s="92"/>
      <c r="S9" s="64"/>
      <c r="T9" s="47"/>
      <c r="U9" s="39"/>
      <c r="V9" s="39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22"/>
      <c r="AT9" s="10"/>
      <c r="AU9" s="11"/>
    </row>
    <row r="10" spans="1:49" s="4" customFormat="1" ht="17.25" customHeight="1" thickBot="1" x14ac:dyDescent="0.3">
      <c r="A10" s="24"/>
      <c r="B10" s="246"/>
      <c r="C10" s="246"/>
      <c r="D10" s="81"/>
      <c r="E10" s="81"/>
      <c r="F10" s="81"/>
      <c r="G10" s="81"/>
      <c r="H10" s="81"/>
      <c r="I10" s="81"/>
      <c r="J10" s="81"/>
      <c r="K10" s="59"/>
      <c r="L10" s="90"/>
      <c r="M10" s="136"/>
      <c r="N10" s="59"/>
      <c r="O10" s="90"/>
      <c r="P10" s="136"/>
      <c r="Q10" s="59"/>
      <c r="R10" s="90"/>
      <c r="S10" s="136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/>
      <c r="AS10" s="12" t="e">
        <f>#REF!</f>
        <v>#REF!</v>
      </c>
      <c r="AW10" s="2"/>
    </row>
    <row r="11" spans="1:49" s="2" customFormat="1" ht="17.25" customHeight="1" x14ac:dyDescent="0.25">
      <c r="A11" s="29"/>
      <c r="B11" s="261" t="s">
        <v>482</v>
      </c>
      <c r="C11" s="262"/>
      <c r="D11" s="63"/>
      <c r="E11" s="64"/>
      <c r="F11" s="64"/>
      <c r="G11" s="64"/>
      <c r="H11" s="64"/>
      <c r="I11" s="64"/>
      <c r="J11" s="64"/>
      <c r="K11" s="57"/>
      <c r="L11" s="88"/>
      <c r="M11" s="62"/>
      <c r="N11" s="57"/>
      <c r="O11" s="88"/>
      <c r="P11" s="62"/>
      <c r="Q11" s="16"/>
      <c r="R11" s="92"/>
      <c r="S11" s="64"/>
      <c r="T11" s="47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22"/>
      <c r="AT11" s="10"/>
      <c r="AU11" s="11"/>
    </row>
    <row r="12" spans="1:49" s="4" customFormat="1" ht="17.25" customHeight="1" x14ac:dyDescent="0.25">
      <c r="A12" s="23"/>
      <c r="B12" s="212" t="s">
        <v>94</v>
      </c>
      <c r="C12" s="212"/>
      <c r="D12" s="66"/>
      <c r="E12" s="66"/>
      <c r="F12" s="117"/>
      <c r="G12" s="117"/>
      <c r="H12" s="66"/>
      <c r="I12" s="66"/>
      <c r="J12" s="66"/>
      <c r="K12" s="58"/>
      <c r="L12" s="89"/>
      <c r="M12" s="73"/>
      <c r="N12" s="58"/>
      <c r="O12" s="89"/>
      <c r="P12" s="73"/>
      <c r="Q12" s="58"/>
      <c r="R12" s="89"/>
      <c r="S12" s="73"/>
      <c r="T12" s="39"/>
      <c r="U12" s="39"/>
      <c r="V12" s="8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35"/>
      <c r="AS12" s="12" t="e">
        <f>#REF!</f>
        <v>#REF!</v>
      </c>
    </row>
    <row r="13" spans="1:49" s="4" customFormat="1" ht="17.25" customHeight="1" x14ac:dyDescent="0.25">
      <c r="A13" s="23"/>
      <c r="B13" s="201" t="s">
        <v>95</v>
      </c>
      <c r="C13" s="203"/>
      <c r="D13" s="64"/>
      <c r="E13" s="64"/>
      <c r="F13" s="117"/>
      <c r="G13" s="117"/>
      <c r="H13" s="64"/>
      <c r="I13" s="64"/>
      <c r="J13" s="64"/>
      <c r="K13" s="57"/>
      <c r="L13" s="88"/>
      <c r="M13" s="62"/>
      <c r="N13" s="57"/>
      <c r="O13" s="88"/>
      <c r="P13" s="62"/>
      <c r="Q13" s="57"/>
      <c r="R13" s="88"/>
      <c r="S13" s="62"/>
      <c r="T13" s="39"/>
      <c r="U13" s="39"/>
      <c r="V13" s="8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35"/>
      <c r="AS13" s="12" t="e">
        <f>#REF!</f>
        <v>#REF!</v>
      </c>
    </row>
    <row r="14" spans="1:49" s="4" customFormat="1" ht="17.25" customHeight="1" x14ac:dyDescent="0.25">
      <c r="A14" s="23"/>
      <c r="B14" s="201" t="s">
        <v>479</v>
      </c>
      <c r="C14" s="203"/>
      <c r="D14" s="64"/>
      <c r="E14" s="64"/>
      <c r="F14" s="117"/>
      <c r="G14" s="117"/>
      <c r="H14" s="64"/>
      <c r="I14" s="64"/>
      <c r="J14" s="64"/>
      <c r="K14" s="57"/>
      <c r="L14" s="88"/>
      <c r="M14" s="62"/>
      <c r="N14" s="57"/>
      <c r="O14" s="88"/>
      <c r="P14" s="62"/>
      <c r="Q14" s="57"/>
      <c r="R14" s="88"/>
      <c r="S14" s="62"/>
      <c r="T14" s="39"/>
      <c r="U14" s="39"/>
      <c r="V14" s="8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35"/>
      <c r="AS14" s="12" t="e">
        <f>#REF!</f>
        <v>#REF!</v>
      </c>
    </row>
    <row r="15" spans="1:49" s="4" customFormat="1" ht="17.25" customHeight="1" x14ac:dyDescent="0.25">
      <c r="A15" s="23"/>
      <c r="B15" s="201" t="s">
        <v>97</v>
      </c>
      <c r="C15" s="203"/>
      <c r="D15" s="64"/>
      <c r="E15" s="64"/>
      <c r="F15" s="64"/>
      <c r="G15" s="64"/>
      <c r="H15" s="64"/>
      <c r="I15" s="64"/>
      <c r="J15" s="64"/>
      <c r="K15" s="57"/>
      <c r="L15" s="88"/>
      <c r="M15" s="62"/>
      <c r="N15" s="57"/>
      <c r="O15" s="88"/>
      <c r="P15" s="62"/>
      <c r="Q15" s="57"/>
      <c r="R15" s="88"/>
      <c r="S15" s="62"/>
      <c r="T15" s="39"/>
      <c r="U15" s="39"/>
      <c r="V15" s="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22"/>
      <c r="AR15" s="43"/>
      <c r="AS15" s="12" t="e">
        <f>#REF!</f>
        <v>#REF!</v>
      </c>
      <c r="AW15" s="2"/>
    </row>
    <row r="16" spans="1:49" s="4" customFormat="1" ht="17.25" customHeight="1" x14ac:dyDescent="0.25">
      <c r="A16" s="23"/>
      <c r="B16" s="201" t="s">
        <v>100</v>
      </c>
      <c r="C16" s="203"/>
      <c r="D16" s="64"/>
      <c r="E16" s="64"/>
      <c r="F16" s="64"/>
      <c r="G16" s="64"/>
      <c r="H16" s="64"/>
      <c r="I16" s="64"/>
      <c r="J16" s="64"/>
      <c r="K16" s="57"/>
      <c r="L16" s="88"/>
      <c r="M16" s="62"/>
      <c r="N16" s="57"/>
      <c r="O16" s="88"/>
      <c r="P16" s="62"/>
      <c r="Q16" s="57"/>
      <c r="R16" s="88"/>
      <c r="S16" s="62"/>
      <c r="T16" s="39"/>
      <c r="U16" s="39"/>
      <c r="V16" s="3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22"/>
      <c r="AR16" s="43"/>
      <c r="AS16" s="12" t="e">
        <f>#REF!</f>
        <v>#REF!</v>
      </c>
      <c r="AW16" s="2"/>
    </row>
    <row r="17" spans="1:49" s="4" customFormat="1" ht="17.25" customHeight="1" x14ac:dyDescent="0.25">
      <c r="A17" s="23"/>
      <c r="B17" s="201"/>
      <c r="C17" s="203"/>
      <c r="D17" s="64"/>
      <c r="E17" s="64"/>
      <c r="F17" s="64"/>
      <c r="G17" s="64"/>
      <c r="H17" s="64"/>
      <c r="I17" s="64"/>
      <c r="J17" s="64"/>
      <c r="K17" s="57"/>
      <c r="L17" s="88"/>
      <c r="M17" s="62"/>
      <c r="N17" s="57"/>
      <c r="O17" s="88"/>
      <c r="P17" s="62"/>
      <c r="Q17" s="57"/>
      <c r="R17" s="88"/>
      <c r="S17" s="62"/>
      <c r="T17" s="39"/>
      <c r="U17" s="39"/>
      <c r="V17" s="3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22"/>
      <c r="AR17" s="43"/>
      <c r="AS17" s="12" t="e">
        <f>#REF!</f>
        <v>#REF!</v>
      </c>
      <c r="AW17" s="2"/>
    </row>
    <row r="18" spans="1:49" s="2" customFormat="1" ht="17.25" customHeight="1" thickBot="1" x14ac:dyDescent="0.3">
      <c r="A18" s="56"/>
      <c r="B18" s="101" t="s">
        <v>102</v>
      </c>
      <c r="C18" s="102">
        <f>D19+E19+F19+G19+H19+I19+J19+M19+P19+S19</f>
        <v>118585.21954000011</v>
      </c>
      <c r="D18" s="85"/>
      <c r="E18" s="85"/>
      <c r="F18" s="85"/>
      <c r="G18" s="85"/>
      <c r="H18" s="85"/>
      <c r="I18" s="85"/>
      <c r="J18" s="85"/>
      <c r="K18" s="97"/>
      <c r="L18" s="98"/>
      <c r="M18" s="99"/>
      <c r="N18" s="97"/>
      <c r="O18" s="98"/>
      <c r="P18" s="99"/>
      <c r="Q18" s="97"/>
      <c r="R18" s="98"/>
      <c r="S18" s="99"/>
      <c r="T18" s="51"/>
      <c r="U18" s="51"/>
      <c r="V18" s="51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42">
        <f>SUM($T2:AQ18)</f>
        <v>-487087.82890000002</v>
      </c>
      <c r="AT18" s="33"/>
      <c r="AU18" s="27"/>
      <c r="AV18" s="2" t="s">
        <v>5</v>
      </c>
    </row>
    <row r="19" spans="1:49" s="2" customFormat="1" ht="17.25" customHeight="1" thickTop="1" thickBot="1" x14ac:dyDescent="0.3">
      <c r="A19" s="103"/>
      <c r="B19" s="104" t="s">
        <v>103</v>
      </c>
      <c r="C19" s="105">
        <f>AR19</f>
        <v>-368502.60935999989</v>
      </c>
      <c r="D19" s="106">
        <f t="shared" ref="D19:K19" si="0">SUM(D2:D18)</f>
        <v>12717.607040000057</v>
      </c>
      <c r="E19" s="107">
        <f t="shared" si="0"/>
        <v>-43287.790000000008</v>
      </c>
      <c r="F19" s="107">
        <f t="shared" si="0"/>
        <v>0.65000000000145519</v>
      </c>
      <c r="G19" s="107">
        <f t="shared" si="0"/>
        <v>0</v>
      </c>
      <c r="H19" s="107">
        <f t="shared" si="0"/>
        <v>65082.292500000054</v>
      </c>
      <c r="I19" s="107">
        <f t="shared" si="0"/>
        <v>10004.65</v>
      </c>
      <c r="J19" s="107">
        <f t="shared" si="0"/>
        <v>0</v>
      </c>
      <c r="K19" s="108">
        <f t="shared" si="0"/>
        <v>12170</v>
      </c>
      <c r="L19" s="109">
        <f>M19/K19</f>
        <v>5.1465924404272805</v>
      </c>
      <c r="M19" s="107">
        <f>ROUND(SUM(M2:M18),2)</f>
        <v>62634.03</v>
      </c>
      <c r="N19" s="108">
        <f>SUM(N2:N18)</f>
        <v>2783</v>
      </c>
      <c r="O19" s="109">
        <f>P19/N19</f>
        <v>3.6394143011139057</v>
      </c>
      <c r="P19" s="107">
        <f>ROUND(SUM(P2:P18),2)</f>
        <v>10128.49</v>
      </c>
      <c r="Q19" s="108">
        <f>SUM(Q2:Q18)</f>
        <v>214</v>
      </c>
      <c r="R19" s="109">
        <f>S19/Q19</f>
        <v>6.099485981308411</v>
      </c>
      <c r="S19" s="107">
        <f>ROUND(SUM(S2:S18),2)</f>
        <v>1305.29</v>
      </c>
      <c r="T19" s="110">
        <f t="shared" ref="T19:AK19" si="1">SUM(T2:T18)</f>
        <v>-537317.12890000001</v>
      </c>
      <c r="U19" s="107">
        <f t="shared" si="1"/>
        <v>50229.299999999996</v>
      </c>
      <c r="V19" s="107">
        <f t="shared" si="1"/>
        <v>0</v>
      </c>
      <c r="W19" s="107">
        <f t="shared" si="1"/>
        <v>0</v>
      </c>
      <c r="X19" s="107">
        <f t="shared" si="1"/>
        <v>0</v>
      </c>
      <c r="Y19" s="107">
        <f t="shared" si="1"/>
        <v>0</v>
      </c>
      <c r="Z19" s="107">
        <f t="shared" si="1"/>
        <v>0</v>
      </c>
      <c r="AA19" s="107">
        <f t="shared" si="1"/>
        <v>0</v>
      </c>
      <c r="AB19" s="107">
        <f t="shared" si="1"/>
        <v>0</v>
      </c>
      <c r="AC19" s="107">
        <f t="shared" si="1"/>
        <v>0</v>
      </c>
      <c r="AD19" s="107">
        <f t="shared" si="1"/>
        <v>0</v>
      </c>
      <c r="AE19" s="107">
        <f t="shared" si="1"/>
        <v>0</v>
      </c>
      <c r="AF19" s="107">
        <f t="shared" si="1"/>
        <v>0</v>
      </c>
      <c r="AG19" s="107">
        <f t="shared" si="1"/>
        <v>0</v>
      </c>
      <c r="AH19" s="107">
        <f t="shared" si="1"/>
        <v>0</v>
      </c>
      <c r="AI19" s="107">
        <f t="shared" si="1"/>
        <v>0</v>
      </c>
      <c r="AJ19" s="107">
        <f t="shared" si="1"/>
        <v>0</v>
      </c>
      <c r="AK19" s="107">
        <f t="shared" si="1"/>
        <v>0</v>
      </c>
      <c r="AL19" s="107"/>
      <c r="AM19" s="107">
        <f>SUM(AM2:AM18)</f>
        <v>0</v>
      </c>
      <c r="AN19" s="107">
        <f>SUM(AN2:AN18)</f>
        <v>0</v>
      </c>
      <c r="AO19" s="107">
        <f>SUM(AO2:AO18)</f>
        <v>0</v>
      </c>
      <c r="AP19" s="107">
        <f>SUM(AP2:AP18)</f>
        <v>0</v>
      </c>
      <c r="AQ19" s="107">
        <f>SUM(AQ2:AQ18)</f>
        <v>0</v>
      </c>
      <c r="AR19" s="111">
        <f>D19+E19+F19+G19+H19+I19+J19+M19+P19+S19+SUM(T19:AQ19)</f>
        <v>-368502.60935999989</v>
      </c>
      <c r="AS19" s="4"/>
      <c r="AT19" s="5"/>
      <c r="AU19" s="5"/>
      <c r="AV19" s="2" t="s">
        <v>484</v>
      </c>
    </row>
    <row r="20" spans="1:49" s="2" customFormat="1" ht="17.25" customHeight="1" thickTop="1" x14ac:dyDescent="0.25">
      <c r="A20" s="29">
        <f>A3+1</f>
        <v>46358</v>
      </c>
      <c r="B20" s="261" t="s">
        <v>480</v>
      </c>
      <c r="C20" s="262"/>
      <c r="D20" s="63"/>
      <c r="E20" s="64"/>
      <c r="F20" s="64"/>
      <c r="G20" s="64"/>
      <c r="H20" s="64"/>
      <c r="I20" s="64"/>
      <c r="J20" s="64"/>
      <c r="K20" s="57"/>
      <c r="L20" s="88"/>
      <c r="M20" s="62"/>
      <c r="N20" s="57"/>
      <c r="O20" s="88"/>
      <c r="P20" s="62"/>
      <c r="Q20" s="16"/>
      <c r="R20" s="92"/>
      <c r="S20" s="64"/>
      <c r="T20" s="47"/>
      <c r="U20" s="39"/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T20" s="10"/>
      <c r="AU20" s="11"/>
    </row>
    <row r="21" spans="1:49" s="2" customFormat="1" ht="17.25" customHeight="1" x14ac:dyDescent="0.25">
      <c r="A21" s="29"/>
      <c r="B21" s="201" t="s">
        <v>64</v>
      </c>
      <c r="C21" s="202"/>
      <c r="D21" s="65"/>
      <c r="E21" s="64"/>
      <c r="F21" s="64"/>
      <c r="G21" s="64"/>
      <c r="H21" s="64"/>
      <c r="I21" s="64"/>
      <c r="J21" s="64"/>
      <c r="K21" s="57"/>
      <c r="L21" s="88"/>
      <c r="M21" s="62"/>
      <c r="N21" s="57"/>
      <c r="O21" s="88"/>
      <c r="P21" s="62"/>
      <c r="Q21" s="57"/>
      <c r="R21" s="88"/>
      <c r="S21" s="62"/>
      <c r="T21" s="47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 t="s">
        <v>4</v>
      </c>
      <c r="AU21" s="11" t="e">
        <v>#REF!</v>
      </c>
    </row>
    <row r="22" spans="1:49" s="2" customFormat="1" ht="17.25" customHeight="1" x14ac:dyDescent="0.25">
      <c r="A22" s="29"/>
      <c r="B22" s="201" t="s">
        <v>96</v>
      </c>
      <c r="C22" s="202"/>
      <c r="D22" s="65"/>
      <c r="E22" s="64"/>
      <c r="F22" s="64"/>
      <c r="G22" s="64"/>
      <c r="H22" s="64"/>
      <c r="I22" s="64"/>
      <c r="J22" s="64"/>
      <c r="K22" s="57"/>
      <c r="L22" s="88"/>
      <c r="M22" s="62"/>
      <c r="N22" s="57"/>
      <c r="O22" s="88"/>
      <c r="P22" s="62"/>
      <c r="Q22" s="57"/>
      <c r="R22" s="88"/>
      <c r="S22" s="62"/>
      <c r="T22" s="47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 t="s">
        <v>4</v>
      </c>
      <c r="AU22" s="11" t="e">
        <v>#REF!</v>
      </c>
    </row>
    <row r="23" spans="1:49" s="2" customFormat="1" ht="17.25" customHeight="1" x14ac:dyDescent="0.25">
      <c r="A23" s="29"/>
      <c r="B23" s="201" t="s">
        <v>327</v>
      </c>
      <c r="C23" s="202"/>
      <c r="D23" s="65"/>
      <c r="E23" s="64"/>
      <c r="F23" s="64"/>
      <c r="G23" s="64"/>
      <c r="H23" s="64"/>
      <c r="I23" s="64"/>
      <c r="J23" s="64"/>
      <c r="K23" s="57"/>
      <c r="L23" s="88"/>
      <c r="M23" s="62"/>
      <c r="N23" s="57"/>
      <c r="O23" s="88"/>
      <c r="P23" s="62"/>
      <c r="Q23" s="57"/>
      <c r="R23" s="88"/>
      <c r="S23" s="62"/>
      <c r="T23" s="47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22"/>
      <c r="AT23" s="10"/>
      <c r="AU23" s="11"/>
    </row>
    <row r="24" spans="1:49" s="2" customFormat="1" ht="17.25" customHeight="1" x14ac:dyDescent="0.25">
      <c r="A24" s="29"/>
      <c r="B24" s="201" t="s">
        <v>328</v>
      </c>
      <c r="C24" s="202"/>
      <c r="D24" s="63"/>
      <c r="E24" s="64"/>
      <c r="F24" s="64"/>
      <c r="G24" s="64"/>
      <c r="H24" s="64"/>
      <c r="I24" s="64"/>
      <c r="J24" s="64"/>
      <c r="K24" s="57"/>
      <c r="L24" s="88"/>
      <c r="M24" s="62"/>
      <c r="N24" s="57"/>
      <c r="O24" s="88"/>
      <c r="P24" s="62"/>
      <c r="Q24" s="16"/>
      <c r="R24" s="92"/>
      <c r="S24" s="64"/>
      <c r="T24" s="47"/>
      <c r="U24" s="39"/>
      <c r="V24" s="39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22"/>
      <c r="AT24" s="10"/>
      <c r="AU24" s="11"/>
    </row>
    <row r="25" spans="1:49" s="2" customFormat="1" ht="17.25" customHeight="1" x14ac:dyDescent="0.25">
      <c r="A25" s="29"/>
      <c r="B25" s="261" t="s">
        <v>481</v>
      </c>
      <c r="C25" s="262"/>
      <c r="D25" s="63"/>
      <c r="E25" s="64"/>
      <c r="F25" s="64"/>
      <c r="G25" s="64"/>
      <c r="H25" s="64"/>
      <c r="I25" s="64"/>
      <c r="J25" s="64"/>
      <c r="K25" s="57"/>
      <c r="L25" s="88"/>
      <c r="M25" s="62"/>
      <c r="N25" s="57"/>
      <c r="O25" s="88"/>
      <c r="P25" s="62"/>
      <c r="Q25" s="16"/>
      <c r="R25" s="92"/>
      <c r="S25" s="64"/>
      <c r="T25" s="47"/>
      <c r="U25" s="39"/>
      <c r="V25" s="39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22"/>
      <c r="AT25" s="10"/>
      <c r="AU25" s="11"/>
    </row>
    <row r="26" spans="1:49" s="2" customFormat="1" ht="17.25" customHeight="1" x14ac:dyDescent="0.25">
      <c r="A26" s="29"/>
      <c r="B26" s="201" t="s">
        <v>483</v>
      </c>
      <c r="C26" s="202"/>
      <c r="D26" s="63"/>
      <c r="E26" s="64"/>
      <c r="F26" s="64"/>
      <c r="G26" s="64"/>
      <c r="H26" s="64"/>
      <c r="I26" s="64"/>
      <c r="J26" s="64"/>
      <c r="K26" s="57"/>
      <c r="L26" s="88"/>
      <c r="M26" s="62"/>
      <c r="N26" s="57"/>
      <c r="O26" s="88"/>
      <c r="P26" s="62"/>
      <c r="Q26" s="16"/>
      <c r="R26" s="92"/>
      <c r="S26" s="64"/>
      <c r="T26" s="47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22"/>
      <c r="AT26" s="10"/>
      <c r="AU26" s="11"/>
    </row>
    <row r="27" spans="1:49" s="4" customFormat="1" ht="17.25" customHeight="1" thickBot="1" x14ac:dyDescent="0.3">
      <c r="A27" s="24"/>
      <c r="B27" s="246"/>
      <c r="C27" s="246"/>
      <c r="D27" s="81"/>
      <c r="E27" s="81"/>
      <c r="F27" s="81"/>
      <c r="G27" s="81"/>
      <c r="H27" s="81"/>
      <c r="I27" s="81"/>
      <c r="J27" s="81"/>
      <c r="K27" s="59"/>
      <c r="L27" s="90"/>
      <c r="M27" s="136"/>
      <c r="N27" s="59"/>
      <c r="O27" s="90"/>
      <c r="P27" s="136"/>
      <c r="Q27" s="59"/>
      <c r="R27" s="90"/>
      <c r="S27" s="136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2" customFormat="1" ht="17.25" customHeight="1" x14ac:dyDescent="0.25">
      <c r="A28" s="29"/>
      <c r="B28" s="261" t="s">
        <v>482</v>
      </c>
      <c r="C28" s="262"/>
      <c r="D28" s="63"/>
      <c r="E28" s="64"/>
      <c r="F28" s="64"/>
      <c r="G28" s="64"/>
      <c r="H28" s="64"/>
      <c r="I28" s="64"/>
      <c r="J28" s="64"/>
      <c r="K28" s="57"/>
      <c r="L28" s="88"/>
      <c r="M28" s="62"/>
      <c r="N28" s="57"/>
      <c r="O28" s="88"/>
      <c r="P28" s="62"/>
      <c r="Q28" s="16"/>
      <c r="R28" s="92"/>
      <c r="S28" s="64"/>
      <c r="T28" s="47"/>
      <c r="U28" s="39"/>
      <c r="V28" s="39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22"/>
      <c r="AT28" s="10"/>
      <c r="AU28" s="11"/>
    </row>
    <row r="29" spans="1:49" s="4" customFormat="1" ht="17.25" customHeight="1" x14ac:dyDescent="0.25">
      <c r="A29" s="23"/>
      <c r="B29" s="212" t="s">
        <v>94</v>
      </c>
      <c r="C29" s="212"/>
      <c r="D29" s="66"/>
      <c r="E29" s="66"/>
      <c r="F29" s="117"/>
      <c r="G29" s="117"/>
      <c r="H29" s="66"/>
      <c r="I29" s="66"/>
      <c r="J29" s="66"/>
      <c r="K29" s="58"/>
      <c r="L29" s="89"/>
      <c r="M29" s="73"/>
      <c r="N29" s="58"/>
      <c r="O29" s="89"/>
      <c r="P29" s="73"/>
      <c r="Q29" s="58"/>
      <c r="R29" s="89"/>
      <c r="S29" s="73"/>
      <c r="T29" s="39"/>
      <c r="U29" s="39"/>
      <c r="V29" s="8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35"/>
      <c r="AS29" s="12" t="e">
        <f>#REF!</f>
        <v>#REF!</v>
      </c>
    </row>
    <row r="30" spans="1:49" s="4" customFormat="1" ht="17.25" customHeight="1" x14ac:dyDescent="0.25">
      <c r="A30" s="23"/>
      <c r="B30" s="201" t="s">
        <v>95</v>
      </c>
      <c r="C30" s="203"/>
      <c r="D30" s="64"/>
      <c r="E30" s="64"/>
      <c r="F30" s="117"/>
      <c r="G30" s="117"/>
      <c r="H30" s="64"/>
      <c r="I30" s="64"/>
      <c r="J30" s="64"/>
      <c r="K30" s="57"/>
      <c r="L30" s="88"/>
      <c r="M30" s="62"/>
      <c r="N30" s="57"/>
      <c r="O30" s="88"/>
      <c r="P30" s="62"/>
      <c r="Q30" s="58"/>
      <c r="R30" s="89"/>
      <c r="S30" s="73"/>
      <c r="T30" s="39"/>
      <c r="U30" s="39"/>
      <c r="V30" s="8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35"/>
      <c r="AS30" s="12" t="e">
        <f>#REF!</f>
        <v>#REF!</v>
      </c>
    </row>
    <row r="31" spans="1:49" s="4" customFormat="1" ht="17.25" customHeight="1" x14ac:dyDescent="0.25">
      <c r="A31" s="23"/>
      <c r="B31" s="201" t="s">
        <v>479</v>
      </c>
      <c r="C31" s="203"/>
      <c r="D31" s="64"/>
      <c r="E31" s="64"/>
      <c r="F31" s="117"/>
      <c r="G31" s="117"/>
      <c r="H31" s="64"/>
      <c r="I31" s="64"/>
      <c r="J31" s="64"/>
      <c r="K31" s="57"/>
      <c r="L31" s="88"/>
      <c r="M31" s="62"/>
      <c r="N31" s="57"/>
      <c r="O31" s="88"/>
      <c r="P31" s="62"/>
      <c r="Q31" s="57"/>
      <c r="R31" s="88"/>
      <c r="S31" s="62"/>
      <c r="T31" s="39"/>
      <c r="U31" s="39"/>
      <c r="V31" s="8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35"/>
      <c r="AS31" s="12" t="e">
        <f>#REF!</f>
        <v>#REF!</v>
      </c>
    </row>
    <row r="32" spans="1:49" s="4" customFormat="1" ht="17.25" customHeight="1" x14ac:dyDescent="0.25">
      <c r="A32" s="23"/>
      <c r="B32" s="201" t="s">
        <v>97</v>
      </c>
      <c r="C32" s="203"/>
      <c r="D32" s="64"/>
      <c r="E32" s="64"/>
      <c r="F32" s="64"/>
      <c r="G32" s="64"/>
      <c r="H32" s="64"/>
      <c r="I32" s="64"/>
      <c r="J32" s="64"/>
      <c r="K32" s="57"/>
      <c r="L32" s="88"/>
      <c r="M32" s="62"/>
      <c r="N32" s="57"/>
      <c r="O32" s="88"/>
      <c r="P32" s="62"/>
      <c r="Q32" s="57"/>
      <c r="R32" s="88"/>
      <c r="S32" s="62"/>
      <c r="T32" s="39"/>
      <c r="U32" s="39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22"/>
      <c r="AR32" s="43"/>
      <c r="AS32" s="12" t="e">
        <f>#REF!</f>
        <v>#REF!</v>
      </c>
      <c r="AW32" s="2"/>
    </row>
    <row r="33" spans="1:49" s="4" customFormat="1" ht="17.25" customHeight="1" x14ac:dyDescent="0.25">
      <c r="A33" s="23"/>
      <c r="B33" s="201" t="s">
        <v>100</v>
      </c>
      <c r="C33" s="203"/>
      <c r="D33" s="64"/>
      <c r="E33" s="64"/>
      <c r="F33" s="64"/>
      <c r="G33" s="64"/>
      <c r="H33" s="64"/>
      <c r="I33" s="64"/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39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22"/>
      <c r="AR33" s="43"/>
      <c r="AS33" s="12" t="e">
        <f>#REF!</f>
        <v>#REF!</v>
      </c>
      <c r="AW33" s="2"/>
    </row>
    <row r="34" spans="1:49" s="4" customFormat="1" ht="17.25" customHeight="1" x14ac:dyDescent="0.25">
      <c r="A34" s="23"/>
      <c r="B34" s="201"/>
      <c r="C34" s="203"/>
      <c r="D34" s="64"/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16"/>
      <c r="R34" s="92"/>
      <c r="S34" s="64"/>
      <c r="T34" s="39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22"/>
      <c r="AR34" s="43"/>
      <c r="AS34" s="12" t="e">
        <f>#REF!</f>
        <v>#REF!</v>
      </c>
      <c r="AW34" s="2"/>
    </row>
    <row r="35" spans="1:49" s="4" customFormat="1" ht="17.25" customHeight="1" thickBot="1" x14ac:dyDescent="0.3">
      <c r="A35" s="32"/>
      <c r="B35" s="101" t="s">
        <v>102</v>
      </c>
      <c r="C35" s="102">
        <f>D36+E36+F36+G36+H36+I36+J36+M36+P36</f>
        <v>117279.92954000011</v>
      </c>
      <c r="D35" s="96"/>
      <c r="E35" s="85"/>
      <c r="F35" s="120"/>
      <c r="G35" s="120"/>
      <c r="H35" s="85"/>
      <c r="I35" s="85"/>
      <c r="J35" s="85"/>
      <c r="K35" s="28"/>
      <c r="L35" s="112"/>
      <c r="M35" s="85"/>
      <c r="N35" s="28"/>
      <c r="O35" s="112"/>
      <c r="P35" s="85"/>
      <c r="Q35" s="28"/>
      <c r="R35" s="112"/>
      <c r="S35" s="85"/>
      <c r="T35" s="113"/>
      <c r="U35" s="51"/>
      <c r="V35" s="87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42">
        <f>SUM($T19:AQ35)</f>
        <v>-487087.82890000002</v>
      </c>
      <c r="AS35" s="2"/>
      <c r="AT35" s="33"/>
      <c r="AU35" s="27"/>
      <c r="AV35" s="2" t="s">
        <v>5</v>
      </c>
    </row>
    <row r="36" spans="1:49" s="2" customFormat="1" ht="17.25" customHeight="1" thickTop="1" thickBot="1" x14ac:dyDescent="0.3">
      <c r="A36" s="103"/>
      <c r="B36" s="104" t="s">
        <v>103</v>
      </c>
      <c r="C36" s="105">
        <f>AR36</f>
        <v>-368502.60935999989</v>
      </c>
      <c r="D36" s="106">
        <f t="shared" ref="D36:K36" si="2">SUM(D19:D35)</f>
        <v>12717.607040000057</v>
      </c>
      <c r="E36" s="107">
        <f t="shared" si="2"/>
        <v>-43287.790000000008</v>
      </c>
      <c r="F36" s="107">
        <f t="shared" si="2"/>
        <v>0.65000000000145519</v>
      </c>
      <c r="G36" s="107">
        <f t="shared" si="2"/>
        <v>0</v>
      </c>
      <c r="H36" s="107">
        <f t="shared" si="2"/>
        <v>65082.292500000054</v>
      </c>
      <c r="I36" s="107">
        <f t="shared" si="2"/>
        <v>10004.65</v>
      </c>
      <c r="J36" s="107">
        <f t="shared" si="2"/>
        <v>0</v>
      </c>
      <c r="K36" s="108">
        <f t="shared" si="2"/>
        <v>12170</v>
      </c>
      <c r="L36" s="109">
        <f>M36/K36</f>
        <v>5.1465924404272805</v>
      </c>
      <c r="M36" s="107">
        <f>ROUND(SUM(M19:M35),2)</f>
        <v>62634.03</v>
      </c>
      <c r="N36" s="108">
        <f>SUM(N19:N35)</f>
        <v>2783</v>
      </c>
      <c r="O36" s="114">
        <f>P36/N36</f>
        <v>3.6394143011139057</v>
      </c>
      <c r="P36" s="107">
        <f>ROUND(SUM(P19:P35),2)</f>
        <v>10128.49</v>
      </c>
      <c r="Q36" s="108">
        <f>SUM(Q19:Q35)</f>
        <v>214</v>
      </c>
      <c r="R36" s="114">
        <f>S36/Q36</f>
        <v>6.099485981308411</v>
      </c>
      <c r="S36" s="107">
        <f>ROUND(SUM(S19:S35),2)</f>
        <v>1305.29</v>
      </c>
      <c r="T36" s="115">
        <f t="shared" ref="T36:AQ36" si="3">SUM(T19:T35)</f>
        <v>-537317.12890000001</v>
      </c>
      <c r="U36" s="107">
        <f t="shared" si="3"/>
        <v>50229.299999999996</v>
      </c>
      <c r="V36" s="107">
        <f t="shared" si="3"/>
        <v>0</v>
      </c>
      <c r="W36" s="107">
        <f t="shared" si="3"/>
        <v>0</v>
      </c>
      <c r="X36" s="107">
        <f t="shared" si="3"/>
        <v>0</v>
      </c>
      <c r="Y36" s="107">
        <f t="shared" si="3"/>
        <v>0</v>
      </c>
      <c r="Z36" s="107">
        <f t="shared" si="3"/>
        <v>0</v>
      </c>
      <c r="AA36" s="107">
        <f t="shared" si="3"/>
        <v>0</v>
      </c>
      <c r="AB36" s="107">
        <f t="shared" si="3"/>
        <v>0</v>
      </c>
      <c r="AC36" s="107">
        <f t="shared" si="3"/>
        <v>0</v>
      </c>
      <c r="AD36" s="107">
        <f t="shared" si="3"/>
        <v>0</v>
      </c>
      <c r="AE36" s="107">
        <f t="shared" si="3"/>
        <v>0</v>
      </c>
      <c r="AF36" s="107">
        <f t="shared" si="3"/>
        <v>0</v>
      </c>
      <c r="AG36" s="107">
        <f t="shared" si="3"/>
        <v>0</v>
      </c>
      <c r="AH36" s="107">
        <f t="shared" si="3"/>
        <v>0</v>
      </c>
      <c r="AI36" s="107">
        <f t="shared" si="3"/>
        <v>0</v>
      </c>
      <c r="AJ36" s="107">
        <f t="shared" si="3"/>
        <v>0</v>
      </c>
      <c r="AK36" s="107">
        <f t="shared" si="3"/>
        <v>0</v>
      </c>
      <c r="AL36" s="107">
        <f t="shared" si="3"/>
        <v>0</v>
      </c>
      <c r="AM36" s="107">
        <f t="shared" si="3"/>
        <v>0</v>
      </c>
      <c r="AN36" s="107">
        <f t="shared" si="3"/>
        <v>0</v>
      </c>
      <c r="AO36" s="107">
        <f t="shared" si="3"/>
        <v>0</v>
      </c>
      <c r="AP36" s="107">
        <f t="shared" si="3"/>
        <v>0</v>
      </c>
      <c r="AQ36" s="107">
        <f t="shared" si="3"/>
        <v>0</v>
      </c>
      <c r="AR36" s="111">
        <f>D36+E36+F36+G36+H36+I36+J36+M36+P36+S36+SUM(T36:AQ36)</f>
        <v>-368502.60935999989</v>
      </c>
      <c r="AS36" s="4"/>
      <c r="AT36" s="5"/>
      <c r="AU36" s="5"/>
      <c r="AV36" s="2" t="s">
        <v>484</v>
      </c>
    </row>
    <row r="37" spans="1:49" s="2" customFormat="1" ht="17.25" customHeight="1" thickTop="1" x14ac:dyDescent="0.25">
      <c r="A37" s="29">
        <f>A20+1</f>
        <v>46359</v>
      </c>
      <c r="B37" s="261" t="s">
        <v>480</v>
      </c>
      <c r="C37" s="262"/>
      <c r="D37" s="63"/>
      <c r="E37" s="64"/>
      <c r="F37" s="64"/>
      <c r="G37" s="64"/>
      <c r="H37" s="64"/>
      <c r="I37" s="64"/>
      <c r="J37" s="64"/>
      <c r="K37" s="57"/>
      <c r="L37" s="88"/>
      <c r="M37" s="62"/>
      <c r="N37" s="57"/>
      <c r="O37" s="88"/>
      <c r="P37" s="62"/>
      <c r="Q37" s="16"/>
      <c r="R37" s="92"/>
      <c r="S37" s="64"/>
      <c r="T37" s="47"/>
      <c r="U37" s="39"/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T37" s="10"/>
      <c r="AU37" s="11"/>
    </row>
    <row r="38" spans="1:49" s="2" customFormat="1" ht="17.25" customHeight="1" x14ac:dyDescent="0.25">
      <c r="A38" s="29"/>
      <c r="B38" s="201" t="s">
        <v>64</v>
      </c>
      <c r="C38" s="202"/>
      <c r="D38" s="65"/>
      <c r="E38" s="64"/>
      <c r="F38" s="64"/>
      <c r="G38" s="64"/>
      <c r="H38" s="64"/>
      <c r="I38" s="64"/>
      <c r="J38" s="64"/>
      <c r="K38" s="57"/>
      <c r="L38" s="88"/>
      <c r="M38" s="62"/>
      <c r="N38" s="57"/>
      <c r="O38" s="88"/>
      <c r="P38" s="62"/>
      <c r="Q38" s="57"/>
      <c r="R38" s="88"/>
      <c r="S38" s="62"/>
      <c r="T38" s="47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 t="s">
        <v>4</v>
      </c>
      <c r="AU38" s="11" t="e">
        <v>#REF!</v>
      </c>
    </row>
    <row r="39" spans="1:49" s="2" customFormat="1" ht="17.25" customHeight="1" x14ac:dyDescent="0.25">
      <c r="A39" s="29"/>
      <c r="B39" s="201" t="s">
        <v>96</v>
      </c>
      <c r="C39" s="202"/>
      <c r="D39" s="65"/>
      <c r="E39" s="64"/>
      <c r="F39" s="64"/>
      <c r="G39" s="64"/>
      <c r="H39" s="64"/>
      <c r="I39" s="64"/>
      <c r="J39" s="64"/>
      <c r="K39" s="57"/>
      <c r="L39" s="88"/>
      <c r="M39" s="62"/>
      <c r="N39" s="57"/>
      <c r="O39" s="88"/>
      <c r="P39" s="62"/>
      <c r="Q39" s="57"/>
      <c r="R39" s="88"/>
      <c r="S39" s="62"/>
      <c r="T39" s="47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 t="s">
        <v>4</v>
      </c>
      <c r="AU39" s="11" t="e">
        <v>#REF!</v>
      </c>
    </row>
    <row r="40" spans="1:49" s="2" customFormat="1" ht="17.25" customHeight="1" x14ac:dyDescent="0.25">
      <c r="A40" s="29"/>
      <c r="B40" s="201" t="s">
        <v>327</v>
      </c>
      <c r="C40" s="202"/>
      <c r="D40" s="65"/>
      <c r="E40" s="64"/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/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2" customFormat="1" ht="17.25" customHeight="1" x14ac:dyDescent="0.25">
      <c r="A41" s="29"/>
      <c r="B41" s="201" t="s">
        <v>328</v>
      </c>
      <c r="C41" s="202"/>
      <c r="D41" s="63"/>
      <c r="E41" s="64"/>
      <c r="F41" s="64"/>
      <c r="G41" s="64"/>
      <c r="H41" s="64"/>
      <c r="I41" s="64"/>
      <c r="J41" s="64"/>
      <c r="K41" s="57"/>
      <c r="L41" s="88"/>
      <c r="M41" s="62"/>
      <c r="N41" s="57"/>
      <c r="O41" s="88"/>
      <c r="P41" s="62"/>
      <c r="Q41" s="16"/>
      <c r="R41" s="92"/>
      <c r="S41" s="64"/>
      <c r="T41" s="47"/>
      <c r="U41" s="39"/>
      <c r="V41" s="39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22"/>
      <c r="AT41" s="10"/>
      <c r="AU41" s="11"/>
    </row>
    <row r="42" spans="1:49" s="2" customFormat="1" ht="17.25" customHeight="1" x14ac:dyDescent="0.25">
      <c r="A42" s="29"/>
      <c r="B42" s="261" t="s">
        <v>481</v>
      </c>
      <c r="C42" s="262"/>
      <c r="D42" s="63"/>
      <c r="E42" s="64"/>
      <c r="F42" s="64"/>
      <c r="G42" s="64"/>
      <c r="H42" s="64"/>
      <c r="I42" s="64"/>
      <c r="J42" s="64"/>
      <c r="K42" s="57"/>
      <c r="L42" s="88"/>
      <c r="M42" s="62"/>
      <c r="N42" s="57"/>
      <c r="O42" s="88"/>
      <c r="P42" s="62"/>
      <c r="Q42" s="16"/>
      <c r="R42" s="92"/>
      <c r="S42" s="64"/>
      <c r="T42" s="47"/>
      <c r="U42" s="39"/>
      <c r="V42" s="39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22"/>
      <c r="AT42" s="10"/>
      <c r="AU42" s="11"/>
    </row>
    <row r="43" spans="1:49" s="2" customFormat="1" ht="17.25" customHeight="1" x14ac:dyDescent="0.25">
      <c r="A43" s="29"/>
      <c r="B43" s="201" t="s">
        <v>483</v>
      </c>
      <c r="C43" s="202"/>
      <c r="D43" s="63"/>
      <c r="E43" s="64"/>
      <c r="F43" s="64"/>
      <c r="G43" s="64"/>
      <c r="H43" s="64"/>
      <c r="I43" s="64"/>
      <c r="J43" s="64"/>
      <c r="K43" s="57"/>
      <c r="L43" s="88"/>
      <c r="M43" s="62"/>
      <c r="N43" s="57"/>
      <c r="O43" s="88"/>
      <c r="P43" s="62"/>
      <c r="Q43" s="16"/>
      <c r="R43" s="92"/>
      <c r="S43" s="64"/>
      <c r="T43" s="47"/>
      <c r="U43" s="39"/>
      <c r="V43" s="39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22"/>
      <c r="AT43" s="10"/>
      <c r="AU43" s="11"/>
    </row>
    <row r="44" spans="1:49" s="4" customFormat="1" ht="17.25" customHeight="1" thickBot="1" x14ac:dyDescent="0.3">
      <c r="A44" s="24"/>
      <c r="B44" s="246"/>
      <c r="C44" s="246"/>
      <c r="D44" s="81"/>
      <c r="E44" s="81"/>
      <c r="F44" s="81"/>
      <c r="G44" s="81"/>
      <c r="H44" s="81"/>
      <c r="I44" s="81"/>
      <c r="J44" s="81"/>
      <c r="K44" s="59"/>
      <c r="L44" s="90"/>
      <c r="M44" s="136"/>
      <c r="N44" s="59"/>
      <c r="O44" s="90"/>
      <c r="P44" s="136"/>
      <c r="Q44" s="59"/>
      <c r="R44" s="90"/>
      <c r="S44" s="136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/>
      <c r="AS44" s="12" t="e">
        <f>#REF!</f>
        <v>#REF!</v>
      </c>
      <c r="AW44" s="2"/>
    </row>
    <row r="45" spans="1:49" s="2" customFormat="1" ht="17.25" customHeight="1" x14ac:dyDescent="0.25">
      <c r="A45" s="29"/>
      <c r="B45" s="261" t="s">
        <v>482</v>
      </c>
      <c r="C45" s="262"/>
      <c r="D45" s="63"/>
      <c r="E45" s="64"/>
      <c r="F45" s="64"/>
      <c r="G45" s="64"/>
      <c r="H45" s="64"/>
      <c r="I45" s="64"/>
      <c r="J45" s="64"/>
      <c r="K45" s="57"/>
      <c r="L45" s="88"/>
      <c r="M45" s="62"/>
      <c r="N45" s="57"/>
      <c r="O45" s="88"/>
      <c r="P45" s="62"/>
      <c r="Q45" s="16"/>
      <c r="R45" s="92"/>
      <c r="S45" s="64"/>
      <c r="T45" s="47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22"/>
      <c r="AT45" s="10"/>
      <c r="AU45" s="11"/>
    </row>
    <row r="46" spans="1:49" s="4" customFormat="1" ht="17.25" customHeight="1" x14ac:dyDescent="0.25">
      <c r="A46" s="23"/>
      <c r="B46" s="212" t="s">
        <v>94</v>
      </c>
      <c r="C46" s="212"/>
      <c r="D46" s="66"/>
      <c r="E46" s="66"/>
      <c r="F46" s="117"/>
      <c r="G46" s="117"/>
      <c r="H46" s="66"/>
      <c r="I46" s="66"/>
      <c r="J46" s="66"/>
      <c r="K46" s="58"/>
      <c r="L46" s="89"/>
      <c r="M46" s="73"/>
      <c r="N46" s="58"/>
      <c r="O46" s="89"/>
      <c r="P46" s="73"/>
      <c r="Q46" s="58"/>
      <c r="R46" s="89"/>
      <c r="S46" s="73"/>
      <c r="T46" s="39"/>
      <c r="U46" s="39"/>
      <c r="V46" s="8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35"/>
      <c r="AS46" s="12" t="e">
        <f>#REF!</f>
        <v>#REF!</v>
      </c>
    </row>
    <row r="47" spans="1:49" s="4" customFormat="1" ht="17.25" customHeight="1" x14ac:dyDescent="0.25">
      <c r="A47" s="23"/>
      <c r="B47" s="201" t="s">
        <v>95</v>
      </c>
      <c r="C47" s="203"/>
      <c r="D47" s="64"/>
      <c r="E47" s="64"/>
      <c r="F47" s="117"/>
      <c r="G47" s="117"/>
      <c r="H47" s="64"/>
      <c r="I47" s="64"/>
      <c r="J47" s="64"/>
      <c r="K47" s="57"/>
      <c r="L47" s="88"/>
      <c r="M47" s="62"/>
      <c r="N47" s="57"/>
      <c r="O47" s="88"/>
      <c r="P47" s="62"/>
      <c r="Q47" s="58"/>
      <c r="R47" s="89"/>
      <c r="S47" s="73"/>
      <c r="T47" s="39"/>
      <c r="U47" s="39"/>
      <c r="V47" s="8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35"/>
      <c r="AS47" s="12" t="e">
        <f>#REF!</f>
        <v>#REF!</v>
      </c>
    </row>
    <row r="48" spans="1:49" s="4" customFormat="1" ht="17.25" customHeight="1" x14ac:dyDescent="0.25">
      <c r="A48" s="23"/>
      <c r="B48" s="201" t="s">
        <v>479</v>
      </c>
      <c r="C48" s="203"/>
      <c r="D48" s="64"/>
      <c r="E48" s="64"/>
      <c r="F48" s="117"/>
      <c r="G48" s="117"/>
      <c r="H48" s="64"/>
      <c r="I48" s="64"/>
      <c r="J48" s="64"/>
      <c r="K48" s="57"/>
      <c r="L48" s="88"/>
      <c r="M48" s="62"/>
      <c r="N48" s="57"/>
      <c r="O48" s="88"/>
      <c r="P48" s="62"/>
      <c r="Q48" s="57"/>
      <c r="R48" s="88"/>
      <c r="S48" s="62"/>
      <c r="T48" s="39"/>
      <c r="U48" s="39"/>
      <c r="V48" s="8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35"/>
      <c r="AS48" s="12" t="e">
        <f>#REF!</f>
        <v>#REF!</v>
      </c>
    </row>
    <row r="49" spans="1:49" s="4" customFormat="1" ht="17.25" customHeight="1" x14ac:dyDescent="0.25">
      <c r="A49" s="23"/>
      <c r="B49" s="201" t="s">
        <v>97</v>
      </c>
      <c r="C49" s="203"/>
      <c r="D49" s="64"/>
      <c r="E49" s="64"/>
      <c r="F49" s="64"/>
      <c r="G49" s="64"/>
      <c r="H49" s="64"/>
      <c r="I49" s="64"/>
      <c r="J49" s="64"/>
      <c r="K49" s="57"/>
      <c r="L49" s="88"/>
      <c r="M49" s="62"/>
      <c r="N49" s="57"/>
      <c r="O49" s="88"/>
      <c r="P49" s="62"/>
      <c r="Q49" s="57"/>
      <c r="R49" s="88"/>
      <c r="S49" s="62"/>
      <c r="T49" s="39"/>
      <c r="U49" s="39"/>
      <c r="V49" s="39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22"/>
      <c r="AR49" s="43"/>
      <c r="AS49" s="12" t="e">
        <f>#REF!</f>
        <v>#REF!</v>
      </c>
      <c r="AW49" s="2"/>
    </row>
    <row r="50" spans="1:49" s="4" customFormat="1" ht="17.25" customHeight="1" x14ac:dyDescent="0.25">
      <c r="A50" s="23"/>
      <c r="B50" s="201" t="s">
        <v>100</v>
      </c>
      <c r="C50" s="202"/>
      <c r="D50" s="64"/>
      <c r="E50" s="64"/>
      <c r="F50" s="64"/>
      <c r="G50" s="64"/>
      <c r="H50" s="64"/>
      <c r="I50" s="64"/>
      <c r="J50" s="64"/>
      <c r="K50" s="57"/>
      <c r="L50" s="88"/>
      <c r="M50" s="62"/>
      <c r="N50" s="57"/>
      <c r="O50" s="88"/>
      <c r="P50" s="62"/>
      <c r="Q50" s="57"/>
      <c r="R50" s="88"/>
      <c r="S50" s="62"/>
      <c r="T50" s="39"/>
      <c r="U50" s="39"/>
      <c r="V50" s="39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22"/>
      <c r="AR50" s="43"/>
      <c r="AS50" s="12" t="e">
        <f>#REF!</f>
        <v>#REF!</v>
      </c>
      <c r="AW50" s="2"/>
    </row>
    <row r="51" spans="1:49" s="4" customFormat="1" ht="17.25" customHeight="1" x14ac:dyDescent="0.25">
      <c r="A51" s="23"/>
      <c r="B51" s="201"/>
      <c r="C51" s="202"/>
      <c r="D51" s="64"/>
      <c r="E51" s="64"/>
      <c r="F51" s="64"/>
      <c r="G51" s="64"/>
      <c r="H51" s="64"/>
      <c r="I51" s="64"/>
      <c r="J51" s="64"/>
      <c r="K51" s="57"/>
      <c r="L51" s="88"/>
      <c r="M51" s="62"/>
      <c r="N51" s="57"/>
      <c r="O51" s="88"/>
      <c r="P51" s="62"/>
      <c r="Q51" s="16"/>
      <c r="R51" s="92"/>
      <c r="S51" s="64"/>
      <c r="T51" s="39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22"/>
      <c r="AR51" s="43"/>
      <c r="AS51" s="12" t="e">
        <f>#REF!</f>
        <v>#REF!</v>
      </c>
      <c r="AW51" s="2"/>
    </row>
    <row r="52" spans="1:49" s="2" customFormat="1" ht="17.25" customHeight="1" thickBot="1" x14ac:dyDescent="0.3">
      <c r="A52" s="32"/>
      <c r="B52" s="101" t="s">
        <v>102</v>
      </c>
      <c r="C52" s="102">
        <f>D53+E53+F53+G53+H53+I53+J53+M53+P53</f>
        <v>117279.92954000011</v>
      </c>
      <c r="D52" s="96"/>
      <c r="E52" s="85"/>
      <c r="F52" s="85"/>
      <c r="G52" s="85"/>
      <c r="H52" s="85"/>
      <c r="I52" s="85"/>
      <c r="J52" s="85"/>
      <c r="K52" s="28"/>
      <c r="L52" s="112"/>
      <c r="M52" s="85"/>
      <c r="N52" s="28"/>
      <c r="O52" s="112"/>
      <c r="P52" s="85"/>
      <c r="Q52" s="28"/>
      <c r="R52" s="112"/>
      <c r="S52" s="85"/>
      <c r="T52" s="113"/>
      <c r="U52" s="51"/>
      <c r="V52" s="51"/>
      <c r="W52" s="28"/>
      <c r="X52" s="28"/>
      <c r="Y52" s="28"/>
      <c r="Z52" s="3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100"/>
      <c r="AR52" s="42">
        <f>SUM($T36:AQ52)</f>
        <v>-487087.82890000002</v>
      </c>
      <c r="AT52" s="33"/>
      <c r="AU52" s="27"/>
      <c r="AV52" s="2" t="s">
        <v>5</v>
      </c>
    </row>
    <row r="53" spans="1:49" s="2" customFormat="1" ht="17.25" customHeight="1" thickTop="1" thickBot="1" x14ac:dyDescent="0.3">
      <c r="A53" s="103"/>
      <c r="B53" s="104" t="s">
        <v>103</v>
      </c>
      <c r="C53" s="105">
        <f>AR53</f>
        <v>-368502.60935999989</v>
      </c>
      <c r="D53" s="106">
        <f t="shared" ref="D53:K53" si="4">SUM(D36:D52)</f>
        <v>12717.607040000057</v>
      </c>
      <c r="E53" s="107">
        <f t="shared" si="4"/>
        <v>-43287.790000000008</v>
      </c>
      <c r="F53" s="107">
        <f t="shared" si="4"/>
        <v>0.65000000000145519</v>
      </c>
      <c r="G53" s="107">
        <f t="shared" si="4"/>
        <v>0</v>
      </c>
      <c r="H53" s="107">
        <f t="shared" si="4"/>
        <v>65082.292500000054</v>
      </c>
      <c r="I53" s="107">
        <f t="shared" si="4"/>
        <v>10004.65</v>
      </c>
      <c r="J53" s="107">
        <f t="shared" si="4"/>
        <v>0</v>
      </c>
      <c r="K53" s="108">
        <f t="shared" si="4"/>
        <v>12170</v>
      </c>
      <c r="L53" s="109">
        <f>M53/K53</f>
        <v>5.1465924404272805</v>
      </c>
      <c r="M53" s="107">
        <f>ROUND(SUM(M36:M52),2)</f>
        <v>62634.03</v>
      </c>
      <c r="N53" s="108">
        <f>SUM(N36:N52)</f>
        <v>2783</v>
      </c>
      <c r="O53" s="109">
        <f>P53/N53</f>
        <v>3.6394143011139057</v>
      </c>
      <c r="P53" s="107">
        <f>ROUND(SUM(P36:P52),2)</f>
        <v>10128.49</v>
      </c>
      <c r="Q53" s="108">
        <f>SUM(Q36:Q52)</f>
        <v>214</v>
      </c>
      <c r="R53" s="109">
        <f>S53/Q53</f>
        <v>6.099485981308411</v>
      </c>
      <c r="S53" s="107">
        <f>ROUND(SUM(S36:S52),2)</f>
        <v>1305.29</v>
      </c>
      <c r="T53" s="115">
        <f t="shared" ref="T53:AQ53" si="5">SUM(T36:T52)</f>
        <v>-537317.12890000001</v>
      </c>
      <c r="U53" s="107">
        <f t="shared" si="5"/>
        <v>50229.299999999996</v>
      </c>
      <c r="V53" s="107">
        <f t="shared" si="5"/>
        <v>0</v>
      </c>
      <c r="W53" s="107">
        <f t="shared" si="5"/>
        <v>0</v>
      </c>
      <c r="X53" s="107">
        <f t="shared" si="5"/>
        <v>0</v>
      </c>
      <c r="Y53" s="107">
        <f t="shared" si="5"/>
        <v>0</v>
      </c>
      <c r="Z53" s="107">
        <f t="shared" si="5"/>
        <v>0</v>
      </c>
      <c r="AA53" s="107">
        <f t="shared" si="5"/>
        <v>0</v>
      </c>
      <c r="AB53" s="107">
        <f t="shared" si="5"/>
        <v>0</v>
      </c>
      <c r="AC53" s="107">
        <f t="shared" si="5"/>
        <v>0</v>
      </c>
      <c r="AD53" s="107">
        <f t="shared" si="5"/>
        <v>0</v>
      </c>
      <c r="AE53" s="107">
        <f t="shared" si="5"/>
        <v>0</v>
      </c>
      <c r="AF53" s="107">
        <f t="shared" si="5"/>
        <v>0</v>
      </c>
      <c r="AG53" s="107">
        <f t="shared" si="5"/>
        <v>0</v>
      </c>
      <c r="AH53" s="107">
        <f t="shared" si="5"/>
        <v>0</v>
      </c>
      <c r="AI53" s="107">
        <f t="shared" si="5"/>
        <v>0</v>
      </c>
      <c r="AJ53" s="107">
        <f t="shared" si="5"/>
        <v>0</v>
      </c>
      <c r="AK53" s="107">
        <f t="shared" si="5"/>
        <v>0</v>
      </c>
      <c r="AL53" s="107">
        <f t="shared" si="5"/>
        <v>0</v>
      </c>
      <c r="AM53" s="107">
        <f t="shared" si="5"/>
        <v>0</v>
      </c>
      <c r="AN53" s="107">
        <f t="shared" si="5"/>
        <v>0</v>
      </c>
      <c r="AO53" s="107">
        <f t="shared" si="5"/>
        <v>0</v>
      </c>
      <c r="AP53" s="107">
        <f t="shared" si="5"/>
        <v>0</v>
      </c>
      <c r="AQ53" s="107">
        <f t="shared" si="5"/>
        <v>0</v>
      </c>
      <c r="AR53" s="111">
        <f>D53+E53+F53+G53+H53+I53+J53+M53+P53+S53+SUM(T53:AQ53)</f>
        <v>-368502.60935999989</v>
      </c>
      <c r="AS53" s="4"/>
      <c r="AT53" s="5"/>
      <c r="AU53" s="5"/>
      <c r="AV53" s="2" t="s">
        <v>484</v>
      </c>
    </row>
    <row r="54" spans="1:49" s="2" customFormat="1" ht="17.25" customHeight="1" thickTop="1" x14ac:dyDescent="0.25">
      <c r="A54" s="29">
        <f>A37+1</f>
        <v>46360</v>
      </c>
      <c r="B54" s="261" t="s">
        <v>480</v>
      </c>
      <c r="C54" s="262"/>
      <c r="D54" s="63"/>
      <c r="E54" s="64"/>
      <c r="F54" s="64"/>
      <c r="G54" s="64"/>
      <c r="H54" s="64"/>
      <c r="I54" s="64"/>
      <c r="J54" s="64"/>
      <c r="K54" s="57"/>
      <c r="L54" s="88"/>
      <c r="M54" s="62"/>
      <c r="N54" s="57"/>
      <c r="O54" s="88"/>
      <c r="P54" s="62"/>
      <c r="Q54" s="16"/>
      <c r="R54" s="92"/>
      <c r="S54" s="64"/>
      <c r="T54" s="47"/>
      <c r="U54" s="39"/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T54" s="10"/>
      <c r="AU54" s="11"/>
    </row>
    <row r="55" spans="1:49" s="2" customFormat="1" ht="17.25" customHeight="1" x14ac:dyDescent="0.25">
      <c r="A55" s="29"/>
      <c r="B55" s="201" t="s">
        <v>64</v>
      </c>
      <c r="C55" s="202"/>
      <c r="D55" s="65"/>
      <c r="E55" s="64"/>
      <c r="F55" s="64"/>
      <c r="G55" s="64"/>
      <c r="H55" s="64"/>
      <c r="I55" s="64"/>
      <c r="J55" s="64"/>
      <c r="K55" s="57"/>
      <c r="L55" s="88"/>
      <c r="M55" s="62"/>
      <c r="N55" s="57"/>
      <c r="O55" s="88"/>
      <c r="P55" s="62"/>
      <c r="Q55" s="57"/>
      <c r="R55" s="88"/>
      <c r="S55" s="62"/>
      <c r="T55" s="47"/>
      <c r="U55" s="39"/>
      <c r="V55" s="39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22"/>
      <c r="AT55" s="10" t="s">
        <v>4</v>
      </c>
      <c r="AU55" s="11" t="e">
        <v>#REF!</v>
      </c>
    </row>
    <row r="56" spans="1:49" s="2" customFormat="1" ht="17.25" customHeight="1" x14ac:dyDescent="0.25">
      <c r="A56" s="29"/>
      <c r="B56" s="201" t="s">
        <v>96</v>
      </c>
      <c r="C56" s="202"/>
      <c r="D56" s="65"/>
      <c r="E56" s="64"/>
      <c r="F56" s="64"/>
      <c r="G56" s="64"/>
      <c r="H56" s="64"/>
      <c r="I56" s="64"/>
      <c r="J56" s="64"/>
      <c r="K56" s="57"/>
      <c r="L56" s="88"/>
      <c r="M56" s="62"/>
      <c r="N56" s="57"/>
      <c r="O56" s="88"/>
      <c r="P56" s="62"/>
      <c r="Q56" s="57"/>
      <c r="R56" s="88"/>
      <c r="S56" s="62"/>
      <c r="T56" s="47"/>
      <c r="U56" s="39"/>
      <c r="V56" s="39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22"/>
      <c r="AT56" s="10" t="s">
        <v>4</v>
      </c>
      <c r="AU56" s="11" t="e">
        <v>#REF!</v>
      </c>
    </row>
    <row r="57" spans="1:49" s="2" customFormat="1" ht="17.25" customHeight="1" x14ac:dyDescent="0.25">
      <c r="A57" s="29"/>
      <c r="B57" s="201" t="s">
        <v>327</v>
      </c>
      <c r="C57" s="202"/>
      <c r="D57" s="65"/>
      <c r="E57" s="64"/>
      <c r="F57" s="64"/>
      <c r="G57" s="64"/>
      <c r="H57" s="64"/>
      <c r="I57" s="64"/>
      <c r="J57" s="64"/>
      <c r="K57" s="57"/>
      <c r="L57" s="88"/>
      <c r="M57" s="62"/>
      <c r="N57" s="57"/>
      <c r="O57" s="88"/>
      <c r="P57" s="62"/>
      <c r="Q57" s="57"/>
      <c r="R57" s="88"/>
      <c r="S57" s="62"/>
      <c r="T57" s="47"/>
      <c r="U57" s="39"/>
      <c r="V57" s="39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22"/>
      <c r="AT57" s="10"/>
      <c r="AU57" s="11"/>
    </row>
    <row r="58" spans="1:49" s="2" customFormat="1" ht="17.25" customHeight="1" x14ac:dyDescent="0.25">
      <c r="A58" s="29"/>
      <c r="B58" s="201" t="s">
        <v>328</v>
      </c>
      <c r="C58" s="202"/>
      <c r="D58" s="63"/>
      <c r="E58" s="64"/>
      <c r="F58" s="64"/>
      <c r="G58" s="64"/>
      <c r="H58" s="64"/>
      <c r="I58" s="64"/>
      <c r="J58" s="64"/>
      <c r="K58" s="57"/>
      <c r="L58" s="88"/>
      <c r="M58" s="62"/>
      <c r="N58" s="57"/>
      <c r="O58" s="88"/>
      <c r="P58" s="62"/>
      <c r="Q58" s="16"/>
      <c r="R58" s="92"/>
      <c r="S58" s="64"/>
      <c r="T58" s="47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22"/>
      <c r="AT58" s="10"/>
      <c r="AU58" s="11"/>
    </row>
    <row r="59" spans="1:49" s="2" customFormat="1" ht="17.25" customHeight="1" x14ac:dyDescent="0.25">
      <c r="A59" s="29"/>
      <c r="B59" s="261" t="s">
        <v>481</v>
      </c>
      <c r="C59" s="262"/>
      <c r="D59" s="63"/>
      <c r="E59" s="64"/>
      <c r="F59" s="64"/>
      <c r="G59" s="64"/>
      <c r="H59" s="64"/>
      <c r="I59" s="64"/>
      <c r="J59" s="64"/>
      <c r="K59" s="57"/>
      <c r="L59" s="88"/>
      <c r="M59" s="62"/>
      <c r="N59" s="57"/>
      <c r="O59" s="88"/>
      <c r="P59" s="62"/>
      <c r="Q59" s="16"/>
      <c r="R59" s="92"/>
      <c r="S59" s="64"/>
      <c r="T59" s="47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22"/>
      <c r="AT59" s="10"/>
      <c r="AU59" s="11"/>
    </row>
    <row r="60" spans="1:49" s="2" customFormat="1" ht="17.25" customHeight="1" x14ac:dyDescent="0.25">
      <c r="A60" s="29"/>
      <c r="B60" s="201" t="s">
        <v>483</v>
      </c>
      <c r="C60" s="202"/>
      <c r="D60" s="63"/>
      <c r="E60" s="64"/>
      <c r="F60" s="64"/>
      <c r="G60" s="64"/>
      <c r="H60" s="64"/>
      <c r="I60" s="64"/>
      <c r="J60" s="64"/>
      <c r="K60" s="57"/>
      <c r="L60" s="88"/>
      <c r="M60" s="62"/>
      <c r="N60" s="57"/>
      <c r="O60" s="88"/>
      <c r="P60" s="62"/>
      <c r="Q60" s="16"/>
      <c r="R60" s="92"/>
      <c r="S60" s="64"/>
      <c r="T60" s="47"/>
      <c r="U60" s="39"/>
      <c r="V60" s="39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22"/>
      <c r="AT60" s="10"/>
      <c r="AU60" s="11"/>
    </row>
    <row r="61" spans="1:49" s="4" customFormat="1" ht="17.25" customHeight="1" thickBot="1" x14ac:dyDescent="0.3">
      <c r="A61" s="24"/>
      <c r="B61" s="246"/>
      <c r="C61" s="246"/>
      <c r="D61" s="81"/>
      <c r="E61" s="81"/>
      <c r="F61" s="81"/>
      <c r="G61" s="81"/>
      <c r="H61" s="81"/>
      <c r="I61" s="81"/>
      <c r="J61" s="81"/>
      <c r="K61" s="59"/>
      <c r="L61" s="90"/>
      <c r="M61" s="136"/>
      <c r="N61" s="59"/>
      <c r="O61" s="90"/>
      <c r="P61" s="136"/>
      <c r="Q61" s="59"/>
      <c r="R61" s="90"/>
      <c r="S61" s="136"/>
      <c r="T61" s="39"/>
      <c r="U61" s="39"/>
      <c r="V61" s="39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22"/>
      <c r="AR61" s="43"/>
      <c r="AS61" s="12" t="e">
        <f>#REF!</f>
        <v>#REF!</v>
      </c>
      <c r="AW61" s="2"/>
    </row>
    <row r="62" spans="1:49" s="2" customFormat="1" ht="17.25" customHeight="1" x14ac:dyDescent="0.25">
      <c r="A62" s="29"/>
      <c r="B62" s="261" t="s">
        <v>482</v>
      </c>
      <c r="C62" s="262"/>
      <c r="D62" s="63"/>
      <c r="E62" s="64"/>
      <c r="F62" s="64"/>
      <c r="G62" s="64"/>
      <c r="H62" s="64"/>
      <c r="I62" s="64"/>
      <c r="J62" s="64"/>
      <c r="K62" s="57"/>
      <c r="L62" s="88"/>
      <c r="M62" s="62"/>
      <c r="N62" s="57"/>
      <c r="O62" s="88"/>
      <c r="P62" s="62"/>
      <c r="Q62" s="16"/>
      <c r="R62" s="92"/>
      <c r="S62" s="64"/>
      <c r="T62" s="47"/>
      <c r="U62" s="39"/>
      <c r="V62" s="39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22"/>
      <c r="AT62" s="10"/>
      <c r="AU62" s="11"/>
    </row>
    <row r="63" spans="1:49" s="4" customFormat="1" ht="17.25" customHeight="1" x14ac:dyDescent="0.25">
      <c r="A63" s="23"/>
      <c r="B63" s="212" t="s">
        <v>94</v>
      </c>
      <c r="C63" s="212"/>
      <c r="D63" s="66"/>
      <c r="E63" s="66"/>
      <c r="F63" s="117"/>
      <c r="G63" s="117"/>
      <c r="H63" s="66"/>
      <c r="I63" s="66"/>
      <c r="J63" s="66"/>
      <c r="K63" s="58"/>
      <c r="L63" s="89"/>
      <c r="M63" s="73"/>
      <c r="N63" s="58"/>
      <c r="O63" s="89"/>
      <c r="P63" s="73"/>
      <c r="Q63" s="58"/>
      <c r="R63" s="89"/>
      <c r="S63" s="73"/>
      <c r="T63" s="39"/>
      <c r="U63" s="39"/>
      <c r="V63" s="8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35"/>
      <c r="AS63" s="12" t="e">
        <f>#REF!</f>
        <v>#REF!</v>
      </c>
    </row>
    <row r="64" spans="1:49" s="4" customFormat="1" ht="17.25" customHeight="1" x14ac:dyDescent="0.25">
      <c r="A64" s="23"/>
      <c r="B64" s="201" t="s">
        <v>95</v>
      </c>
      <c r="C64" s="203"/>
      <c r="D64" s="64"/>
      <c r="E64" s="64"/>
      <c r="F64" s="117"/>
      <c r="G64" s="117"/>
      <c r="H64" s="64"/>
      <c r="I64" s="64"/>
      <c r="J64" s="64"/>
      <c r="K64" s="57"/>
      <c r="L64" s="88"/>
      <c r="M64" s="62"/>
      <c r="N64" s="57"/>
      <c r="O64" s="88"/>
      <c r="P64" s="62"/>
      <c r="Q64" s="58"/>
      <c r="R64" s="89"/>
      <c r="S64" s="73"/>
      <c r="T64" s="39"/>
      <c r="U64" s="39"/>
      <c r="V64" s="8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35"/>
      <c r="AS64" s="12" t="e">
        <f>#REF!</f>
        <v>#REF!</v>
      </c>
    </row>
    <row r="65" spans="1:49" s="4" customFormat="1" ht="17.25" customHeight="1" x14ac:dyDescent="0.25">
      <c r="A65" s="23"/>
      <c r="B65" s="201" t="s">
        <v>479</v>
      </c>
      <c r="C65" s="203"/>
      <c r="D65" s="64"/>
      <c r="E65" s="64"/>
      <c r="F65" s="117"/>
      <c r="G65" s="117"/>
      <c r="H65" s="64"/>
      <c r="I65" s="64"/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39"/>
      <c r="U65" s="39"/>
      <c r="V65" s="8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35"/>
      <c r="AS65" s="12" t="e">
        <f>#REF!</f>
        <v>#REF!</v>
      </c>
    </row>
    <row r="66" spans="1:49" s="4" customFormat="1" ht="17.25" customHeight="1" x14ac:dyDescent="0.25">
      <c r="A66" s="23"/>
      <c r="B66" s="201" t="s">
        <v>97</v>
      </c>
      <c r="C66" s="203"/>
      <c r="D66" s="64"/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39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43"/>
      <c r="AS66" s="12" t="e">
        <f>#REF!</f>
        <v>#REF!</v>
      </c>
      <c r="AW66" s="2"/>
    </row>
    <row r="67" spans="1:49" s="4" customFormat="1" ht="17.25" customHeight="1" x14ac:dyDescent="0.25">
      <c r="A67" s="23"/>
      <c r="B67" s="201" t="s">
        <v>100</v>
      </c>
      <c r="C67" s="202"/>
      <c r="D67" s="64"/>
      <c r="E67" s="64"/>
      <c r="F67" s="64"/>
      <c r="G67" s="64"/>
      <c r="H67" s="64"/>
      <c r="I67" s="64"/>
      <c r="J67" s="64"/>
      <c r="K67" s="57"/>
      <c r="L67" s="88"/>
      <c r="M67" s="62"/>
      <c r="N67" s="57"/>
      <c r="O67" s="88"/>
      <c r="P67" s="62"/>
      <c r="Q67" s="57"/>
      <c r="R67" s="88"/>
      <c r="S67" s="62"/>
      <c r="T67" s="39"/>
      <c r="U67" s="39"/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2"/>
      <c r="AR67" s="43"/>
      <c r="AS67" s="12" t="e">
        <f>#REF!</f>
        <v>#REF!</v>
      </c>
      <c r="AW67" s="2"/>
    </row>
    <row r="68" spans="1:49" s="4" customFormat="1" ht="17.25" customHeight="1" x14ac:dyDescent="0.25">
      <c r="A68" s="23"/>
      <c r="B68" s="201"/>
      <c r="C68" s="203"/>
      <c r="D68" s="64"/>
      <c r="E68" s="64"/>
      <c r="F68" s="64"/>
      <c r="G68" s="64"/>
      <c r="H68" s="64"/>
      <c r="I68" s="64"/>
      <c r="J68" s="64"/>
      <c r="K68" s="57"/>
      <c r="L68" s="88"/>
      <c r="M68" s="62"/>
      <c r="N68" s="57"/>
      <c r="O68" s="88"/>
      <c r="P68" s="62"/>
      <c r="Q68" s="16"/>
      <c r="R68" s="92"/>
      <c r="S68" s="64"/>
      <c r="T68" s="39"/>
      <c r="U68" s="39"/>
      <c r="V68" s="39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22"/>
      <c r="AR68" s="43"/>
      <c r="AS68" s="12" t="e">
        <f>#REF!</f>
        <v>#REF!</v>
      </c>
      <c r="AW68" s="2"/>
    </row>
    <row r="69" spans="1:49" s="2" customFormat="1" ht="17.25" customHeight="1" thickBot="1" x14ac:dyDescent="0.3">
      <c r="A69" s="56"/>
      <c r="B69" s="101" t="s">
        <v>102</v>
      </c>
      <c r="C69" s="102">
        <f>D70+E70+F70+G70+H70+I70+J70+M70+P70</f>
        <v>117279.92954000011</v>
      </c>
      <c r="D69" s="84"/>
      <c r="E69" s="85"/>
      <c r="F69" s="85"/>
      <c r="G69" s="85"/>
      <c r="H69" s="85"/>
      <c r="I69" s="85"/>
      <c r="J69" s="85"/>
      <c r="K69" s="28"/>
      <c r="L69" s="112"/>
      <c r="M69" s="85"/>
      <c r="N69" s="28"/>
      <c r="O69" s="112"/>
      <c r="P69" s="85"/>
      <c r="Q69" s="28"/>
      <c r="R69" s="112"/>
      <c r="S69" s="85"/>
      <c r="T69" s="48"/>
      <c r="U69" s="48"/>
      <c r="V69" s="51"/>
      <c r="W69" s="28"/>
      <c r="X69" s="28"/>
      <c r="Y69" s="28"/>
      <c r="Z69" s="28"/>
      <c r="AA69" s="28"/>
      <c r="AB69" s="36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42">
        <f>SUM($T53:AQ69)</f>
        <v>-487087.82890000002</v>
      </c>
      <c r="AT69" s="10"/>
      <c r="AU69" s="11"/>
      <c r="AV69" s="2" t="s">
        <v>5</v>
      </c>
    </row>
    <row r="70" spans="1:49" s="2" customFormat="1" ht="17.25" customHeight="1" thickTop="1" thickBot="1" x14ac:dyDescent="0.3">
      <c r="A70" s="103"/>
      <c r="B70" s="104" t="s">
        <v>103</v>
      </c>
      <c r="C70" s="105">
        <f>AR70</f>
        <v>-368502.60935999989</v>
      </c>
      <c r="D70" s="106">
        <f t="shared" ref="D70:K70" si="6">SUM(D53:D69)</f>
        <v>12717.607040000057</v>
      </c>
      <c r="E70" s="107">
        <f t="shared" si="6"/>
        <v>-43287.790000000008</v>
      </c>
      <c r="F70" s="107">
        <f t="shared" si="6"/>
        <v>0.65000000000145519</v>
      </c>
      <c r="G70" s="107">
        <f t="shared" si="6"/>
        <v>0</v>
      </c>
      <c r="H70" s="107">
        <f t="shared" si="6"/>
        <v>65082.292500000054</v>
      </c>
      <c r="I70" s="107">
        <f t="shared" si="6"/>
        <v>10004.65</v>
      </c>
      <c r="J70" s="107">
        <f t="shared" si="6"/>
        <v>0</v>
      </c>
      <c r="K70" s="108">
        <f t="shared" si="6"/>
        <v>12170</v>
      </c>
      <c r="L70" s="109">
        <f>M70/K70</f>
        <v>5.1465924404272805</v>
      </c>
      <c r="M70" s="107">
        <f>ROUND(SUM(M53:M69),2)</f>
        <v>62634.03</v>
      </c>
      <c r="N70" s="108">
        <f>SUM(N53:N69)</f>
        <v>2783</v>
      </c>
      <c r="O70" s="109">
        <f>P70/N70</f>
        <v>3.6394143011139057</v>
      </c>
      <c r="P70" s="107">
        <f>ROUND(SUM(P53:P69),2)</f>
        <v>10128.49</v>
      </c>
      <c r="Q70" s="108">
        <f>SUM(Q53:Q69)</f>
        <v>214</v>
      </c>
      <c r="R70" s="109">
        <f>S70/Q70</f>
        <v>6.099485981308411</v>
      </c>
      <c r="S70" s="107">
        <f>ROUND(SUM(S53:S69),2)</f>
        <v>1305.29</v>
      </c>
      <c r="T70" s="110">
        <f t="shared" ref="T70:AQ70" si="7">SUM(T53:T69)</f>
        <v>-537317.12890000001</v>
      </c>
      <c r="U70" s="107">
        <f t="shared" si="7"/>
        <v>50229.299999999996</v>
      </c>
      <c r="V70" s="107">
        <f t="shared" si="7"/>
        <v>0</v>
      </c>
      <c r="W70" s="107">
        <f t="shared" si="7"/>
        <v>0</v>
      </c>
      <c r="X70" s="107">
        <f t="shared" si="7"/>
        <v>0</v>
      </c>
      <c r="Y70" s="107">
        <f t="shared" si="7"/>
        <v>0</v>
      </c>
      <c r="Z70" s="107">
        <f t="shared" si="7"/>
        <v>0</v>
      </c>
      <c r="AA70" s="107">
        <f t="shared" si="7"/>
        <v>0</v>
      </c>
      <c r="AB70" s="107">
        <f t="shared" si="7"/>
        <v>0</v>
      </c>
      <c r="AC70" s="107">
        <f t="shared" si="7"/>
        <v>0</v>
      </c>
      <c r="AD70" s="107">
        <f t="shared" si="7"/>
        <v>0</v>
      </c>
      <c r="AE70" s="107">
        <f t="shared" si="7"/>
        <v>0</v>
      </c>
      <c r="AF70" s="107">
        <f t="shared" si="7"/>
        <v>0</v>
      </c>
      <c r="AG70" s="107">
        <f t="shared" si="7"/>
        <v>0</v>
      </c>
      <c r="AH70" s="107">
        <f t="shared" si="7"/>
        <v>0</v>
      </c>
      <c r="AI70" s="107">
        <f t="shared" si="7"/>
        <v>0</v>
      </c>
      <c r="AJ70" s="107">
        <f t="shared" si="7"/>
        <v>0</v>
      </c>
      <c r="AK70" s="107">
        <f t="shared" si="7"/>
        <v>0</v>
      </c>
      <c r="AL70" s="107">
        <f t="shared" si="7"/>
        <v>0</v>
      </c>
      <c r="AM70" s="107">
        <f t="shared" si="7"/>
        <v>0</v>
      </c>
      <c r="AN70" s="107">
        <f t="shared" si="7"/>
        <v>0</v>
      </c>
      <c r="AO70" s="107">
        <f t="shared" si="7"/>
        <v>0</v>
      </c>
      <c r="AP70" s="107">
        <f t="shared" si="7"/>
        <v>0</v>
      </c>
      <c r="AQ70" s="107">
        <f t="shared" si="7"/>
        <v>0</v>
      </c>
      <c r="AR70" s="111">
        <f>D70+E70+F70+G70+H70+I70+J70+M70+P70+S70+SUM(T70:AQ70)</f>
        <v>-368502.60935999989</v>
      </c>
      <c r="AS70" s="4"/>
      <c r="AT70" s="5"/>
      <c r="AU70" s="5"/>
      <c r="AV70" s="2" t="s">
        <v>484</v>
      </c>
    </row>
    <row r="71" spans="1:49" s="2" customFormat="1" ht="17.25" customHeight="1" thickTop="1" x14ac:dyDescent="0.25">
      <c r="A71" s="29">
        <f>A54+1</f>
        <v>46361</v>
      </c>
      <c r="B71" s="261" t="s">
        <v>480</v>
      </c>
      <c r="C71" s="262"/>
      <c r="D71" s="63"/>
      <c r="E71" s="64"/>
      <c r="F71" s="64"/>
      <c r="G71" s="64"/>
      <c r="H71" s="64"/>
      <c r="I71" s="64"/>
      <c r="J71" s="64"/>
      <c r="K71" s="57"/>
      <c r="L71" s="88"/>
      <c r="M71" s="62"/>
      <c r="N71" s="57"/>
      <c r="O71" s="88"/>
      <c r="P71" s="62"/>
      <c r="Q71" s="16"/>
      <c r="R71" s="92"/>
      <c r="S71" s="64"/>
      <c r="T71" s="47"/>
      <c r="U71" s="39"/>
      <c r="V71" s="39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22"/>
      <c r="AT71" s="10"/>
      <c r="AU71" s="11"/>
    </row>
    <row r="72" spans="1:49" s="2" customFormat="1" ht="17.25" customHeight="1" x14ac:dyDescent="0.25">
      <c r="A72" s="29"/>
      <c r="B72" s="201" t="s">
        <v>64</v>
      </c>
      <c r="C72" s="202"/>
      <c r="D72" s="65"/>
      <c r="E72" s="64"/>
      <c r="F72" s="64"/>
      <c r="G72" s="64"/>
      <c r="H72" s="64"/>
      <c r="I72" s="64"/>
      <c r="J72" s="64"/>
      <c r="K72" s="57"/>
      <c r="L72" s="88"/>
      <c r="M72" s="62"/>
      <c r="N72" s="57"/>
      <c r="O72" s="88"/>
      <c r="P72" s="62"/>
      <c r="Q72" s="57"/>
      <c r="R72" s="88"/>
      <c r="S72" s="62"/>
      <c r="T72" s="47"/>
      <c r="U72" s="39"/>
      <c r="V72" s="39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22"/>
      <c r="AT72" s="10" t="s">
        <v>4</v>
      </c>
      <c r="AU72" s="11" t="e">
        <v>#REF!</v>
      </c>
    </row>
    <row r="73" spans="1:49" s="2" customFormat="1" ht="17.25" customHeight="1" x14ac:dyDescent="0.25">
      <c r="A73" s="29"/>
      <c r="B73" s="201" t="s">
        <v>96</v>
      </c>
      <c r="C73" s="202"/>
      <c r="D73" s="65"/>
      <c r="E73" s="64"/>
      <c r="F73" s="64"/>
      <c r="G73" s="64"/>
      <c r="H73" s="64"/>
      <c r="I73" s="64"/>
      <c r="J73" s="64"/>
      <c r="K73" s="57"/>
      <c r="L73" s="88"/>
      <c r="M73" s="62"/>
      <c r="N73" s="57"/>
      <c r="O73" s="88"/>
      <c r="P73" s="62"/>
      <c r="Q73" s="57"/>
      <c r="R73" s="88"/>
      <c r="S73" s="62"/>
      <c r="T73" s="47"/>
      <c r="U73" s="39"/>
      <c r="V73" s="39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22"/>
      <c r="AT73" s="10" t="s">
        <v>4</v>
      </c>
      <c r="AU73" s="11" t="e">
        <v>#REF!</v>
      </c>
    </row>
    <row r="74" spans="1:49" s="2" customFormat="1" ht="17.25" customHeight="1" x14ac:dyDescent="0.25">
      <c r="A74" s="29"/>
      <c r="B74" s="201" t="s">
        <v>327</v>
      </c>
      <c r="C74" s="202"/>
      <c r="D74" s="65"/>
      <c r="E74" s="64"/>
      <c r="F74" s="64"/>
      <c r="G74" s="64"/>
      <c r="H74" s="64"/>
      <c r="I74" s="64"/>
      <c r="J74" s="64"/>
      <c r="K74" s="57"/>
      <c r="L74" s="88"/>
      <c r="M74" s="62"/>
      <c r="N74" s="57"/>
      <c r="O74" s="88"/>
      <c r="P74" s="62"/>
      <c r="Q74" s="57"/>
      <c r="R74" s="88"/>
      <c r="S74" s="62"/>
      <c r="T74" s="47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22"/>
      <c r="AT74" s="10"/>
      <c r="AU74" s="11"/>
    </row>
    <row r="75" spans="1:49" s="2" customFormat="1" ht="17.25" customHeight="1" x14ac:dyDescent="0.25">
      <c r="A75" s="29"/>
      <c r="B75" s="201" t="s">
        <v>328</v>
      </c>
      <c r="C75" s="202"/>
      <c r="D75" s="63"/>
      <c r="E75" s="64"/>
      <c r="F75" s="64"/>
      <c r="G75" s="64"/>
      <c r="H75" s="64"/>
      <c r="I75" s="64"/>
      <c r="J75" s="64"/>
      <c r="K75" s="57"/>
      <c r="L75" s="88"/>
      <c r="M75" s="62"/>
      <c r="N75" s="57"/>
      <c r="O75" s="88"/>
      <c r="P75" s="62"/>
      <c r="Q75" s="16"/>
      <c r="R75" s="92"/>
      <c r="S75" s="64"/>
      <c r="T75" s="47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22"/>
      <c r="AT75" s="10"/>
      <c r="AU75" s="11"/>
    </row>
    <row r="76" spans="1:49" s="2" customFormat="1" ht="17.25" customHeight="1" x14ac:dyDescent="0.25">
      <c r="A76" s="29"/>
      <c r="B76" s="261" t="s">
        <v>481</v>
      </c>
      <c r="C76" s="262"/>
      <c r="D76" s="63"/>
      <c r="E76" s="64"/>
      <c r="F76" s="64"/>
      <c r="G76" s="64"/>
      <c r="H76" s="64"/>
      <c r="I76" s="64"/>
      <c r="J76" s="64"/>
      <c r="K76" s="57"/>
      <c r="L76" s="88"/>
      <c r="M76" s="62"/>
      <c r="N76" s="57"/>
      <c r="O76" s="88"/>
      <c r="P76" s="62"/>
      <c r="Q76" s="16"/>
      <c r="R76" s="92"/>
      <c r="S76" s="64"/>
      <c r="T76" s="47"/>
      <c r="U76" s="39"/>
      <c r="V76" s="39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22"/>
      <c r="AT76" s="10"/>
      <c r="AU76" s="11"/>
    </row>
    <row r="77" spans="1:49" s="2" customFormat="1" ht="17.25" customHeight="1" x14ac:dyDescent="0.25">
      <c r="A77" s="29"/>
      <c r="B77" s="201" t="s">
        <v>483</v>
      </c>
      <c r="C77" s="202"/>
      <c r="D77" s="63"/>
      <c r="E77" s="64"/>
      <c r="F77" s="64"/>
      <c r="G77" s="64"/>
      <c r="H77" s="64"/>
      <c r="I77" s="64"/>
      <c r="J77" s="64"/>
      <c r="K77" s="57"/>
      <c r="L77" s="88"/>
      <c r="M77" s="62"/>
      <c r="N77" s="57"/>
      <c r="O77" s="88"/>
      <c r="P77" s="62"/>
      <c r="Q77" s="16"/>
      <c r="R77" s="92"/>
      <c r="S77" s="64"/>
      <c r="T77" s="47"/>
      <c r="U77" s="39"/>
      <c r="V77" s="39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22"/>
      <c r="AT77" s="10"/>
      <c r="AU77" s="11"/>
    </row>
    <row r="78" spans="1:49" s="4" customFormat="1" ht="17.25" customHeight="1" thickBot="1" x14ac:dyDescent="0.3">
      <c r="A78" s="24"/>
      <c r="B78" s="246"/>
      <c r="C78" s="246"/>
      <c r="D78" s="81"/>
      <c r="E78" s="81"/>
      <c r="F78" s="81"/>
      <c r="G78" s="81"/>
      <c r="H78" s="81"/>
      <c r="I78" s="81"/>
      <c r="J78" s="81"/>
      <c r="K78" s="59"/>
      <c r="L78" s="90"/>
      <c r="M78" s="136"/>
      <c r="N78" s="59"/>
      <c r="O78" s="90"/>
      <c r="P78" s="136"/>
      <c r="Q78" s="59"/>
      <c r="R78" s="90"/>
      <c r="S78" s="136"/>
      <c r="T78" s="39"/>
      <c r="U78" s="39"/>
      <c r="V78" s="39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22"/>
      <c r="AR78" s="43"/>
      <c r="AS78" s="12" t="e">
        <f>#REF!</f>
        <v>#REF!</v>
      </c>
      <c r="AW78" s="2"/>
    </row>
    <row r="79" spans="1:49" s="2" customFormat="1" ht="17.25" customHeight="1" x14ac:dyDescent="0.25">
      <c r="A79" s="29"/>
      <c r="B79" s="261" t="s">
        <v>482</v>
      </c>
      <c r="C79" s="262"/>
      <c r="D79" s="63"/>
      <c r="E79" s="64"/>
      <c r="F79" s="64"/>
      <c r="G79" s="64"/>
      <c r="H79" s="64"/>
      <c r="I79" s="64"/>
      <c r="J79" s="64"/>
      <c r="K79" s="57"/>
      <c r="L79" s="88"/>
      <c r="M79" s="62"/>
      <c r="N79" s="57"/>
      <c r="O79" s="88"/>
      <c r="P79" s="62"/>
      <c r="Q79" s="16"/>
      <c r="R79" s="92"/>
      <c r="S79" s="64"/>
      <c r="T79" s="47"/>
      <c r="U79" s="39"/>
      <c r="V79" s="39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22"/>
      <c r="AT79" s="10"/>
      <c r="AU79" s="11"/>
    </row>
    <row r="80" spans="1:49" s="4" customFormat="1" ht="17.25" customHeight="1" x14ac:dyDescent="0.25">
      <c r="A80" s="23"/>
      <c r="B80" s="212" t="s">
        <v>94</v>
      </c>
      <c r="C80" s="212"/>
      <c r="D80" s="66"/>
      <c r="E80" s="66"/>
      <c r="F80" s="117"/>
      <c r="G80" s="117"/>
      <c r="H80" s="66"/>
      <c r="I80" s="66"/>
      <c r="J80" s="66"/>
      <c r="K80" s="58"/>
      <c r="L80" s="89"/>
      <c r="M80" s="73"/>
      <c r="N80" s="58"/>
      <c r="O80" s="89"/>
      <c r="P80" s="73"/>
      <c r="Q80" s="58"/>
      <c r="R80" s="89"/>
      <c r="S80" s="73"/>
      <c r="T80" s="39"/>
      <c r="U80" s="39"/>
      <c r="V80" s="8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35"/>
      <c r="AS80" s="12" t="e">
        <f>#REF!</f>
        <v>#REF!</v>
      </c>
    </row>
    <row r="81" spans="1:49" s="4" customFormat="1" ht="17.25" customHeight="1" x14ac:dyDescent="0.25">
      <c r="A81" s="23"/>
      <c r="B81" s="201" t="s">
        <v>95</v>
      </c>
      <c r="C81" s="203"/>
      <c r="D81" s="64"/>
      <c r="E81" s="64"/>
      <c r="F81" s="117"/>
      <c r="G81" s="117"/>
      <c r="H81" s="64"/>
      <c r="I81" s="64"/>
      <c r="J81" s="64"/>
      <c r="K81" s="57"/>
      <c r="L81" s="88"/>
      <c r="M81" s="62"/>
      <c r="N81" s="57"/>
      <c r="O81" s="88"/>
      <c r="P81" s="62"/>
      <c r="Q81" s="58"/>
      <c r="R81" s="89"/>
      <c r="S81" s="73"/>
      <c r="T81" s="39"/>
      <c r="U81" s="39"/>
      <c r="V81" s="8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35"/>
      <c r="AS81" s="12" t="e">
        <f>#REF!</f>
        <v>#REF!</v>
      </c>
    </row>
    <row r="82" spans="1:49" s="4" customFormat="1" ht="17.25" customHeight="1" x14ac:dyDescent="0.25">
      <c r="A82" s="23"/>
      <c r="B82" s="201" t="s">
        <v>479</v>
      </c>
      <c r="C82" s="203"/>
      <c r="D82" s="64"/>
      <c r="E82" s="64"/>
      <c r="F82" s="117"/>
      <c r="G82" s="117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39"/>
      <c r="U82" s="39"/>
      <c r="V82" s="8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35"/>
      <c r="AS82" s="12" t="e">
        <f>#REF!</f>
        <v>#REF!</v>
      </c>
    </row>
    <row r="83" spans="1:49" s="4" customFormat="1" ht="17.25" customHeight="1" x14ac:dyDescent="0.25">
      <c r="A83" s="23"/>
      <c r="B83" s="201" t="s">
        <v>97</v>
      </c>
      <c r="C83" s="203"/>
      <c r="D83" s="64"/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39"/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22"/>
      <c r="AR83" s="43"/>
      <c r="AS83" s="12" t="e">
        <f>#REF!</f>
        <v>#REF!</v>
      </c>
      <c r="AW83" s="2"/>
    </row>
    <row r="84" spans="1:49" s="4" customFormat="1" ht="17.25" customHeight="1" x14ac:dyDescent="0.25">
      <c r="A84" s="23"/>
      <c r="B84" s="201" t="s">
        <v>100</v>
      </c>
      <c r="C84" s="202"/>
      <c r="D84" s="64"/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39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22"/>
      <c r="AR84" s="43"/>
      <c r="AS84" s="12" t="e">
        <f>#REF!</f>
        <v>#REF!</v>
      </c>
      <c r="AW84" s="2"/>
    </row>
    <row r="85" spans="1:49" s="4" customFormat="1" ht="17.25" customHeight="1" x14ac:dyDescent="0.25">
      <c r="A85" s="23"/>
      <c r="B85" s="201"/>
      <c r="C85" s="203"/>
      <c r="D85" s="64"/>
      <c r="E85" s="64"/>
      <c r="F85" s="64"/>
      <c r="G85" s="64"/>
      <c r="H85" s="64"/>
      <c r="I85" s="64"/>
      <c r="J85" s="64"/>
      <c r="K85" s="57"/>
      <c r="L85" s="88"/>
      <c r="M85" s="62"/>
      <c r="N85" s="57"/>
      <c r="O85" s="88"/>
      <c r="P85" s="62"/>
      <c r="Q85" s="16"/>
      <c r="R85" s="92"/>
      <c r="S85" s="64"/>
      <c r="T85" s="39"/>
      <c r="U85" s="39"/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22"/>
      <c r="AR85" s="43"/>
      <c r="AS85" s="12" t="e">
        <f>#REF!</f>
        <v>#REF!</v>
      </c>
      <c r="AW85" s="2"/>
    </row>
    <row r="86" spans="1:49" s="2" customFormat="1" ht="17.25" customHeight="1" thickBot="1" x14ac:dyDescent="0.3">
      <c r="A86" s="56"/>
      <c r="B86" s="101" t="s">
        <v>102</v>
      </c>
      <c r="C86" s="102">
        <f>D87+E87+F87+G87+H87+I87+J87+M87+P87</f>
        <v>117279.92954000011</v>
      </c>
      <c r="D86" s="84"/>
      <c r="E86" s="85"/>
      <c r="F86" s="85"/>
      <c r="G86" s="85"/>
      <c r="H86" s="85"/>
      <c r="I86" s="85"/>
      <c r="J86" s="85"/>
      <c r="K86" s="28"/>
      <c r="L86" s="112"/>
      <c r="M86" s="85"/>
      <c r="N86" s="28"/>
      <c r="O86" s="112"/>
      <c r="P86" s="85"/>
      <c r="Q86" s="28"/>
      <c r="R86" s="112"/>
      <c r="S86" s="85"/>
      <c r="T86" s="48"/>
      <c r="U86" s="48"/>
      <c r="V86" s="51"/>
      <c r="W86" s="28"/>
      <c r="X86" s="28"/>
      <c r="Y86" s="28"/>
      <c r="Z86" s="28"/>
      <c r="AA86" s="28"/>
      <c r="AB86" s="36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42">
        <f>SUM($T70:AQ86)</f>
        <v>-487087.82890000002</v>
      </c>
      <c r="AT86" s="10"/>
      <c r="AU86" s="11"/>
      <c r="AV86" s="2" t="s">
        <v>5</v>
      </c>
    </row>
    <row r="87" spans="1:49" s="2" customFormat="1" ht="17.25" customHeight="1" thickTop="1" thickBot="1" x14ac:dyDescent="0.3">
      <c r="A87" s="103"/>
      <c r="B87" s="104" t="s">
        <v>103</v>
      </c>
      <c r="C87" s="105">
        <f>AR87</f>
        <v>-368502.60935999989</v>
      </c>
      <c r="D87" s="116">
        <f t="shared" ref="D87:K87" si="8">SUM(D70:D86)</f>
        <v>12717.607040000057</v>
      </c>
      <c r="E87" s="107">
        <f t="shared" si="8"/>
        <v>-43287.790000000008</v>
      </c>
      <c r="F87" s="107">
        <f t="shared" si="8"/>
        <v>0.65000000000145519</v>
      </c>
      <c r="G87" s="107">
        <f t="shared" si="8"/>
        <v>0</v>
      </c>
      <c r="H87" s="107">
        <f t="shared" si="8"/>
        <v>65082.292500000054</v>
      </c>
      <c r="I87" s="107">
        <f t="shared" si="8"/>
        <v>10004.65</v>
      </c>
      <c r="J87" s="107">
        <f t="shared" si="8"/>
        <v>0</v>
      </c>
      <c r="K87" s="108">
        <f t="shared" si="8"/>
        <v>12170</v>
      </c>
      <c r="L87" s="109">
        <f>M87/K87</f>
        <v>5.1465924404272805</v>
      </c>
      <c r="M87" s="107">
        <f>ROUND(SUM(M70:M86),2)</f>
        <v>62634.03</v>
      </c>
      <c r="N87" s="108">
        <f>SUM(N70:N86)</f>
        <v>2783</v>
      </c>
      <c r="O87" s="109">
        <f>P87/N87</f>
        <v>3.6394143011139057</v>
      </c>
      <c r="P87" s="107">
        <f>ROUND(SUM(P70:P86),2)</f>
        <v>10128.49</v>
      </c>
      <c r="Q87" s="108">
        <f>SUM(Q70:Q86)</f>
        <v>214</v>
      </c>
      <c r="R87" s="109">
        <f>S87/Q87</f>
        <v>6.099485981308411</v>
      </c>
      <c r="S87" s="107">
        <f>ROUND(SUM(S70:S86),2)</f>
        <v>1305.29</v>
      </c>
      <c r="T87" s="110">
        <f t="shared" ref="T87:AQ87" si="9">SUM(T70:T86)</f>
        <v>-537317.12890000001</v>
      </c>
      <c r="U87" s="107">
        <f t="shared" si="9"/>
        <v>50229.299999999996</v>
      </c>
      <c r="V87" s="107">
        <f t="shared" si="9"/>
        <v>0</v>
      </c>
      <c r="W87" s="107">
        <f t="shared" si="9"/>
        <v>0</v>
      </c>
      <c r="X87" s="107">
        <f t="shared" si="9"/>
        <v>0</v>
      </c>
      <c r="Y87" s="107">
        <f t="shared" si="9"/>
        <v>0</v>
      </c>
      <c r="Z87" s="107">
        <f t="shared" si="9"/>
        <v>0</v>
      </c>
      <c r="AA87" s="107">
        <f t="shared" si="9"/>
        <v>0</v>
      </c>
      <c r="AB87" s="107">
        <f t="shared" si="9"/>
        <v>0</v>
      </c>
      <c r="AC87" s="107">
        <f t="shared" si="9"/>
        <v>0</v>
      </c>
      <c r="AD87" s="107">
        <f t="shared" si="9"/>
        <v>0</v>
      </c>
      <c r="AE87" s="107">
        <f t="shared" si="9"/>
        <v>0</v>
      </c>
      <c r="AF87" s="107">
        <f t="shared" si="9"/>
        <v>0</v>
      </c>
      <c r="AG87" s="107">
        <f t="shared" si="9"/>
        <v>0</v>
      </c>
      <c r="AH87" s="107">
        <f t="shared" si="9"/>
        <v>0</v>
      </c>
      <c r="AI87" s="107">
        <f t="shared" si="9"/>
        <v>0</v>
      </c>
      <c r="AJ87" s="107">
        <f t="shared" si="9"/>
        <v>0</v>
      </c>
      <c r="AK87" s="107">
        <f t="shared" si="9"/>
        <v>0</v>
      </c>
      <c r="AL87" s="107">
        <f t="shared" si="9"/>
        <v>0</v>
      </c>
      <c r="AM87" s="107">
        <f t="shared" si="9"/>
        <v>0</v>
      </c>
      <c r="AN87" s="107">
        <f t="shared" si="9"/>
        <v>0</v>
      </c>
      <c r="AO87" s="107">
        <f t="shared" si="9"/>
        <v>0</v>
      </c>
      <c r="AP87" s="107">
        <f t="shared" si="9"/>
        <v>0</v>
      </c>
      <c r="AQ87" s="107">
        <f t="shared" si="9"/>
        <v>0</v>
      </c>
      <c r="AR87" s="111">
        <f>D87+E87+F87+G87+H87+I87+J87+M87+P87+S87+SUM(T87:AQ87)</f>
        <v>-368502.60935999989</v>
      </c>
      <c r="AS87" s="4"/>
      <c r="AT87" s="5"/>
      <c r="AU87" s="5"/>
      <c r="AV87" s="2" t="s">
        <v>484</v>
      </c>
    </row>
    <row r="88" spans="1:49" s="2" customFormat="1" ht="17.25" customHeight="1" thickTop="1" x14ac:dyDescent="0.25">
      <c r="A88" s="29">
        <f>A71+1</f>
        <v>46362</v>
      </c>
      <c r="B88" s="261" t="s">
        <v>480</v>
      </c>
      <c r="C88" s="262"/>
      <c r="D88" s="63"/>
      <c r="E88" s="64"/>
      <c r="F88" s="64"/>
      <c r="G88" s="64"/>
      <c r="H88" s="64"/>
      <c r="I88" s="64"/>
      <c r="J88" s="64"/>
      <c r="K88" s="57"/>
      <c r="L88" s="88"/>
      <c r="M88" s="62"/>
      <c r="N88" s="57"/>
      <c r="O88" s="88"/>
      <c r="P88" s="62"/>
      <c r="Q88" s="16"/>
      <c r="R88" s="92"/>
      <c r="S88" s="64"/>
      <c r="T88" s="47"/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9"/>
      <c r="B89" s="201" t="s">
        <v>64</v>
      </c>
      <c r="C89" s="202"/>
      <c r="D89" s="65"/>
      <c r="E89" s="64"/>
      <c r="F89" s="64"/>
      <c r="G89" s="64"/>
      <c r="H89" s="64"/>
      <c r="I89" s="64"/>
      <c r="J89" s="64"/>
      <c r="K89" s="57"/>
      <c r="L89" s="88"/>
      <c r="M89" s="62"/>
      <c r="N89" s="57"/>
      <c r="O89" s="88"/>
      <c r="P89" s="62"/>
      <c r="Q89" s="57"/>
      <c r="R89" s="88"/>
      <c r="S89" s="62"/>
      <c r="T89" s="47"/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 t="s">
        <v>4</v>
      </c>
      <c r="AU89" s="11" t="e">
        <v>#REF!</v>
      </c>
    </row>
    <row r="90" spans="1:49" s="2" customFormat="1" ht="17.25" customHeight="1" x14ac:dyDescent="0.25">
      <c r="A90" s="29"/>
      <c r="B90" s="201" t="s">
        <v>96</v>
      </c>
      <c r="C90" s="202"/>
      <c r="D90" s="65"/>
      <c r="E90" s="64"/>
      <c r="F90" s="64"/>
      <c r="G90" s="64"/>
      <c r="H90" s="64"/>
      <c r="I90" s="64"/>
      <c r="J90" s="64"/>
      <c r="K90" s="57"/>
      <c r="L90" s="88"/>
      <c r="M90" s="62"/>
      <c r="N90" s="57"/>
      <c r="O90" s="88"/>
      <c r="P90" s="62"/>
      <c r="Q90" s="57"/>
      <c r="R90" s="88"/>
      <c r="S90" s="62"/>
      <c r="T90" s="47"/>
      <c r="U90" s="39"/>
      <c r="V90" s="39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22"/>
      <c r="AT90" s="10" t="s">
        <v>4</v>
      </c>
      <c r="AU90" s="11" t="e">
        <v>#REF!</v>
      </c>
    </row>
    <row r="91" spans="1:49" s="2" customFormat="1" ht="17.25" customHeight="1" x14ac:dyDescent="0.25">
      <c r="A91" s="29"/>
      <c r="B91" s="201" t="s">
        <v>327</v>
      </c>
      <c r="C91" s="202"/>
      <c r="D91" s="65"/>
      <c r="E91" s="64"/>
      <c r="F91" s="64"/>
      <c r="G91" s="64"/>
      <c r="H91" s="64"/>
      <c r="I91" s="64"/>
      <c r="J91" s="64"/>
      <c r="K91" s="57"/>
      <c r="L91" s="88"/>
      <c r="M91" s="62"/>
      <c r="N91" s="57"/>
      <c r="O91" s="88"/>
      <c r="P91" s="62"/>
      <c r="Q91" s="57"/>
      <c r="R91" s="88"/>
      <c r="S91" s="62"/>
      <c r="T91" s="47"/>
      <c r="U91" s="39"/>
      <c r="V91" s="39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22"/>
      <c r="AT91" s="10"/>
      <c r="AU91" s="11"/>
    </row>
    <row r="92" spans="1:49" s="2" customFormat="1" ht="17.25" customHeight="1" x14ac:dyDescent="0.25">
      <c r="A92" s="29"/>
      <c r="B92" s="201" t="s">
        <v>328</v>
      </c>
      <c r="C92" s="202"/>
      <c r="D92" s="63"/>
      <c r="E92" s="64"/>
      <c r="F92" s="64"/>
      <c r="G92" s="64"/>
      <c r="H92" s="64"/>
      <c r="I92" s="64"/>
      <c r="J92" s="64"/>
      <c r="K92" s="57"/>
      <c r="L92" s="88"/>
      <c r="M92" s="62"/>
      <c r="N92" s="57"/>
      <c r="O92" s="88"/>
      <c r="P92" s="62"/>
      <c r="Q92" s="16"/>
      <c r="R92" s="92"/>
      <c r="S92" s="64"/>
      <c r="T92" s="47"/>
      <c r="U92" s="39"/>
      <c r="V92" s="39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22"/>
      <c r="AT92" s="10"/>
      <c r="AU92" s="11"/>
    </row>
    <row r="93" spans="1:49" s="2" customFormat="1" ht="17.25" customHeight="1" x14ac:dyDescent="0.25">
      <c r="A93" s="29"/>
      <c r="B93" s="261" t="s">
        <v>481</v>
      </c>
      <c r="C93" s="262"/>
      <c r="D93" s="63"/>
      <c r="E93" s="64"/>
      <c r="F93" s="64"/>
      <c r="G93" s="64"/>
      <c r="H93" s="64"/>
      <c r="I93" s="64"/>
      <c r="J93" s="64"/>
      <c r="K93" s="57"/>
      <c r="L93" s="88"/>
      <c r="M93" s="62"/>
      <c r="N93" s="57"/>
      <c r="O93" s="88"/>
      <c r="P93" s="62"/>
      <c r="Q93" s="16"/>
      <c r="R93" s="92"/>
      <c r="S93" s="64"/>
      <c r="T93" s="47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22"/>
      <c r="AT93" s="10"/>
      <c r="AU93" s="11"/>
    </row>
    <row r="94" spans="1:49" s="2" customFormat="1" ht="17.25" customHeight="1" x14ac:dyDescent="0.25">
      <c r="A94" s="29"/>
      <c r="B94" s="201" t="s">
        <v>483</v>
      </c>
      <c r="C94" s="202"/>
      <c r="D94" s="63"/>
      <c r="E94" s="64"/>
      <c r="F94" s="64"/>
      <c r="G94" s="64"/>
      <c r="H94" s="64"/>
      <c r="I94" s="64"/>
      <c r="J94" s="64"/>
      <c r="K94" s="57"/>
      <c r="L94" s="88"/>
      <c r="M94" s="62"/>
      <c r="N94" s="57"/>
      <c r="O94" s="88"/>
      <c r="P94" s="62"/>
      <c r="Q94" s="16"/>
      <c r="R94" s="92"/>
      <c r="S94" s="64"/>
      <c r="T94" s="47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22"/>
      <c r="AT94" s="10"/>
      <c r="AU94" s="11"/>
    </row>
    <row r="95" spans="1:49" s="4" customFormat="1" ht="17.25" customHeight="1" thickBot="1" x14ac:dyDescent="0.3">
      <c r="A95" s="24"/>
      <c r="B95" s="246"/>
      <c r="C95" s="246"/>
      <c r="D95" s="81"/>
      <c r="E95" s="81"/>
      <c r="F95" s="81"/>
      <c r="G95" s="81"/>
      <c r="H95" s="81"/>
      <c r="I95" s="81"/>
      <c r="J95" s="81"/>
      <c r="K95" s="59"/>
      <c r="L95" s="90"/>
      <c r="M95" s="136"/>
      <c r="N95" s="59"/>
      <c r="O95" s="90"/>
      <c r="P95" s="136"/>
      <c r="Q95" s="59"/>
      <c r="R95" s="90"/>
      <c r="S95" s="136"/>
      <c r="T95" s="39"/>
      <c r="U95" s="39"/>
      <c r="V95" s="39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22"/>
      <c r="AR95" s="43"/>
      <c r="AS95" s="12" t="e">
        <f>#REF!</f>
        <v>#REF!</v>
      </c>
      <c r="AW95" s="2"/>
    </row>
    <row r="96" spans="1:49" s="2" customFormat="1" ht="17.25" customHeight="1" x14ac:dyDescent="0.25">
      <c r="A96" s="29"/>
      <c r="B96" s="261" t="s">
        <v>482</v>
      </c>
      <c r="C96" s="262"/>
      <c r="D96" s="63"/>
      <c r="E96" s="64"/>
      <c r="F96" s="64"/>
      <c r="G96" s="64"/>
      <c r="H96" s="64"/>
      <c r="I96" s="64"/>
      <c r="J96" s="64"/>
      <c r="K96" s="57"/>
      <c r="L96" s="88"/>
      <c r="M96" s="62"/>
      <c r="N96" s="57"/>
      <c r="O96" s="88"/>
      <c r="P96" s="62"/>
      <c r="Q96" s="16"/>
      <c r="R96" s="92"/>
      <c r="S96" s="64"/>
      <c r="T96" s="47"/>
      <c r="U96" s="39"/>
      <c r="V96" s="39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22"/>
      <c r="AT96" s="10"/>
      <c r="AU96" s="11"/>
    </row>
    <row r="97" spans="1:49" s="4" customFormat="1" ht="17.25" customHeight="1" x14ac:dyDescent="0.25">
      <c r="A97" s="23"/>
      <c r="B97" s="212" t="s">
        <v>94</v>
      </c>
      <c r="C97" s="212"/>
      <c r="D97" s="66"/>
      <c r="E97" s="66"/>
      <c r="F97" s="117"/>
      <c r="G97" s="117"/>
      <c r="H97" s="66"/>
      <c r="I97" s="66"/>
      <c r="J97" s="66"/>
      <c r="K97" s="58"/>
      <c r="L97" s="89"/>
      <c r="M97" s="73"/>
      <c r="N97" s="58"/>
      <c r="O97" s="89"/>
      <c r="P97" s="73"/>
      <c r="Q97" s="58"/>
      <c r="R97" s="89"/>
      <c r="S97" s="73"/>
      <c r="T97" s="39"/>
      <c r="U97" s="39"/>
      <c r="V97" s="8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35"/>
      <c r="AS97" s="12" t="e">
        <f>#REF!</f>
        <v>#REF!</v>
      </c>
    </row>
    <row r="98" spans="1:49" s="4" customFormat="1" ht="17.25" customHeight="1" x14ac:dyDescent="0.25">
      <c r="A98" s="23"/>
      <c r="B98" s="201" t="s">
        <v>95</v>
      </c>
      <c r="C98" s="203"/>
      <c r="D98" s="64"/>
      <c r="E98" s="64"/>
      <c r="F98" s="117"/>
      <c r="G98" s="117"/>
      <c r="H98" s="64"/>
      <c r="I98" s="64"/>
      <c r="J98" s="64"/>
      <c r="K98" s="57"/>
      <c r="L98" s="88"/>
      <c r="M98" s="62"/>
      <c r="N98" s="57"/>
      <c r="O98" s="88"/>
      <c r="P98" s="62"/>
      <c r="Q98" s="58"/>
      <c r="R98" s="89"/>
      <c r="S98" s="73"/>
      <c r="T98" s="39"/>
      <c r="U98" s="39"/>
      <c r="V98" s="8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35"/>
      <c r="AS98" s="12" t="e">
        <f>#REF!</f>
        <v>#REF!</v>
      </c>
    </row>
    <row r="99" spans="1:49" s="4" customFormat="1" ht="17.25" customHeight="1" x14ac:dyDescent="0.25">
      <c r="A99" s="23"/>
      <c r="B99" s="201" t="s">
        <v>479</v>
      </c>
      <c r="C99" s="203"/>
      <c r="D99" s="64"/>
      <c r="E99" s="64"/>
      <c r="F99" s="117"/>
      <c r="G99" s="117"/>
      <c r="H99" s="64"/>
      <c r="I99" s="64"/>
      <c r="J99" s="64"/>
      <c r="K99" s="57"/>
      <c r="L99" s="88"/>
      <c r="M99" s="62"/>
      <c r="N99" s="57"/>
      <c r="O99" s="88"/>
      <c r="P99" s="62"/>
      <c r="Q99" s="57"/>
      <c r="R99" s="88"/>
      <c r="S99" s="62"/>
      <c r="T99" s="39"/>
      <c r="U99" s="39"/>
      <c r="V99" s="8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35"/>
      <c r="AS99" s="12" t="e">
        <f>#REF!</f>
        <v>#REF!</v>
      </c>
    </row>
    <row r="100" spans="1:49" s="4" customFormat="1" ht="17.25" customHeight="1" x14ac:dyDescent="0.25">
      <c r="A100" s="23"/>
      <c r="B100" s="201" t="s">
        <v>97</v>
      </c>
      <c r="C100" s="203"/>
      <c r="D100" s="64"/>
      <c r="E100" s="64"/>
      <c r="F100" s="64"/>
      <c r="G100" s="64"/>
      <c r="H100" s="64"/>
      <c r="I100" s="64"/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39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22"/>
      <c r="AR100" s="43"/>
      <c r="AS100" s="12" t="e">
        <f>#REF!</f>
        <v>#REF!</v>
      </c>
      <c r="AW100" s="2"/>
    </row>
    <row r="101" spans="1:49" s="4" customFormat="1" ht="17.25" customHeight="1" x14ac:dyDescent="0.25">
      <c r="A101" s="23"/>
      <c r="B101" s="201" t="s">
        <v>100</v>
      </c>
      <c r="C101" s="202"/>
      <c r="D101" s="64"/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39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22"/>
      <c r="AR101" s="43"/>
      <c r="AS101" s="12" t="e">
        <f>#REF!</f>
        <v>#REF!</v>
      </c>
      <c r="AW101" s="2"/>
    </row>
    <row r="102" spans="1:49" s="4" customFormat="1" ht="17.25" customHeight="1" x14ac:dyDescent="0.25">
      <c r="A102" s="23"/>
      <c r="B102" s="201"/>
      <c r="C102" s="203"/>
      <c r="D102" s="64"/>
      <c r="E102" s="64"/>
      <c r="F102" s="64"/>
      <c r="G102" s="64"/>
      <c r="H102" s="64"/>
      <c r="I102" s="64"/>
      <c r="J102" s="64"/>
      <c r="K102" s="57"/>
      <c r="L102" s="88"/>
      <c r="M102" s="62"/>
      <c r="N102" s="57"/>
      <c r="O102" s="88"/>
      <c r="P102" s="62"/>
      <c r="Q102" s="16"/>
      <c r="R102" s="16"/>
      <c r="S102" s="64"/>
      <c r="T102" s="39"/>
      <c r="U102" s="39"/>
      <c r="V102" s="39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22"/>
      <c r="AR102" s="43"/>
      <c r="AS102" s="12" t="e">
        <f>#REF!</f>
        <v>#REF!</v>
      </c>
      <c r="AW102" s="2"/>
    </row>
    <row r="103" spans="1:49" s="2" customFormat="1" ht="17.25" customHeight="1" thickBot="1" x14ac:dyDescent="0.3">
      <c r="A103" s="56"/>
      <c r="B103" s="101" t="s">
        <v>102</v>
      </c>
      <c r="C103" s="102">
        <f>D104+E104+F104+G104+H104+I104+J104+M104+P104</f>
        <v>117279.92954000011</v>
      </c>
      <c r="D103" s="84"/>
      <c r="E103" s="85"/>
      <c r="F103" s="85"/>
      <c r="G103" s="85"/>
      <c r="H103" s="85"/>
      <c r="I103" s="85"/>
      <c r="J103" s="85"/>
      <c r="K103" s="28"/>
      <c r="L103" s="28"/>
      <c r="M103" s="85"/>
      <c r="N103" s="28"/>
      <c r="O103" s="28"/>
      <c r="P103" s="85"/>
      <c r="Q103" s="28"/>
      <c r="R103" s="28"/>
      <c r="S103" s="85"/>
      <c r="T103" s="48"/>
      <c r="U103" s="48"/>
      <c r="V103" s="51"/>
      <c r="W103" s="28"/>
      <c r="X103" s="28"/>
      <c r="Y103" s="28"/>
      <c r="Z103" s="28"/>
      <c r="AA103" s="28"/>
      <c r="AB103" s="36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42">
        <f>SUM($T87:AQ103)</f>
        <v>-487087.82890000002</v>
      </c>
      <c r="AT103" s="10"/>
      <c r="AU103" s="11"/>
      <c r="AV103" s="2" t="s">
        <v>5</v>
      </c>
    </row>
    <row r="104" spans="1:49" s="2" customFormat="1" ht="17.25" customHeight="1" thickTop="1" thickBot="1" x14ac:dyDescent="0.3">
      <c r="A104" s="103"/>
      <c r="B104" s="104" t="s">
        <v>103</v>
      </c>
      <c r="C104" s="105">
        <f>AR104</f>
        <v>-368502.60935999989</v>
      </c>
      <c r="D104" s="107">
        <f t="shared" ref="D104:K104" si="10">SUM(D87:D103)</f>
        <v>12717.607040000057</v>
      </c>
      <c r="E104" s="107">
        <f t="shared" si="10"/>
        <v>-43287.790000000008</v>
      </c>
      <c r="F104" s="107">
        <f t="shared" si="10"/>
        <v>0.65000000000145519</v>
      </c>
      <c r="G104" s="107">
        <f t="shared" si="10"/>
        <v>0</v>
      </c>
      <c r="H104" s="107">
        <f t="shared" si="10"/>
        <v>65082.292500000054</v>
      </c>
      <c r="I104" s="107">
        <f t="shared" si="10"/>
        <v>10004.65</v>
      </c>
      <c r="J104" s="107">
        <f t="shared" si="10"/>
        <v>0</v>
      </c>
      <c r="K104" s="108">
        <f t="shared" si="10"/>
        <v>12170</v>
      </c>
      <c r="L104" s="109">
        <f>M104/K104</f>
        <v>5.1465924404272805</v>
      </c>
      <c r="M104" s="107">
        <f>ROUND(SUM(M87:M103),2)</f>
        <v>62634.03</v>
      </c>
      <c r="N104" s="108">
        <f>SUM(N87:N103)</f>
        <v>2783</v>
      </c>
      <c r="O104" s="109">
        <f>P104/N104</f>
        <v>3.6394143011139057</v>
      </c>
      <c r="P104" s="107">
        <f>ROUND(SUM(P87:P103),2)</f>
        <v>10128.49</v>
      </c>
      <c r="Q104" s="108">
        <f>SUM(Q87:Q103)</f>
        <v>214</v>
      </c>
      <c r="R104" s="109">
        <f>S104/Q104</f>
        <v>6.099485981308411</v>
      </c>
      <c r="S104" s="107">
        <f>ROUND(SUM(S87:S103),2)</f>
        <v>1305.29</v>
      </c>
      <c r="T104" s="107">
        <f t="shared" ref="T104:AQ104" si="11">SUM(T87:T103)</f>
        <v>-537317.12890000001</v>
      </c>
      <c r="U104" s="107">
        <f t="shared" si="11"/>
        <v>50229.299999999996</v>
      </c>
      <c r="V104" s="107">
        <f t="shared" si="11"/>
        <v>0</v>
      </c>
      <c r="W104" s="107">
        <f t="shared" si="11"/>
        <v>0</v>
      </c>
      <c r="X104" s="107">
        <f t="shared" si="11"/>
        <v>0</v>
      </c>
      <c r="Y104" s="107">
        <f t="shared" si="11"/>
        <v>0</v>
      </c>
      <c r="Z104" s="107">
        <f t="shared" si="11"/>
        <v>0</v>
      </c>
      <c r="AA104" s="107">
        <f t="shared" si="11"/>
        <v>0</v>
      </c>
      <c r="AB104" s="107">
        <f t="shared" si="11"/>
        <v>0</v>
      </c>
      <c r="AC104" s="107">
        <f t="shared" si="11"/>
        <v>0</v>
      </c>
      <c r="AD104" s="107">
        <f t="shared" si="11"/>
        <v>0</v>
      </c>
      <c r="AE104" s="107">
        <f t="shared" si="11"/>
        <v>0</v>
      </c>
      <c r="AF104" s="107">
        <f t="shared" si="11"/>
        <v>0</v>
      </c>
      <c r="AG104" s="107">
        <f t="shared" si="11"/>
        <v>0</v>
      </c>
      <c r="AH104" s="107">
        <f t="shared" si="11"/>
        <v>0</v>
      </c>
      <c r="AI104" s="107">
        <f t="shared" si="11"/>
        <v>0</v>
      </c>
      <c r="AJ104" s="107">
        <f t="shared" si="11"/>
        <v>0</v>
      </c>
      <c r="AK104" s="107">
        <f t="shared" si="11"/>
        <v>0</v>
      </c>
      <c r="AL104" s="107">
        <f t="shared" si="11"/>
        <v>0</v>
      </c>
      <c r="AM104" s="107">
        <f t="shared" si="11"/>
        <v>0</v>
      </c>
      <c r="AN104" s="107">
        <f t="shared" si="11"/>
        <v>0</v>
      </c>
      <c r="AO104" s="107">
        <f t="shared" si="11"/>
        <v>0</v>
      </c>
      <c r="AP104" s="107">
        <f t="shared" si="11"/>
        <v>0</v>
      </c>
      <c r="AQ104" s="107">
        <f t="shared" si="11"/>
        <v>0</v>
      </c>
      <c r="AR104" s="111">
        <f>D104+E104+F104+G104+H104+I104+J104+M104+P104+S104+SUM(T104:AQ104)</f>
        <v>-368502.60935999989</v>
      </c>
      <c r="AS104" s="4"/>
      <c r="AT104" s="5"/>
      <c r="AU104" s="5"/>
      <c r="AV104" s="2" t="s">
        <v>484</v>
      </c>
    </row>
    <row r="105" spans="1:49" s="2" customFormat="1" ht="17.25" customHeight="1" thickTop="1" x14ac:dyDescent="0.25">
      <c r="A105" s="29">
        <f>A88+1</f>
        <v>46363</v>
      </c>
      <c r="B105" s="261" t="s">
        <v>480</v>
      </c>
      <c r="C105" s="262"/>
      <c r="D105" s="63"/>
      <c r="E105" s="64"/>
      <c r="F105" s="64"/>
      <c r="G105" s="64"/>
      <c r="H105" s="64"/>
      <c r="I105" s="64"/>
      <c r="J105" s="64"/>
      <c r="K105" s="57"/>
      <c r="L105" s="88"/>
      <c r="M105" s="62"/>
      <c r="N105" s="57"/>
      <c r="O105" s="88"/>
      <c r="P105" s="62"/>
      <c r="Q105" s="16"/>
      <c r="R105" s="92"/>
      <c r="S105" s="64"/>
      <c r="T105" s="47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22"/>
      <c r="AT105" s="10"/>
      <c r="AU105" s="11"/>
    </row>
    <row r="106" spans="1:49" s="2" customFormat="1" ht="17.25" customHeight="1" x14ac:dyDescent="0.25">
      <c r="A106" s="29"/>
      <c r="B106" s="201" t="s">
        <v>64</v>
      </c>
      <c r="C106" s="202"/>
      <c r="D106" s="65"/>
      <c r="E106" s="64"/>
      <c r="F106" s="64"/>
      <c r="G106" s="64"/>
      <c r="H106" s="64"/>
      <c r="I106" s="64"/>
      <c r="J106" s="64"/>
      <c r="K106" s="57"/>
      <c r="L106" s="88"/>
      <c r="M106" s="62"/>
      <c r="N106" s="57"/>
      <c r="O106" s="88"/>
      <c r="P106" s="62"/>
      <c r="Q106" s="57"/>
      <c r="R106" s="88"/>
      <c r="S106" s="62"/>
      <c r="T106" s="47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22"/>
      <c r="AT106" s="10" t="s">
        <v>4</v>
      </c>
      <c r="AU106" s="11" t="e">
        <v>#REF!</v>
      </c>
    </row>
    <row r="107" spans="1:49" s="2" customFormat="1" ht="17.25" customHeight="1" x14ac:dyDescent="0.25">
      <c r="A107" s="29"/>
      <c r="B107" s="201" t="s">
        <v>96</v>
      </c>
      <c r="C107" s="202"/>
      <c r="D107" s="65"/>
      <c r="E107" s="64"/>
      <c r="F107" s="64"/>
      <c r="G107" s="64"/>
      <c r="H107" s="64"/>
      <c r="I107" s="64"/>
      <c r="J107" s="64"/>
      <c r="K107" s="57"/>
      <c r="L107" s="88"/>
      <c r="M107" s="62"/>
      <c r="N107" s="57"/>
      <c r="O107" s="88"/>
      <c r="P107" s="62"/>
      <c r="Q107" s="57"/>
      <c r="R107" s="88"/>
      <c r="S107" s="62"/>
      <c r="T107" s="47"/>
      <c r="U107" s="39"/>
      <c r="V107" s="39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22"/>
      <c r="AT107" s="10" t="s">
        <v>4</v>
      </c>
      <c r="AU107" s="11" t="e">
        <v>#REF!</v>
      </c>
    </row>
    <row r="108" spans="1:49" s="2" customFormat="1" ht="17.25" customHeight="1" x14ac:dyDescent="0.25">
      <c r="A108" s="29"/>
      <c r="B108" s="201" t="s">
        <v>327</v>
      </c>
      <c r="C108" s="202"/>
      <c r="D108" s="65"/>
      <c r="E108" s="64"/>
      <c r="F108" s="64"/>
      <c r="G108" s="64"/>
      <c r="H108" s="64"/>
      <c r="I108" s="64"/>
      <c r="J108" s="64"/>
      <c r="K108" s="57"/>
      <c r="L108" s="88"/>
      <c r="M108" s="62"/>
      <c r="N108" s="57"/>
      <c r="O108" s="88"/>
      <c r="P108" s="62"/>
      <c r="Q108" s="57"/>
      <c r="R108" s="88"/>
      <c r="S108" s="62"/>
      <c r="T108" s="47"/>
      <c r="U108" s="39"/>
      <c r="V108" s="39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22"/>
      <c r="AT108" s="10"/>
      <c r="AU108" s="11"/>
    </row>
    <row r="109" spans="1:49" s="2" customFormat="1" ht="17.25" customHeight="1" x14ac:dyDescent="0.25">
      <c r="A109" s="29"/>
      <c r="B109" s="201" t="s">
        <v>328</v>
      </c>
      <c r="C109" s="202"/>
      <c r="D109" s="63"/>
      <c r="E109" s="64"/>
      <c r="F109" s="64"/>
      <c r="G109" s="64"/>
      <c r="H109" s="64"/>
      <c r="I109" s="64"/>
      <c r="J109" s="64"/>
      <c r="K109" s="57"/>
      <c r="L109" s="88"/>
      <c r="M109" s="62"/>
      <c r="N109" s="57"/>
      <c r="O109" s="88"/>
      <c r="P109" s="62"/>
      <c r="Q109" s="16"/>
      <c r="R109" s="92"/>
      <c r="S109" s="64"/>
      <c r="T109" s="47"/>
      <c r="U109" s="39"/>
      <c r="V109" s="39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22"/>
      <c r="AT109" s="10"/>
      <c r="AU109" s="11"/>
    </row>
    <row r="110" spans="1:49" s="2" customFormat="1" ht="17.25" customHeight="1" x14ac:dyDescent="0.25">
      <c r="A110" s="29"/>
      <c r="B110" s="261" t="s">
        <v>481</v>
      </c>
      <c r="C110" s="262"/>
      <c r="D110" s="63"/>
      <c r="E110" s="64"/>
      <c r="F110" s="64"/>
      <c r="G110" s="64"/>
      <c r="H110" s="64"/>
      <c r="I110" s="64"/>
      <c r="J110" s="64"/>
      <c r="K110" s="57"/>
      <c r="L110" s="88"/>
      <c r="M110" s="62"/>
      <c r="N110" s="57"/>
      <c r="O110" s="88"/>
      <c r="P110" s="62"/>
      <c r="Q110" s="16"/>
      <c r="R110" s="92"/>
      <c r="S110" s="64"/>
      <c r="T110" s="47"/>
      <c r="U110" s="39"/>
      <c r="V110" s="39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22"/>
      <c r="AT110" s="10"/>
      <c r="AU110" s="11"/>
    </row>
    <row r="111" spans="1:49" s="2" customFormat="1" ht="17.25" customHeight="1" x14ac:dyDescent="0.25">
      <c r="A111" s="29"/>
      <c r="B111" s="201" t="s">
        <v>483</v>
      </c>
      <c r="C111" s="202"/>
      <c r="D111" s="63"/>
      <c r="E111" s="64"/>
      <c r="F111" s="64"/>
      <c r="G111" s="64"/>
      <c r="H111" s="64"/>
      <c r="I111" s="64"/>
      <c r="J111" s="64"/>
      <c r="K111" s="57"/>
      <c r="L111" s="88"/>
      <c r="M111" s="62"/>
      <c r="N111" s="57"/>
      <c r="O111" s="88"/>
      <c r="P111" s="62"/>
      <c r="Q111" s="16"/>
      <c r="R111" s="92"/>
      <c r="S111" s="64"/>
      <c r="T111" s="47"/>
      <c r="U111" s="39"/>
      <c r="V111" s="39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4" customFormat="1" ht="17.25" customHeight="1" thickBot="1" x14ac:dyDescent="0.3">
      <c r="A112" s="24"/>
      <c r="B112" s="246"/>
      <c r="C112" s="246"/>
      <c r="D112" s="81"/>
      <c r="E112" s="81"/>
      <c r="F112" s="81"/>
      <c r="G112" s="81"/>
      <c r="H112" s="81"/>
      <c r="I112" s="81"/>
      <c r="J112" s="81"/>
      <c r="K112" s="59"/>
      <c r="L112" s="90"/>
      <c r="M112" s="136"/>
      <c r="N112" s="59"/>
      <c r="O112" s="90"/>
      <c r="P112" s="136"/>
      <c r="Q112" s="59"/>
      <c r="R112" s="90"/>
      <c r="S112" s="136"/>
      <c r="T112" s="39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22"/>
      <c r="AR112" s="43"/>
      <c r="AS112" s="12" t="e">
        <f>#REF!</f>
        <v>#REF!</v>
      </c>
      <c r="AW112" s="2"/>
    </row>
    <row r="113" spans="1:49" s="2" customFormat="1" ht="17.25" customHeight="1" x14ac:dyDescent="0.25">
      <c r="A113" s="29"/>
      <c r="B113" s="261" t="s">
        <v>482</v>
      </c>
      <c r="C113" s="262"/>
      <c r="D113" s="63"/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16"/>
      <c r="R113" s="92"/>
      <c r="S113" s="64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4" customFormat="1" ht="17.25" customHeight="1" x14ac:dyDescent="0.25">
      <c r="A114" s="23"/>
      <c r="B114" s="212" t="s">
        <v>94</v>
      </c>
      <c r="C114" s="212"/>
      <c r="D114" s="66"/>
      <c r="E114" s="66"/>
      <c r="F114" s="117"/>
      <c r="G114" s="117"/>
      <c r="H114" s="66"/>
      <c r="I114" s="66"/>
      <c r="J114" s="66"/>
      <c r="K114" s="58"/>
      <c r="L114" s="89"/>
      <c r="M114" s="73"/>
      <c r="N114" s="58"/>
      <c r="O114" s="89"/>
      <c r="P114" s="73"/>
      <c r="Q114" s="58"/>
      <c r="R114" s="89"/>
      <c r="S114" s="73"/>
      <c r="T114" s="39"/>
      <c r="U114" s="39"/>
      <c r="V114" s="8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35"/>
      <c r="AS114" s="12" t="e">
        <f>#REF!</f>
        <v>#REF!</v>
      </c>
    </row>
    <row r="115" spans="1:49" s="4" customFormat="1" ht="17.25" customHeight="1" x14ac:dyDescent="0.25">
      <c r="A115" s="23"/>
      <c r="B115" s="201" t="s">
        <v>95</v>
      </c>
      <c r="C115" s="203"/>
      <c r="D115" s="64"/>
      <c r="E115" s="64"/>
      <c r="F115" s="117"/>
      <c r="G115" s="117"/>
      <c r="H115" s="64"/>
      <c r="I115" s="64"/>
      <c r="J115" s="64"/>
      <c r="K115" s="57"/>
      <c r="L115" s="88"/>
      <c r="M115" s="62"/>
      <c r="N115" s="57"/>
      <c r="O115" s="88"/>
      <c r="P115" s="62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479</v>
      </c>
      <c r="C116" s="203"/>
      <c r="D116" s="64"/>
      <c r="E116" s="64"/>
      <c r="F116" s="117"/>
      <c r="G116" s="117"/>
      <c r="H116" s="64"/>
      <c r="I116" s="64"/>
      <c r="J116" s="64"/>
      <c r="K116" s="57"/>
      <c r="L116" s="88"/>
      <c r="M116" s="62"/>
      <c r="N116" s="57"/>
      <c r="O116" s="88"/>
      <c r="P116" s="62"/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/>
      <c r="I117" s="64"/>
      <c r="J117" s="64"/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100</v>
      </c>
      <c r="C118" s="202"/>
      <c r="D118" s="64"/>
      <c r="E118" s="64"/>
      <c r="F118" s="64"/>
      <c r="G118" s="64"/>
      <c r="H118" s="64"/>
      <c r="I118" s="64"/>
      <c r="J118" s="64"/>
      <c r="K118" s="57"/>
      <c r="L118" s="88"/>
      <c r="M118" s="62"/>
      <c r="N118" s="57"/>
      <c r="O118" s="88"/>
      <c r="P118" s="62"/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/>
      <c r="AS118" s="12" t="e">
        <f>#REF!</f>
        <v>#REF!</v>
      </c>
      <c r="AW118" s="2"/>
    </row>
    <row r="119" spans="1:49" s="4" customFormat="1" ht="17.25" customHeight="1" x14ac:dyDescent="0.25">
      <c r="A119" s="23"/>
      <c r="B119" s="201"/>
      <c r="C119" s="203"/>
      <c r="D119" s="64"/>
      <c r="E119" s="64"/>
      <c r="F119" s="64"/>
      <c r="G119" s="64"/>
      <c r="H119" s="64"/>
      <c r="I119" s="64"/>
      <c r="J119" s="64"/>
      <c r="K119" s="57"/>
      <c r="L119" s="88"/>
      <c r="M119" s="62"/>
      <c r="N119" s="57"/>
      <c r="O119" s="88"/>
      <c r="P119" s="62"/>
      <c r="Q119" s="16"/>
      <c r="R119" s="16"/>
      <c r="S119" s="64"/>
      <c r="T119" s="39"/>
      <c r="U119" s="39"/>
      <c r="V119" s="39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22"/>
      <c r="AR119" s="43"/>
      <c r="AS119" s="12" t="e">
        <f>#REF!</f>
        <v>#REF!</v>
      </c>
      <c r="AW119" s="2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117279.92954000011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SUM($T104:AQ120)</f>
        <v>-487087.82890000002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-368502.60935999989</v>
      </c>
      <c r="D121" s="106">
        <f t="shared" ref="D121:K121" si="12">SUM(D104:D120)</f>
        <v>12717.607040000057</v>
      </c>
      <c r="E121" s="107">
        <f t="shared" si="12"/>
        <v>-43287.790000000008</v>
      </c>
      <c r="F121" s="107">
        <f t="shared" si="12"/>
        <v>0.65000000000145519</v>
      </c>
      <c r="G121" s="107">
        <f t="shared" si="12"/>
        <v>0</v>
      </c>
      <c r="H121" s="107">
        <f t="shared" si="12"/>
        <v>65082.292500000054</v>
      </c>
      <c r="I121" s="107">
        <f t="shared" si="12"/>
        <v>10004.65</v>
      </c>
      <c r="J121" s="107">
        <f t="shared" si="12"/>
        <v>0</v>
      </c>
      <c r="K121" s="108">
        <f t="shared" si="12"/>
        <v>12170</v>
      </c>
      <c r="L121" s="109">
        <f>M121/K121</f>
        <v>5.1465924404272805</v>
      </c>
      <c r="M121" s="107">
        <f>ROUND(SUM(M104:M120),2)</f>
        <v>62634.03</v>
      </c>
      <c r="N121" s="108">
        <f>SUM(N104:N120)</f>
        <v>2783</v>
      </c>
      <c r="O121" s="109">
        <f>P121/N121</f>
        <v>3.6394143011139057</v>
      </c>
      <c r="P121" s="107">
        <f>ROUND(SUM(P104:P120),2)</f>
        <v>10128.49</v>
      </c>
      <c r="Q121" s="108">
        <f>SUM(Q104:Q120)</f>
        <v>214</v>
      </c>
      <c r="R121" s="109">
        <f>S121/Q121</f>
        <v>6.099485981308411</v>
      </c>
      <c r="S121" s="107">
        <f>ROUND(SUM(S104:S120),2)</f>
        <v>1305.29</v>
      </c>
      <c r="T121" s="110">
        <f t="shared" ref="T121:AQ121" si="13">SUM(T104:T120)</f>
        <v>-537317.12890000001</v>
      </c>
      <c r="U121" s="107">
        <f t="shared" si="13"/>
        <v>50229.299999999996</v>
      </c>
      <c r="V121" s="107">
        <f t="shared" si="13"/>
        <v>0</v>
      </c>
      <c r="W121" s="107">
        <f t="shared" si="13"/>
        <v>0</v>
      </c>
      <c r="X121" s="107">
        <f t="shared" si="13"/>
        <v>0</v>
      </c>
      <c r="Y121" s="107">
        <f t="shared" si="13"/>
        <v>0</v>
      </c>
      <c r="Z121" s="107">
        <f t="shared" si="13"/>
        <v>0</v>
      </c>
      <c r="AA121" s="107">
        <f t="shared" si="13"/>
        <v>0</v>
      </c>
      <c r="AB121" s="107">
        <f t="shared" si="13"/>
        <v>0</v>
      </c>
      <c r="AC121" s="107">
        <f t="shared" si="13"/>
        <v>0</v>
      </c>
      <c r="AD121" s="107">
        <f t="shared" si="13"/>
        <v>0</v>
      </c>
      <c r="AE121" s="107">
        <f t="shared" si="13"/>
        <v>0</v>
      </c>
      <c r="AF121" s="107">
        <f t="shared" si="13"/>
        <v>0</v>
      </c>
      <c r="AG121" s="107">
        <f t="shared" si="13"/>
        <v>0</v>
      </c>
      <c r="AH121" s="107">
        <f t="shared" si="13"/>
        <v>0</v>
      </c>
      <c r="AI121" s="107">
        <f t="shared" si="13"/>
        <v>0</v>
      </c>
      <c r="AJ121" s="107">
        <f t="shared" si="13"/>
        <v>0</v>
      </c>
      <c r="AK121" s="107">
        <f t="shared" si="13"/>
        <v>0</v>
      </c>
      <c r="AL121" s="107">
        <f t="shared" si="13"/>
        <v>0</v>
      </c>
      <c r="AM121" s="107">
        <f t="shared" si="13"/>
        <v>0</v>
      </c>
      <c r="AN121" s="107">
        <f t="shared" si="13"/>
        <v>0</v>
      </c>
      <c r="AO121" s="107">
        <f t="shared" si="13"/>
        <v>0</v>
      </c>
      <c r="AP121" s="107">
        <f t="shared" si="13"/>
        <v>0</v>
      </c>
      <c r="AQ121" s="107">
        <f t="shared" si="13"/>
        <v>0</v>
      </c>
      <c r="AR121" s="111">
        <f>D121+E121+F121+G121+H121+I121+J121+M121+P121+S121+SUM(T121:AQ121)</f>
        <v>-368502.60935999989</v>
      </c>
      <c r="AS121" s="4"/>
      <c r="AT121" s="5"/>
      <c r="AU121" s="5"/>
      <c r="AV121" s="2" t="s">
        <v>484</v>
      </c>
    </row>
    <row r="122" spans="1:49" s="2" customFormat="1" ht="17.25" customHeight="1" thickTop="1" x14ac:dyDescent="0.25">
      <c r="A122" s="29">
        <f>A105+1</f>
        <v>46364</v>
      </c>
      <c r="B122" s="261" t="s">
        <v>480</v>
      </c>
      <c r="C122" s="262"/>
      <c r="D122" s="63"/>
      <c r="E122" s="64"/>
      <c r="F122" s="64"/>
      <c r="G122" s="64"/>
      <c r="H122" s="64"/>
      <c r="I122" s="64"/>
      <c r="J122" s="64"/>
      <c r="K122" s="57"/>
      <c r="L122" s="88"/>
      <c r="M122" s="62"/>
      <c r="N122" s="57"/>
      <c r="O122" s="88"/>
      <c r="P122" s="62"/>
      <c r="Q122" s="16"/>
      <c r="R122" s="92"/>
      <c r="S122" s="64"/>
      <c r="T122" s="47"/>
      <c r="U122" s="39"/>
      <c r="V122" s="39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22"/>
      <c r="AT122" s="10"/>
      <c r="AU122" s="11"/>
    </row>
    <row r="123" spans="1:49" s="2" customFormat="1" ht="17.25" customHeight="1" x14ac:dyDescent="0.25">
      <c r="A123" s="29"/>
      <c r="B123" s="201" t="s">
        <v>64</v>
      </c>
      <c r="C123" s="202"/>
      <c r="D123" s="65"/>
      <c r="E123" s="64"/>
      <c r="F123" s="64"/>
      <c r="G123" s="64"/>
      <c r="H123" s="64"/>
      <c r="I123" s="64"/>
      <c r="J123" s="64"/>
      <c r="K123" s="57"/>
      <c r="L123" s="88"/>
      <c r="M123" s="62"/>
      <c r="N123" s="57"/>
      <c r="O123" s="88"/>
      <c r="P123" s="62"/>
      <c r="Q123" s="57"/>
      <c r="R123" s="88"/>
      <c r="S123" s="62"/>
      <c r="T123" s="47"/>
      <c r="U123" s="39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T123" s="10" t="s">
        <v>4</v>
      </c>
      <c r="AU123" s="11" t="e">
        <v>#REF!</v>
      </c>
    </row>
    <row r="124" spans="1:49" s="2" customFormat="1" ht="17.25" customHeight="1" x14ac:dyDescent="0.25">
      <c r="A124" s="29"/>
      <c r="B124" s="201" t="s">
        <v>96</v>
      </c>
      <c r="C124" s="202"/>
      <c r="D124" s="65"/>
      <c r="E124" s="64"/>
      <c r="F124" s="64"/>
      <c r="G124" s="64"/>
      <c r="H124" s="64"/>
      <c r="I124" s="64"/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 t="s">
        <v>4</v>
      </c>
      <c r="AU124" s="11" t="e">
        <v>#REF!</v>
      </c>
    </row>
    <row r="125" spans="1:49" s="2" customFormat="1" ht="17.25" customHeight="1" x14ac:dyDescent="0.25">
      <c r="A125" s="29"/>
      <c r="B125" s="201" t="s">
        <v>327</v>
      </c>
      <c r="C125" s="202"/>
      <c r="D125" s="65"/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2" customFormat="1" ht="17.25" customHeight="1" x14ac:dyDescent="0.25">
      <c r="A126" s="29"/>
      <c r="B126" s="201" t="s">
        <v>328</v>
      </c>
      <c r="C126" s="202"/>
      <c r="D126" s="63"/>
      <c r="E126" s="64"/>
      <c r="F126" s="64"/>
      <c r="G126" s="64"/>
      <c r="H126" s="64"/>
      <c r="I126" s="64"/>
      <c r="J126" s="64"/>
      <c r="K126" s="57"/>
      <c r="L126" s="88"/>
      <c r="M126" s="62"/>
      <c r="N126" s="57"/>
      <c r="O126" s="88"/>
      <c r="P126" s="62"/>
      <c r="Q126" s="16"/>
      <c r="R126" s="92"/>
      <c r="S126" s="64"/>
      <c r="T126" s="47"/>
      <c r="U126" s="39"/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T126" s="10"/>
      <c r="AU126" s="11"/>
    </row>
    <row r="127" spans="1:49" s="2" customFormat="1" ht="17.25" customHeight="1" x14ac:dyDescent="0.25">
      <c r="A127" s="29"/>
      <c r="B127" s="261" t="s">
        <v>481</v>
      </c>
      <c r="C127" s="262"/>
      <c r="D127" s="63"/>
      <c r="E127" s="64"/>
      <c r="F127" s="64"/>
      <c r="G127" s="64"/>
      <c r="H127" s="64"/>
      <c r="I127" s="64"/>
      <c r="J127" s="64"/>
      <c r="K127" s="57"/>
      <c r="L127" s="88"/>
      <c r="M127" s="62"/>
      <c r="N127" s="57"/>
      <c r="O127" s="88"/>
      <c r="P127" s="62"/>
      <c r="Q127" s="16"/>
      <c r="R127" s="92"/>
      <c r="S127" s="64"/>
      <c r="T127" s="47"/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x14ac:dyDescent="0.25">
      <c r="A128" s="29"/>
      <c r="B128" s="201" t="s">
        <v>483</v>
      </c>
      <c r="C128" s="202"/>
      <c r="D128" s="63"/>
      <c r="E128" s="64"/>
      <c r="F128" s="64"/>
      <c r="G128" s="64"/>
      <c r="H128" s="64"/>
      <c r="I128" s="64"/>
      <c r="J128" s="64"/>
      <c r="K128" s="57"/>
      <c r="L128" s="88"/>
      <c r="M128" s="62"/>
      <c r="N128" s="57"/>
      <c r="O128" s="88"/>
      <c r="P128" s="62"/>
      <c r="Q128" s="16"/>
      <c r="R128" s="92"/>
      <c r="S128" s="64"/>
      <c r="T128" s="47"/>
      <c r="U128" s="39"/>
      <c r="V128" s="39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22"/>
      <c r="AT128" s="10"/>
      <c r="AU128" s="11"/>
    </row>
    <row r="129" spans="1:49" s="4" customFormat="1" ht="17.25" customHeight="1" thickBot="1" x14ac:dyDescent="0.3">
      <c r="A129" s="24"/>
      <c r="B129" s="246"/>
      <c r="C129" s="246"/>
      <c r="D129" s="81"/>
      <c r="E129" s="81"/>
      <c r="F129" s="81"/>
      <c r="G129" s="81"/>
      <c r="H129" s="81"/>
      <c r="I129" s="81"/>
      <c r="J129" s="81"/>
      <c r="K129" s="59"/>
      <c r="L129" s="90"/>
      <c r="M129" s="136"/>
      <c r="N129" s="59"/>
      <c r="O129" s="90"/>
      <c r="P129" s="136"/>
      <c r="Q129" s="59"/>
      <c r="R129" s="90"/>
      <c r="S129" s="136"/>
      <c r="T129" s="39"/>
      <c r="U129" s="39"/>
      <c r="V129" s="39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22"/>
      <c r="AR129" s="43"/>
      <c r="AS129" s="12" t="e">
        <f>#REF!</f>
        <v>#REF!</v>
      </c>
      <c r="AW129" s="2"/>
    </row>
    <row r="130" spans="1:49" s="2" customFormat="1" ht="17.25" customHeight="1" x14ac:dyDescent="0.25">
      <c r="A130" s="29"/>
      <c r="B130" s="261" t="s">
        <v>482</v>
      </c>
      <c r="C130" s="262"/>
      <c r="D130" s="63"/>
      <c r="E130" s="64"/>
      <c r="F130" s="64"/>
      <c r="G130" s="64"/>
      <c r="H130" s="64"/>
      <c r="I130" s="64"/>
      <c r="J130" s="64"/>
      <c r="K130" s="57"/>
      <c r="L130" s="88"/>
      <c r="M130" s="62"/>
      <c r="N130" s="57"/>
      <c r="O130" s="88"/>
      <c r="P130" s="62"/>
      <c r="Q130" s="16"/>
      <c r="R130" s="92"/>
      <c r="S130" s="64"/>
      <c r="T130" s="47"/>
      <c r="U130" s="39"/>
      <c r="V130" s="39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22"/>
      <c r="AT130" s="10"/>
      <c r="AU130" s="11"/>
    </row>
    <row r="131" spans="1:49" s="4" customFormat="1" ht="17.25" customHeight="1" x14ac:dyDescent="0.25">
      <c r="A131" s="23"/>
      <c r="B131" s="212" t="s">
        <v>94</v>
      </c>
      <c r="C131" s="212"/>
      <c r="D131" s="66"/>
      <c r="E131" s="66"/>
      <c r="F131" s="117"/>
      <c r="G131" s="117"/>
      <c r="H131" s="66"/>
      <c r="I131" s="66"/>
      <c r="J131" s="66"/>
      <c r="K131" s="58"/>
      <c r="L131" s="89"/>
      <c r="M131" s="73"/>
      <c r="N131" s="58"/>
      <c r="O131" s="89"/>
      <c r="P131" s="73"/>
      <c r="Q131" s="58"/>
      <c r="R131" s="89"/>
      <c r="S131" s="73"/>
      <c r="T131" s="39"/>
      <c r="U131" s="39"/>
      <c r="V131" s="8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35"/>
      <c r="AS131" s="12" t="e">
        <f>#REF!</f>
        <v>#REF!</v>
      </c>
    </row>
    <row r="132" spans="1:49" s="4" customFormat="1" ht="17.25" customHeight="1" x14ac:dyDescent="0.25">
      <c r="A132" s="23"/>
      <c r="B132" s="201" t="s">
        <v>95</v>
      </c>
      <c r="C132" s="203"/>
      <c r="D132" s="64"/>
      <c r="E132" s="64"/>
      <c r="F132" s="117"/>
      <c r="G132" s="117"/>
      <c r="H132" s="64"/>
      <c r="I132" s="64"/>
      <c r="J132" s="64"/>
      <c r="K132" s="57"/>
      <c r="L132" s="88"/>
      <c r="M132" s="62"/>
      <c r="N132" s="57"/>
      <c r="O132" s="88"/>
      <c r="P132" s="62"/>
      <c r="Q132" s="58"/>
      <c r="R132" s="89"/>
      <c r="S132" s="73"/>
      <c r="T132" s="39"/>
      <c r="U132" s="39"/>
      <c r="V132" s="8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35"/>
      <c r="AS132" s="12" t="e">
        <f>#REF!</f>
        <v>#REF!</v>
      </c>
    </row>
    <row r="133" spans="1:49" s="4" customFormat="1" ht="17.25" customHeight="1" x14ac:dyDescent="0.25">
      <c r="A133" s="23"/>
      <c r="B133" s="201" t="s">
        <v>479</v>
      </c>
      <c r="C133" s="203"/>
      <c r="D133" s="64"/>
      <c r="E133" s="64"/>
      <c r="F133" s="117"/>
      <c r="G133" s="117"/>
      <c r="H133" s="64"/>
      <c r="I133" s="64"/>
      <c r="J133" s="64"/>
      <c r="K133" s="57"/>
      <c r="L133" s="88"/>
      <c r="M133" s="62"/>
      <c r="N133" s="57"/>
      <c r="O133" s="88"/>
      <c r="P133" s="62"/>
      <c r="Q133" s="57"/>
      <c r="R133" s="88"/>
      <c r="S133" s="62"/>
      <c r="T133" s="39"/>
      <c r="U133" s="39"/>
      <c r="V133" s="8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35"/>
      <c r="AS133" s="12" t="e">
        <f>#REF!</f>
        <v>#REF!</v>
      </c>
    </row>
    <row r="134" spans="1:49" s="4" customFormat="1" ht="17.25" customHeight="1" x14ac:dyDescent="0.25">
      <c r="A134" s="23"/>
      <c r="B134" s="201" t="s">
        <v>97</v>
      </c>
      <c r="C134" s="203"/>
      <c r="D134" s="64"/>
      <c r="E134" s="64"/>
      <c r="F134" s="64"/>
      <c r="G134" s="64"/>
      <c r="H134" s="64"/>
      <c r="I134" s="64"/>
      <c r="J134" s="64"/>
      <c r="K134" s="57"/>
      <c r="L134" s="88"/>
      <c r="M134" s="62"/>
      <c r="N134" s="57"/>
      <c r="O134" s="88"/>
      <c r="P134" s="62"/>
      <c r="Q134" s="57"/>
      <c r="R134" s="88"/>
      <c r="S134" s="62"/>
      <c r="T134" s="39"/>
      <c r="U134" s="39"/>
      <c r="V134" s="39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22"/>
      <c r="AR134" s="43"/>
      <c r="AS134" s="12" t="e">
        <f>#REF!</f>
        <v>#REF!</v>
      </c>
      <c r="AW134" s="2"/>
    </row>
    <row r="135" spans="1:49" s="4" customFormat="1" ht="17.25" customHeight="1" x14ac:dyDescent="0.25">
      <c r="A135" s="23"/>
      <c r="B135" s="201" t="s">
        <v>100</v>
      </c>
      <c r="C135" s="202"/>
      <c r="D135" s="64"/>
      <c r="E135" s="64"/>
      <c r="F135" s="64"/>
      <c r="G135" s="64"/>
      <c r="H135" s="64"/>
      <c r="I135" s="64"/>
      <c r="J135" s="64"/>
      <c r="K135" s="57"/>
      <c r="L135" s="88"/>
      <c r="M135" s="62"/>
      <c r="N135" s="57"/>
      <c r="O135" s="88"/>
      <c r="P135" s="62"/>
      <c r="Q135" s="57"/>
      <c r="R135" s="88"/>
      <c r="S135" s="62"/>
      <c r="T135" s="39"/>
      <c r="U135" s="39"/>
      <c r="V135" s="39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22"/>
      <c r="AR135" s="43"/>
      <c r="AS135" s="12" t="e">
        <f>#REF!</f>
        <v>#REF!</v>
      </c>
      <c r="AW135" s="2"/>
    </row>
    <row r="136" spans="1:49" s="4" customFormat="1" ht="17.25" customHeight="1" x14ac:dyDescent="0.25">
      <c r="A136" s="23"/>
      <c r="B136" s="201"/>
      <c r="C136" s="203"/>
      <c r="D136" s="64"/>
      <c r="E136" s="64"/>
      <c r="F136" s="64"/>
      <c r="G136" s="64"/>
      <c r="H136" s="64"/>
      <c r="I136" s="64"/>
      <c r="J136" s="64"/>
      <c r="K136" s="57"/>
      <c r="L136" s="88"/>
      <c r="M136" s="62"/>
      <c r="N136" s="57"/>
      <c r="O136" s="88"/>
      <c r="P136" s="62"/>
      <c r="Q136" s="16"/>
      <c r="R136" s="16"/>
      <c r="S136" s="64"/>
      <c r="T136" s="39"/>
      <c r="U136" s="39"/>
      <c r="V136" s="39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22"/>
      <c r="AR136" s="43"/>
      <c r="AS136" s="12" t="e">
        <f>#REF!</f>
        <v>#REF!</v>
      </c>
      <c r="AW136" s="2"/>
    </row>
    <row r="137" spans="1:49" s="2" customFormat="1" ht="17.25" customHeight="1" thickBot="1" x14ac:dyDescent="0.3">
      <c r="A137" s="56"/>
      <c r="B137" s="101" t="s">
        <v>102</v>
      </c>
      <c r="C137" s="102">
        <f>D138+E138+F138+G138+H138+I138+J138+M138+P138</f>
        <v>117279.92954000011</v>
      </c>
      <c r="D137" s="84"/>
      <c r="E137" s="85"/>
      <c r="F137" s="85"/>
      <c r="G137" s="85"/>
      <c r="H137" s="85"/>
      <c r="I137" s="85"/>
      <c r="J137" s="85"/>
      <c r="K137" s="28"/>
      <c r="L137" s="28"/>
      <c r="M137" s="85"/>
      <c r="N137" s="28"/>
      <c r="O137" s="28"/>
      <c r="P137" s="85"/>
      <c r="Q137" s="28"/>
      <c r="R137" s="28"/>
      <c r="S137" s="85"/>
      <c r="T137" s="48"/>
      <c r="U137" s="48"/>
      <c r="V137" s="51"/>
      <c r="W137" s="28"/>
      <c r="X137" s="28"/>
      <c r="Y137" s="28"/>
      <c r="Z137" s="28"/>
      <c r="AA137" s="28"/>
      <c r="AB137" s="36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42">
        <f>SUM($T121:AQ137)</f>
        <v>-487087.82890000002</v>
      </c>
      <c r="AT137" s="10"/>
      <c r="AU137" s="11"/>
      <c r="AV137" s="2" t="s">
        <v>5</v>
      </c>
    </row>
    <row r="138" spans="1:49" s="2" customFormat="1" ht="17.25" customHeight="1" thickTop="1" thickBot="1" x14ac:dyDescent="0.3">
      <c r="A138" s="103"/>
      <c r="B138" s="104" t="s">
        <v>103</v>
      </c>
      <c r="C138" s="105">
        <f>AR138</f>
        <v>-368502.60935999989</v>
      </c>
      <c r="D138" s="106">
        <f t="shared" ref="D138:K138" si="14">SUM(D121:D137)</f>
        <v>12717.607040000057</v>
      </c>
      <c r="E138" s="107">
        <f t="shared" si="14"/>
        <v>-43287.790000000008</v>
      </c>
      <c r="F138" s="107">
        <f t="shared" si="14"/>
        <v>0.65000000000145519</v>
      </c>
      <c r="G138" s="107">
        <f t="shared" si="14"/>
        <v>0</v>
      </c>
      <c r="H138" s="107">
        <f t="shared" si="14"/>
        <v>65082.292500000054</v>
      </c>
      <c r="I138" s="107">
        <f t="shared" si="14"/>
        <v>10004.65</v>
      </c>
      <c r="J138" s="107">
        <f t="shared" si="14"/>
        <v>0</v>
      </c>
      <c r="K138" s="108">
        <f t="shared" si="14"/>
        <v>12170</v>
      </c>
      <c r="L138" s="109">
        <f>M138/K138</f>
        <v>5.1465924404272805</v>
      </c>
      <c r="M138" s="107">
        <f>ROUND(SUM(M121:M137),2)</f>
        <v>62634.03</v>
      </c>
      <c r="N138" s="108">
        <f>SUM(N121:N137)</f>
        <v>2783</v>
      </c>
      <c r="O138" s="109">
        <f>P138/N138</f>
        <v>3.6394143011139057</v>
      </c>
      <c r="P138" s="107">
        <f>ROUND(SUM(P121:P137),2)</f>
        <v>10128.49</v>
      </c>
      <c r="Q138" s="108">
        <f>SUM(Q121:Q137)</f>
        <v>214</v>
      </c>
      <c r="R138" s="109">
        <f>S138/Q138</f>
        <v>6.099485981308411</v>
      </c>
      <c r="S138" s="107">
        <f>ROUND(SUM(S121:S137),2)</f>
        <v>1305.29</v>
      </c>
      <c r="T138" s="110">
        <f t="shared" ref="T138:AQ138" si="15">SUM(T121:T137)</f>
        <v>-537317.12890000001</v>
      </c>
      <c r="U138" s="107">
        <f t="shared" si="15"/>
        <v>50229.299999999996</v>
      </c>
      <c r="V138" s="107">
        <f t="shared" si="15"/>
        <v>0</v>
      </c>
      <c r="W138" s="107">
        <f t="shared" si="15"/>
        <v>0</v>
      </c>
      <c r="X138" s="107">
        <f t="shared" si="15"/>
        <v>0</v>
      </c>
      <c r="Y138" s="107">
        <f t="shared" si="15"/>
        <v>0</v>
      </c>
      <c r="Z138" s="107">
        <f t="shared" si="15"/>
        <v>0</v>
      </c>
      <c r="AA138" s="107">
        <f t="shared" si="15"/>
        <v>0</v>
      </c>
      <c r="AB138" s="107">
        <f t="shared" si="15"/>
        <v>0</v>
      </c>
      <c r="AC138" s="107">
        <f t="shared" si="15"/>
        <v>0</v>
      </c>
      <c r="AD138" s="107">
        <f t="shared" si="15"/>
        <v>0</v>
      </c>
      <c r="AE138" s="107">
        <f t="shared" si="15"/>
        <v>0</v>
      </c>
      <c r="AF138" s="107">
        <f t="shared" si="15"/>
        <v>0</v>
      </c>
      <c r="AG138" s="107">
        <f t="shared" si="15"/>
        <v>0</v>
      </c>
      <c r="AH138" s="107">
        <f t="shared" si="15"/>
        <v>0</v>
      </c>
      <c r="AI138" s="107">
        <f t="shared" si="15"/>
        <v>0</v>
      </c>
      <c r="AJ138" s="107">
        <f t="shared" si="15"/>
        <v>0</v>
      </c>
      <c r="AK138" s="107">
        <f t="shared" si="15"/>
        <v>0</v>
      </c>
      <c r="AL138" s="107">
        <f t="shared" si="15"/>
        <v>0</v>
      </c>
      <c r="AM138" s="107">
        <f t="shared" si="15"/>
        <v>0</v>
      </c>
      <c r="AN138" s="107">
        <f t="shared" si="15"/>
        <v>0</v>
      </c>
      <c r="AO138" s="107">
        <f t="shared" si="15"/>
        <v>0</v>
      </c>
      <c r="AP138" s="107">
        <f t="shared" si="15"/>
        <v>0</v>
      </c>
      <c r="AQ138" s="107">
        <f t="shared" si="15"/>
        <v>0</v>
      </c>
      <c r="AR138" s="111">
        <f>D138+E138+F138+G138+H138+I138+J138+M138+P138+S138+SUM(T138:AQ138)</f>
        <v>-368502.60935999989</v>
      </c>
      <c r="AS138" s="4"/>
      <c r="AT138" s="5"/>
      <c r="AU138" s="5"/>
      <c r="AV138" s="2" t="s">
        <v>484</v>
      </c>
    </row>
    <row r="139" spans="1:49" s="2" customFormat="1" ht="17.25" customHeight="1" thickTop="1" x14ac:dyDescent="0.25">
      <c r="A139" s="29">
        <f>A122+1</f>
        <v>46365</v>
      </c>
      <c r="B139" s="261" t="s">
        <v>480</v>
      </c>
      <c r="C139" s="262"/>
      <c r="D139" s="63"/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16"/>
      <c r="R139" s="92"/>
      <c r="S139" s="64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2" customFormat="1" ht="17.25" customHeight="1" x14ac:dyDescent="0.25">
      <c r="A140" s="29"/>
      <c r="B140" s="201" t="s">
        <v>64</v>
      </c>
      <c r="C140" s="202"/>
      <c r="D140" s="65"/>
      <c r="E140" s="64"/>
      <c r="F140" s="64"/>
      <c r="G140" s="64"/>
      <c r="H140" s="64"/>
      <c r="I140" s="64"/>
      <c r="J140" s="64"/>
      <c r="K140" s="57"/>
      <c r="L140" s="88"/>
      <c r="M140" s="62"/>
      <c r="N140" s="57"/>
      <c r="O140" s="88"/>
      <c r="P140" s="62"/>
      <c r="Q140" s="57"/>
      <c r="R140" s="88"/>
      <c r="S140" s="62"/>
      <c r="T140" s="47"/>
      <c r="U140" s="39"/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T140" s="10" t="s">
        <v>4</v>
      </c>
      <c r="AU140" s="11" t="e">
        <v>#REF!</v>
      </c>
    </row>
    <row r="141" spans="1:49" s="2" customFormat="1" ht="17.25" customHeight="1" x14ac:dyDescent="0.25">
      <c r="A141" s="29"/>
      <c r="B141" s="201" t="s">
        <v>96</v>
      </c>
      <c r="C141" s="202"/>
      <c r="D141" s="65"/>
      <c r="E141" s="64"/>
      <c r="F141" s="64"/>
      <c r="G141" s="64"/>
      <c r="H141" s="64"/>
      <c r="I141" s="64"/>
      <c r="J141" s="64"/>
      <c r="K141" s="57"/>
      <c r="L141" s="88"/>
      <c r="M141" s="62"/>
      <c r="N141" s="57"/>
      <c r="O141" s="88"/>
      <c r="P141" s="62"/>
      <c r="Q141" s="57"/>
      <c r="R141" s="88"/>
      <c r="S141" s="62"/>
      <c r="T141" s="47"/>
      <c r="U141" s="39"/>
      <c r="V141" s="39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22"/>
      <c r="AT141" s="10" t="s">
        <v>4</v>
      </c>
      <c r="AU141" s="11" t="e">
        <v>#REF!</v>
      </c>
    </row>
    <row r="142" spans="1:49" s="2" customFormat="1" ht="17.25" customHeight="1" x14ac:dyDescent="0.25">
      <c r="A142" s="29"/>
      <c r="B142" s="201" t="s">
        <v>327</v>
      </c>
      <c r="C142" s="202"/>
      <c r="D142" s="65"/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5">
      <c r="A143" s="29"/>
      <c r="B143" s="201" t="s">
        <v>328</v>
      </c>
      <c r="C143" s="202"/>
      <c r="D143" s="63"/>
      <c r="E143" s="64"/>
      <c r="F143" s="64"/>
      <c r="G143" s="64"/>
      <c r="H143" s="64"/>
      <c r="I143" s="64"/>
      <c r="J143" s="64"/>
      <c r="K143" s="57"/>
      <c r="L143" s="88"/>
      <c r="M143" s="62"/>
      <c r="N143" s="57"/>
      <c r="O143" s="88"/>
      <c r="P143" s="62"/>
      <c r="Q143" s="16"/>
      <c r="R143" s="92"/>
      <c r="S143" s="64"/>
      <c r="T143" s="47"/>
      <c r="U143" s="39"/>
      <c r="V143" s="39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22"/>
      <c r="AT143" s="10"/>
      <c r="AU143" s="11"/>
    </row>
    <row r="144" spans="1:49" s="2" customFormat="1" ht="17.25" customHeight="1" x14ac:dyDescent="0.25">
      <c r="A144" s="29"/>
      <c r="B144" s="261" t="s">
        <v>481</v>
      </c>
      <c r="C144" s="262"/>
      <c r="D144" s="63"/>
      <c r="E144" s="64"/>
      <c r="F144" s="64"/>
      <c r="G144" s="64"/>
      <c r="H144" s="64"/>
      <c r="I144" s="64"/>
      <c r="J144" s="64"/>
      <c r="K144" s="57"/>
      <c r="L144" s="88"/>
      <c r="M144" s="62"/>
      <c r="N144" s="57"/>
      <c r="O144" s="88"/>
      <c r="P144" s="62"/>
      <c r="Q144" s="16"/>
      <c r="R144" s="92"/>
      <c r="S144" s="64"/>
      <c r="T144" s="47"/>
      <c r="U144" s="39"/>
      <c r="V144" s="39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22"/>
      <c r="AT144" s="10"/>
      <c r="AU144" s="11"/>
    </row>
    <row r="145" spans="1:49" s="2" customFormat="1" ht="17.25" customHeight="1" x14ac:dyDescent="0.25">
      <c r="A145" s="29"/>
      <c r="B145" s="201" t="s">
        <v>483</v>
      </c>
      <c r="C145" s="202"/>
      <c r="D145" s="63"/>
      <c r="E145" s="64"/>
      <c r="F145" s="64"/>
      <c r="G145" s="64"/>
      <c r="H145" s="64"/>
      <c r="I145" s="64"/>
      <c r="J145" s="64"/>
      <c r="K145" s="57"/>
      <c r="L145" s="88"/>
      <c r="M145" s="62"/>
      <c r="N145" s="57"/>
      <c r="O145" s="88"/>
      <c r="P145" s="62"/>
      <c r="Q145" s="16"/>
      <c r="R145" s="92"/>
      <c r="S145" s="64"/>
      <c r="T145" s="47"/>
      <c r="U145" s="39"/>
      <c r="V145" s="39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22"/>
      <c r="AT145" s="10"/>
      <c r="AU145" s="11"/>
    </row>
    <row r="146" spans="1:49" s="4" customFormat="1" ht="17.25" customHeight="1" thickBot="1" x14ac:dyDescent="0.3">
      <c r="A146" s="24"/>
      <c r="B146" s="246"/>
      <c r="C146" s="246"/>
      <c r="D146" s="81"/>
      <c r="E146" s="81"/>
      <c r="F146" s="81"/>
      <c r="G146" s="81"/>
      <c r="H146" s="81"/>
      <c r="I146" s="81"/>
      <c r="J146" s="81"/>
      <c r="K146" s="59"/>
      <c r="L146" s="90"/>
      <c r="M146" s="136"/>
      <c r="N146" s="59"/>
      <c r="O146" s="90"/>
      <c r="P146" s="136"/>
      <c r="Q146" s="59"/>
      <c r="R146" s="90"/>
      <c r="S146" s="136"/>
      <c r="T146" s="39"/>
      <c r="U146" s="39"/>
      <c r="V146" s="39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22"/>
      <c r="AR146" s="43"/>
      <c r="AS146" s="12" t="e">
        <f>#REF!</f>
        <v>#REF!</v>
      </c>
      <c r="AW146" s="2"/>
    </row>
    <row r="147" spans="1:49" s="2" customFormat="1" ht="17.25" customHeight="1" x14ac:dyDescent="0.25">
      <c r="A147" s="29"/>
      <c r="B147" s="261" t="s">
        <v>482</v>
      </c>
      <c r="C147" s="262"/>
      <c r="D147" s="63"/>
      <c r="E147" s="64"/>
      <c r="F147" s="64"/>
      <c r="G147" s="64"/>
      <c r="H147" s="64"/>
      <c r="I147" s="64"/>
      <c r="J147" s="64"/>
      <c r="K147" s="57"/>
      <c r="L147" s="88"/>
      <c r="M147" s="62"/>
      <c r="N147" s="57"/>
      <c r="O147" s="88"/>
      <c r="P147" s="62"/>
      <c r="Q147" s="16"/>
      <c r="R147" s="92"/>
      <c r="S147" s="64"/>
      <c r="T147" s="47"/>
      <c r="U147" s="39"/>
      <c r="V147" s="39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4" customFormat="1" ht="17.25" customHeight="1" x14ac:dyDescent="0.25">
      <c r="A148" s="23"/>
      <c r="B148" s="212" t="s">
        <v>94</v>
      </c>
      <c r="C148" s="212"/>
      <c r="D148" s="66"/>
      <c r="E148" s="66"/>
      <c r="F148" s="117"/>
      <c r="G148" s="117"/>
      <c r="H148" s="66"/>
      <c r="I148" s="66"/>
      <c r="J148" s="66"/>
      <c r="K148" s="58"/>
      <c r="L148" s="89"/>
      <c r="M148" s="73"/>
      <c r="N148" s="58"/>
      <c r="O148" s="89"/>
      <c r="P148" s="73"/>
      <c r="Q148" s="58"/>
      <c r="R148" s="89"/>
      <c r="S148" s="73"/>
      <c r="T148" s="39"/>
      <c r="U148" s="39"/>
      <c r="V148" s="8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S148" s="12" t="e">
        <f>#REF!</f>
        <v>#REF!</v>
      </c>
    </row>
    <row r="149" spans="1:49" s="4" customFormat="1" ht="17.25" customHeight="1" x14ac:dyDescent="0.25">
      <c r="A149" s="23"/>
      <c r="B149" s="201" t="s">
        <v>95</v>
      </c>
      <c r="C149" s="203"/>
      <c r="D149" s="64"/>
      <c r="E149" s="64"/>
      <c r="F149" s="117"/>
      <c r="G149" s="117"/>
      <c r="H149" s="64"/>
      <c r="I149" s="64"/>
      <c r="J149" s="64"/>
      <c r="K149" s="57"/>
      <c r="L149" s="88"/>
      <c r="M149" s="62"/>
      <c r="N149" s="57"/>
      <c r="O149" s="88"/>
      <c r="P149" s="62"/>
      <c r="Q149" s="58"/>
      <c r="R149" s="89"/>
      <c r="S149" s="73"/>
      <c r="T149" s="39"/>
      <c r="U149" s="39"/>
      <c r="V149" s="8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35"/>
      <c r="AS149" s="12" t="e">
        <f>#REF!</f>
        <v>#REF!</v>
      </c>
    </row>
    <row r="150" spans="1:49" s="4" customFormat="1" ht="17.25" customHeight="1" x14ac:dyDescent="0.25">
      <c r="A150" s="23"/>
      <c r="B150" s="201" t="s">
        <v>479</v>
      </c>
      <c r="C150" s="203"/>
      <c r="D150" s="64"/>
      <c r="E150" s="64"/>
      <c r="F150" s="117"/>
      <c r="G150" s="117"/>
      <c r="H150" s="64"/>
      <c r="I150" s="64"/>
      <c r="J150" s="64"/>
      <c r="K150" s="57"/>
      <c r="L150" s="88"/>
      <c r="M150" s="62"/>
      <c r="N150" s="57"/>
      <c r="O150" s="88"/>
      <c r="P150" s="62"/>
      <c r="Q150" s="57"/>
      <c r="R150" s="88"/>
      <c r="S150" s="62"/>
      <c r="T150" s="39"/>
      <c r="U150" s="39"/>
      <c r="V150" s="8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35"/>
      <c r="AS150" s="12" t="e">
        <f>#REF!</f>
        <v>#REF!</v>
      </c>
    </row>
    <row r="151" spans="1:49" s="4" customFormat="1" ht="17.25" customHeight="1" x14ac:dyDescent="0.25">
      <c r="A151" s="23"/>
      <c r="B151" s="201" t="s">
        <v>97</v>
      </c>
      <c r="C151" s="203"/>
      <c r="D151" s="64"/>
      <c r="E151" s="64"/>
      <c r="F151" s="64"/>
      <c r="G151" s="64"/>
      <c r="H151" s="64"/>
      <c r="I151" s="64"/>
      <c r="J151" s="64"/>
      <c r="K151" s="57"/>
      <c r="L151" s="88"/>
      <c r="M151" s="62"/>
      <c r="N151" s="57"/>
      <c r="O151" s="88"/>
      <c r="P151" s="62"/>
      <c r="Q151" s="57"/>
      <c r="R151" s="88"/>
      <c r="S151" s="62"/>
      <c r="T151" s="39"/>
      <c r="U151" s="39"/>
      <c r="V151" s="39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22"/>
      <c r="AR151" s="43"/>
      <c r="AS151" s="12" t="e">
        <f>#REF!</f>
        <v>#REF!</v>
      </c>
      <c r="AW151" s="2"/>
    </row>
    <row r="152" spans="1:49" s="4" customFormat="1" ht="17.25" customHeight="1" x14ac:dyDescent="0.25">
      <c r="A152" s="23"/>
      <c r="B152" s="201" t="s">
        <v>100</v>
      </c>
      <c r="C152" s="202"/>
      <c r="D152" s="64"/>
      <c r="E152" s="64"/>
      <c r="F152" s="64"/>
      <c r="G152" s="64"/>
      <c r="H152" s="64"/>
      <c r="I152" s="64"/>
      <c r="J152" s="64"/>
      <c r="K152" s="57"/>
      <c r="L152" s="88"/>
      <c r="M152" s="62"/>
      <c r="N152" s="57"/>
      <c r="O152" s="88"/>
      <c r="P152" s="62"/>
      <c r="Q152" s="57"/>
      <c r="R152" s="88"/>
      <c r="S152" s="62"/>
      <c r="T152" s="39"/>
      <c r="U152" s="39"/>
      <c r="V152" s="39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22"/>
      <c r="AR152" s="43"/>
      <c r="AS152" s="12" t="e">
        <f>#REF!</f>
        <v>#REF!</v>
      </c>
      <c r="AW152" s="2"/>
    </row>
    <row r="153" spans="1:49" s="2" customFormat="1" ht="17.25" customHeight="1" x14ac:dyDescent="0.2">
      <c r="A153" s="24"/>
      <c r="B153" s="201"/>
      <c r="C153" s="204"/>
      <c r="D153" s="63"/>
      <c r="E153" s="64"/>
      <c r="F153" s="64"/>
      <c r="G153" s="64"/>
      <c r="H153" s="64"/>
      <c r="I153" s="64"/>
      <c r="J153" s="64"/>
      <c r="K153" s="16"/>
      <c r="L153" s="16"/>
      <c r="M153" s="64"/>
      <c r="N153" s="16"/>
      <c r="O153" s="16"/>
      <c r="P153" s="64"/>
      <c r="Q153" s="16"/>
      <c r="R153" s="16"/>
      <c r="S153" s="64"/>
      <c r="T153" s="46"/>
      <c r="U153" s="46"/>
      <c r="V153" s="39"/>
      <c r="W153" s="16"/>
      <c r="X153" s="16"/>
      <c r="Y153" s="16"/>
      <c r="Z153" s="16"/>
      <c r="AA153" s="16"/>
      <c r="AB153" s="19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43"/>
      <c r="AT153" s="10"/>
      <c r="AU153" s="11"/>
    </row>
    <row r="154" spans="1:49" s="2" customFormat="1" ht="17.25" customHeight="1" thickBot="1" x14ac:dyDescent="0.3">
      <c r="A154" s="56"/>
      <c r="B154" s="101" t="s">
        <v>102</v>
      </c>
      <c r="C154" s="102">
        <f>D155+E155+F155+G155+H155+I155+J155+M155+P155</f>
        <v>117279.92954000011</v>
      </c>
      <c r="D154" s="84"/>
      <c r="E154" s="85"/>
      <c r="F154" s="85"/>
      <c r="G154" s="85"/>
      <c r="H154" s="85"/>
      <c r="I154" s="85"/>
      <c r="J154" s="85"/>
      <c r="K154" s="28"/>
      <c r="L154" s="28"/>
      <c r="M154" s="85"/>
      <c r="N154" s="28"/>
      <c r="O154" s="28"/>
      <c r="P154" s="85"/>
      <c r="Q154" s="28"/>
      <c r="R154" s="28"/>
      <c r="S154" s="85"/>
      <c r="T154" s="48"/>
      <c r="U154" s="48"/>
      <c r="V154" s="51"/>
      <c r="W154" s="28"/>
      <c r="X154" s="28"/>
      <c r="Y154" s="28"/>
      <c r="Z154" s="28"/>
      <c r="AA154" s="28"/>
      <c r="AB154" s="36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42">
        <f>SUM($T138:AQ154)</f>
        <v>-487087.82890000002</v>
      </c>
      <c r="AT154" s="10"/>
      <c r="AU154" s="11"/>
      <c r="AV154" s="2" t="s">
        <v>5</v>
      </c>
    </row>
    <row r="155" spans="1:49" s="2" customFormat="1" ht="17.25" customHeight="1" thickTop="1" thickBot="1" x14ac:dyDescent="0.3">
      <c r="A155" s="103"/>
      <c r="B155" s="104" t="s">
        <v>103</v>
      </c>
      <c r="C155" s="105">
        <f>AR155</f>
        <v>-368502.60935999989</v>
      </c>
      <c r="D155" s="106">
        <f t="shared" ref="D155:K155" si="16">SUM(D138:D154)</f>
        <v>12717.607040000057</v>
      </c>
      <c r="E155" s="107">
        <f t="shared" si="16"/>
        <v>-43287.790000000008</v>
      </c>
      <c r="F155" s="107">
        <f t="shared" si="16"/>
        <v>0.65000000000145519</v>
      </c>
      <c r="G155" s="107">
        <f t="shared" si="16"/>
        <v>0</v>
      </c>
      <c r="H155" s="107">
        <f t="shared" si="16"/>
        <v>65082.292500000054</v>
      </c>
      <c r="I155" s="107">
        <f t="shared" si="16"/>
        <v>10004.65</v>
      </c>
      <c r="J155" s="107">
        <f t="shared" si="16"/>
        <v>0</v>
      </c>
      <c r="K155" s="108">
        <f t="shared" si="16"/>
        <v>12170</v>
      </c>
      <c r="L155" s="109">
        <f>M155/K155</f>
        <v>5.1465924404272805</v>
      </c>
      <c r="M155" s="107">
        <f>ROUND(SUM(M138:M154),2)</f>
        <v>62634.03</v>
      </c>
      <c r="N155" s="108">
        <f>SUM(N138:N154)</f>
        <v>2783</v>
      </c>
      <c r="O155" s="109">
        <f>P155/N155</f>
        <v>3.6394143011139057</v>
      </c>
      <c r="P155" s="107">
        <f>ROUND(SUM(P138:P154),2)</f>
        <v>10128.49</v>
      </c>
      <c r="Q155" s="108">
        <f>SUM(Q138:Q154)</f>
        <v>214</v>
      </c>
      <c r="R155" s="109">
        <f>S155/Q155</f>
        <v>6.099485981308411</v>
      </c>
      <c r="S155" s="107">
        <f>ROUND(SUM(S138:S154),2)</f>
        <v>1305.29</v>
      </c>
      <c r="T155" s="110">
        <f t="shared" ref="T155:AQ155" si="17">SUM(T138:T154)</f>
        <v>-537317.12890000001</v>
      </c>
      <c r="U155" s="107">
        <f t="shared" si="17"/>
        <v>50229.299999999996</v>
      </c>
      <c r="V155" s="107">
        <f t="shared" si="17"/>
        <v>0</v>
      </c>
      <c r="W155" s="107">
        <f t="shared" si="17"/>
        <v>0</v>
      </c>
      <c r="X155" s="107">
        <f t="shared" si="17"/>
        <v>0</v>
      </c>
      <c r="Y155" s="107">
        <f t="shared" si="17"/>
        <v>0</v>
      </c>
      <c r="Z155" s="107">
        <f t="shared" si="17"/>
        <v>0</v>
      </c>
      <c r="AA155" s="107">
        <f t="shared" si="17"/>
        <v>0</v>
      </c>
      <c r="AB155" s="107">
        <f t="shared" si="17"/>
        <v>0</v>
      </c>
      <c r="AC155" s="107">
        <f t="shared" si="17"/>
        <v>0</v>
      </c>
      <c r="AD155" s="107">
        <f t="shared" si="17"/>
        <v>0</v>
      </c>
      <c r="AE155" s="107">
        <f t="shared" si="17"/>
        <v>0</v>
      </c>
      <c r="AF155" s="107">
        <f t="shared" si="17"/>
        <v>0</v>
      </c>
      <c r="AG155" s="107">
        <f t="shared" si="17"/>
        <v>0</v>
      </c>
      <c r="AH155" s="107">
        <f t="shared" si="17"/>
        <v>0</v>
      </c>
      <c r="AI155" s="107">
        <f t="shared" si="17"/>
        <v>0</v>
      </c>
      <c r="AJ155" s="107">
        <f t="shared" si="17"/>
        <v>0</v>
      </c>
      <c r="AK155" s="107">
        <f t="shared" si="17"/>
        <v>0</v>
      </c>
      <c r="AL155" s="107">
        <f t="shared" si="17"/>
        <v>0</v>
      </c>
      <c r="AM155" s="107">
        <f t="shared" si="17"/>
        <v>0</v>
      </c>
      <c r="AN155" s="107">
        <f t="shared" si="17"/>
        <v>0</v>
      </c>
      <c r="AO155" s="107">
        <f t="shared" si="17"/>
        <v>0</v>
      </c>
      <c r="AP155" s="107">
        <f t="shared" si="17"/>
        <v>0</v>
      </c>
      <c r="AQ155" s="107">
        <f t="shared" si="17"/>
        <v>0</v>
      </c>
      <c r="AR155" s="111">
        <f>D155+E155+F155+G155+H155+I155+J155+M155+P155+S155+SUM(T155:AQ155)</f>
        <v>-368502.60935999989</v>
      </c>
      <c r="AS155" s="4"/>
      <c r="AT155" s="5"/>
      <c r="AU155" s="5"/>
      <c r="AV155" s="2" t="s">
        <v>484</v>
      </c>
    </row>
    <row r="156" spans="1:49" s="2" customFormat="1" ht="17.25" customHeight="1" thickTop="1" x14ac:dyDescent="0.25">
      <c r="A156" s="29">
        <f>A139+1</f>
        <v>46366</v>
      </c>
      <c r="B156" s="261" t="s">
        <v>480</v>
      </c>
      <c r="C156" s="262"/>
      <c r="D156" s="63"/>
      <c r="E156" s="64"/>
      <c r="F156" s="64"/>
      <c r="G156" s="64"/>
      <c r="H156" s="64"/>
      <c r="I156" s="64"/>
      <c r="J156" s="64"/>
      <c r="K156" s="57"/>
      <c r="L156" s="88"/>
      <c r="M156" s="62"/>
      <c r="N156" s="57"/>
      <c r="O156" s="88"/>
      <c r="P156" s="62"/>
      <c r="Q156" s="16"/>
      <c r="R156" s="92"/>
      <c r="S156" s="64"/>
      <c r="T156" s="47"/>
      <c r="U156" s="39"/>
      <c r="V156" s="39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22"/>
      <c r="AT156" s="10"/>
      <c r="AU156" s="11"/>
    </row>
    <row r="157" spans="1:49" s="2" customFormat="1" ht="17.25" customHeight="1" x14ac:dyDescent="0.25">
      <c r="A157" s="29"/>
      <c r="B157" s="201" t="s">
        <v>64</v>
      </c>
      <c r="C157" s="202"/>
      <c r="D157" s="65"/>
      <c r="E157" s="64"/>
      <c r="F157" s="64"/>
      <c r="G157" s="64"/>
      <c r="H157" s="64"/>
      <c r="I157" s="64"/>
      <c r="J157" s="64"/>
      <c r="K157" s="57"/>
      <c r="L157" s="88"/>
      <c r="M157" s="62"/>
      <c r="N157" s="57"/>
      <c r="O157" s="88"/>
      <c r="P157" s="62"/>
      <c r="Q157" s="57"/>
      <c r="R157" s="88"/>
      <c r="S157" s="62"/>
      <c r="T157" s="47"/>
      <c r="U157" s="39"/>
      <c r="V157" s="39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22"/>
      <c r="AT157" s="10" t="s">
        <v>4</v>
      </c>
      <c r="AU157" s="11" t="e">
        <v>#REF!</v>
      </c>
    </row>
    <row r="158" spans="1:49" s="2" customFormat="1" ht="17.25" customHeight="1" x14ac:dyDescent="0.25">
      <c r="A158" s="29"/>
      <c r="B158" s="201" t="s">
        <v>96</v>
      </c>
      <c r="C158" s="202"/>
      <c r="D158" s="65"/>
      <c r="E158" s="64"/>
      <c r="F158" s="64"/>
      <c r="G158" s="64"/>
      <c r="H158" s="64"/>
      <c r="I158" s="64"/>
      <c r="J158" s="64"/>
      <c r="K158" s="57"/>
      <c r="L158" s="88"/>
      <c r="M158" s="62"/>
      <c r="N158" s="57"/>
      <c r="O158" s="88"/>
      <c r="P158" s="62"/>
      <c r="Q158" s="57"/>
      <c r="R158" s="88"/>
      <c r="S158" s="62"/>
      <c r="T158" s="47"/>
      <c r="U158" s="39"/>
      <c r="V158" s="39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22"/>
      <c r="AT158" s="10" t="s">
        <v>4</v>
      </c>
      <c r="AU158" s="11" t="e">
        <v>#REF!</v>
      </c>
    </row>
    <row r="159" spans="1:49" s="2" customFormat="1" ht="17.25" customHeight="1" x14ac:dyDescent="0.25">
      <c r="A159" s="29"/>
      <c r="B159" s="201" t="s">
        <v>327</v>
      </c>
      <c r="C159" s="202"/>
      <c r="D159" s="65"/>
      <c r="E159" s="64"/>
      <c r="F159" s="64"/>
      <c r="G159" s="64"/>
      <c r="H159" s="64"/>
      <c r="I159" s="64"/>
      <c r="J159" s="64"/>
      <c r="K159" s="57"/>
      <c r="L159" s="88"/>
      <c r="M159" s="62"/>
      <c r="N159" s="57"/>
      <c r="O159" s="88"/>
      <c r="P159" s="62"/>
      <c r="Q159" s="57"/>
      <c r="R159" s="88"/>
      <c r="S159" s="62"/>
      <c r="T159" s="47"/>
      <c r="U159" s="39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T159" s="10"/>
      <c r="AU159" s="11"/>
    </row>
    <row r="160" spans="1:49" s="2" customFormat="1" ht="17.25" customHeight="1" x14ac:dyDescent="0.25">
      <c r="A160" s="29"/>
      <c r="B160" s="201" t="s">
        <v>328</v>
      </c>
      <c r="C160" s="202"/>
      <c r="D160" s="63"/>
      <c r="E160" s="64"/>
      <c r="F160" s="64"/>
      <c r="G160" s="64"/>
      <c r="H160" s="64"/>
      <c r="I160" s="64"/>
      <c r="J160" s="64"/>
      <c r="K160" s="57"/>
      <c r="L160" s="88"/>
      <c r="M160" s="62"/>
      <c r="N160" s="57"/>
      <c r="O160" s="88"/>
      <c r="P160" s="62"/>
      <c r="Q160" s="16"/>
      <c r="R160" s="92"/>
      <c r="S160" s="64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61" t="s">
        <v>481</v>
      </c>
      <c r="C161" s="262"/>
      <c r="D161" s="63"/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16"/>
      <c r="R161" s="92"/>
      <c r="S161" s="64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2" customFormat="1" ht="17.25" customHeight="1" x14ac:dyDescent="0.25">
      <c r="A162" s="29"/>
      <c r="B162" s="201" t="s">
        <v>483</v>
      </c>
      <c r="C162" s="202"/>
      <c r="D162" s="63"/>
      <c r="E162" s="64"/>
      <c r="F162" s="64"/>
      <c r="G162" s="64"/>
      <c r="H162" s="64"/>
      <c r="I162" s="64"/>
      <c r="J162" s="64"/>
      <c r="K162" s="57"/>
      <c r="L162" s="88"/>
      <c r="M162" s="62"/>
      <c r="N162" s="57"/>
      <c r="O162" s="88"/>
      <c r="P162" s="62"/>
      <c r="Q162" s="16"/>
      <c r="R162" s="92"/>
      <c r="S162" s="64"/>
      <c r="T162" s="47"/>
      <c r="U162" s="39"/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T162" s="10"/>
      <c r="AU162" s="11"/>
    </row>
    <row r="163" spans="1:49" s="4" customFormat="1" ht="17.25" customHeight="1" thickBot="1" x14ac:dyDescent="0.3">
      <c r="A163" s="24"/>
      <c r="B163" s="246"/>
      <c r="C163" s="246"/>
      <c r="D163" s="81"/>
      <c r="E163" s="81"/>
      <c r="F163" s="81"/>
      <c r="G163" s="81"/>
      <c r="H163" s="81"/>
      <c r="I163" s="81"/>
      <c r="J163" s="81"/>
      <c r="K163" s="59"/>
      <c r="L163" s="90"/>
      <c r="M163" s="136"/>
      <c r="N163" s="59"/>
      <c r="O163" s="90"/>
      <c r="P163" s="136"/>
      <c r="Q163" s="59"/>
      <c r="R163" s="90"/>
      <c r="S163" s="136"/>
      <c r="T163" s="39"/>
      <c r="U163" s="39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22"/>
      <c r="AR163" s="43"/>
      <c r="AS163" s="12" t="e">
        <f>#REF!</f>
        <v>#REF!</v>
      </c>
      <c r="AW163" s="2"/>
    </row>
    <row r="164" spans="1:49" s="2" customFormat="1" ht="17.25" customHeight="1" x14ac:dyDescent="0.25">
      <c r="A164" s="29"/>
      <c r="B164" s="261" t="s">
        <v>482</v>
      </c>
      <c r="C164" s="262"/>
      <c r="D164" s="63"/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16"/>
      <c r="R164" s="92"/>
      <c r="S164" s="64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4" customFormat="1" ht="17.25" customHeight="1" x14ac:dyDescent="0.25">
      <c r="A165" s="23"/>
      <c r="B165" s="212" t="s">
        <v>94</v>
      </c>
      <c r="C165" s="212"/>
      <c r="D165" s="66"/>
      <c r="E165" s="66"/>
      <c r="F165" s="117"/>
      <c r="G165" s="117"/>
      <c r="H165" s="66"/>
      <c r="I165" s="66"/>
      <c r="J165" s="66"/>
      <c r="K165" s="58"/>
      <c r="L165" s="89"/>
      <c r="M165" s="73"/>
      <c r="N165" s="58"/>
      <c r="O165" s="89"/>
      <c r="P165" s="73"/>
      <c r="Q165" s="58"/>
      <c r="R165" s="89"/>
      <c r="S165" s="73"/>
      <c r="T165" s="39"/>
      <c r="U165" s="39"/>
      <c r="V165" s="8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35"/>
      <c r="AS165" s="12" t="e">
        <f>#REF!</f>
        <v>#REF!</v>
      </c>
    </row>
    <row r="166" spans="1:49" s="4" customFormat="1" ht="17.25" customHeight="1" x14ac:dyDescent="0.25">
      <c r="A166" s="23"/>
      <c r="B166" s="201" t="s">
        <v>95</v>
      </c>
      <c r="C166" s="203"/>
      <c r="D166" s="64"/>
      <c r="E166" s="64"/>
      <c r="F166" s="117"/>
      <c r="G166" s="117"/>
      <c r="H166" s="64"/>
      <c r="I166" s="64"/>
      <c r="J166" s="64"/>
      <c r="K166" s="57"/>
      <c r="L166" s="88"/>
      <c r="M166" s="62"/>
      <c r="N166" s="57"/>
      <c r="O166" s="88"/>
      <c r="P166" s="62"/>
      <c r="Q166" s="58"/>
      <c r="R166" s="89"/>
      <c r="S166" s="73"/>
      <c r="T166" s="39"/>
      <c r="U166" s="39"/>
      <c r="V166" s="8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35"/>
      <c r="AS166" s="12" t="e">
        <f>#REF!</f>
        <v>#REF!</v>
      </c>
    </row>
    <row r="167" spans="1:49" s="4" customFormat="1" ht="17.25" customHeight="1" x14ac:dyDescent="0.25">
      <c r="A167" s="23"/>
      <c r="B167" s="201" t="s">
        <v>479</v>
      </c>
      <c r="C167" s="203"/>
      <c r="D167" s="64"/>
      <c r="E167" s="64"/>
      <c r="F167" s="117"/>
      <c r="G167" s="117"/>
      <c r="H167" s="64"/>
      <c r="I167" s="64"/>
      <c r="J167" s="64"/>
      <c r="K167" s="57"/>
      <c r="L167" s="88"/>
      <c r="M167" s="62"/>
      <c r="N167" s="57"/>
      <c r="O167" s="88"/>
      <c r="P167" s="62"/>
      <c r="Q167" s="57"/>
      <c r="R167" s="88"/>
      <c r="S167" s="62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97</v>
      </c>
      <c r="C168" s="203"/>
      <c r="D168" s="64"/>
      <c r="E168" s="64"/>
      <c r="F168" s="64"/>
      <c r="G168" s="64"/>
      <c r="H168" s="64"/>
      <c r="I168" s="64"/>
      <c r="J168" s="64"/>
      <c r="K168" s="57"/>
      <c r="L168" s="88"/>
      <c r="M168" s="62"/>
      <c r="N168" s="57"/>
      <c r="O168" s="88"/>
      <c r="P168" s="62"/>
      <c r="Q168" s="57"/>
      <c r="R168" s="88"/>
      <c r="S168" s="62"/>
      <c r="T168" s="39"/>
      <c r="U168" s="39"/>
      <c r="V168" s="39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22"/>
      <c r="AR168" s="43"/>
      <c r="AS168" s="12" t="e">
        <f>#REF!</f>
        <v>#REF!</v>
      </c>
      <c r="AW168" s="2"/>
    </row>
    <row r="169" spans="1:49" s="4" customFormat="1" ht="17.25" customHeight="1" x14ac:dyDescent="0.25">
      <c r="A169" s="23"/>
      <c r="B169" s="201" t="s">
        <v>100</v>
      </c>
      <c r="C169" s="202"/>
      <c r="D169" s="64"/>
      <c r="E169" s="64"/>
      <c r="F169" s="64"/>
      <c r="G169" s="64"/>
      <c r="H169" s="64"/>
      <c r="I169" s="64"/>
      <c r="J169" s="64"/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/>
      <c r="AS169" s="12" t="e">
        <f>#REF!</f>
        <v>#REF!</v>
      </c>
      <c r="AW169" s="2"/>
    </row>
    <row r="170" spans="1:49" s="2" customFormat="1" ht="17.25" customHeight="1" x14ac:dyDescent="0.2">
      <c r="A170" s="24"/>
      <c r="B170" s="201"/>
      <c r="C170" s="204"/>
      <c r="D170" s="63"/>
      <c r="E170" s="64"/>
      <c r="F170" s="64"/>
      <c r="G170" s="64"/>
      <c r="H170" s="64"/>
      <c r="I170" s="64"/>
      <c r="J170" s="64"/>
      <c r="K170" s="16"/>
      <c r="L170" s="16"/>
      <c r="M170" s="64"/>
      <c r="N170" s="16"/>
      <c r="O170" s="16"/>
      <c r="P170" s="64"/>
      <c r="Q170" s="16"/>
      <c r="R170" s="16"/>
      <c r="S170" s="64"/>
      <c r="T170" s="46"/>
      <c r="U170" s="46"/>
      <c r="V170" s="39"/>
      <c r="W170" s="16"/>
      <c r="X170" s="16"/>
      <c r="Y170" s="16"/>
      <c r="Z170" s="16"/>
      <c r="AA170" s="16"/>
      <c r="AB170" s="19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43"/>
      <c r="AT170" s="10"/>
      <c r="AU170" s="11"/>
    </row>
    <row r="171" spans="1:49" s="2" customFormat="1" ht="17.25" customHeight="1" thickBot="1" x14ac:dyDescent="0.3">
      <c r="A171" s="56"/>
      <c r="B171" s="101" t="s">
        <v>102</v>
      </c>
      <c r="C171" s="102">
        <f>D172+E172+F172+G172+H172+I172+J172+M172+P172</f>
        <v>117279.92954000011</v>
      </c>
      <c r="D171" s="84"/>
      <c r="E171" s="85"/>
      <c r="F171" s="85"/>
      <c r="G171" s="85"/>
      <c r="H171" s="85"/>
      <c r="I171" s="85"/>
      <c r="J171" s="85"/>
      <c r="K171" s="28"/>
      <c r="L171" s="28"/>
      <c r="M171" s="85"/>
      <c r="N171" s="28"/>
      <c r="O171" s="28"/>
      <c r="P171" s="85"/>
      <c r="Q171" s="28"/>
      <c r="R171" s="28"/>
      <c r="S171" s="85"/>
      <c r="T171" s="48"/>
      <c r="U171" s="48"/>
      <c r="V171" s="51"/>
      <c r="W171" s="28"/>
      <c r="X171" s="28"/>
      <c r="Y171" s="28"/>
      <c r="Z171" s="28"/>
      <c r="AA171" s="28"/>
      <c r="AB171" s="36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42">
        <f>SUM($T155:AQ171)</f>
        <v>-487087.82890000002</v>
      </c>
      <c r="AT171" s="10"/>
      <c r="AU171" s="11"/>
      <c r="AV171" s="2" t="s">
        <v>5</v>
      </c>
    </row>
    <row r="172" spans="1:49" s="2" customFormat="1" ht="17.25" customHeight="1" thickTop="1" thickBot="1" x14ac:dyDescent="0.3">
      <c r="A172" s="103"/>
      <c r="B172" s="104" t="s">
        <v>103</v>
      </c>
      <c r="C172" s="105">
        <f>AR172</f>
        <v>-368502.60935999989</v>
      </c>
      <c r="D172" s="106">
        <f t="shared" ref="D172:K172" si="18">SUM(D155:D171)</f>
        <v>12717.607040000057</v>
      </c>
      <c r="E172" s="107">
        <f t="shared" si="18"/>
        <v>-43287.790000000008</v>
      </c>
      <c r="F172" s="107">
        <f t="shared" si="18"/>
        <v>0.65000000000145519</v>
      </c>
      <c r="G172" s="107">
        <f t="shared" si="18"/>
        <v>0</v>
      </c>
      <c r="H172" s="107">
        <f t="shared" si="18"/>
        <v>65082.292500000054</v>
      </c>
      <c r="I172" s="107">
        <f t="shared" si="18"/>
        <v>10004.65</v>
      </c>
      <c r="J172" s="107">
        <f t="shared" si="18"/>
        <v>0</v>
      </c>
      <c r="K172" s="108">
        <f t="shared" si="18"/>
        <v>12170</v>
      </c>
      <c r="L172" s="109">
        <f>M172/K172</f>
        <v>5.1465924404272805</v>
      </c>
      <c r="M172" s="107">
        <f>ROUND(SUM(M155:M171),2)</f>
        <v>62634.03</v>
      </c>
      <c r="N172" s="108">
        <f>SUM(N155:N171)</f>
        <v>2783</v>
      </c>
      <c r="O172" s="109">
        <f>P172/N172</f>
        <v>3.6394143011139057</v>
      </c>
      <c r="P172" s="107">
        <f>ROUND(SUM(P155:P171),2)</f>
        <v>10128.49</v>
      </c>
      <c r="Q172" s="108">
        <f>SUM(Q155:Q171)</f>
        <v>214</v>
      </c>
      <c r="R172" s="109">
        <f>S172/Q172</f>
        <v>6.099485981308411</v>
      </c>
      <c r="S172" s="107">
        <f>ROUND(SUM(S155:S171),2)</f>
        <v>1305.29</v>
      </c>
      <c r="T172" s="110">
        <f t="shared" ref="T172:AQ172" si="19">SUM(T155:T171)</f>
        <v>-537317.12890000001</v>
      </c>
      <c r="U172" s="107">
        <f t="shared" si="19"/>
        <v>50229.299999999996</v>
      </c>
      <c r="V172" s="107">
        <f t="shared" si="19"/>
        <v>0</v>
      </c>
      <c r="W172" s="107">
        <f t="shared" si="19"/>
        <v>0</v>
      </c>
      <c r="X172" s="107">
        <f t="shared" si="19"/>
        <v>0</v>
      </c>
      <c r="Y172" s="107">
        <f t="shared" si="19"/>
        <v>0</v>
      </c>
      <c r="Z172" s="107">
        <f t="shared" si="19"/>
        <v>0</v>
      </c>
      <c r="AA172" s="107">
        <f t="shared" si="19"/>
        <v>0</v>
      </c>
      <c r="AB172" s="107">
        <f t="shared" si="19"/>
        <v>0</v>
      </c>
      <c r="AC172" s="107">
        <f t="shared" si="19"/>
        <v>0</v>
      </c>
      <c r="AD172" s="107">
        <f t="shared" si="19"/>
        <v>0</v>
      </c>
      <c r="AE172" s="107">
        <f t="shared" si="19"/>
        <v>0</v>
      </c>
      <c r="AF172" s="107">
        <f t="shared" si="19"/>
        <v>0</v>
      </c>
      <c r="AG172" s="107">
        <f t="shared" si="19"/>
        <v>0</v>
      </c>
      <c r="AH172" s="107">
        <f t="shared" si="19"/>
        <v>0</v>
      </c>
      <c r="AI172" s="107">
        <f t="shared" si="19"/>
        <v>0</v>
      </c>
      <c r="AJ172" s="107">
        <f t="shared" si="19"/>
        <v>0</v>
      </c>
      <c r="AK172" s="107">
        <f t="shared" si="19"/>
        <v>0</v>
      </c>
      <c r="AL172" s="107">
        <f t="shared" si="19"/>
        <v>0</v>
      </c>
      <c r="AM172" s="107">
        <f t="shared" si="19"/>
        <v>0</v>
      </c>
      <c r="AN172" s="107">
        <f t="shared" si="19"/>
        <v>0</v>
      </c>
      <c r="AO172" s="107">
        <f t="shared" si="19"/>
        <v>0</v>
      </c>
      <c r="AP172" s="107">
        <f t="shared" si="19"/>
        <v>0</v>
      </c>
      <c r="AQ172" s="107">
        <f t="shared" si="19"/>
        <v>0</v>
      </c>
      <c r="AR172" s="111">
        <f>D172+E172+F172+G172+H172+I172+J172+M172+P172+S172+SUM(T172:AQ172)</f>
        <v>-368502.60935999989</v>
      </c>
      <c r="AS172" s="4"/>
      <c r="AT172" s="5"/>
      <c r="AU172" s="5"/>
      <c r="AV172" s="2" t="s">
        <v>484</v>
      </c>
    </row>
    <row r="173" spans="1:49" s="2" customFormat="1" ht="17.25" customHeight="1" thickTop="1" x14ac:dyDescent="0.25">
      <c r="A173" s="29">
        <f>A156+1</f>
        <v>46367</v>
      </c>
      <c r="B173" s="261" t="s">
        <v>480</v>
      </c>
      <c r="C173" s="262"/>
      <c r="D173" s="63"/>
      <c r="E173" s="64"/>
      <c r="F173" s="64"/>
      <c r="G173" s="64"/>
      <c r="H173" s="64"/>
      <c r="I173" s="64"/>
      <c r="J173" s="64"/>
      <c r="K173" s="57"/>
      <c r="L173" s="88"/>
      <c r="M173" s="62"/>
      <c r="N173" s="57"/>
      <c r="O173" s="88"/>
      <c r="P173" s="62"/>
      <c r="Q173" s="16"/>
      <c r="R173" s="92"/>
      <c r="S173" s="64"/>
      <c r="T173" s="47"/>
      <c r="U173" s="39"/>
      <c r="V173" s="39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22"/>
      <c r="AT173" s="10"/>
      <c r="AU173" s="11"/>
    </row>
    <row r="174" spans="1:49" s="2" customFormat="1" ht="17.25" customHeight="1" x14ac:dyDescent="0.25">
      <c r="A174" s="29"/>
      <c r="B174" s="201" t="s">
        <v>64</v>
      </c>
      <c r="C174" s="202"/>
      <c r="D174" s="65"/>
      <c r="E174" s="64"/>
      <c r="F174" s="64"/>
      <c r="G174" s="64"/>
      <c r="H174" s="64"/>
      <c r="I174" s="64"/>
      <c r="J174" s="64"/>
      <c r="K174" s="57"/>
      <c r="L174" s="88"/>
      <c r="M174" s="62"/>
      <c r="N174" s="57"/>
      <c r="O174" s="88"/>
      <c r="P174" s="62"/>
      <c r="Q174" s="57"/>
      <c r="R174" s="88"/>
      <c r="S174" s="62"/>
      <c r="T174" s="47"/>
      <c r="U174" s="39"/>
      <c r="V174" s="39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22"/>
      <c r="AT174" s="10" t="s">
        <v>4</v>
      </c>
      <c r="AU174" s="11" t="e">
        <v>#REF!</v>
      </c>
    </row>
    <row r="175" spans="1:49" s="2" customFormat="1" ht="17.25" customHeight="1" x14ac:dyDescent="0.25">
      <c r="A175" s="29"/>
      <c r="B175" s="201" t="s">
        <v>96</v>
      </c>
      <c r="C175" s="202"/>
      <c r="D175" s="65"/>
      <c r="E175" s="64"/>
      <c r="F175" s="64"/>
      <c r="G175" s="64"/>
      <c r="H175" s="64"/>
      <c r="I175" s="64"/>
      <c r="J175" s="64"/>
      <c r="K175" s="57"/>
      <c r="L175" s="88"/>
      <c r="M175" s="62"/>
      <c r="N175" s="57"/>
      <c r="O175" s="88"/>
      <c r="P175" s="62"/>
      <c r="Q175" s="57"/>
      <c r="R175" s="88"/>
      <c r="S175" s="62"/>
      <c r="T175" s="47"/>
      <c r="U175" s="39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T175" s="10" t="s">
        <v>4</v>
      </c>
      <c r="AU175" s="11" t="e">
        <v>#REF!</v>
      </c>
    </row>
    <row r="176" spans="1:49" s="2" customFormat="1" ht="17.25" customHeight="1" x14ac:dyDescent="0.25">
      <c r="A176" s="29"/>
      <c r="B176" s="201" t="s">
        <v>327</v>
      </c>
      <c r="C176" s="202"/>
      <c r="D176" s="65"/>
      <c r="E176" s="64"/>
      <c r="F176" s="64"/>
      <c r="G176" s="64"/>
      <c r="H176" s="64"/>
      <c r="I176" s="64"/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/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16"/>
      <c r="R177" s="92"/>
      <c r="S177" s="64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61" t="s">
        <v>481</v>
      </c>
      <c r="C178" s="262"/>
      <c r="D178" s="63"/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16"/>
      <c r="R178" s="92"/>
      <c r="S178" s="64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/>
      <c r="AU178" s="11"/>
    </row>
    <row r="179" spans="1:49" s="2" customFormat="1" ht="17.25" customHeight="1" x14ac:dyDescent="0.25">
      <c r="A179" s="29"/>
      <c r="B179" s="201" t="s">
        <v>483</v>
      </c>
      <c r="C179" s="202"/>
      <c r="D179" s="63"/>
      <c r="E179" s="64"/>
      <c r="F179" s="64"/>
      <c r="G179" s="64"/>
      <c r="H179" s="64"/>
      <c r="I179" s="64"/>
      <c r="J179" s="64"/>
      <c r="K179" s="57"/>
      <c r="L179" s="88"/>
      <c r="M179" s="62"/>
      <c r="N179" s="57"/>
      <c r="O179" s="88"/>
      <c r="P179" s="62"/>
      <c r="Q179" s="16"/>
      <c r="R179" s="92"/>
      <c r="S179" s="64"/>
      <c r="T179" s="47"/>
      <c r="U179" s="39"/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T179" s="10"/>
      <c r="AU179" s="11"/>
    </row>
    <row r="180" spans="1:49" s="4" customFormat="1" ht="17.25" customHeight="1" thickBot="1" x14ac:dyDescent="0.3">
      <c r="A180" s="24"/>
      <c r="B180" s="246"/>
      <c r="C180" s="246"/>
      <c r="D180" s="81"/>
      <c r="E180" s="81"/>
      <c r="F180" s="81"/>
      <c r="G180" s="81"/>
      <c r="H180" s="81"/>
      <c r="I180" s="81"/>
      <c r="J180" s="81"/>
      <c r="K180" s="59"/>
      <c r="L180" s="90"/>
      <c r="M180" s="136"/>
      <c r="N180" s="59"/>
      <c r="O180" s="90"/>
      <c r="P180" s="136"/>
      <c r="Q180" s="59"/>
      <c r="R180" s="90"/>
      <c r="S180" s="136"/>
      <c r="T180" s="39"/>
      <c r="U180" s="39"/>
      <c r="V180" s="39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22"/>
      <c r="AR180" s="43"/>
      <c r="AS180" s="12" t="e">
        <f>#REF!</f>
        <v>#REF!</v>
      </c>
      <c r="AW180" s="2"/>
    </row>
    <row r="181" spans="1:49" s="2" customFormat="1" ht="17.25" customHeight="1" x14ac:dyDescent="0.25">
      <c r="A181" s="29"/>
      <c r="B181" s="261" t="s">
        <v>482</v>
      </c>
      <c r="C181" s="262"/>
      <c r="D181" s="63"/>
      <c r="E181" s="64"/>
      <c r="F181" s="64"/>
      <c r="G181" s="64"/>
      <c r="H181" s="64"/>
      <c r="I181" s="64"/>
      <c r="J181" s="64"/>
      <c r="K181" s="57"/>
      <c r="L181" s="88"/>
      <c r="M181" s="62"/>
      <c r="N181" s="57"/>
      <c r="O181" s="88"/>
      <c r="P181" s="62"/>
      <c r="Q181" s="16"/>
      <c r="R181" s="92"/>
      <c r="S181" s="64"/>
      <c r="T181" s="47"/>
      <c r="U181" s="39"/>
      <c r="V181" s="39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22"/>
      <c r="AT181" s="10"/>
      <c r="AU181" s="11"/>
    </row>
    <row r="182" spans="1:49" s="4" customFormat="1" ht="17.25" customHeight="1" x14ac:dyDescent="0.25">
      <c r="A182" s="23"/>
      <c r="B182" s="212" t="s">
        <v>94</v>
      </c>
      <c r="C182" s="212"/>
      <c r="D182" s="66"/>
      <c r="E182" s="66"/>
      <c r="F182" s="117"/>
      <c r="G182" s="117"/>
      <c r="H182" s="66"/>
      <c r="I182" s="66"/>
      <c r="J182" s="66"/>
      <c r="K182" s="58"/>
      <c r="L182" s="89"/>
      <c r="M182" s="73"/>
      <c r="N182" s="58"/>
      <c r="O182" s="89"/>
      <c r="P182" s="73"/>
      <c r="Q182" s="58"/>
      <c r="R182" s="89"/>
      <c r="S182" s="73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95</v>
      </c>
      <c r="C183" s="203"/>
      <c r="D183" s="64"/>
      <c r="E183" s="64"/>
      <c r="F183" s="117"/>
      <c r="G183" s="117"/>
      <c r="H183" s="64"/>
      <c r="I183" s="64"/>
      <c r="J183" s="64"/>
      <c r="K183" s="57"/>
      <c r="L183" s="88"/>
      <c r="M183" s="62"/>
      <c r="N183" s="57"/>
      <c r="O183" s="88"/>
      <c r="P183" s="62"/>
      <c r="Q183" s="58"/>
      <c r="R183" s="89"/>
      <c r="S183" s="73"/>
      <c r="T183" s="39"/>
      <c r="U183" s="39"/>
      <c r="V183" s="8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35"/>
      <c r="AS183" s="12" t="e">
        <f>#REF!</f>
        <v>#REF!</v>
      </c>
    </row>
    <row r="184" spans="1:49" s="4" customFormat="1" ht="17.25" customHeight="1" x14ac:dyDescent="0.25">
      <c r="A184" s="23"/>
      <c r="B184" s="201" t="s">
        <v>479</v>
      </c>
      <c r="C184" s="203"/>
      <c r="D184" s="64"/>
      <c r="E184" s="64"/>
      <c r="F184" s="117"/>
      <c r="G184" s="117"/>
      <c r="H184" s="64"/>
      <c r="I184" s="64"/>
      <c r="J184" s="64"/>
      <c r="K184" s="57"/>
      <c r="L184" s="88"/>
      <c r="M184" s="62"/>
      <c r="N184" s="57"/>
      <c r="O184" s="88"/>
      <c r="P184" s="62"/>
      <c r="Q184" s="57"/>
      <c r="R184" s="88"/>
      <c r="S184" s="62"/>
      <c r="T184" s="39"/>
      <c r="U184" s="39"/>
      <c r="V184" s="8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35"/>
      <c r="AS184" s="12" t="e">
        <f>#REF!</f>
        <v>#REF!</v>
      </c>
    </row>
    <row r="185" spans="1:49" s="4" customFormat="1" ht="17.25" customHeight="1" x14ac:dyDescent="0.25">
      <c r="A185" s="23"/>
      <c r="B185" s="201" t="s">
        <v>97</v>
      </c>
      <c r="C185" s="203"/>
      <c r="D185" s="64"/>
      <c r="E185" s="64"/>
      <c r="F185" s="64"/>
      <c r="G185" s="64"/>
      <c r="H185" s="64"/>
      <c r="I185" s="64"/>
      <c r="J185" s="64"/>
      <c r="K185" s="57"/>
      <c r="L185" s="88"/>
      <c r="M185" s="62"/>
      <c r="N185" s="57"/>
      <c r="O185" s="88"/>
      <c r="P185" s="62"/>
      <c r="Q185" s="57"/>
      <c r="R185" s="88"/>
      <c r="S185" s="62"/>
      <c r="T185" s="39"/>
      <c r="U185" s="39"/>
      <c r="V185" s="39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22"/>
      <c r="AR185" s="43"/>
      <c r="AS185" s="12" t="e">
        <f>#REF!</f>
        <v>#REF!</v>
      </c>
      <c r="AW185" s="2"/>
    </row>
    <row r="186" spans="1:49" s="4" customFormat="1" ht="17.25" customHeight="1" x14ac:dyDescent="0.25">
      <c r="A186" s="23"/>
      <c r="B186" s="201" t="s">
        <v>100</v>
      </c>
      <c r="C186" s="202"/>
      <c r="D186" s="64"/>
      <c r="E186" s="64"/>
      <c r="F186" s="64"/>
      <c r="G186" s="64"/>
      <c r="H186" s="64"/>
      <c r="I186" s="64"/>
      <c r="J186" s="64"/>
      <c r="K186" s="57"/>
      <c r="L186" s="88"/>
      <c r="M186" s="62"/>
      <c r="N186" s="57"/>
      <c r="O186" s="88"/>
      <c r="P186" s="62"/>
      <c r="Q186" s="57"/>
      <c r="R186" s="88"/>
      <c r="S186" s="62"/>
      <c r="T186" s="39"/>
      <c r="U186" s="39"/>
      <c r="V186" s="39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22"/>
      <c r="AR186" s="43"/>
      <c r="AS186" s="12" t="e">
        <f>#REF!</f>
        <v>#REF!</v>
      </c>
      <c r="AW186" s="2"/>
    </row>
    <row r="187" spans="1:49" s="2" customFormat="1" ht="17.25" customHeight="1" x14ac:dyDescent="0.2">
      <c r="A187" s="24"/>
      <c r="B187" s="201"/>
      <c r="C187" s="204"/>
      <c r="D187" s="63"/>
      <c r="E187" s="64"/>
      <c r="F187" s="64"/>
      <c r="G187" s="64"/>
      <c r="H187" s="64"/>
      <c r="I187" s="64"/>
      <c r="J187" s="64"/>
      <c r="K187" s="16"/>
      <c r="L187" s="16"/>
      <c r="M187" s="64"/>
      <c r="N187" s="16"/>
      <c r="O187" s="16"/>
      <c r="P187" s="64"/>
      <c r="Q187" s="16"/>
      <c r="R187" s="16"/>
      <c r="S187" s="64"/>
      <c r="T187" s="46"/>
      <c r="U187" s="46"/>
      <c r="V187" s="39"/>
      <c r="W187" s="16"/>
      <c r="X187" s="16"/>
      <c r="Y187" s="16"/>
      <c r="Z187" s="16"/>
      <c r="AA187" s="16"/>
      <c r="AB187" s="19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43"/>
      <c r="AT187" s="10"/>
      <c r="AU187" s="11"/>
    </row>
    <row r="188" spans="1:49" s="2" customFormat="1" ht="17.25" customHeight="1" thickBot="1" x14ac:dyDescent="0.3">
      <c r="A188" s="56"/>
      <c r="B188" s="101" t="s">
        <v>102</v>
      </c>
      <c r="C188" s="102">
        <f>D189+E189+F189+G189+H189+I189+J189+M189+P189</f>
        <v>117279.92954000011</v>
      </c>
      <c r="D188" s="84"/>
      <c r="E188" s="85"/>
      <c r="F188" s="85"/>
      <c r="G188" s="85"/>
      <c r="H188" s="85"/>
      <c r="I188" s="85"/>
      <c r="J188" s="85"/>
      <c r="K188" s="28"/>
      <c r="L188" s="28"/>
      <c r="M188" s="85"/>
      <c r="N188" s="28"/>
      <c r="O188" s="28"/>
      <c r="P188" s="85"/>
      <c r="Q188" s="28"/>
      <c r="R188" s="28"/>
      <c r="S188" s="85"/>
      <c r="T188" s="48"/>
      <c r="U188" s="48"/>
      <c r="V188" s="51"/>
      <c r="W188" s="28"/>
      <c r="X188" s="28"/>
      <c r="Y188" s="28"/>
      <c r="Z188" s="28"/>
      <c r="AA188" s="28"/>
      <c r="AB188" s="36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42">
        <f>SUM($T172:AQ188)</f>
        <v>-487087.82890000002</v>
      </c>
      <c r="AT188" s="10"/>
      <c r="AU188" s="11"/>
      <c r="AV188" s="2" t="s">
        <v>5</v>
      </c>
    </row>
    <row r="189" spans="1:49" s="2" customFormat="1" ht="17.25" customHeight="1" thickTop="1" thickBot="1" x14ac:dyDescent="0.3">
      <c r="A189" s="103"/>
      <c r="B189" s="104" t="s">
        <v>103</v>
      </c>
      <c r="C189" s="105">
        <f>AR189</f>
        <v>-368502.60935999989</v>
      </c>
      <c r="D189" s="106">
        <f t="shared" ref="D189:K189" si="20">SUM(D172:D188)</f>
        <v>12717.607040000057</v>
      </c>
      <c r="E189" s="107">
        <f t="shared" si="20"/>
        <v>-43287.790000000008</v>
      </c>
      <c r="F189" s="107">
        <f t="shared" si="20"/>
        <v>0.65000000000145519</v>
      </c>
      <c r="G189" s="107">
        <f t="shared" si="20"/>
        <v>0</v>
      </c>
      <c r="H189" s="107">
        <f t="shared" si="20"/>
        <v>65082.292500000054</v>
      </c>
      <c r="I189" s="107">
        <f t="shared" si="20"/>
        <v>10004.65</v>
      </c>
      <c r="J189" s="107">
        <f t="shared" si="20"/>
        <v>0</v>
      </c>
      <c r="K189" s="108">
        <f t="shared" si="20"/>
        <v>12170</v>
      </c>
      <c r="L189" s="109">
        <f>M189/K189</f>
        <v>5.1465924404272805</v>
      </c>
      <c r="M189" s="107">
        <f>ROUND(SUM(M172:M188),2)</f>
        <v>62634.03</v>
      </c>
      <c r="N189" s="108">
        <f>SUM(N172:N188)</f>
        <v>2783</v>
      </c>
      <c r="O189" s="109">
        <f>P189/N189</f>
        <v>3.6394143011139057</v>
      </c>
      <c r="P189" s="107">
        <f>ROUND(SUM(P172:P188),2)</f>
        <v>10128.49</v>
      </c>
      <c r="Q189" s="108">
        <f>SUM(Q172:Q188)</f>
        <v>214</v>
      </c>
      <c r="R189" s="109">
        <f>S189/Q189</f>
        <v>6.099485981308411</v>
      </c>
      <c r="S189" s="107">
        <f>ROUND(SUM(S172:S188),2)</f>
        <v>1305.29</v>
      </c>
      <c r="T189" s="110">
        <f t="shared" ref="T189:AQ189" si="21">SUM(T172:T188)</f>
        <v>-537317.12890000001</v>
      </c>
      <c r="U189" s="107">
        <f t="shared" si="21"/>
        <v>50229.299999999996</v>
      </c>
      <c r="V189" s="107">
        <f t="shared" si="21"/>
        <v>0</v>
      </c>
      <c r="W189" s="107">
        <f t="shared" si="21"/>
        <v>0</v>
      </c>
      <c r="X189" s="107">
        <f t="shared" si="21"/>
        <v>0</v>
      </c>
      <c r="Y189" s="107">
        <f t="shared" si="21"/>
        <v>0</v>
      </c>
      <c r="Z189" s="107">
        <f t="shared" si="21"/>
        <v>0</v>
      </c>
      <c r="AA189" s="107">
        <f t="shared" si="21"/>
        <v>0</v>
      </c>
      <c r="AB189" s="107">
        <f t="shared" si="21"/>
        <v>0</v>
      </c>
      <c r="AC189" s="107">
        <f t="shared" si="21"/>
        <v>0</v>
      </c>
      <c r="AD189" s="107">
        <f t="shared" si="21"/>
        <v>0</v>
      </c>
      <c r="AE189" s="107">
        <f t="shared" si="21"/>
        <v>0</v>
      </c>
      <c r="AF189" s="107">
        <f t="shared" si="21"/>
        <v>0</v>
      </c>
      <c r="AG189" s="107">
        <f t="shared" si="21"/>
        <v>0</v>
      </c>
      <c r="AH189" s="107">
        <f t="shared" si="21"/>
        <v>0</v>
      </c>
      <c r="AI189" s="107">
        <f t="shared" si="21"/>
        <v>0</v>
      </c>
      <c r="AJ189" s="107">
        <f t="shared" si="21"/>
        <v>0</v>
      </c>
      <c r="AK189" s="107">
        <f t="shared" si="21"/>
        <v>0</v>
      </c>
      <c r="AL189" s="107">
        <f t="shared" si="21"/>
        <v>0</v>
      </c>
      <c r="AM189" s="107">
        <f t="shared" si="21"/>
        <v>0</v>
      </c>
      <c r="AN189" s="107">
        <f t="shared" si="21"/>
        <v>0</v>
      </c>
      <c r="AO189" s="107">
        <f t="shared" si="21"/>
        <v>0</v>
      </c>
      <c r="AP189" s="107">
        <f t="shared" si="21"/>
        <v>0</v>
      </c>
      <c r="AQ189" s="107">
        <f t="shared" si="21"/>
        <v>0</v>
      </c>
      <c r="AR189" s="111">
        <f>D189+E189+F189+G189+H189+I189+J189+M189+P189+S189+SUM(T189:AQ189)</f>
        <v>-368502.60935999989</v>
      </c>
      <c r="AS189" s="4"/>
      <c r="AT189" s="5"/>
      <c r="AU189" s="5"/>
      <c r="AV189" s="2" t="s">
        <v>484</v>
      </c>
    </row>
    <row r="190" spans="1:49" s="2" customFormat="1" ht="17.25" customHeight="1" thickTop="1" x14ac:dyDescent="0.25">
      <c r="A190" s="29">
        <f>A173+1</f>
        <v>46368</v>
      </c>
      <c r="B190" s="261" t="s">
        <v>480</v>
      </c>
      <c r="C190" s="262"/>
      <c r="D190" s="63"/>
      <c r="E190" s="64"/>
      <c r="F190" s="64"/>
      <c r="G190" s="64"/>
      <c r="H190" s="64"/>
      <c r="I190" s="64"/>
      <c r="J190" s="64"/>
      <c r="K190" s="57"/>
      <c r="L190" s="88"/>
      <c r="M190" s="62"/>
      <c r="N190" s="57"/>
      <c r="O190" s="88"/>
      <c r="P190" s="62"/>
      <c r="Q190" s="16"/>
      <c r="R190" s="92"/>
      <c r="S190" s="64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64</v>
      </c>
      <c r="C191" s="202"/>
      <c r="D191" s="65"/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 t="s">
        <v>4</v>
      </c>
      <c r="AU191" s="11" t="e">
        <v>#REF!</v>
      </c>
    </row>
    <row r="192" spans="1:49" s="2" customFormat="1" ht="17.25" customHeight="1" x14ac:dyDescent="0.25">
      <c r="A192" s="29"/>
      <c r="B192" s="201" t="s">
        <v>96</v>
      </c>
      <c r="C192" s="202"/>
      <c r="D192" s="65"/>
      <c r="E192" s="64"/>
      <c r="F192" s="64"/>
      <c r="G192" s="64"/>
      <c r="H192" s="64"/>
      <c r="I192" s="64"/>
      <c r="J192" s="64"/>
      <c r="K192" s="57"/>
      <c r="L192" s="88"/>
      <c r="M192" s="62"/>
      <c r="N192" s="57"/>
      <c r="O192" s="88"/>
      <c r="P192" s="62"/>
      <c r="Q192" s="57"/>
      <c r="R192" s="88"/>
      <c r="S192" s="62"/>
      <c r="T192" s="47"/>
      <c r="U192" s="39"/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T192" s="10" t="s">
        <v>4</v>
      </c>
      <c r="AU192" s="11" t="e">
        <v>#REF!</v>
      </c>
    </row>
    <row r="193" spans="1:49" s="2" customFormat="1" ht="17.25" customHeight="1" x14ac:dyDescent="0.25">
      <c r="A193" s="29"/>
      <c r="B193" s="201" t="s">
        <v>327</v>
      </c>
      <c r="C193" s="202"/>
      <c r="D193" s="65"/>
      <c r="E193" s="64"/>
      <c r="F193" s="64"/>
      <c r="G193" s="64"/>
      <c r="H193" s="64"/>
      <c r="I193" s="64"/>
      <c r="J193" s="64"/>
      <c r="K193" s="57"/>
      <c r="L193" s="88"/>
      <c r="M193" s="62"/>
      <c r="N193" s="57"/>
      <c r="O193" s="88"/>
      <c r="P193" s="62"/>
      <c r="Q193" s="57"/>
      <c r="R193" s="88"/>
      <c r="S193" s="62"/>
      <c r="T193" s="47"/>
      <c r="U193" s="39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x14ac:dyDescent="0.25">
      <c r="A194" s="29"/>
      <c r="B194" s="201" t="s">
        <v>328</v>
      </c>
      <c r="C194" s="202"/>
      <c r="D194" s="63"/>
      <c r="E194" s="64"/>
      <c r="F194" s="64"/>
      <c r="G194" s="64"/>
      <c r="H194" s="64"/>
      <c r="I194" s="64"/>
      <c r="J194" s="64"/>
      <c r="K194" s="57"/>
      <c r="L194" s="88"/>
      <c r="M194" s="62"/>
      <c r="N194" s="57"/>
      <c r="O194" s="88"/>
      <c r="P194" s="62"/>
      <c r="Q194" s="16"/>
      <c r="R194" s="92"/>
      <c r="S194" s="64"/>
      <c r="T194" s="47"/>
      <c r="U194" s="39"/>
      <c r="V194" s="39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22"/>
      <c r="AT194" s="10"/>
      <c r="AU194" s="11"/>
    </row>
    <row r="195" spans="1:49" s="2" customFormat="1" ht="17.25" customHeight="1" x14ac:dyDescent="0.25">
      <c r="A195" s="29"/>
      <c r="B195" s="261" t="s">
        <v>481</v>
      </c>
      <c r="C195" s="262"/>
      <c r="D195" s="63"/>
      <c r="E195" s="64"/>
      <c r="F195" s="64"/>
      <c r="G195" s="64"/>
      <c r="H195" s="64"/>
      <c r="I195" s="64"/>
      <c r="J195" s="64"/>
      <c r="K195" s="57"/>
      <c r="L195" s="88"/>
      <c r="M195" s="62"/>
      <c r="N195" s="57"/>
      <c r="O195" s="88"/>
      <c r="P195" s="62"/>
      <c r="Q195" s="16"/>
      <c r="R195" s="92"/>
      <c r="S195" s="64"/>
      <c r="T195" s="47"/>
      <c r="U195" s="39"/>
      <c r="V195" s="39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22"/>
      <c r="AT195" s="10"/>
      <c r="AU195" s="11"/>
    </row>
    <row r="196" spans="1:49" s="2" customFormat="1" ht="17.25" customHeight="1" x14ac:dyDescent="0.25">
      <c r="A196" s="29"/>
      <c r="B196" s="201" t="s">
        <v>483</v>
      </c>
      <c r="C196" s="202"/>
      <c r="D196" s="63"/>
      <c r="E196" s="64"/>
      <c r="F196" s="64"/>
      <c r="G196" s="64"/>
      <c r="H196" s="64"/>
      <c r="I196" s="64"/>
      <c r="J196" s="64"/>
      <c r="K196" s="57"/>
      <c r="L196" s="88"/>
      <c r="M196" s="62"/>
      <c r="N196" s="57"/>
      <c r="O196" s="88"/>
      <c r="P196" s="62"/>
      <c r="Q196" s="16"/>
      <c r="R196" s="92"/>
      <c r="S196" s="64"/>
      <c r="T196" s="47"/>
      <c r="U196" s="39"/>
      <c r="V196" s="39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22"/>
      <c r="AT196" s="10"/>
      <c r="AU196" s="11"/>
    </row>
    <row r="197" spans="1:49" s="4" customFormat="1" ht="17.25" customHeight="1" thickBot="1" x14ac:dyDescent="0.3">
      <c r="A197" s="24"/>
      <c r="B197" s="246"/>
      <c r="C197" s="246"/>
      <c r="D197" s="81"/>
      <c r="E197" s="81"/>
      <c r="F197" s="81"/>
      <c r="G197" s="81"/>
      <c r="H197" s="81"/>
      <c r="I197" s="81"/>
      <c r="J197" s="81"/>
      <c r="K197" s="59"/>
      <c r="L197" s="90"/>
      <c r="M197" s="136"/>
      <c r="N197" s="59"/>
      <c r="O197" s="90"/>
      <c r="P197" s="136"/>
      <c r="Q197" s="59"/>
      <c r="R197" s="90"/>
      <c r="S197" s="136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/>
      <c r="AS197" s="12" t="e">
        <f>#REF!</f>
        <v>#REF!</v>
      </c>
      <c r="AW197" s="2"/>
    </row>
    <row r="198" spans="1:49" s="2" customFormat="1" ht="17.25" customHeight="1" x14ac:dyDescent="0.25">
      <c r="A198" s="29"/>
      <c r="B198" s="261" t="s">
        <v>482</v>
      </c>
      <c r="C198" s="262"/>
      <c r="D198" s="63"/>
      <c r="E198" s="64"/>
      <c r="F198" s="64"/>
      <c r="G198" s="64"/>
      <c r="H198" s="64"/>
      <c r="I198" s="64"/>
      <c r="J198" s="64"/>
      <c r="K198" s="57"/>
      <c r="L198" s="88"/>
      <c r="M198" s="62"/>
      <c r="N198" s="57"/>
      <c r="O198" s="88"/>
      <c r="P198" s="62"/>
      <c r="Q198" s="16"/>
      <c r="R198" s="92"/>
      <c r="S198" s="64"/>
      <c r="T198" s="47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22"/>
      <c r="AT198" s="10"/>
      <c r="AU198" s="11"/>
    </row>
    <row r="199" spans="1:49" s="4" customFormat="1" ht="17.25" customHeight="1" x14ac:dyDescent="0.25">
      <c r="A199" s="23"/>
      <c r="B199" s="212" t="s">
        <v>94</v>
      </c>
      <c r="C199" s="212"/>
      <c r="D199" s="66"/>
      <c r="E199" s="66"/>
      <c r="F199" s="117"/>
      <c r="G199" s="117"/>
      <c r="H199" s="66"/>
      <c r="I199" s="66"/>
      <c r="J199" s="66"/>
      <c r="K199" s="58"/>
      <c r="L199" s="89"/>
      <c r="M199" s="73"/>
      <c r="N199" s="58"/>
      <c r="O199" s="89"/>
      <c r="P199" s="73"/>
      <c r="Q199" s="58"/>
      <c r="R199" s="89"/>
      <c r="S199" s="73"/>
      <c r="T199" s="39"/>
      <c r="U199" s="39"/>
      <c r="V199" s="8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35"/>
      <c r="AS199" s="12" t="e">
        <f>#REF!</f>
        <v>#REF!</v>
      </c>
    </row>
    <row r="200" spans="1:49" s="4" customFormat="1" ht="17.25" customHeight="1" x14ac:dyDescent="0.25">
      <c r="A200" s="23"/>
      <c r="B200" s="201" t="s">
        <v>95</v>
      </c>
      <c r="C200" s="203"/>
      <c r="D200" s="64"/>
      <c r="E200" s="64"/>
      <c r="F200" s="117"/>
      <c r="G200" s="117"/>
      <c r="H200" s="64"/>
      <c r="I200" s="64"/>
      <c r="J200" s="64"/>
      <c r="K200" s="57"/>
      <c r="L200" s="88"/>
      <c r="M200" s="62"/>
      <c r="N200" s="57"/>
      <c r="O200" s="88"/>
      <c r="P200" s="62"/>
      <c r="Q200" s="58"/>
      <c r="R200" s="89"/>
      <c r="S200" s="73"/>
      <c r="T200" s="39"/>
      <c r="U200" s="39"/>
      <c r="V200" s="8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35"/>
      <c r="AS200" s="12" t="e">
        <f>#REF!</f>
        <v>#REF!</v>
      </c>
    </row>
    <row r="201" spans="1:49" s="4" customFormat="1" ht="17.25" customHeight="1" x14ac:dyDescent="0.25">
      <c r="A201" s="23"/>
      <c r="B201" s="201" t="s">
        <v>479</v>
      </c>
      <c r="C201" s="203"/>
      <c r="D201" s="64"/>
      <c r="E201" s="64"/>
      <c r="F201" s="117"/>
      <c r="G201" s="117"/>
      <c r="H201" s="64"/>
      <c r="I201" s="64"/>
      <c r="J201" s="64"/>
      <c r="K201" s="57"/>
      <c r="L201" s="88"/>
      <c r="M201" s="62"/>
      <c r="N201" s="57"/>
      <c r="O201" s="88"/>
      <c r="P201" s="62"/>
      <c r="Q201" s="57"/>
      <c r="R201" s="88"/>
      <c r="S201" s="62"/>
      <c r="T201" s="39"/>
      <c r="U201" s="39"/>
      <c r="V201" s="8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35"/>
      <c r="AS201" s="12" t="e">
        <f>#REF!</f>
        <v>#REF!</v>
      </c>
    </row>
    <row r="202" spans="1:49" s="4" customFormat="1" ht="17.25" customHeight="1" x14ac:dyDescent="0.25">
      <c r="A202" s="23"/>
      <c r="B202" s="201" t="s">
        <v>97</v>
      </c>
      <c r="C202" s="203"/>
      <c r="D202" s="64"/>
      <c r="E202" s="64"/>
      <c r="F202" s="64"/>
      <c r="G202" s="64"/>
      <c r="H202" s="64"/>
      <c r="I202" s="64"/>
      <c r="J202" s="64"/>
      <c r="K202" s="57"/>
      <c r="L202" s="88"/>
      <c r="M202" s="62"/>
      <c r="N202" s="57"/>
      <c r="O202" s="88"/>
      <c r="P202" s="62"/>
      <c r="Q202" s="57"/>
      <c r="R202" s="88"/>
      <c r="S202" s="62"/>
      <c r="T202" s="39"/>
      <c r="U202" s="39"/>
      <c r="V202" s="39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22"/>
      <c r="AR202" s="43"/>
      <c r="AS202" s="12" t="e">
        <f>#REF!</f>
        <v>#REF!</v>
      </c>
      <c r="AW202" s="2"/>
    </row>
    <row r="203" spans="1:49" s="4" customFormat="1" ht="17.25" customHeight="1" x14ac:dyDescent="0.25">
      <c r="A203" s="23"/>
      <c r="B203" s="201" t="s">
        <v>100</v>
      </c>
      <c r="C203" s="202"/>
      <c r="D203" s="64"/>
      <c r="E203" s="64"/>
      <c r="F203" s="64"/>
      <c r="G203" s="64"/>
      <c r="H203" s="64"/>
      <c r="I203" s="64"/>
      <c r="J203" s="64"/>
      <c r="K203" s="57"/>
      <c r="L203" s="88"/>
      <c r="M203" s="62"/>
      <c r="N203" s="57"/>
      <c r="O203" s="88"/>
      <c r="P203" s="62"/>
      <c r="Q203" s="57"/>
      <c r="R203" s="88"/>
      <c r="S203" s="62"/>
      <c r="T203" s="39"/>
      <c r="U203" s="39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22"/>
      <c r="AR203" s="43"/>
      <c r="AS203" s="12" t="e">
        <f>#REF!</f>
        <v>#REF!</v>
      </c>
      <c r="AW203" s="2"/>
    </row>
    <row r="204" spans="1:49" s="2" customFormat="1" ht="17.25" customHeight="1" x14ac:dyDescent="0.2">
      <c r="A204" s="24"/>
      <c r="B204" s="201"/>
      <c r="C204" s="204"/>
      <c r="D204" s="63"/>
      <c r="E204" s="64"/>
      <c r="F204" s="64"/>
      <c r="G204" s="64"/>
      <c r="H204" s="64"/>
      <c r="I204" s="64"/>
      <c r="J204" s="64"/>
      <c r="K204" s="16"/>
      <c r="L204" s="16"/>
      <c r="M204" s="64"/>
      <c r="N204" s="16"/>
      <c r="O204" s="16"/>
      <c r="P204" s="64"/>
      <c r="Q204" s="16"/>
      <c r="R204" s="16"/>
      <c r="S204" s="64"/>
      <c r="T204" s="46"/>
      <c r="U204" s="46"/>
      <c r="V204" s="39"/>
      <c r="W204" s="16"/>
      <c r="X204" s="16"/>
      <c r="Y204" s="16"/>
      <c r="Z204" s="16"/>
      <c r="AA204" s="16"/>
      <c r="AB204" s="19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43"/>
      <c r="AT204" s="10"/>
      <c r="AU204" s="11"/>
    </row>
    <row r="205" spans="1:49" s="2" customFormat="1" ht="17.25" customHeight="1" thickBot="1" x14ac:dyDescent="0.3">
      <c r="A205" s="56"/>
      <c r="B205" s="101" t="s">
        <v>102</v>
      </c>
      <c r="C205" s="102">
        <f>D206+E206+F206+G206+H206+I206+J206+M206+P206</f>
        <v>117279.92954000011</v>
      </c>
      <c r="D205" s="84"/>
      <c r="E205" s="85"/>
      <c r="F205" s="85"/>
      <c r="G205" s="85"/>
      <c r="H205" s="85"/>
      <c r="I205" s="85"/>
      <c r="J205" s="85"/>
      <c r="K205" s="28"/>
      <c r="L205" s="28"/>
      <c r="M205" s="85"/>
      <c r="N205" s="28"/>
      <c r="O205" s="28"/>
      <c r="P205" s="85"/>
      <c r="Q205" s="28"/>
      <c r="R205" s="28"/>
      <c r="S205" s="85"/>
      <c r="T205" s="48"/>
      <c r="U205" s="48"/>
      <c r="V205" s="51"/>
      <c r="W205" s="28"/>
      <c r="X205" s="28"/>
      <c r="Y205" s="28"/>
      <c r="Z205" s="28"/>
      <c r="AA205" s="28"/>
      <c r="AB205" s="36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42">
        <f>SUM($T189:AQ205)</f>
        <v>-487087.82890000002</v>
      </c>
      <c r="AT205" s="10"/>
      <c r="AU205" s="11"/>
      <c r="AV205" s="2" t="s">
        <v>5</v>
      </c>
    </row>
    <row r="206" spans="1:49" s="2" customFormat="1" ht="17.25" customHeight="1" thickTop="1" thickBot="1" x14ac:dyDescent="0.3">
      <c r="A206" s="103"/>
      <c r="B206" s="104" t="s">
        <v>103</v>
      </c>
      <c r="C206" s="105">
        <f>AR206</f>
        <v>-368502.60935999989</v>
      </c>
      <c r="D206" s="106">
        <f t="shared" ref="D206:K206" si="22">SUM(D189:D205)</f>
        <v>12717.607040000057</v>
      </c>
      <c r="E206" s="107">
        <f t="shared" si="22"/>
        <v>-43287.790000000008</v>
      </c>
      <c r="F206" s="107">
        <f t="shared" si="22"/>
        <v>0.65000000000145519</v>
      </c>
      <c r="G206" s="107">
        <f t="shared" si="22"/>
        <v>0</v>
      </c>
      <c r="H206" s="107">
        <f t="shared" si="22"/>
        <v>65082.292500000054</v>
      </c>
      <c r="I206" s="107">
        <f t="shared" si="22"/>
        <v>10004.65</v>
      </c>
      <c r="J206" s="107">
        <f t="shared" si="22"/>
        <v>0</v>
      </c>
      <c r="K206" s="108">
        <f t="shared" si="22"/>
        <v>12170</v>
      </c>
      <c r="L206" s="109">
        <f>M206/K206</f>
        <v>5.1465924404272805</v>
      </c>
      <c r="M206" s="107">
        <f>ROUND(SUM(M189:M205),2)</f>
        <v>62634.03</v>
      </c>
      <c r="N206" s="108">
        <f>SUM(N189:N205)</f>
        <v>2783</v>
      </c>
      <c r="O206" s="109">
        <f>P206/N206</f>
        <v>3.6394143011139057</v>
      </c>
      <c r="P206" s="107">
        <f>ROUND(SUM(P189:P205),2)</f>
        <v>10128.49</v>
      </c>
      <c r="Q206" s="108">
        <f>SUM(Q189:Q205)</f>
        <v>214</v>
      </c>
      <c r="R206" s="109">
        <f>S206/Q206</f>
        <v>6.099485981308411</v>
      </c>
      <c r="S206" s="107">
        <f>ROUND(SUM(S189:S205),2)</f>
        <v>1305.29</v>
      </c>
      <c r="T206" s="110">
        <f t="shared" ref="T206:AQ206" si="23">SUM(T189:T205)</f>
        <v>-537317.12890000001</v>
      </c>
      <c r="U206" s="107">
        <f t="shared" si="23"/>
        <v>50229.299999999996</v>
      </c>
      <c r="V206" s="107">
        <f t="shared" si="23"/>
        <v>0</v>
      </c>
      <c r="W206" s="107">
        <f t="shared" si="23"/>
        <v>0</v>
      </c>
      <c r="X206" s="107">
        <f t="shared" si="23"/>
        <v>0</v>
      </c>
      <c r="Y206" s="107">
        <f t="shared" si="23"/>
        <v>0</v>
      </c>
      <c r="Z206" s="107">
        <f t="shared" si="23"/>
        <v>0</v>
      </c>
      <c r="AA206" s="107">
        <f t="shared" si="23"/>
        <v>0</v>
      </c>
      <c r="AB206" s="107">
        <f t="shared" si="23"/>
        <v>0</v>
      </c>
      <c r="AC206" s="107">
        <f t="shared" si="23"/>
        <v>0</v>
      </c>
      <c r="AD206" s="107">
        <f t="shared" si="23"/>
        <v>0</v>
      </c>
      <c r="AE206" s="107">
        <f t="shared" si="23"/>
        <v>0</v>
      </c>
      <c r="AF206" s="107">
        <f t="shared" si="23"/>
        <v>0</v>
      </c>
      <c r="AG206" s="107">
        <f t="shared" si="23"/>
        <v>0</v>
      </c>
      <c r="AH206" s="107">
        <f t="shared" si="23"/>
        <v>0</v>
      </c>
      <c r="AI206" s="107">
        <f t="shared" si="23"/>
        <v>0</v>
      </c>
      <c r="AJ206" s="107">
        <f t="shared" si="23"/>
        <v>0</v>
      </c>
      <c r="AK206" s="107">
        <f t="shared" si="23"/>
        <v>0</v>
      </c>
      <c r="AL206" s="107">
        <f t="shared" si="23"/>
        <v>0</v>
      </c>
      <c r="AM206" s="107">
        <f t="shared" si="23"/>
        <v>0</v>
      </c>
      <c r="AN206" s="107">
        <f t="shared" si="23"/>
        <v>0</v>
      </c>
      <c r="AO206" s="107">
        <f t="shared" si="23"/>
        <v>0</v>
      </c>
      <c r="AP206" s="107">
        <f t="shared" si="23"/>
        <v>0</v>
      </c>
      <c r="AQ206" s="107">
        <f t="shared" si="23"/>
        <v>0</v>
      </c>
      <c r="AR206" s="111">
        <f>D206+E206+F206+G206+H206+I206+J206+M206+P206+S206+SUM(T206:AQ206)</f>
        <v>-368502.60935999989</v>
      </c>
      <c r="AS206" s="4"/>
      <c r="AT206" s="5"/>
      <c r="AU206" s="5"/>
      <c r="AV206" s="2" t="s">
        <v>484</v>
      </c>
    </row>
    <row r="207" spans="1:49" s="2" customFormat="1" ht="17.25" customHeight="1" thickTop="1" x14ac:dyDescent="0.25">
      <c r="A207" s="29">
        <f>A190+1</f>
        <v>46369</v>
      </c>
      <c r="B207" s="261" t="s">
        <v>480</v>
      </c>
      <c r="C207" s="262"/>
      <c r="D207" s="63"/>
      <c r="E207" s="64"/>
      <c r="F207" s="64"/>
      <c r="G207" s="64"/>
      <c r="H207" s="64"/>
      <c r="I207" s="64"/>
      <c r="J207" s="64"/>
      <c r="K207" s="57"/>
      <c r="L207" s="88"/>
      <c r="M207" s="62"/>
      <c r="N207" s="57"/>
      <c r="O207" s="88"/>
      <c r="P207" s="62"/>
      <c r="Q207" s="16"/>
      <c r="R207" s="92"/>
      <c r="S207" s="64"/>
      <c r="T207" s="47"/>
      <c r="U207" s="39"/>
      <c r="V207" s="39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22"/>
      <c r="AT207" s="10"/>
      <c r="AU207" s="11"/>
    </row>
    <row r="208" spans="1:49" s="2" customFormat="1" ht="17.25" customHeight="1" x14ac:dyDescent="0.25">
      <c r="A208" s="29"/>
      <c r="B208" s="201" t="s">
        <v>64</v>
      </c>
      <c r="C208" s="202"/>
      <c r="D208" s="65"/>
      <c r="E208" s="64"/>
      <c r="F208" s="64"/>
      <c r="G208" s="64"/>
      <c r="H208" s="64"/>
      <c r="I208" s="64"/>
      <c r="J208" s="64"/>
      <c r="K208" s="57"/>
      <c r="L208" s="88"/>
      <c r="M208" s="62"/>
      <c r="N208" s="57"/>
      <c r="O208" s="88"/>
      <c r="P208" s="62"/>
      <c r="Q208" s="57"/>
      <c r="R208" s="88"/>
      <c r="S208" s="62"/>
      <c r="T208" s="47"/>
      <c r="U208" s="39"/>
      <c r="V208" s="39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22"/>
      <c r="AT208" s="10" t="s">
        <v>4</v>
      </c>
      <c r="AU208" s="11" t="e">
        <v>#REF!</v>
      </c>
    </row>
    <row r="209" spans="1:49" s="2" customFormat="1" ht="17.25" customHeight="1" x14ac:dyDescent="0.25">
      <c r="A209" s="29"/>
      <c r="B209" s="201" t="s">
        <v>96</v>
      </c>
      <c r="C209" s="202"/>
      <c r="D209" s="65"/>
      <c r="E209" s="64"/>
      <c r="F209" s="64"/>
      <c r="G209" s="64"/>
      <c r="H209" s="64"/>
      <c r="I209" s="64"/>
      <c r="J209" s="64"/>
      <c r="K209" s="57"/>
      <c r="L209" s="88"/>
      <c r="M209" s="62"/>
      <c r="N209" s="57"/>
      <c r="O209" s="88"/>
      <c r="P209" s="62"/>
      <c r="Q209" s="57"/>
      <c r="R209" s="88"/>
      <c r="S209" s="62"/>
      <c r="T209" s="47"/>
      <c r="U209" s="39"/>
      <c r="V209" s="39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22"/>
      <c r="AT209" s="10" t="s">
        <v>4</v>
      </c>
      <c r="AU209" s="11" t="e">
        <v>#REF!</v>
      </c>
    </row>
    <row r="210" spans="1:49" s="2" customFormat="1" ht="17.25" customHeight="1" x14ac:dyDescent="0.25">
      <c r="A210" s="29"/>
      <c r="B210" s="201" t="s">
        <v>327</v>
      </c>
      <c r="C210" s="202"/>
      <c r="D210" s="65"/>
      <c r="E210" s="64"/>
      <c r="F210" s="64"/>
      <c r="G210" s="64"/>
      <c r="H210" s="64"/>
      <c r="I210" s="64"/>
      <c r="J210" s="64"/>
      <c r="K210" s="57"/>
      <c r="L210" s="88"/>
      <c r="M210" s="62"/>
      <c r="N210" s="57"/>
      <c r="O210" s="88"/>
      <c r="P210" s="62"/>
      <c r="Q210" s="57"/>
      <c r="R210" s="88"/>
      <c r="S210" s="62"/>
      <c r="T210" s="47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22"/>
      <c r="AT210" s="10"/>
      <c r="AU210" s="11"/>
    </row>
    <row r="211" spans="1:49" s="2" customFormat="1" ht="17.25" customHeight="1" x14ac:dyDescent="0.25">
      <c r="A211" s="29"/>
      <c r="B211" s="201" t="s">
        <v>328</v>
      </c>
      <c r="C211" s="202"/>
      <c r="D211" s="63"/>
      <c r="E211" s="64"/>
      <c r="F211" s="64"/>
      <c r="G211" s="64"/>
      <c r="H211" s="64"/>
      <c r="I211" s="64"/>
      <c r="J211" s="64"/>
      <c r="K211" s="57"/>
      <c r="L211" s="88"/>
      <c r="M211" s="62"/>
      <c r="N211" s="57"/>
      <c r="O211" s="88"/>
      <c r="P211" s="62"/>
      <c r="Q211" s="16"/>
      <c r="R211" s="92"/>
      <c r="S211" s="64"/>
      <c r="T211" s="47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22"/>
      <c r="AT211" s="10"/>
      <c r="AU211" s="11"/>
    </row>
    <row r="212" spans="1:49" s="2" customFormat="1" ht="17.25" customHeight="1" x14ac:dyDescent="0.25">
      <c r="A212" s="29"/>
      <c r="B212" s="261" t="s">
        <v>481</v>
      </c>
      <c r="C212" s="262"/>
      <c r="D212" s="63"/>
      <c r="E212" s="64"/>
      <c r="F212" s="64"/>
      <c r="G212" s="64"/>
      <c r="H212" s="64"/>
      <c r="I212" s="64"/>
      <c r="J212" s="64"/>
      <c r="K212" s="57"/>
      <c r="L212" s="88"/>
      <c r="M212" s="62"/>
      <c r="N212" s="57"/>
      <c r="O212" s="88"/>
      <c r="P212" s="62"/>
      <c r="Q212" s="16"/>
      <c r="R212" s="92"/>
      <c r="S212" s="64"/>
      <c r="T212" s="47"/>
      <c r="U212" s="39"/>
      <c r="V212" s="39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22"/>
      <c r="AT212" s="10"/>
      <c r="AU212" s="11"/>
    </row>
    <row r="213" spans="1:49" s="2" customFormat="1" ht="17.25" customHeight="1" x14ac:dyDescent="0.25">
      <c r="A213" s="29"/>
      <c r="B213" s="201" t="s">
        <v>483</v>
      </c>
      <c r="C213" s="202"/>
      <c r="D213" s="63"/>
      <c r="E213" s="64"/>
      <c r="F213" s="64"/>
      <c r="G213" s="64"/>
      <c r="H213" s="64"/>
      <c r="I213" s="64"/>
      <c r="J213" s="64"/>
      <c r="K213" s="57"/>
      <c r="L213" s="88"/>
      <c r="M213" s="62"/>
      <c r="N213" s="57"/>
      <c r="O213" s="88"/>
      <c r="P213" s="62"/>
      <c r="Q213" s="16"/>
      <c r="R213" s="92"/>
      <c r="S213" s="64"/>
      <c r="T213" s="47"/>
      <c r="U213" s="39"/>
      <c r="V213" s="39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22"/>
      <c r="AT213" s="10"/>
      <c r="AU213" s="11"/>
    </row>
    <row r="214" spans="1:49" s="4" customFormat="1" ht="17.25" customHeight="1" thickBot="1" x14ac:dyDescent="0.3">
      <c r="A214" s="24"/>
      <c r="B214" s="246"/>
      <c r="C214" s="246"/>
      <c r="D214" s="81"/>
      <c r="E214" s="81"/>
      <c r="F214" s="81"/>
      <c r="G214" s="81"/>
      <c r="H214" s="81"/>
      <c r="I214" s="81"/>
      <c r="J214" s="81"/>
      <c r="K214" s="59"/>
      <c r="L214" s="90"/>
      <c r="M214" s="136"/>
      <c r="N214" s="59"/>
      <c r="O214" s="90"/>
      <c r="P214" s="136"/>
      <c r="Q214" s="59"/>
      <c r="R214" s="90"/>
      <c r="S214" s="136"/>
      <c r="T214" s="39"/>
      <c r="U214" s="39"/>
      <c r="V214" s="39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22"/>
      <c r="AR214" s="43"/>
      <c r="AS214" s="12" t="e">
        <f>#REF!</f>
        <v>#REF!</v>
      </c>
      <c r="AW214" s="2"/>
    </row>
    <row r="215" spans="1:49" s="2" customFormat="1" ht="17.25" customHeight="1" x14ac:dyDescent="0.25">
      <c r="A215" s="29"/>
      <c r="B215" s="261" t="s">
        <v>482</v>
      </c>
      <c r="C215" s="262"/>
      <c r="D215" s="63"/>
      <c r="E215" s="64"/>
      <c r="F215" s="64"/>
      <c r="G215" s="64"/>
      <c r="H215" s="64"/>
      <c r="I215" s="64"/>
      <c r="J215" s="64"/>
      <c r="K215" s="57"/>
      <c r="L215" s="88"/>
      <c r="M215" s="62"/>
      <c r="N215" s="57"/>
      <c r="O215" s="88"/>
      <c r="P215" s="62"/>
      <c r="Q215" s="16"/>
      <c r="R215" s="92"/>
      <c r="S215" s="64"/>
      <c r="T215" s="47"/>
      <c r="U215" s="39"/>
      <c r="V215" s="39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22"/>
      <c r="AT215" s="10"/>
      <c r="AU215" s="11"/>
    </row>
    <row r="216" spans="1:49" s="4" customFormat="1" ht="17.25" customHeight="1" x14ac:dyDescent="0.25">
      <c r="A216" s="23"/>
      <c r="B216" s="212" t="s">
        <v>94</v>
      </c>
      <c r="C216" s="212"/>
      <c r="D216" s="66"/>
      <c r="E216" s="66"/>
      <c r="F216" s="117"/>
      <c r="G216" s="117"/>
      <c r="H216" s="66"/>
      <c r="I216" s="66"/>
      <c r="J216" s="66"/>
      <c r="K216" s="58"/>
      <c r="L216" s="89"/>
      <c r="M216" s="73"/>
      <c r="N216" s="58"/>
      <c r="O216" s="89"/>
      <c r="P216" s="73"/>
      <c r="Q216" s="58"/>
      <c r="R216" s="89"/>
      <c r="S216" s="73"/>
      <c r="T216" s="39"/>
      <c r="U216" s="39"/>
      <c r="V216" s="8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35"/>
      <c r="AS216" s="12" t="e">
        <f>#REF!</f>
        <v>#REF!</v>
      </c>
    </row>
    <row r="217" spans="1:49" s="4" customFormat="1" ht="17.25" customHeight="1" x14ac:dyDescent="0.25">
      <c r="A217" s="23"/>
      <c r="B217" s="201" t="s">
        <v>95</v>
      </c>
      <c r="C217" s="203"/>
      <c r="D217" s="64"/>
      <c r="E217" s="64"/>
      <c r="F217" s="117"/>
      <c r="G217" s="117"/>
      <c r="H217" s="64"/>
      <c r="I217" s="64"/>
      <c r="J217" s="64"/>
      <c r="K217" s="57"/>
      <c r="L217" s="88"/>
      <c r="M217" s="62"/>
      <c r="N217" s="57"/>
      <c r="O217" s="88"/>
      <c r="P217" s="62"/>
      <c r="Q217" s="58"/>
      <c r="R217" s="89"/>
      <c r="S217" s="73"/>
      <c r="T217" s="39"/>
      <c r="U217" s="39"/>
      <c r="V217" s="8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35"/>
      <c r="AS217" s="12" t="e">
        <f>#REF!</f>
        <v>#REF!</v>
      </c>
    </row>
    <row r="218" spans="1:49" s="4" customFormat="1" ht="17.25" customHeight="1" x14ac:dyDescent="0.25">
      <c r="A218" s="23"/>
      <c r="B218" s="201" t="s">
        <v>479</v>
      </c>
      <c r="C218" s="203"/>
      <c r="D218" s="64"/>
      <c r="E218" s="64"/>
      <c r="F218" s="117"/>
      <c r="G218" s="117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39"/>
      <c r="U218" s="39"/>
      <c r="V218" s="8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35"/>
      <c r="AS218" s="12" t="e">
        <f>#REF!</f>
        <v>#REF!</v>
      </c>
    </row>
    <row r="219" spans="1:49" s="4" customFormat="1" ht="17.25" customHeight="1" x14ac:dyDescent="0.25">
      <c r="A219" s="23"/>
      <c r="B219" s="201" t="s">
        <v>97</v>
      </c>
      <c r="C219" s="203"/>
      <c r="D219" s="64"/>
      <c r="E219" s="64"/>
      <c r="F219" s="64"/>
      <c r="G219" s="64"/>
      <c r="H219" s="64"/>
      <c r="I219" s="64"/>
      <c r="J219" s="64"/>
      <c r="K219" s="57"/>
      <c r="L219" s="88"/>
      <c r="M219" s="62"/>
      <c r="N219" s="57"/>
      <c r="O219" s="88"/>
      <c r="P219" s="62"/>
      <c r="Q219" s="57"/>
      <c r="R219" s="88"/>
      <c r="S219" s="62"/>
      <c r="T219" s="39"/>
      <c r="U219" s="39"/>
      <c r="V219" s="39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22"/>
      <c r="AR219" s="43"/>
      <c r="AS219" s="12" t="e">
        <f>#REF!</f>
        <v>#REF!</v>
      </c>
      <c r="AW219" s="2"/>
    </row>
    <row r="220" spans="1:49" s="4" customFormat="1" ht="17.25" customHeight="1" x14ac:dyDescent="0.25">
      <c r="A220" s="23"/>
      <c r="B220" s="201" t="s">
        <v>100</v>
      </c>
      <c r="C220" s="202"/>
      <c r="D220" s="64"/>
      <c r="E220" s="64"/>
      <c r="F220" s="64"/>
      <c r="G220" s="64"/>
      <c r="H220" s="64"/>
      <c r="I220" s="64"/>
      <c r="J220" s="64"/>
      <c r="K220" s="57"/>
      <c r="L220" s="88"/>
      <c r="M220" s="62"/>
      <c r="N220" s="57"/>
      <c r="O220" s="88"/>
      <c r="P220" s="62"/>
      <c r="Q220" s="57"/>
      <c r="R220" s="88"/>
      <c r="S220" s="62"/>
      <c r="T220" s="39"/>
      <c r="U220" s="39"/>
      <c r="V220" s="39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22"/>
      <c r="AR220" s="43"/>
      <c r="AS220" s="12" t="e">
        <f>#REF!</f>
        <v>#REF!</v>
      </c>
      <c r="AW220" s="2"/>
    </row>
    <row r="221" spans="1:49" s="2" customFormat="1" ht="17.25" customHeight="1" x14ac:dyDescent="0.2">
      <c r="A221" s="24"/>
      <c r="B221" s="201"/>
      <c r="C221" s="204"/>
      <c r="D221" s="63"/>
      <c r="E221" s="64"/>
      <c r="F221" s="64"/>
      <c r="G221" s="64"/>
      <c r="H221" s="64"/>
      <c r="I221" s="64"/>
      <c r="J221" s="64"/>
      <c r="K221" s="16"/>
      <c r="L221" s="16"/>
      <c r="M221" s="64"/>
      <c r="N221" s="16"/>
      <c r="O221" s="16"/>
      <c r="P221" s="64"/>
      <c r="Q221" s="16"/>
      <c r="R221" s="16"/>
      <c r="S221" s="64"/>
      <c r="T221" s="46"/>
      <c r="U221" s="46"/>
      <c r="V221" s="39"/>
      <c r="W221" s="16"/>
      <c r="X221" s="16"/>
      <c r="Y221" s="16"/>
      <c r="Z221" s="16"/>
      <c r="AA221" s="16"/>
      <c r="AB221" s="19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43"/>
      <c r="AT221" s="10"/>
      <c r="AU221" s="11"/>
    </row>
    <row r="222" spans="1:49" s="2" customFormat="1" ht="17.25" customHeight="1" thickBot="1" x14ac:dyDescent="0.3">
      <c r="A222" s="56"/>
      <c r="B222" s="101" t="s">
        <v>102</v>
      </c>
      <c r="C222" s="102">
        <f>D223+E223+F223+G223+H223+I223+J223+M223+P223</f>
        <v>117279.92954000011</v>
      </c>
      <c r="D222" s="84"/>
      <c r="E222" s="85"/>
      <c r="F222" s="85"/>
      <c r="G222" s="85"/>
      <c r="H222" s="85"/>
      <c r="I222" s="85"/>
      <c r="J222" s="85"/>
      <c r="K222" s="28"/>
      <c r="L222" s="28"/>
      <c r="M222" s="85"/>
      <c r="N222" s="28"/>
      <c r="O222" s="28"/>
      <c r="P222" s="85"/>
      <c r="Q222" s="28"/>
      <c r="R222" s="28"/>
      <c r="S222" s="85"/>
      <c r="T222" s="48"/>
      <c r="U222" s="48"/>
      <c r="V222" s="51"/>
      <c r="W222" s="28"/>
      <c r="X222" s="28"/>
      <c r="Y222" s="28"/>
      <c r="Z222" s="28"/>
      <c r="AA222" s="28"/>
      <c r="AB222" s="36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42">
        <f>SUM($T206:AQ222)</f>
        <v>-487087.82890000002</v>
      </c>
      <c r="AT222" s="10"/>
      <c r="AU222" s="11"/>
      <c r="AV222" s="2" t="s">
        <v>5</v>
      </c>
    </row>
    <row r="223" spans="1:49" s="2" customFormat="1" ht="17.25" customHeight="1" thickTop="1" thickBot="1" x14ac:dyDescent="0.3">
      <c r="A223" s="103"/>
      <c r="B223" s="104" t="s">
        <v>103</v>
      </c>
      <c r="C223" s="105">
        <f>AR223</f>
        <v>-368502.60935999989</v>
      </c>
      <c r="D223" s="106">
        <f t="shared" ref="D223:K223" si="24">SUM(D206:D222)</f>
        <v>12717.607040000057</v>
      </c>
      <c r="E223" s="107">
        <f t="shared" si="24"/>
        <v>-43287.790000000008</v>
      </c>
      <c r="F223" s="107">
        <f t="shared" si="24"/>
        <v>0.65000000000145519</v>
      </c>
      <c r="G223" s="107">
        <f t="shared" si="24"/>
        <v>0</v>
      </c>
      <c r="H223" s="107">
        <f t="shared" si="24"/>
        <v>65082.292500000054</v>
      </c>
      <c r="I223" s="107">
        <f t="shared" si="24"/>
        <v>10004.65</v>
      </c>
      <c r="J223" s="107">
        <f t="shared" si="24"/>
        <v>0</v>
      </c>
      <c r="K223" s="108">
        <f t="shared" si="24"/>
        <v>12170</v>
      </c>
      <c r="L223" s="109">
        <f>M223/K223</f>
        <v>5.1465924404272805</v>
      </c>
      <c r="M223" s="107">
        <f>ROUND(SUM(M206:M222),2)</f>
        <v>62634.03</v>
      </c>
      <c r="N223" s="108">
        <f>SUM(N206:N222)</f>
        <v>2783</v>
      </c>
      <c r="O223" s="109">
        <f>P223/N223</f>
        <v>3.6394143011139057</v>
      </c>
      <c r="P223" s="107">
        <f>ROUND(SUM(P206:P222),2)</f>
        <v>10128.49</v>
      </c>
      <c r="Q223" s="108">
        <f>SUM(Q206:Q222)</f>
        <v>214</v>
      </c>
      <c r="R223" s="109">
        <f>S223/Q223</f>
        <v>6.099485981308411</v>
      </c>
      <c r="S223" s="107">
        <f>ROUND(SUM(S206:S222),2)</f>
        <v>1305.29</v>
      </c>
      <c r="T223" s="110">
        <f t="shared" ref="T223:AQ223" si="25">SUM(T206:T222)</f>
        <v>-537317.12890000001</v>
      </c>
      <c r="U223" s="107">
        <f t="shared" si="25"/>
        <v>50229.299999999996</v>
      </c>
      <c r="V223" s="107">
        <f t="shared" si="25"/>
        <v>0</v>
      </c>
      <c r="W223" s="107">
        <f t="shared" si="25"/>
        <v>0</v>
      </c>
      <c r="X223" s="107">
        <f t="shared" si="25"/>
        <v>0</v>
      </c>
      <c r="Y223" s="107">
        <f t="shared" si="25"/>
        <v>0</v>
      </c>
      <c r="Z223" s="107">
        <f t="shared" si="25"/>
        <v>0</v>
      </c>
      <c r="AA223" s="107">
        <f t="shared" si="25"/>
        <v>0</v>
      </c>
      <c r="AB223" s="107">
        <f t="shared" si="25"/>
        <v>0</v>
      </c>
      <c r="AC223" s="107">
        <f t="shared" si="25"/>
        <v>0</v>
      </c>
      <c r="AD223" s="107">
        <f t="shared" si="25"/>
        <v>0</v>
      </c>
      <c r="AE223" s="107">
        <f t="shared" si="25"/>
        <v>0</v>
      </c>
      <c r="AF223" s="107">
        <f t="shared" si="25"/>
        <v>0</v>
      </c>
      <c r="AG223" s="107">
        <f t="shared" si="25"/>
        <v>0</v>
      </c>
      <c r="AH223" s="107">
        <f t="shared" si="25"/>
        <v>0</v>
      </c>
      <c r="AI223" s="107">
        <f t="shared" si="25"/>
        <v>0</v>
      </c>
      <c r="AJ223" s="107">
        <f t="shared" si="25"/>
        <v>0</v>
      </c>
      <c r="AK223" s="107">
        <f t="shared" si="25"/>
        <v>0</v>
      </c>
      <c r="AL223" s="107">
        <f t="shared" si="25"/>
        <v>0</v>
      </c>
      <c r="AM223" s="107">
        <f t="shared" si="25"/>
        <v>0</v>
      </c>
      <c r="AN223" s="107">
        <f t="shared" si="25"/>
        <v>0</v>
      </c>
      <c r="AO223" s="107">
        <f t="shared" si="25"/>
        <v>0</v>
      </c>
      <c r="AP223" s="107">
        <f t="shared" si="25"/>
        <v>0</v>
      </c>
      <c r="AQ223" s="107">
        <f t="shared" si="25"/>
        <v>0</v>
      </c>
      <c r="AR223" s="111">
        <f>D223+E223+F223+G223+H223+I223+J223+M223+P223+S223+SUM(T223:AQ223)</f>
        <v>-368502.60935999989</v>
      </c>
      <c r="AS223" s="4"/>
      <c r="AT223" s="5"/>
      <c r="AU223" s="5"/>
      <c r="AV223" s="2" t="s">
        <v>484</v>
      </c>
    </row>
    <row r="224" spans="1:49" s="2" customFormat="1" ht="17.25" customHeight="1" thickTop="1" x14ac:dyDescent="0.25">
      <c r="A224" s="29">
        <f>A207+1</f>
        <v>46370</v>
      </c>
      <c r="B224" s="261" t="s">
        <v>480</v>
      </c>
      <c r="C224" s="262"/>
      <c r="D224" s="63"/>
      <c r="E224" s="64"/>
      <c r="F224" s="64"/>
      <c r="G224" s="64"/>
      <c r="H224" s="64"/>
      <c r="I224" s="64"/>
      <c r="J224" s="64"/>
      <c r="K224" s="57"/>
      <c r="L224" s="88"/>
      <c r="M224" s="62"/>
      <c r="N224" s="57"/>
      <c r="O224" s="88"/>
      <c r="P224" s="62"/>
      <c r="Q224" s="16"/>
      <c r="R224" s="92"/>
      <c r="S224" s="64"/>
      <c r="T224" s="47"/>
      <c r="U224" s="39"/>
      <c r="V224" s="39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22"/>
      <c r="AT224" s="10"/>
      <c r="AU224" s="11"/>
    </row>
    <row r="225" spans="1:49" s="2" customFormat="1" ht="17.25" customHeight="1" x14ac:dyDescent="0.25">
      <c r="A225" s="29"/>
      <c r="B225" s="201" t="s">
        <v>64</v>
      </c>
      <c r="C225" s="202"/>
      <c r="D225" s="65"/>
      <c r="E225" s="64"/>
      <c r="F225" s="64"/>
      <c r="G225" s="64"/>
      <c r="H225" s="64"/>
      <c r="I225" s="64"/>
      <c r="J225" s="64"/>
      <c r="K225" s="57"/>
      <c r="L225" s="88"/>
      <c r="M225" s="62"/>
      <c r="N225" s="57"/>
      <c r="O225" s="88"/>
      <c r="P225" s="62"/>
      <c r="Q225" s="57"/>
      <c r="R225" s="88"/>
      <c r="S225" s="62"/>
      <c r="T225" s="47"/>
      <c r="U225" s="39"/>
      <c r="V225" s="39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22"/>
      <c r="AT225" s="10" t="s">
        <v>4</v>
      </c>
      <c r="AU225" s="11" t="e">
        <v>#REF!</v>
      </c>
    </row>
    <row r="226" spans="1:49" s="2" customFormat="1" ht="17.25" customHeight="1" x14ac:dyDescent="0.25">
      <c r="A226" s="29"/>
      <c r="B226" s="201" t="s">
        <v>96</v>
      </c>
      <c r="C226" s="202"/>
      <c r="D226" s="65"/>
      <c r="E226" s="64"/>
      <c r="F226" s="64"/>
      <c r="G226" s="64"/>
      <c r="H226" s="64"/>
      <c r="I226" s="64"/>
      <c r="J226" s="64"/>
      <c r="K226" s="57"/>
      <c r="L226" s="88"/>
      <c r="M226" s="62"/>
      <c r="N226" s="57"/>
      <c r="O226" s="88"/>
      <c r="P226" s="62"/>
      <c r="Q226" s="57"/>
      <c r="R226" s="88"/>
      <c r="S226" s="62"/>
      <c r="T226" s="47"/>
      <c r="U226" s="39"/>
      <c r="V226" s="39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22"/>
      <c r="AT226" s="10" t="s">
        <v>4</v>
      </c>
      <c r="AU226" s="11" t="e">
        <v>#REF!</v>
      </c>
    </row>
    <row r="227" spans="1:49" s="2" customFormat="1" ht="17.25" customHeight="1" x14ac:dyDescent="0.25">
      <c r="A227" s="29"/>
      <c r="B227" s="201" t="s">
        <v>327</v>
      </c>
      <c r="C227" s="202"/>
      <c r="D227" s="65"/>
      <c r="E227" s="64"/>
      <c r="F227" s="64"/>
      <c r="G227" s="64"/>
      <c r="H227" s="64"/>
      <c r="I227" s="64"/>
      <c r="J227" s="64"/>
      <c r="K227" s="57"/>
      <c r="L227" s="88"/>
      <c r="M227" s="62"/>
      <c r="N227" s="57"/>
      <c r="O227" s="88"/>
      <c r="P227" s="62"/>
      <c r="Q227" s="57"/>
      <c r="R227" s="88"/>
      <c r="S227" s="62"/>
      <c r="T227" s="47"/>
      <c r="U227" s="39"/>
      <c r="V227" s="39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22"/>
      <c r="AT227" s="10"/>
      <c r="AU227" s="11"/>
    </row>
    <row r="228" spans="1:49" s="2" customFormat="1" ht="17.25" customHeight="1" x14ac:dyDescent="0.25">
      <c r="A228" s="29"/>
      <c r="B228" s="201" t="s">
        <v>328</v>
      </c>
      <c r="C228" s="202"/>
      <c r="D228" s="63"/>
      <c r="E228" s="64"/>
      <c r="F228" s="64"/>
      <c r="G228" s="64"/>
      <c r="H228" s="64"/>
      <c r="I228" s="64"/>
      <c r="J228" s="64"/>
      <c r="K228" s="57"/>
      <c r="L228" s="88"/>
      <c r="M228" s="62"/>
      <c r="N228" s="57"/>
      <c r="O228" s="88"/>
      <c r="P228" s="62"/>
      <c r="Q228" s="16"/>
      <c r="R228" s="92"/>
      <c r="S228" s="64"/>
      <c r="T228" s="47"/>
      <c r="U228" s="39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T228" s="10"/>
      <c r="AU228" s="11"/>
    </row>
    <row r="229" spans="1:49" s="2" customFormat="1" ht="17.25" customHeight="1" x14ac:dyDescent="0.25">
      <c r="A229" s="29"/>
      <c r="B229" s="261" t="s">
        <v>481</v>
      </c>
      <c r="C229" s="262"/>
      <c r="D229" s="63"/>
      <c r="E229" s="64"/>
      <c r="F229" s="64"/>
      <c r="G229" s="64"/>
      <c r="H229" s="64"/>
      <c r="I229" s="64"/>
      <c r="J229" s="64"/>
      <c r="K229" s="57"/>
      <c r="L229" s="88"/>
      <c r="M229" s="62"/>
      <c r="N229" s="57"/>
      <c r="O229" s="88"/>
      <c r="P229" s="62"/>
      <c r="Q229" s="16"/>
      <c r="R229" s="92"/>
      <c r="S229" s="64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483</v>
      </c>
      <c r="C230" s="202"/>
      <c r="D230" s="63"/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16"/>
      <c r="R230" s="92"/>
      <c r="S230" s="64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4" customFormat="1" ht="17.25" customHeight="1" thickBot="1" x14ac:dyDescent="0.3">
      <c r="A231" s="24"/>
      <c r="B231" s="246"/>
      <c r="C231" s="246"/>
      <c r="D231" s="81"/>
      <c r="E231" s="81"/>
      <c r="F231" s="81"/>
      <c r="G231" s="81"/>
      <c r="H231" s="81"/>
      <c r="I231" s="81"/>
      <c r="J231" s="81"/>
      <c r="K231" s="59"/>
      <c r="L231" s="90"/>
      <c r="M231" s="136"/>
      <c r="N231" s="59"/>
      <c r="O231" s="90"/>
      <c r="P231" s="136"/>
      <c r="Q231" s="59"/>
      <c r="R231" s="90"/>
      <c r="S231" s="136"/>
      <c r="T231" s="39"/>
      <c r="U231" s="39"/>
      <c r="V231" s="39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22"/>
      <c r="AR231" s="43"/>
      <c r="AS231" s="12" t="e">
        <f>#REF!</f>
        <v>#REF!</v>
      </c>
      <c r="AW231" s="2"/>
    </row>
    <row r="232" spans="1:49" s="2" customFormat="1" ht="17.25" customHeight="1" x14ac:dyDescent="0.25">
      <c r="A232" s="29"/>
      <c r="B232" s="261" t="s">
        <v>482</v>
      </c>
      <c r="C232" s="262"/>
      <c r="D232" s="63"/>
      <c r="E232" s="64"/>
      <c r="F232" s="64"/>
      <c r="G232" s="64"/>
      <c r="H232" s="64"/>
      <c r="I232" s="64"/>
      <c r="J232" s="64"/>
      <c r="K232" s="57"/>
      <c r="L232" s="88"/>
      <c r="M232" s="62"/>
      <c r="N232" s="57"/>
      <c r="O232" s="88"/>
      <c r="P232" s="62"/>
      <c r="Q232" s="16"/>
      <c r="R232" s="92"/>
      <c r="S232" s="64"/>
      <c r="T232" s="47"/>
      <c r="U232" s="39"/>
      <c r="V232" s="39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22"/>
      <c r="AT232" s="10"/>
      <c r="AU232" s="11"/>
    </row>
    <row r="233" spans="1:49" s="4" customFormat="1" ht="17.25" customHeight="1" x14ac:dyDescent="0.25">
      <c r="A233" s="23"/>
      <c r="B233" s="212" t="s">
        <v>94</v>
      </c>
      <c r="C233" s="212"/>
      <c r="D233" s="66"/>
      <c r="E233" s="66"/>
      <c r="F233" s="117"/>
      <c r="G233" s="117"/>
      <c r="H233" s="66"/>
      <c r="I233" s="66"/>
      <c r="J233" s="66"/>
      <c r="K233" s="58"/>
      <c r="L233" s="89"/>
      <c r="M233" s="73"/>
      <c r="N233" s="58"/>
      <c r="O233" s="89"/>
      <c r="P233" s="73"/>
      <c r="Q233" s="58"/>
      <c r="R233" s="89"/>
      <c r="S233" s="73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95</v>
      </c>
      <c r="C234" s="203"/>
      <c r="D234" s="64"/>
      <c r="E234" s="64"/>
      <c r="F234" s="117"/>
      <c r="G234" s="117"/>
      <c r="H234" s="64"/>
      <c r="I234" s="64"/>
      <c r="J234" s="64"/>
      <c r="K234" s="57"/>
      <c r="L234" s="88"/>
      <c r="M234" s="62"/>
      <c r="N234" s="57"/>
      <c r="O234" s="88"/>
      <c r="P234" s="62"/>
      <c r="Q234" s="58"/>
      <c r="R234" s="89"/>
      <c r="S234" s="73"/>
      <c r="T234" s="39"/>
      <c r="U234" s="39"/>
      <c r="V234" s="8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35"/>
      <c r="AS234" s="12" t="e">
        <f>#REF!</f>
        <v>#REF!</v>
      </c>
    </row>
    <row r="235" spans="1:49" s="4" customFormat="1" ht="17.25" customHeight="1" x14ac:dyDescent="0.25">
      <c r="A235" s="23"/>
      <c r="B235" s="201" t="s">
        <v>479</v>
      </c>
      <c r="C235" s="203"/>
      <c r="D235" s="64"/>
      <c r="E235" s="64"/>
      <c r="F235" s="117"/>
      <c r="G235" s="117"/>
      <c r="H235" s="64"/>
      <c r="I235" s="64"/>
      <c r="J235" s="64"/>
      <c r="K235" s="57"/>
      <c r="L235" s="88"/>
      <c r="M235" s="62"/>
      <c r="N235" s="57"/>
      <c r="O235" s="88"/>
      <c r="P235" s="62"/>
      <c r="Q235" s="57"/>
      <c r="R235" s="88"/>
      <c r="S235" s="62"/>
      <c r="T235" s="39"/>
      <c r="U235" s="39"/>
      <c r="V235" s="8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35"/>
      <c r="AS235" s="12" t="e">
        <f>#REF!</f>
        <v>#REF!</v>
      </c>
    </row>
    <row r="236" spans="1:49" s="4" customFormat="1" ht="17.25" customHeight="1" x14ac:dyDescent="0.25">
      <c r="A236" s="23"/>
      <c r="B236" s="201" t="s">
        <v>97</v>
      </c>
      <c r="C236" s="203"/>
      <c r="D236" s="64"/>
      <c r="E236" s="64"/>
      <c r="F236" s="64"/>
      <c r="G236" s="64"/>
      <c r="H236" s="64"/>
      <c r="I236" s="64"/>
      <c r="J236" s="64"/>
      <c r="K236" s="57"/>
      <c r="L236" s="88"/>
      <c r="M236" s="62"/>
      <c r="N236" s="57"/>
      <c r="O236" s="88"/>
      <c r="P236" s="62"/>
      <c r="Q236" s="57"/>
      <c r="R236" s="88"/>
      <c r="S236" s="62"/>
      <c r="T236" s="39"/>
      <c r="U236" s="39"/>
      <c r="V236" s="39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22"/>
      <c r="AR236" s="43"/>
      <c r="AS236" s="12" t="e">
        <f>#REF!</f>
        <v>#REF!</v>
      </c>
      <c r="AW236" s="2"/>
    </row>
    <row r="237" spans="1:49" s="4" customFormat="1" ht="17.25" customHeight="1" x14ac:dyDescent="0.25">
      <c r="A237" s="23"/>
      <c r="B237" s="201" t="s">
        <v>100</v>
      </c>
      <c r="C237" s="202"/>
      <c r="D237" s="64"/>
      <c r="E237" s="64"/>
      <c r="F237" s="64"/>
      <c r="G237" s="64"/>
      <c r="H237" s="64"/>
      <c r="I237" s="64"/>
      <c r="J237" s="64"/>
      <c r="K237" s="57"/>
      <c r="L237" s="88"/>
      <c r="M237" s="62"/>
      <c r="N237" s="57"/>
      <c r="O237" s="88"/>
      <c r="P237" s="62"/>
      <c r="Q237" s="57"/>
      <c r="R237" s="88"/>
      <c r="S237" s="62"/>
      <c r="T237" s="39"/>
      <c r="U237" s="39"/>
      <c r="V237" s="39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22"/>
      <c r="AR237" s="43"/>
      <c r="AS237" s="12" t="e">
        <f>#REF!</f>
        <v>#REF!</v>
      </c>
      <c r="AW237" s="2"/>
    </row>
    <row r="238" spans="1:49" s="2" customFormat="1" ht="17.25" customHeight="1" x14ac:dyDescent="0.2">
      <c r="A238" s="24"/>
      <c r="B238" s="201"/>
      <c r="C238" s="204"/>
      <c r="D238" s="63"/>
      <c r="E238" s="64"/>
      <c r="F238" s="64"/>
      <c r="G238" s="64"/>
      <c r="H238" s="64"/>
      <c r="I238" s="64"/>
      <c r="J238" s="64"/>
      <c r="K238" s="16"/>
      <c r="L238" s="16"/>
      <c r="M238" s="64"/>
      <c r="N238" s="16"/>
      <c r="O238" s="16"/>
      <c r="P238" s="64"/>
      <c r="Q238" s="16"/>
      <c r="R238" s="16"/>
      <c r="S238" s="64"/>
      <c r="T238" s="46"/>
      <c r="U238" s="46"/>
      <c r="V238" s="39"/>
      <c r="W238" s="16"/>
      <c r="X238" s="16"/>
      <c r="Y238" s="16"/>
      <c r="Z238" s="16"/>
      <c r="AA238" s="16"/>
      <c r="AB238" s="19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43"/>
      <c r="AT238" s="10"/>
      <c r="AU238" s="11"/>
    </row>
    <row r="239" spans="1:49" s="2" customFormat="1" ht="17.25" customHeight="1" thickBot="1" x14ac:dyDescent="0.3">
      <c r="A239" s="56"/>
      <c r="B239" s="101" t="s">
        <v>102</v>
      </c>
      <c r="C239" s="102">
        <f>D240+E240+F240+G240+H240+I240+J240+M240+P240</f>
        <v>117279.92954000011</v>
      </c>
      <c r="D239" s="84"/>
      <c r="E239" s="85"/>
      <c r="F239" s="85"/>
      <c r="G239" s="85"/>
      <c r="H239" s="85"/>
      <c r="I239" s="85"/>
      <c r="J239" s="85"/>
      <c r="K239" s="28"/>
      <c r="L239" s="28"/>
      <c r="M239" s="85"/>
      <c r="N239" s="28"/>
      <c r="O239" s="28"/>
      <c r="P239" s="85"/>
      <c r="Q239" s="28"/>
      <c r="R239" s="28"/>
      <c r="S239" s="85"/>
      <c r="T239" s="48"/>
      <c r="U239" s="48"/>
      <c r="V239" s="51"/>
      <c r="W239" s="28"/>
      <c r="X239" s="28"/>
      <c r="Y239" s="28"/>
      <c r="Z239" s="28"/>
      <c r="AA239" s="28"/>
      <c r="AB239" s="36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42">
        <f>SUM($T223:AQ239)</f>
        <v>-487087.82890000002</v>
      </c>
      <c r="AT239" s="10"/>
      <c r="AU239" s="11"/>
      <c r="AV239" s="2" t="s">
        <v>5</v>
      </c>
    </row>
    <row r="240" spans="1:49" s="2" customFormat="1" ht="17.25" customHeight="1" thickTop="1" thickBot="1" x14ac:dyDescent="0.3">
      <c r="A240" s="103"/>
      <c r="B240" s="104" t="s">
        <v>103</v>
      </c>
      <c r="C240" s="105">
        <f>AR240</f>
        <v>-368502.60935999989</v>
      </c>
      <c r="D240" s="106">
        <f t="shared" ref="D240:K240" si="26">SUM(D223:D239)</f>
        <v>12717.607040000057</v>
      </c>
      <c r="E240" s="107">
        <f t="shared" si="26"/>
        <v>-43287.790000000008</v>
      </c>
      <c r="F240" s="107">
        <f t="shared" si="26"/>
        <v>0.65000000000145519</v>
      </c>
      <c r="G240" s="107">
        <f t="shared" si="26"/>
        <v>0</v>
      </c>
      <c r="H240" s="107">
        <f t="shared" si="26"/>
        <v>65082.292500000054</v>
      </c>
      <c r="I240" s="107">
        <f t="shared" si="26"/>
        <v>10004.65</v>
      </c>
      <c r="J240" s="107">
        <f t="shared" si="26"/>
        <v>0</v>
      </c>
      <c r="K240" s="108">
        <f t="shared" si="26"/>
        <v>12170</v>
      </c>
      <c r="L240" s="109">
        <f>M240/K240</f>
        <v>5.1465924404272805</v>
      </c>
      <c r="M240" s="107">
        <f>ROUND(SUM(M223:M239),2)</f>
        <v>62634.03</v>
      </c>
      <c r="N240" s="108">
        <f>SUM(N223:N239)</f>
        <v>2783</v>
      </c>
      <c r="O240" s="109">
        <f>P240/N240</f>
        <v>3.6394143011139057</v>
      </c>
      <c r="P240" s="107">
        <f>ROUND(SUM(P223:P239),2)</f>
        <v>10128.49</v>
      </c>
      <c r="Q240" s="108">
        <f>SUM(Q223:Q239)</f>
        <v>214</v>
      </c>
      <c r="R240" s="109">
        <f>S240/Q240</f>
        <v>6.099485981308411</v>
      </c>
      <c r="S240" s="107">
        <f>ROUND(SUM(S223:S239),2)</f>
        <v>1305.29</v>
      </c>
      <c r="T240" s="110">
        <f t="shared" ref="T240:AQ240" si="27">SUM(T223:T239)</f>
        <v>-537317.12890000001</v>
      </c>
      <c r="U240" s="107">
        <f t="shared" si="27"/>
        <v>50229.299999999996</v>
      </c>
      <c r="V240" s="107">
        <f t="shared" si="27"/>
        <v>0</v>
      </c>
      <c r="W240" s="107">
        <f t="shared" si="27"/>
        <v>0</v>
      </c>
      <c r="X240" s="107">
        <f t="shared" si="27"/>
        <v>0</v>
      </c>
      <c r="Y240" s="107">
        <f t="shared" si="27"/>
        <v>0</v>
      </c>
      <c r="Z240" s="107">
        <f t="shared" si="27"/>
        <v>0</v>
      </c>
      <c r="AA240" s="107">
        <f t="shared" si="27"/>
        <v>0</v>
      </c>
      <c r="AB240" s="107">
        <f t="shared" si="27"/>
        <v>0</v>
      </c>
      <c r="AC240" s="107">
        <f t="shared" si="27"/>
        <v>0</v>
      </c>
      <c r="AD240" s="107">
        <f t="shared" si="27"/>
        <v>0</v>
      </c>
      <c r="AE240" s="107">
        <f t="shared" si="27"/>
        <v>0</v>
      </c>
      <c r="AF240" s="107">
        <f t="shared" si="27"/>
        <v>0</v>
      </c>
      <c r="AG240" s="107">
        <f t="shared" si="27"/>
        <v>0</v>
      </c>
      <c r="AH240" s="107">
        <f t="shared" si="27"/>
        <v>0</v>
      </c>
      <c r="AI240" s="107">
        <f t="shared" si="27"/>
        <v>0</v>
      </c>
      <c r="AJ240" s="107">
        <f t="shared" si="27"/>
        <v>0</v>
      </c>
      <c r="AK240" s="107">
        <f t="shared" si="27"/>
        <v>0</v>
      </c>
      <c r="AL240" s="107">
        <f t="shared" si="27"/>
        <v>0</v>
      </c>
      <c r="AM240" s="107">
        <f t="shared" si="27"/>
        <v>0</v>
      </c>
      <c r="AN240" s="107">
        <f t="shared" si="27"/>
        <v>0</v>
      </c>
      <c r="AO240" s="107">
        <f t="shared" si="27"/>
        <v>0</v>
      </c>
      <c r="AP240" s="107">
        <f t="shared" si="27"/>
        <v>0</v>
      </c>
      <c r="AQ240" s="107">
        <f t="shared" si="27"/>
        <v>0</v>
      </c>
      <c r="AR240" s="111">
        <f>D240+E240+F240+G240+H240+I240+J240+M240+P240+S240+SUM(T240:AQ240)</f>
        <v>-368502.60935999989</v>
      </c>
      <c r="AS240" s="4"/>
      <c r="AT240" s="5"/>
      <c r="AU240" s="5"/>
      <c r="AV240" s="2" t="s">
        <v>484</v>
      </c>
    </row>
    <row r="241" spans="1:49" s="2" customFormat="1" ht="17.25" customHeight="1" thickTop="1" x14ac:dyDescent="0.25">
      <c r="A241" s="29">
        <f>A224+1</f>
        <v>46371</v>
      </c>
      <c r="B241" s="261" t="s">
        <v>480</v>
      </c>
      <c r="C241" s="262"/>
      <c r="D241" s="63"/>
      <c r="E241" s="64"/>
      <c r="F241" s="64"/>
      <c r="G241" s="64"/>
      <c r="H241" s="64"/>
      <c r="I241" s="64"/>
      <c r="J241" s="64"/>
      <c r="K241" s="57"/>
      <c r="L241" s="88"/>
      <c r="M241" s="62"/>
      <c r="N241" s="57"/>
      <c r="O241" s="88"/>
      <c r="P241" s="62"/>
      <c r="Q241" s="16"/>
      <c r="R241" s="92"/>
      <c r="S241" s="64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64</v>
      </c>
      <c r="C242" s="202"/>
      <c r="D242" s="65"/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 t="s">
        <v>4</v>
      </c>
      <c r="AU242" s="11" t="e">
        <v>#REF!</v>
      </c>
    </row>
    <row r="243" spans="1:49" s="2" customFormat="1" ht="17.25" customHeight="1" x14ac:dyDescent="0.25">
      <c r="A243" s="29"/>
      <c r="B243" s="201" t="s">
        <v>96</v>
      </c>
      <c r="C243" s="202"/>
      <c r="D243" s="65"/>
      <c r="E243" s="64"/>
      <c r="F243" s="64"/>
      <c r="G243" s="64"/>
      <c r="H243" s="64"/>
      <c r="I243" s="64"/>
      <c r="J243" s="64"/>
      <c r="K243" s="57"/>
      <c r="L243" s="88"/>
      <c r="M243" s="62"/>
      <c r="N243" s="57"/>
      <c r="O243" s="88"/>
      <c r="P243" s="62"/>
      <c r="Q243" s="57"/>
      <c r="R243" s="88"/>
      <c r="S243" s="62"/>
      <c r="T243" s="47"/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 t="s">
        <v>4</v>
      </c>
      <c r="AU243" s="11" t="e">
        <v>#REF!</v>
      </c>
    </row>
    <row r="244" spans="1:49" s="2" customFormat="1" ht="17.25" customHeight="1" x14ac:dyDescent="0.25">
      <c r="A244" s="29"/>
      <c r="B244" s="201" t="s">
        <v>327</v>
      </c>
      <c r="C244" s="202"/>
      <c r="D244" s="65"/>
      <c r="E244" s="64"/>
      <c r="F244" s="64"/>
      <c r="G244" s="64"/>
      <c r="H244" s="64"/>
      <c r="I244" s="64"/>
      <c r="J244" s="64"/>
      <c r="K244" s="57"/>
      <c r="L244" s="88"/>
      <c r="M244" s="62"/>
      <c r="N244" s="57"/>
      <c r="O244" s="88"/>
      <c r="P244" s="62"/>
      <c r="Q244" s="57"/>
      <c r="R244" s="88"/>
      <c r="S244" s="62"/>
      <c r="T244" s="47"/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x14ac:dyDescent="0.25">
      <c r="A245" s="29"/>
      <c r="B245" s="201" t="s">
        <v>328</v>
      </c>
      <c r="C245" s="202"/>
      <c r="D245" s="63"/>
      <c r="E245" s="64"/>
      <c r="F245" s="64"/>
      <c r="G245" s="64"/>
      <c r="H245" s="64"/>
      <c r="I245" s="64"/>
      <c r="J245" s="64"/>
      <c r="K245" s="57"/>
      <c r="L245" s="88"/>
      <c r="M245" s="62"/>
      <c r="N245" s="57"/>
      <c r="O245" s="88"/>
      <c r="P245" s="62"/>
      <c r="Q245" s="16"/>
      <c r="R245" s="92"/>
      <c r="S245" s="64"/>
      <c r="T245" s="47"/>
      <c r="U245" s="39"/>
      <c r="V245" s="39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22"/>
      <c r="AT245" s="10"/>
      <c r="AU245" s="11"/>
    </row>
    <row r="246" spans="1:49" s="2" customFormat="1" ht="17.25" customHeight="1" x14ac:dyDescent="0.25">
      <c r="A246" s="29"/>
      <c r="B246" s="261" t="s">
        <v>481</v>
      </c>
      <c r="C246" s="262"/>
      <c r="D246" s="63"/>
      <c r="E246" s="64"/>
      <c r="F246" s="64"/>
      <c r="G246" s="64"/>
      <c r="H246" s="64"/>
      <c r="I246" s="64"/>
      <c r="J246" s="64"/>
      <c r="K246" s="57"/>
      <c r="L246" s="88"/>
      <c r="M246" s="62"/>
      <c r="N246" s="57"/>
      <c r="O246" s="88"/>
      <c r="P246" s="62"/>
      <c r="Q246" s="16"/>
      <c r="R246" s="92"/>
      <c r="S246" s="64"/>
      <c r="T246" s="47"/>
      <c r="U246" s="39"/>
      <c r="V246" s="39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22"/>
      <c r="AT246" s="10"/>
      <c r="AU246" s="11"/>
    </row>
    <row r="247" spans="1:49" s="2" customFormat="1" ht="17.25" customHeight="1" x14ac:dyDescent="0.25">
      <c r="A247" s="29"/>
      <c r="B247" s="201" t="s">
        <v>483</v>
      </c>
      <c r="C247" s="202"/>
      <c r="D247" s="63"/>
      <c r="E247" s="64"/>
      <c r="F247" s="64"/>
      <c r="G247" s="64"/>
      <c r="H247" s="64"/>
      <c r="I247" s="64"/>
      <c r="J247" s="64"/>
      <c r="K247" s="57"/>
      <c r="L247" s="88"/>
      <c r="M247" s="62"/>
      <c r="N247" s="57"/>
      <c r="O247" s="88"/>
      <c r="P247" s="62"/>
      <c r="Q247" s="16"/>
      <c r="R247" s="92"/>
      <c r="S247" s="64"/>
      <c r="T247" s="47"/>
      <c r="U247" s="39"/>
      <c r="V247" s="39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22"/>
      <c r="AT247" s="10"/>
      <c r="AU247" s="11"/>
    </row>
    <row r="248" spans="1:49" s="4" customFormat="1" ht="17.25" customHeight="1" thickBot="1" x14ac:dyDescent="0.3">
      <c r="A248" s="24"/>
      <c r="B248" s="246"/>
      <c r="C248" s="246"/>
      <c r="D248" s="81"/>
      <c r="E248" s="81"/>
      <c r="F248" s="81"/>
      <c r="G248" s="81"/>
      <c r="H248" s="81"/>
      <c r="I248" s="81"/>
      <c r="J248" s="81"/>
      <c r="K248" s="59"/>
      <c r="L248" s="90"/>
      <c r="M248" s="136"/>
      <c r="N248" s="59"/>
      <c r="O248" s="90"/>
      <c r="P248" s="136"/>
      <c r="Q248" s="59"/>
      <c r="R248" s="90"/>
      <c r="S248" s="136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/>
      <c r="AS248" s="12" t="e">
        <f>#REF!</f>
        <v>#REF!</v>
      </c>
      <c r="AW248" s="2"/>
    </row>
    <row r="249" spans="1:49" s="2" customFormat="1" ht="17.25" customHeight="1" x14ac:dyDescent="0.25">
      <c r="A249" s="29"/>
      <c r="B249" s="261" t="s">
        <v>482</v>
      </c>
      <c r="C249" s="262"/>
      <c r="D249" s="63"/>
      <c r="E249" s="64"/>
      <c r="F249" s="64"/>
      <c r="G249" s="64"/>
      <c r="H249" s="64"/>
      <c r="I249" s="64"/>
      <c r="J249" s="64"/>
      <c r="K249" s="57"/>
      <c r="L249" s="88"/>
      <c r="M249" s="62"/>
      <c r="N249" s="57"/>
      <c r="O249" s="88"/>
      <c r="P249" s="62"/>
      <c r="Q249" s="16"/>
      <c r="R249" s="92"/>
      <c r="S249" s="64"/>
      <c r="T249" s="47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22"/>
      <c r="AT249" s="10"/>
      <c r="AU249" s="11"/>
    </row>
    <row r="250" spans="1:49" s="4" customFormat="1" ht="17.25" customHeight="1" x14ac:dyDescent="0.25">
      <c r="A250" s="23"/>
      <c r="B250" s="212" t="s">
        <v>94</v>
      </c>
      <c r="C250" s="212"/>
      <c r="D250" s="66"/>
      <c r="E250" s="66"/>
      <c r="F250" s="117"/>
      <c r="G250" s="117"/>
      <c r="H250" s="66"/>
      <c r="I250" s="66"/>
      <c r="J250" s="66"/>
      <c r="K250" s="58"/>
      <c r="L250" s="89"/>
      <c r="M250" s="73"/>
      <c r="N250" s="58"/>
      <c r="O250" s="89"/>
      <c r="P250" s="73"/>
      <c r="Q250" s="58"/>
      <c r="R250" s="89"/>
      <c r="S250" s="73"/>
      <c r="T250" s="39"/>
      <c r="U250" s="39"/>
      <c r="V250" s="8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35"/>
      <c r="AS250" s="12" t="e">
        <f>#REF!</f>
        <v>#REF!</v>
      </c>
    </row>
    <row r="251" spans="1:49" s="4" customFormat="1" ht="17.25" customHeight="1" x14ac:dyDescent="0.25">
      <c r="A251" s="23"/>
      <c r="B251" s="201" t="s">
        <v>95</v>
      </c>
      <c r="C251" s="203"/>
      <c r="D251" s="64"/>
      <c r="E251" s="64"/>
      <c r="F251" s="117"/>
      <c r="G251" s="117"/>
      <c r="H251" s="64"/>
      <c r="I251" s="64"/>
      <c r="J251" s="64"/>
      <c r="K251" s="57"/>
      <c r="L251" s="88"/>
      <c r="M251" s="62"/>
      <c r="N251" s="57"/>
      <c r="O251" s="88"/>
      <c r="P251" s="62"/>
      <c r="Q251" s="58"/>
      <c r="R251" s="89"/>
      <c r="S251" s="73"/>
      <c r="T251" s="39"/>
      <c r="U251" s="39"/>
      <c r="V251" s="8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35"/>
      <c r="AS251" s="12" t="e">
        <f>#REF!</f>
        <v>#REF!</v>
      </c>
    </row>
    <row r="252" spans="1:49" s="4" customFormat="1" ht="17.25" customHeight="1" x14ac:dyDescent="0.25">
      <c r="A252" s="23"/>
      <c r="B252" s="201" t="s">
        <v>479</v>
      </c>
      <c r="C252" s="203"/>
      <c r="D252" s="64"/>
      <c r="E252" s="64"/>
      <c r="F252" s="117"/>
      <c r="G252" s="117"/>
      <c r="H252" s="64"/>
      <c r="I252" s="64"/>
      <c r="J252" s="64"/>
      <c r="K252" s="57"/>
      <c r="L252" s="88"/>
      <c r="M252" s="62"/>
      <c r="N252" s="57"/>
      <c r="O252" s="88"/>
      <c r="P252" s="62"/>
      <c r="Q252" s="57"/>
      <c r="R252" s="88"/>
      <c r="S252" s="62"/>
      <c r="T252" s="39"/>
      <c r="U252" s="39"/>
      <c r="V252" s="8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35"/>
      <c r="AS252" s="12" t="e">
        <f>#REF!</f>
        <v>#REF!</v>
      </c>
    </row>
    <row r="253" spans="1:49" s="4" customFormat="1" ht="17.25" customHeight="1" x14ac:dyDescent="0.25">
      <c r="A253" s="23"/>
      <c r="B253" s="201" t="s">
        <v>97</v>
      </c>
      <c r="C253" s="203"/>
      <c r="D253" s="64"/>
      <c r="E253" s="64"/>
      <c r="F253" s="64"/>
      <c r="G253" s="64"/>
      <c r="H253" s="64"/>
      <c r="I253" s="64"/>
      <c r="J253" s="64"/>
      <c r="K253" s="57"/>
      <c r="L253" s="88"/>
      <c r="M253" s="62"/>
      <c r="N253" s="57"/>
      <c r="O253" s="88"/>
      <c r="P253" s="62"/>
      <c r="Q253" s="57"/>
      <c r="R253" s="88"/>
      <c r="S253" s="62"/>
      <c r="T253" s="39"/>
      <c r="U253" s="39"/>
      <c r="V253" s="39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22"/>
      <c r="AR253" s="43"/>
      <c r="AS253" s="12" t="e">
        <f>#REF!</f>
        <v>#REF!</v>
      </c>
      <c r="AW253" s="2"/>
    </row>
    <row r="254" spans="1:49" s="4" customFormat="1" ht="17.25" customHeight="1" x14ac:dyDescent="0.25">
      <c r="A254" s="23"/>
      <c r="B254" s="201" t="s">
        <v>100</v>
      </c>
      <c r="C254" s="202"/>
      <c r="D254" s="64"/>
      <c r="E254" s="64"/>
      <c r="F254" s="64"/>
      <c r="G254" s="64"/>
      <c r="H254" s="64"/>
      <c r="I254" s="64"/>
      <c r="J254" s="64"/>
      <c r="K254" s="57"/>
      <c r="L254" s="88"/>
      <c r="M254" s="62"/>
      <c r="N254" s="57"/>
      <c r="O254" s="88"/>
      <c r="P254" s="62"/>
      <c r="Q254" s="57"/>
      <c r="R254" s="88"/>
      <c r="S254" s="62"/>
      <c r="T254" s="39"/>
      <c r="U254" s="39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22"/>
      <c r="AR254" s="43"/>
      <c r="AS254" s="12" t="e">
        <f>#REF!</f>
        <v>#REF!</v>
      </c>
      <c r="AW254" s="2"/>
    </row>
    <row r="255" spans="1:49" s="2" customFormat="1" ht="17.25" customHeight="1" x14ac:dyDescent="0.2">
      <c r="A255" s="24"/>
      <c r="B255" s="201"/>
      <c r="C255" s="204"/>
      <c r="D255" s="63"/>
      <c r="E255" s="64"/>
      <c r="F255" s="64"/>
      <c r="G255" s="64"/>
      <c r="H255" s="64"/>
      <c r="I255" s="64"/>
      <c r="J255" s="64"/>
      <c r="K255" s="16"/>
      <c r="L255" s="16"/>
      <c r="M255" s="64"/>
      <c r="N255" s="16"/>
      <c r="O255" s="16"/>
      <c r="P255" s="64"/>
      <c r="Q255" s="16"/>
      <c r="R255" s="16"/>
      <c r="S255" s="64"/>
      <c r="T255" s="46"/>
      <c r="U255" s="46"/>
      <c r="V255" s="39"/>
      <c r="W255" s="16"/>
      <c r="X255" s="16"/>
      <c r="Y255" s="16"/>
      <c r="Z255" s="16"/>
      <c r="AA255" s="16"/>
      <c r="AB255" s="19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43"/>
      <c r="AT255" s="10"/>
      <c r="AU255" s="11"/>
    </row>
    <row r="256" spans="1:49" s="2" customFormat="1" ht="17.25" customHeight="1" thickBot="1" x14ac:dyDescent="0.3">
      <c r="A256" s="56"/>
      <c r="B256" s="101" t="s">
        <v>102</v>
      </c>
      <c r="C256" s="102">
        <f>D257+E257+F257+G257+H257+I257+J257+M257+P257</f>
        <v>117279.92954000011</v>
      </c>
      <c r="D256" s="84"/>
      <c r="E256" s="85"/>
      <c r="F256" s="85"/>
      <c r="G256" s="85"/>
      <c r="H256" s="85"/>
      <c r="I256" s="85"/>
      <c r="J256" s="85"/>
      <c r="K256" s="28"/>
      <c r="L256" s="28"/>
      <c r="M256" s="85"/>
      <c r="N256" s="28"/>
      <c r="O256" s="28"/>
      <c r="P256" s="85"/>
      <c r="Q256" s="28"/>
      <c r="R256" s="28"/>
      <c r="S256" s="85"/>
      <c r="T256" s="48"/>
      <c r="U256" s="48"/>
      <c r="V256" s="51"/>
      <c r="W256" s="28"/>
      <c r="X256" s="28"/>
      <c r="Y256" s="28"/>
      <c r="Z256" s="28"/>
      <c r="AA256" s="28"/>
      <c r="AB256" s="36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42">
        <f>SUM($T240:AQ256)</f>
        <v>-487087.82890000002</v>
      </c>
      <c r="AT256" s="10"/>
      <c r="AU256" s="11"/>
      <c r="AV256" s="2" t="s">
        <v>5</v>
      </c>
    </row>
    <row r="257" spans="1:49" s="2" customFormat="1" ht="17.25" customHeight="1" thickTop="1" thickBot="1" x14ac:dyDescent="0.3">
      <c r="A257" s="103"/>
      <c r="B257" s="104" t="s">
        <v>103</v>
      </c>
      <c r="C257" s="105">
        <f>AR257</f>
        <v>-368502.60935999989</v>
      </c>
      <c r="D257" s="106">
        <f t="shared" ref="D257:K257" si="28">SUM(D240:D256)</f>
        <v>12717.607040000057</v>
      </c>
      <c r="E257" s="107">
        <f t="shared" si="28"/>
        <v>-43287.790000000008</v>
      </c>
      <c r="F257" s="107">
        <f t="shared" si="28"/>
        <v>0.65000000000145519</v>
      </c>
      <c r="G257" s="107">
        <f t="shared" si="28"/>
        <v>0</v>
      </c>
      <c r="H257" s="107">
        <f t="shared" si="28"/>
        <v>65082.292500000054</v>
      </c>
      <c r="I257" s="107">
        <f t="shared" si="28"/>
        <v>10004.65</v>
      </c>
      <c r="J257" s="107">
        <f t="shared" si="28"/>
        <v>0</v>
      </c>
      <c r="K257" s="108">
        <f t="shared" si="28"/>
        <v>12170</v>
      </c>
      <c r="L257" s="109">
        <f>M257/K257</f>
        <v>5.1465924404272805</v>
      </c>
      <c r="M257" s="107">
        <f>ROUND(SUM(M240:M256),2)</f>
        <v>62634.03</v>
      </c>
      <c r="N257" s="108">
        <f>SUM(N240:N256)</f>
        <v>2783</v>
      </c>
      <c r="O257" s="109">
        <f>P257/N257</f>
        <v>3.6394143011139057</v>
      </c>
      <c r="P257" s="107">
        <f>ROUND(SUM(P240:P256),2)</f>
        <v>10128.49</v>
      </c>
      <c r="Q257" s="108">
        <f>SUM(Q240:Q256)</f>
        <v>214</v>
      </c>
      <c r="R257" s="109">
        <f>S257/Q257</f>
        <v>6.099485981308411</v>
      </c>
      <c r="S257" s="107">
        <f>ROUND(SUM(S240:S256),2)</f>
        <v>1305.29</v>
      </c>
      <c r="T257" s="110">
        <f t="shared" ref="T257:AQ257" si="29">SUM(T240:T256)</f>
        <v>-537317.12890000001</v>
      </c>
      <c r="U257" s="107">
        <f t="shared" si="29"/>
        <v>50229.299999999996</v>
      </c>
      <c r="V257" s="107">
        <f t="shared" si="29"/>
        <v>0</v>
      </c>
      <c r="W257" s="107">
        <f t="shared" si="29"/>
        <v>0</v>
      </c>
      <c r="X257" s="107">
        <f t="shared" si="29"/>
        <v>0</v>
      </c>
      <c r="Y257" s="107">
        <f t="shared" si="29"/>
        <v>0</v>
      </c>
      <c r="Z257" s="107">
        <f t="shared" si="29"/>
        <v>0</v>
      </c>
      <c r="AA257" s="107">
        <f t="shared" si="29"/>
        <v>0</v>
      </c>
      <c r="AB257" s="107">
        <f t="shared" si="29"/>
        <v>0</v>
      </c>
      <c r="AC257" s="107">
        <f t="shared" si="29"/>
        <v>0</v>
      </c>
      <c r="AD257" s="107">
        <f t="shared" si="29"/>
        <v>0</v>
      </c>
      <c r="AE257" s="107">
        <f t="shared" si="29"/>
        <v>0</v>
      </c>
      <c r="AF257" s="107">
        <f t="shared" si="29"/>
        <v>0</v>
      </c>
      <c r="AG257" s="107">
        <f t="shared" si="29"/>
        <v>0</v>
      </c>
      <c r="AH257" s="107">
        <f t="shared" si="29"/>
        <v>0</v>
      </c>
      <c r="AI257" s="107">
        <f t="shared" si="29"/>
        <v>0</v>
      </c>
      <c r="AJ257" s="107">
        <f t="shared" si="29"/>
        <v>0</v>
      </c>
      <c r="AK257" s="107">
        <f t="shared" si="29"/>
        <v>0</v>
      </c>
      <c r="AL257" s="107">
        <f t="shared" si="29"/>
        <v>0</v>
      </c>
      <c r="AM257" s="107">
        <f t="shared" si="29"/>
        <v>0</v>
      </c>
      <c r="AN257" s="107">
        <f t="shared" si="29"/>
        <v>0</v>
      </c>
      <c r="AO257" s="107">
        <f t="shared" si="29"/>
        <v>0</v>
      </c>
      <c r="AP257" s="107">
        <f t="shared" si="29"/>
        <v>0</v>
      </c>
      <c r="AQ257" s="107">
        <f t="shared" si="29"/>
        <v>0</v>
      </c>
      <c r="AR257" s="111">
        <f>D257+E257+F257+G257+H257+I257+J257+M257+P257+S257+SUM(T257:AQ257)</f>
        <v>-368502.60935999989</v>
      </c>
      <c r="AS257" s="4"/>
      <c r="AT257" s="5"/>
      <c r="AU257" s="5"/>
      <c r="AV257" s="2" t="s">
        <v>484</v>
      </c>
    </row>
    <row r="258" spans="1:49" s="2" customFormat="1" ht="17.25" customHeight="1" thickTop="1" x14ac:dyDescent="0.25">
      <c r="A258" s="29">
        <f>A241+1</f>
        <v>46372</v>
      </c>
      <c r="B258" s="261" t="s">
        <v>480</v>
      </c>
      <c r="C258" s="262"/>
      <c r="D258" s="63"/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16"/>
      <c r="R258" s="92"/>
      <c r="S258" s="64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/>
      <c r="AU258" s="11"/>
    </row>
    <row r="259" spans="1:49" s="2" customFormat="1" ht="17.25" customHeight="1" x14ac:dyDescent="0.25">
      <c r="A259" s="29"/>
      <c r="B259" s="201" t="s">
        <v>64</v>
      </c>
      <c r="C259" s="202"/>
      <c r="D259" s="65"/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96</v>
      </c>
      <c r="C260" s="202"/>
      <c r="D260" s="65"/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2" customFormat="1" ht="17.25" customHeight="1" x14ac:dyDescent="0.25">
      <c r="A261" s="29"/>
      <c r="B261" s="201" t="s">
        <v>327</v>
      </c>
      <c r="C261" s="202"/>
      <c r="D261" s="65"/>
      <c r="E261" s="64"/>
      <c r="F261" s="64"/>
      <c r="G261" s="64"/>
      <c r="H261" s="64"/>
      <c r="I261" s="64"/>
      <c r="J261" s="64"/>
      <c r="K261" s="57"/>
      <c r="L261" s="88"/>
      <c r="M261" s="62"/>
      <c r="N261" s="57"/>
      <c r="O261" s="88"/>
      <c r="P261" s="62"/>
      <c r="Q261" s="57"/>
      <c r="R261" s="88"/>
      <c r="S261" s="62"/>
      <c r="T261" s="47"/>
      <c r="U261" s="39"/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T261" s="10"/>
      <c r="AU261" s="11"/>
    </row>
    <row r="262" spans="1:49" s="2" customFormat="1" ht="17.25" customHeight="1" x14ac:dyDescent="0.25">
      <c r="A262" s="29"/>
      <c r="B262" s="201" t="s">
        <v>328</v>
      </c>
      <c r="C262" s="202"/>
      <c r="D262" s="63"/>
      <c r="E262" s="64"/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16"/>
      <c r="R262" s="92"/>
      <c r="S262" s="64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/>
      <c r="AU262" s="11"/>
    </row>
    <row r="263" spans="1:49" s="2" customFormat="1" ht="17.25" customHeight="1" x14ac:dyDescent="0.25">
      <c r="A263" s="29"/>
      <c r="B263" s="261" t="s">
        <v>481</v>
      </c>
      <c r="C263" s="262"/>
      <c r="D263" s="63"/>
      <c r="E263" s="64"/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16"/>
      <c r="R263" s="92"/>
      <c r="S263" s="64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/>
      <c r="AU263" s="11"/>
    </row>
    <row r="264" spans="1:49" s="2" customFormat="1" ht="17.25" customHeight="1" x14ac:dyDescent="0.25">
      <c r="A264" s="29"/>
      <c r="B264" s="201" t="s">
        <v>483</v>
      </c>
      <c r="C264" s="202"/>
      <c r="D264" s="63"/>
      <c r="E264" s="64"/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16"/>
      <c r="R264" s="92"/>
      <c r="S264" s="64"/>
      <c r="T264" s="47"/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/>
      <c r="AU264" s="11"/>
    </row>
    <row r="265" spans="1:49" s="4" customFormat="1" ht="17.25" customHeight="1" thickBot="1" x14ac:dyDescent="0.3">
      <c r="A265" s="24"/>
      <c r="B265" s="246"/>
      <c r="C265" s="246"/>
      <c r="D265" s="81"/>
      <c r="E265" s="81"/>
      <c r="F265" s="81"/>
      <c r="G265" s="81"/>
      <c r="H265" s="81"/>
      <c r="I265" s="81"/>
      <c r="J265" s="81"/>
      <c r="K265" s="59"/>
      <c r="L265" s="90"/>
      <c r="M265" s="136"/>
      <c r="N265" s="59"/>
      <c r="O265" s="90"/>
      <c r="P265" s="136"/>
      <c r="Q265" s="59"/>
      <c r="R265" s="90"/>
      <c r="S265" s="136"/>
      <c r="T265" s="39"/>
      <c r="U265" s="39"/>
      <c r="V265" s="39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22"/>
      <c r="AR265" s="43"/>
      <c r="AS265" s="12" t="e">
        <f>#REF!</f>
        <v>#REF!</v>
      </c>
      <c r="AW265" s="2"/>
    </row>
    <row r="266" spans="1:49" s="2" customFormat="1" ht="17.25" customHeight="1" x14ac:dyDescent="0.25">
      <c r="A266" s="29"/>
      <c r="B266" s="261" t="s">
        <v>482</v>
      </c>
      <c r="C266" s="262"/>
      <c r="D266" s="63"/>
      <c r="E266" s="64"/>
      <c r="F266" s="64"/>
      <c r="G266" s="64"/>
      <c r="H266" s="64"/>
      <c r="I266" s="64"/>
      <c r="J266" s="64"/>
      <c r="K266" s="57"/>
      <c r="L266" s="88"/>
      <c r="M266" s="62"/>
      <c r="N266" s="57"/>
      <c r="O266" s="88"/>
      <c r="P266" s="62"/>
      <c r="Q266" s="16"/>
      <c r="R266" s="92"/>
      <c r="S266" s="64"/>
      <c r="T266" s="47"/>
      <c r="U266" s="39"/>
      <c r="V266" s="39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22"/>
      <c r="AT266" s="10"/>
      <c r="AU266" s="11"/>
    </row>
    <row r="267" spans="1:49" s="4" customFormat="1" ht="17.25" customHeight="1" x14ac:dyDescent="0.25">
      <c r="A267" s="23"/>
      <c r="B267" s="212" t="s">
        <v>94</v>
      </c>
      <c r="C267" s="212"/>
      <c r="D267" s="66"/>
      <c r="E267" s="66"/>
      <c r="F267" s="117"/>
      <c r="G267" s="117"/>
      <c r="H267" s="66"/>
      <c r="I267" s="66"/>
      <c r="J267" s="66"/>
      <c r="K267" s="58"/>
      <c r="L267" s="89"/>
      <c r="M267" s="73"/>
      <c r="N267" s="58"/>
      <c r="O267" s="89"/>
      <c r="P267" s="73"/>
      <c r="Q267" s="58"/>
      <c r="R267" s="89"/>
      <c r="S267" s="73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95</v>
      </c>
      <c r="C268" s="203"/>
      <c r="D268" s="64"/>
      <c r="E268" s="64"/>
      <c r="F268" s="117"/>
      <c r="G268" s="117"/>
      <c r="H268" s="64"/>
      <c r="I268" s="64"/>
      <c r="J268" s="64"/>
      <c r="K268" s="57"/>
      <c r="L268" s="88"/>
      <c r="M268" s="62"/>
      <c r="N268" s="57"/>
      <c r="O268" s="88"/>
      <c r="P268" s="62"/>
      <c r="Q268" s="58"/>
      <c r="R268" s="89"/>
      <c r="S268" s="73"/>
      <c r="T268" s="39"/>
      <c r="U268" s="39"/>
      <c r="V268" s="8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35"/>
      <c r="AS268" s="12" t="e">
        <f>#REF!</f>
        <v>#REF!</v>
      </c>
    </row>
    <row r="269" spans="1:49" s="4" customFormat="1" ht="17.25" customHeight="1" x14ac:dyDescent="0.25">
      <c r="A269" s="23"/>
      <c r="B269" s="201" t="s">
        <v>479</v>
      </c>
      <c r="C269" s="203"/>
      <c r="D269" s="64"/>
      <c r="E269" s="64"/>
      <c r="F269" s="117"/>
      <c r="G269" s="117"/>
      <c r="H269" s="64"/>
      <c r="I269" s="64"/>
      <c r="J269" s="64"/>
      <c r="K269" s="57"/>
      <c r="L269" s="88"/>
      <c r="M269" s="62"/>
      <c r="N269" s="57"/>
      <c r="O269" s="88"/>
      <c r="P269" s="62"/>
      <c r="Q269" s="57"/>
      <c r="R269" s="88"/>
      <c r="S269" s="62"/>
      <c r="T269" s="39"/>
      <c r="U269" s="39"/>
      <c r="V269" s="8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35"/>
      <c r="AS269" s="12" t="e">
        <f>#REF!</f>
        <v>#REF!</v>
      </c>
    </row>
    <row r="270" spans="1:49" s="4" customFormat="1" ht="17.25" customHeight="1" x14ac:dyDescent="0.25">
      <c r="A270" s="23"/>
      <c r="B270" s="201" t="s">
        <v>97</v>
      </c>
      <c r="C270" s="203"/>
      <c r="D270" s="64"/>
      <c r="E270" s="64"/>
      <c r="F270" s="64"/>
      <c r="G270" s="64"/>
      <c r="H270" s="64"/>
      <c r="I270" s="64"/>
      <c r="J270" s="64"/>
      <c r="K270" s="57"/>
      <c r="L270" s="88"/>
      <c r="M270" s="62"/>
      <c r="N270" s="57"/>
      <c r="O270" s="88"/>
      <c r="P270" s="62"/>
      <c r="Q270" s="57"/>
      <c r="R270" s="88"/>
      <c r="S270" s="62"/>
      <c r="T270" s="39"/>
      <c r="U270" s="39"/>
      <c r="V270" s="39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22"/>
      <c r="AR270" s="43"/>
      <c r="AS270" s="12" t="e">
        <f>#REF!</f>
        <v>#REF!</v>
      </c>
      <c r="AW270" s="2"/>
    </row>
    <row r="271" spans="1:49" s="4" customFormat="1" ht="17.25" customHeight="1" x14ac:dyDescent="0.25">
      <c r="A271" s="23"/>
      <c r="B271" s="201" t="s">
        <v>100</v>
      </c>
      <c r="C271" s="202"/>
      <c r="D271" s="64"/>
      <c r="E271" s="64"/>
      <c r="F271" s="64"/>
      <c r="G271" s="64"/>
      <c r="H271" s="64"/>
      <c r="I271" s="64"/>
      <c r="J271" s="64"/>
      <c r="K271" s="57"/>
      <c r="L271" s="88"/>
      <c r="M271" s="62"/>
      <c r="N271" s="57"/>
      <c r="O271" s="88"/>
      <c r="P271" s="62"/>
      <c r="Q271" s="57"/>
      <c r="R271" s="88"/>
      <c r="S271" s="62"/>
      <c r="T271" s="39"/>
      <c r="U271" s="39"/>
      <c r="V271" s="39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22"/>
      <c r="AR271" s="43"/>
      <c r="AS271" s="12" t="e">
        <f>#REF!</f>
        <v>#REF!</v>
      </c>
      <c r="AW271" s="2"/>
    </row>
    <row r="272" spans="1:49" s="2" customFormat="1" ht="17.25" customHeight="1" x14ac:dyDescent="0.2">
      <c r="A272" s="24"/>
      <c r="B272" s="201"/>
      <c r="C272" s="204"/>
      <c r="D272" s="63"/>
      <c r="E272" s="64"/>
      <c r="F272" s="64"/>
      <c r="G272" s="64"/>
      <c r="H272" s="64"/>
      <c r="I272" s="64"/>
      <c r="J272" s="64"/>
      <c r="K272" s="16"/>
      <c r="L272" s="16"/>
      <c r="M272" s="64"/>
      <c r="N272" s="16"/>
      <c r="O272" s="16"/>
      <c r="P272" s="64"/>
      <c r="Q272" s="16"/>
      <c r="R272" s="16"/>
      <c r="S272" s="64"/>
      <c r="T272" s="46"/>
      <c r="U272" s="46"/>
      <c r="V272" s="39"/>
      <c r="W272" s="16"/>
      <c r="X272" s="16"/>
      <c r="Y272" s="16"/>
      <c r="Z272" s="16"/>
      <c r="AA272" s="16"/>
      <c r="AB272" s="19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43"/>
      <c r="AT272" s="10"/>
      <c r="AU272" s="11"/>
    </row>
    <row r="273" spans="1:49" s="2" customFormat="1" ht="17.25" customHeight="1" thickBot="1" x14ac:dyDescent="0.3">
      <c r="A273" s="56"/>
      <c r="B273" s="101" t="s">
        <v>102</v>
      </c>
      <c r="C273" s="102">
        <f>D274+E274+F274+G274+H274+I274+J274+M274+P274</f>
        <v>117279.92954000011</v>
      </c>
      <c r="D273" s="84"/>
      <c r="E273" s="85"/>
      <c r="F273" s="85"/>
      <c r="G273" s="85"/>
      <c r="H273" s="85"/>
      <c r="I273" s="85"/>
      <c r="J273" s="85"/>
      <c r="K273" s="28"/>
      <c r="L273" s="28"/>
      <c r="M273" s="85"/>
      <c r="N273" s="28"/>
      <c r="O273" s="28"/>
      <c r="P273" s="85"/>
      <c r="Q273" s="28"/>
      <c r="R273" s="28"/>
      <c r="S273" s="85"/>
      <c r="T273" s="48"/>
      <c r="U273" s="48"/>
      <c r="V273" s="51"/>
      <c r="W273" s="28"/>
      <c r="X273" s="28"/>
      <c r="Y273" s="28"/>
      <c r="Z273" s="28"/>
      <c r="AA273" s="28"/>
      <c r="AB273" s="36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42">
        <f>SUM($T257:AQ273)</f>
        <v>-487087.82890000002</v>
      </c>
      <c r="AT273" s="10"/>
      <c r="AU273" s="11"/>
      <c r="AV273" s="2" t="s">
        <v>5</v>
      </c>
    </row>
    <row r="274" spans="1:49" s="2" customFormat="1" ht="17.25" customHeight="1" thickTop="1" thickBot="1" x14ac:dyDescent="0.3">
      <c r="A274" s="103"/>
      <c r="B274" s="104" t="s">
        <v>103</v>
      </c>
      <c r="C274" s="105">
        <f>AR274</f>
        <v>-368502.60935999989</v>
      </c>
      <c r="D274" s="106">
        <f t="shared" ref="D274:K274" si="30">SUM(D257:D273)</f>
        <v>12717.607040000057</v>
      </c>
      <c r="E274" s="107">
        <f t="shared" si="30"/>
        <v>-43287.790000000008</v>
      </c>
      <c r="F274" s="107">
        <f t="shared" si="30"/>
        <v>0.65000000000145519</v>
      </c>
      <c r="G274" s="107">
        <f t="shared" si="30"/>
        <v>0</v>
      </c>
      <c r="H274" s="107">
        <f t="shared" si="30"/>
        <v>65082.292500000054</v>
      </c>
      <c r="I274" s="107">
        <f t="shared" si="30"/>
        <v>10004.65</v>
      </c>
      <c r="J274" s="107">
        <f t="shared" si="30"/>
        <v>0</v>
      </c>
      <c r="K274" s="108">
        <f t="shared" si="30"/>
        <v>12170</v>
      </c>
      <c r="L274" s="109">
        <f>M274/K274</f>
        <v>5.1465924404272805</v>
      </c>
      <c r="M274" s="107">
        <f>ROUND(SUM(M257:M273),2)</f>
        <v>62634.03</v>
      </c>
      <c r="N274" s="108">
        <f>SUM(N257:N273)</f>
        <v>2783</v>
      </c>
      <c r="O274" s="109">
        <f>P274/N274</f>
        <v>3.6394143011139057</v>
      </c>
      <c r="P274" s="107">
        <f>ROUND(SUM(P257:P273),2)</f>
        <v>10128.49</v>
      </c>
      <c r="Q274" s="108">
        <f>SUM(Q257:Q273)</f>
        <v>214</v>
      </c>
      <c r="R274" s="109">
        <f>S274/Q274</f>
        <v>6.099485981308411</v>
      </c>
      <c r="S274" s="107">
        <f>ROUND(SUM(S257:S273),2)</f>
        <v>1305.29</v>
      </c>
      <c r="T274" s="110">
        <f t="shared" ref="T274:AQ274" si="31">SUM(T257:T273)</f>
        <v>-537317.12890000001</v>
      </c>
      <c r="U274" s="107">
        <f t="shared" si="31"/>
        <v>50229.299999999996</v>
      </c>
      <c r="V274" s="107">
        <f t="shared" si="31"/>
        <v>0</v>
      </c>
      <c r="W274" s="107">
        <f t="shared" si="31"/>
        <v>0</v>
      </c>
      <c r="X274" s="107">
        <f t="shared" si="31"/>
        <v>0</v>
      </c>
      <c r="Y274" s="107">
        <f t="shared" si="31"/>
        <v>0</v>
      </c>
      <c r="Z274" s="107">
        <f t="shared" si="31"/>
        <v>0</v>
      </c>
      <c r="AA274" s="107">
        <f t="shared" si="31"/>
        <v>0</v>
      </c>
      <c r="AB274" s="107">
        <f t="shared" si="31"/>
        <v>0</v>
      </c>
      <c r="AC274" s="107">
        <f t="shared" si="31"/>
        <v>0</v>
      </c>
      <c r="AD274" s="107">
        <f t="shared" si="31"/>
        <v>0</v>
      </c>
      <c r="AE274" s="107">
        <f t="shared" si="31"/>
        <v>0</v>
      </c>
      <c r="AF274" s="107">
        <f t="shared" si="31"/>
        <v>0</v>
      </c>
      <c r="AG274" s="107">
        <f t="shared" si="31"/>
        <v>0</v>
      </c>
      <c r="AH274" s="107">
        <f t="shared" si="31"/>
        <v>0</v>
      </c>
      <c r="AI274" s="107">
        <f t="shared" si="31"/>
        <v>0</v>
      </c>
      <c r="AJ274" s="107">
        <f t="shared" si="31"/>
        <v>0</v>
      </c>
      <c r="AK274" s="107">
        <f t="shared" si="31"/>
        <v>0</v>
      </c>
      <c r="AL274" s="107">
        <f t="shared" si="31"/>
        <v>0</v>
      </c>
      <c r="AM274" s="107">
        <f t="shared" si="31"/>
        <v>0</v>
      </c>
      <c r="AN274" s="107">
        <f t="shared" si="31"/>
        <v>0</v>
      </c>
      <c r="AO274" s="107">
        <f t="shared" si="31"/>
        <v>0</v>
      </c>
      <c r="AP274" s="107">
        <f t="shared" si="31"/>
        <v>0</v>
      </c>
      <c r="AQ274" s="107">
        <f t="shared" si="31"/>
        <v>0</v>
      </c>
      <c r="AR274" s="111">
        <f>D274+E274+F274+G274+H274+I274+J274+M274+P274+S274+SUM(T274:AQ274)</f>
        <v>-368502.60935999989</v>
      </c>
      <c r="AS274" s="4"/>
      <c r="AT274" s="5"/>
      <c r="AU274" s="5"/>
      <c r="AV274" s="2" t="s">
        <v>484</v>
      </c>
    </row>
    <row r="275" spans="1:49" s="2" customFormat="1" ht="17.25" customHeight="1" thickTop="1" x14ac:dyDescent="0.25">
      <c r="A275" s="29">
        <f>A258+1</f>
        <v>46373</v>
      </c>
      <c r="B275" s="261" t="s">
        <v>480</v>
      </c>
      <c r="C275" s="262"/>
      <c r="D275" s="63"/>
      <c r="E275" s="64"/>
      <c r="F275" s="64"/>
      <c r="G275" s="64"/>
      <c r="H275" s="64"/>
      <c r="I275" s="64"/>
      <c r="J275" s="64"/>
      <c r="K275" s="57"/>
      <c r="L275" s="88"/>
      <c r="M275" s="62"/>
      <c r="N275" s="57"/>
      <c r="O275" s="88"/>
      <c r="P275" s="62"/>
      <c r="Q275" s="16"/>
      <c r="R275" s="92"/>
      <c r="S275" s="64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64</v>
      </c>
      <c r="C276" s="202"/>
      <c r="D276" s="65"/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 t="s">
        <v>4</v>
      </c>
      <c r="AU276" s="11" t="e">
        <v>#REF!</v>
      </c>
    </row>
    <row r="277" spans="1:49" s="2" customFormat="1" ht="17.25" customHeight="1" x14ac:dyDescent="0.25">
      <c r="A277" s="29"/>
      <c r="B277" s="201" t="s">
        <v>96</v>
      </c>
      <c r="C277" s="202"/>
      <c r="D277" s="65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2" customFormat="1" ht="17.25" customHeight="1" x14ac:dyDescent="0.25">
      <c r="A278" s="29"/>
      <c r="B278" s="201" t="s">
        <v>327</v>
      </c>
      <c r="C278" s="202"/>
      <c r="D278" s="65"/>
      <c r="E278" s="64"/>
      <c r="F278" s="64"/>
      <c r="G278" s="64"/>
      <c r="H278" s="64"/>
      <c r="I278" s="64"/>
      <c r="J278" s="64"/>
      <c r="K278" s="57"/>
      <c r="L278" s="88"/>
      <c r="M278" s="62"/>
      <c r="N278" s="57"/>
      <c r="O278" s="88"/>
      <c r="P278" s="62"/>
      <c r="Q278" s="57"/>
      <c r="R278" s="88"/>
      <c r="S278" s="62"/>
      <c r="T278" s="47"/>
      <c r="U278" s="39"/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T278" s="10"/>
      <c r="AU278" s="11"/>
    </row>
    <row r="279" spans="1:49" s="2" customFormat="1" ht="17.25" customHeight="1" x14ac:dyDescent="0.25">
      <c r="A279" s="29"/>
      <c r="B279" s="201" t="s">
        <v>328</v>
      </c>
      <c r="C279" s="202"/>
      <c r="D279" s="63"/>
      <c r="E279" s="64"/>
      <c r="F279" s="64"/>
      <c r="G279" s="64"/>
      <c r="H279" s="64"/>
      <c r="I279" s="64"/>
      <c r="J279" s="64"/>
      <c r="K279" s="57"/>
      <c r="L279" s="88"/>
      <c r="M279" s="62"/>
      <c r="N279" s="57"/>
      <c r="O279" s="88"/>
      <c r="P279" s="62"/>
      <c r="Q279" s="16"/>
      <c r="R279" s="92"/>
      <c r="S279" s="64"/>
      <c r="T279" s="47"/>
      <c r="U279" s="39"/>
      <c r="V279" s="39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22"/>
      <c r="AT279" s="10"/>
      <c r="AU279" s="11"/>
    </row>
    <row r="280" spans="1:49" s="2" customFormat="1" ht="17.25" customHeight="1" x14ac:dyDescent="0.25">
      <c r="A280" s="29"/>
      <c r="B280" s="261" t="s">
        <v>481</v>
      </c>
      <c r="C280" s="262"/>
      <c r="D280" s="63"/>
      <c r="E280" s="64"/>
      <c r="F280" s="64"/>
      <c r="G280" s="64"/>
      <c r="H280" s="64"/>
      <c r="I280" s="64"/>
      <c r="J280" s="64"/>
      <c r="K280" s="57"/>
      <c r="L280" s="88"/>
      <c r="M280" s="62"/>
      <c r="N280" s="57"/>
      <c r="O280" s="88"/>
      <c r="P280" s="62"/>
      <c r="Q280" s="16"/>
      <c r="R280" s="92"/>
      <c r="S280" s="64"/>
      <c r="T280" s="47"/>
      <c r="U280" s="39"/>
      <c r="V280" s="39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22"/>
      <c r="AT280" s="10"/>
      <c r="AU280" s="11"/>
    </row>
    <row r="281" spans="1:49" s="2" customFormat="1" ht="17.25" customHeight="1" x14ac:dyDescent="0.25">
      <c r="A281" s="29"/>
      <c r="B281" s="201" t="s">
        <v>483</v>
      </c>
      <c r="C281" s="202"/>
      <c r="D281" s="63"/>
      <c r="E281" s="64"/>
      <c r="F281" s="64"/>
      <c r="G281" s="64"/>
      <c r="H281" s="64"/>
      <c r="I281" s="64"/>
      <c r="J281" s="64"/>
      <c r="K281" s="57"/>
      <c r="L281" s="88"/>
      <c r="M281" s="62"/>
      <c r="N281" s="57"/>
      <c r="O281" s="88"/>
      <c r="P281" s="62"/>
      <c r="Q281" s="16"/>
      <c r="R281" s="92"/>
      <c r="S281" s="64"/>
      <c r="T281" s="47"/>
      <c r="U281" s="39"/>
      <c r="V281" s="39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22"/>
      <c r="AT281" s="10"/>
      <c r="AU281" s="11"/>
    </row>
    <row r="282" spans="1:49" s="4" customFormat="1" ht="17.25" customHeight="1" thickBot="1" x14ac:dyDescent="0.3">
      <c r="A282" s="24"/>
      <c r="B282" s="246"/>
      <c r="C282" s="246"/>
      <c r="D282" s="81"/>
      <c r="E282" s="81"/>
      <c r="F282" s="81"/>
      <c r="G282" s="81"/>
      <c r="H282" s="81"/>
      <c r="I282" s="81"/>
      <c r="J282" s="81"/>
      <c r="K282" s="59"/>
      <c r="L282" s="90"/>
      <c r="M282" s="136"/>
      <c r="N282" s="59"/>
      <c r="O282" s="90"/>
      <c r="P282" s="136"/>
      <c r="Q282" s="59"/>
      <c r="R282" s="90"/>
      <c r="S282" s="136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/>
      <c r="AS282" s="12" t="e">
        <f>#REF!</f>
        <v>#REF!</v>
      </c>
      <c r="AW282" s="2"/>
    </row>
    <row r="283" spans="1:49" s="2" customFormat="1" ht="17.25" customHeight="1" x14ac:dyDescent="0.25">
      <c r="A283" s="29"/>
      <c r="B283" s="261" t="s">
        <v>482</v>
      </c>
      <c r="C283" s="262"/>
      <c r="D283" s="63"/>
      <c r="E283" s="64"/>
      <c r="F283" s="64"/>
      <c r="G283" s="64"/>
      <c r="H283" s="64"/>
      <c r="I283" s="64"/>
      <c r="J283" s="64"/>
      <c r="K283" s="57"/>
      <c r="L283" s="88"/>
      <c r="M283" s="62"/>
      <c r="N283" s="57"/>
      <c r="O283" s="88"/>
      <c r="P283" s="62"/>
      <c r="Q283" s="16"/>
      <c r="R283" s="92"/>
      <c r="S283" s="64"/>
      <c r="T283" s="47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22"/>
      <c r="AT283" s="10"/>
      <c r="AU283" s="11"/>
    </row>
    <row r="284" spans="1:49" s="4" customFormat="1" ht="17.25" customHeight="1" x14ac:dyDescent="0.25">
      <c r="A284" s="23"/>
      <c r="B284" s="212" t="s">
        <v>94</v>
      </c>
      <c r="C284" s="212"/>
      <c r="D284" s="66"/>
      <c r="E284" s="66"/>
      <c r="F284" s="117"/>
      <c r="G284" s="117"/>
      <c r="H284" s="66"/>
      <c r="I284" s="66"/>
      <c r="J284" s="66"/>
      <c r="K284" s="58"/>
      <c r="L284" s="89"/>
      <c r="M284" s="73"/>
      <c r="N284" s="58"/>
      <c r="O284" s="89"/>
      <c r="P284" s="73"/>
      <c r="Q284" s="58"/>
      <c r="R284" s="89"/>
      <c r="S284" s="73"/>
      <c r="T284" s="39"/>
      <c r="U284" s="39"/>
      <c r="V284" s="8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35"/>
      <c r="AS284" s="12" t="e">
        <f>#REF!</f>
        <v>#REF!</v>
      </c>
    </row>
    <row r="285" spans="1:49" s="4" customFormat="1" ht="17.25" customHeight="1" x14ac:dyDescent="0.25">
      <c r="A285" s="23"/>
      <c r="B285" s="201" t="s">
        <v>95</v>
      </c>
      <c r="C285" s="203"/>
      <c r="D285" s="64"/>
      <c r="E285" s="64"/>
      <c r="F285" s="117"/>
      <c r="G285" s="117"/>
      <c r="H285" s="64"/>
      <c r="I285" s="64"/>
      <c r="J285" s="64"/>
      <c r="K285" s="57"/>
      <c r="L285" s="88"/>
      <c r="M285" s="62"/>
      <c r="N285" s="57"/>
      <c r="O285" s="88"/>
      <c r="P285" s="62"/>
      <c r="Q285" s="58"/>
      <c r="R285" s="89"/>
      <c r="S285" s="73"/>
      <c r="T285" s="39"/>
      <c r="U285" s="39"/>
      <c r="V285" s="8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35"/>
      <c r="AS285" s="12" t="e">
        <f>#REF!</f>
        <v>#REF!</v>
      </c>
    </row>
    <row r="286" spans="1:49" s="4" customFormat="1" ht="17.25" customHeight="1" x14ac:dyDescent="0.25">
      <c r="A286" s="23"/>
      <c r="B286" s="201" t="s">
        <v>479</v>
      </c>
      <c r="C286" s="203"/>
      <c r="D286" s="64"/>
      <c r="E286" s="64"/>
      <c r="F286" s="117"/>
      <c r="G286" s="117"/>
      <c r="H286" s="64"/>
      <c r="I286" s="64"/>
      <c r="J286" s="64"/>
      <c r="K286" s="57"/>
      <c r="L286" s="88"/>
      <c r="M286" s="62"/>
      <c r="N286" s="57"/>
      <c r="O286" s="88"/>
      <c r="P286" s="62"/>
      <c r="Q286" s="57"/>
      <c r="R286" s="88"/>
      <c r="S286" s="62"/>
      <c r="T286" s="39"/>
      <c r="U286" s="39"/>
      <c r="V286" s="8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35"/>
      <c r="AS286" s="12" t="e">
        <f>#REF!</f>
        <v>#REF!</v>
      </c>
    </row>
    <row r="287" spans="1:49" s="4" customFormat="1" ht="17.25" customHeight="1" x14ac:dyDescent="0.25">
      <c r="A287" s="23"/>
      <c r="B287" s="201" t="s">
        <v>97</v>
      </c>
      <c r="C287" s="203"/>
      <c r="D287" s="64"/>
      <c r="E287" s="64"/>
      <c r="F287" s="64"/>
      <c r="G287" s="64"/>
      <c r="H287" s="64"/>
      <c r="I287" s="64"/>
      <c r="J287" s="64"/>
      <c r="K287" s="57"/>
      <c r="L287" s="88"/>
      <c r="M287" s="62"/>
      <c r="N287" s="57"/>
      <c r="O287" s="88"/>
      <c r="P287" s="62"/>
      <c r="Q287" s="57"/>
      <c r="R287" s="88"/>
      <c r="S287" s="62"/>
      <c r="T287" s="39"/>
      <c r="U287" s="39"/>
      <c r="V287" s="39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22"/>
      <c r="AR287" s="43"/>
      <c r="AS287" s="12" t="e">
        <f>#REF!</f>
        <v>#REF!</v>
      </c>
      <c r="AW287" s="2"/>
    </row>
    <row r="288" spans="1:49" s="4" customFormat="1" ht="17.25" customHeight="1" x14ac:dyDescent="0.25">
      <c r="A288" s="23"/>
      <c r="B288" s="201" t="s">
        <v>100</v>
      </c>
      <c r="C288" s="202"/>
      <c r="D288" s="64"/>
      <c r="E288" s="64"/>
      <c r="F288" s="64"/>
      <c r="G288" s="64"/>
      <c r="H288" s="64"/>
      <c r="I288" s="64"/>
      <c r="J288" s="64"/>
      <c r="K288" s="57"/>
      <c r="L288" s="88"/>
      <c r="M288" s="62"/>
      <c r="N288" s="57"/>
      <c r="O288" s="88"/>
      <c r="P288" s="62"/>
      <c r="Q288" s="57"/>
      <c r="R288" s="88"/>
      <c r="S288" s="62"/>
      <c r="T288" s="39"/>
      <c r="U288" s="39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22"/>
      <c r="AR288" s="43"/>
      <c r="AS288" s="12" t="e">
        <f>#REF!</f>
        <v>#REF!</v>
      </c>
      <c r="AW288" s="2"/>
    </row>
    <row r="289" spans="1:49" s="2" customFormat="1" ht="17.25" customHeight="1" x14ac:dyDescent="0.2">
      <c r="A289" s="24"/>
      <c r="B289" s="201"/>
      <c r="C289" s="204"/>
      <c r="D289" s="63"/>
      <c r="E289" s="64"/>
      <c r="F289" s="64"/>
      <c r="G289" s="64"/>
      <c r="H289" s="64"/>
      <c r="I289" s="64"/>
      <c r="J289" s="64"/>
      <c r="K289" s="16"/>
      <c r="L289" s="16"/>
      <c r="M289" s="64"/>
      <c r="N289" s="16"/>
      <c r="O289" s="16"/>
      <c r="P289" s="64"/>
      <c r="Q289" s="16"/>
      <c r="R289" s="16"/>
      <c r="S289" s="64"/>
      <c r="T289" s="46"/>
      <c r="U289" s="46"/>
      <c r="V289" s="39"/>
      <c r="W289" s="16"/>
      <c r="X289" s="16"/>
      <c r="Y289" s="16"/>
      <c r="Z289" s="16"/>
      <c r="AA289" s="16"/>
      <c r="AB289" s="19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43"/>
      <c r="AT289" s="10"/>
      <c r="AU289" s="11"/>
    </row>
    <row r="290" spans="1:49" s="2" customFormat="1" ht="17.25" customHeight="1" thickBot="1" x14ac:dyDescent="0.3">
      <c r="A290" s="56"/>
      <c r="B290" s="101" t="s">
        <v>102</v>
      </c>
      <c r="C290" s="102">
        <f>D291+E291+F291+G291+H291+I291+J291+M291+P291</f>
        <v>117279.92954000011</v>
      </c>
      <c r="D290" s="84"/>
      <c r="E290" s="85"/>
      <c r="F290" s="85"/>
      <c r="G290" s="85"/>
      <c r="H290" s="85"/>
      <c r="I290" s="85"/>
      <c r="J290" s="85"/>
      <c r="K290" s="28"/>
      <c r="L290" s="28"/>
      <c r="M290" s="85"/>
      <c r="N290" s="28"/>
      <c r="O290" s="28"/>
      <c r="P290" s="85"/>
      <c r="Q290" s="28"/>
      <c r="R290" s="28"/>
      <c r="S290" s="85"/>
      <c r="T290" s="48"/>
      <c r="U290" s="48"/>
      <c r="V290" s="51"/>
      <c r="W290" s="28"/>
      <c r="X290" s="28"/>
      <c r="Y290" s="28"/>
      <c r="Z290" s="28"/>
      <c r="AA290" s="28"/>
      <c r="AB290" s="36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42">
        <f>SUM($T274:AQ290)</f>
        <v>-487087.82890000002</v>
      </c>
      <c r="AT290" s="10"/>
      <c r="AU290" s="11"/>
      <c r="AV290" s="2" t="s">
        <v>5</v>
      </c>
    </row>
    <row r="291" spans="1:49" s="2" customFormat="1" ht="17.25" customHeight="1" thickTop="1" thickBot="1" x14ac:dyDescent="0.3">
      <c r="A291" s="103"/>
      <c r="B291" s="104" t="s">
        <v>103</v>
      </c>
      <c r="C291" s="105">
        <f>AR291</f>
        <v>-368502.60935999989</v>
      </c>
      <c r="D291" s="106">
        <f t="shared" ref="D291:K291" si="32">SUM(D274:D290)</f>
        <v>12717.607040000057</v>
      </c>
      <c r="E291" s="107">
        <f t="shared" si="32"/>
        <v>-43287.790000000008</v>
      </c>
      <c r="F291" s="107">
        <f t="shared" si="32"/>
        <v>0.65000000000145519</v>
      </c>
      <c r="G291" s="107">
        <f t="shared" si="32"/>
        <v>0</v>
      </c>
      <c r="H291" s="107">
        <f t="shared" si="32"/>
        <v>65082.292500000054</v>
      </c>
      <c r="I291" s="107">
        <f t="shared" si="32"/>
        <v>10004.65</v>
      </c>
      <c r="J291" s="107">
        <f t="shared" si="32"/>
        <v>0</v>
      </c>
      <c r="K291" s="108">
        <f t="shared" si="32"/>
        <v>12170</v>
      </c>
      <c r="L291" s="109">
        <f>M291/K291</f>
        <v>5.1465924404272805</v>
      </c>
      <c r="M291" s="107">
        <f>ROUND(SUM(M274:M290),2)</f>
        <v>62634.03</v>
      </c>
      <c r="N291" s="108">
        <f>SUM(N274:N290)</f>
        <v>2783</v>
      </c>
      <c r="O291" s="109">
        <f>P291/N291</f>
        <v>3.6394143011139057</v>
      </c>
      <c r="P291" s="107">
        <f>ROUND(SUM(P274:P290),2)</f>
        <v>10128.49</v>
      </c>
      <c r="Q291" s="108">
        <f>SUM(Q274:Q290)</f>
        <v>214</v>
      </c>
      <c r="R291" s="109">
        <f>S291/Q291</f>
        <v>6.099485981308411</v>
      </c>
      <c r="S291" s="107">
        <f>ROUND(SUM(S274:S290),2)</f>
        <v>1305.29</v>
      </c>
      <c r="T291" s="110">
        <f t="shared" ref="T291:AQ291" si="33">SUM(T274:T290)</f>
        <v>-537317.12890000001</v>
      </c>
      <c r="U291" s="107">
        <f t="shared" si="33"/>
        <v>50229.299999999996</v>
      </c>
      <c r="V291" s="107">
        <f t="shared" si="33"/>
        <v>0</v>
      </c>
      <c r="W291" s="107">
        <f t="shared" si="33"/>
        <v>0</v>
      </c>
      <c r="X291" s="107">
        <f t="shared" si="33"/>
        <v>0</v>
      </c>
      <c r="Y291" s="107">
        <f t="shared" si="33"/>
        <v>0</v>
      </c>
      <c r="Z291" s="107">
        <f t="shared" si="33"/>
        <v>0</v>
      </c>
      <c r="AA291" s="107">
        <f t="shared" si="33"/>
        <v>0</v>
      </c>
      <c r="AB291" s="107">
        <f t="shared" si="33"/>
        <v>0</v>
      </c>
      <c r="AC291" s="107">
        <f t="shared" si="33"/>
        <v>0</v>
      </c>
      <c r="AD291" s="107">
        <f t="shared" si="33"/>
        <v>0</v>
      </c>
      <c r="AE291" s="107">
        <f t="shared" si="33"/>
        <v>0</v>
      </c>
      <c r="AF291" s="107">
        <f t="shared" si="33"/>
        <v>0</v>
      </c>
      <c r="AG291" s="107">
        <f t="shared" si="33"/>
        <v>0</v>
      </c>
      <c r="AH291" s="107">
        <f t="shared" si="33"/>
        <v>0</v>
      </c>
      <c r="AI291" s="107">
        <f t="shared" si="33"/>
        <v>0</v>
      </c>
      <c r="AJ291" s="107">
        <f t="shared" si="33"/>
        <v>0</v>
      </c>
      <c r="AK291" s="107">
        <f t="shared" si="33"/>
        <v>0</v>
      </c>
      <c r="AL291" s="107">
        <f t="shared" si="33"/>
        <v>0</v>
      </c>
      <c r="AM291" s="107">
        <f t="shared" si="33"/>
        <v>0</v>
      </c>
      <c r="AN291" s="107">
        <f t="shared" si="33"/>
        <v>0</v>
      </c>
      <c r="AO291" s="107">
        <f t="shared" si="33"/>
        <v>0</v>
      </c>
      <c r="AP291" s="107">
        <f t="shared" si="33"/>
        <v>0</v>
      </c>
      <c r="AQ291" s="107">
        <f t="shared" si="33"/>
        <v>0</v>
      </c>
      <c r="AR291" s="111">
        <f>D291+E291+F291+G291+H291+I291+J291+M291+P291+S291+SUM(T291:AQ291)</f>
        <v>-368502.60935999989</v>
      </c>
      <c r="AS291" s="4"/>
      <c r="AT291" s="5"/>
      <c r="AU291" s="5"/>
      <c r="AV291" s="2" t="s">
        <v>484</v>
      </c>
    </row>
    <row r="292" spans="1:49" s="2" customFormat="1" ht="17.25" customHeight="1" thickTop="1" x14ac:dyDescent="0.25">
      <c r="A292" s="29">
        <f>A275+1</f>
        <v>46374</v>
      </c>
      <c r="B292" s="261" t="s">
        <v>480</v>
      </c>
      <c r="C292" s="262"/>
      <c r="D292" s="63"/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16"/>
      <c r="R292" s="92"/>
      <c r="S292" s="64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2" customFormat="1" ht="17.25" customHeight="1" x14ac:dyDescent="0.25">
      <c r="A293" s="29"/>
      <c r="B293" s="201" t="s">
        <v>64</v>
      </c>
      <c r="C293" s="202"/>
      <c r="D293" s="65"/>
      <c r="E293" s="64"/>
      <c r="F293" s="64"/>
      <c r="G293" s="64"/>
      <c r="H293" s="64"/>
      <c r="I293" s="64"/>
      <c r="J293" s="64"/>
      <c r="K293" s="57"/>
      <c r="L293" s="88"/>
      <c r="M293" s="62"/>
      <c r="N293" s="57"/>
      <c r="O293" s="88"/>
      <c r="P293" s="62"/>
      <c r="Q293" s="57"/>
      <c r="R293" s="88"/>
      <c r="S293" s="62"/>
      <c r="T293" s="47"/>
      <c r="U293" s="39"/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T293" s="10" t="s">
        <v>4</v>
      </c>
      <c r="AU293" s="11" t="e">
        <v>#REF!</v>
      </c>
    </row>
    <row r="294" spans="1:49" s="2" customFormat="1" ht="17.25" customHeight="1" x14ac:dyDescent="0.25">
      <c r="A294" s="29"/>
      <c r="B294" s="201" t="s">
        <v>96</v>
      </c>
      <c r="C294" s="202"/>
      <c r="D294" s="65"/>
      <c r="E294" s="64"/>
      <c r="F294" s="64"/>
      <c r="G294" s="64"/>
      <c r="H294" s="64"/>
      <c r="I294" s="64"/>
      <c r="J294" s="64"/>
      <c r="K294" s="57"/>
      <c r="L294" s="88"/>
      <c r="M294" s="62"/>
      <c r="N294" s="57"/>
      <c r="O294" s="88"/>
      <c r="P294" s="62"/>
      <c r="Q294" s="57"/>
      <c r="R294" s="88"/>
      <c r="S294" s="62"/>
      <c r="T294" s="47"/>
      <c r="U294" s="39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 t="s">
        <v>4</v>
      </c>
      <c r="AU294" s="11" t="e">
        <v>#REF!</v>
      </c>
    </row>
    <row r="295" spans="1:49" s="2" customFormat="1" ht="17.25" customHeight="1" x14ac:dyDescent="0.25">
      <c r="A295" s="29"/>
      <c r="B295" s="201" t="s">
        <v>327</v>
      </c>
      <c r="C295" s="202"/>
      <c r="D295" s="65"/>
      <c r="E295" s="64"/>
      <c r="F295" s="64"/>
      <c r="G295" s="64"/>
      <c r="H295" s="64"/>
      <c r="I295" s="64"/>
      <c r="J295" s="64"/>
      <c r="K295" s="57"/>
      <c r="L295" s="88"/>
      <c r="M295" s="62"/>
      <c r="N295" s="57"/>
      <c r="O295" s="88"/>
      <c r="P295" s="62"/>
      <c r="Q295" s="57"/>
      <c r="R295" s="88"/>
      <c r="S295" s="62"/>
      <c r="T295" s="47"/>
      <c r="U295" s="39"/>
      <c r="V295" s="39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22"/>
      <c r="AT295" s="10"/>
      <c r="AU295" s="11"/>
    </row>
    <row r="296" spans="1:49" s="2" customFormat="1" ht="17.25" customHeight="1" x14ac:dyDescent="0.25">
      <c r="A296" s="29"/>
      <c r="B296" s="201" t="s">
        <v>328</v>
      </c>
      <c r="C296" s="202"/>
      <c r="D296" s="63"/>
      <c r="E296" s="64"/>
      <c r="F296" s="64"/>
      <c r="G296" s="64"/>
      <c r="H296" s="64"/>
      <c r="I296" s="64"/>
      <c r="J296" s="64"/>
      <c r="K296" s="57"/>
      <c r="L296" s="88"/>
      <c r="M296" s="62"/>
      <c r="N296" s="57"/>
      <c r="O296" s="88"/>
      <c r="P296" s="62"/>
      <c r="Q296" s="16"/>
      <c r="R296" s="92"/>
      <c r="S296" s="64"/>
      <c r="T296" s="47"/>
      <c r="U296" s="39"/>
      <c r="V296" s="39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22"/>
      <c r="AT296" s="10"/>
      <c r="AU296" s="11"/>
    </row>
    <row r="297" spans="1:49" s="2" customFormat="1" ht="17.25" customHeight="1" x14ac:dyDescent="0.25">
      <c r="A297" s="29"/>
      <c r="B297" s="261" t="s">
        <v>481</v>
      </c>
      <c r="C297" s="262"/>
      <c r="D297" s="63"/>
      <c r="E297" s="64"/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16"/>
      <c r="R297" s="92"/>
      <c r="S297" s="64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/>
      <c r="AU297" s="11"/>
    </row>
    <row r="298" spans="1:49" s="2" customFormat="1" ht="17.25" customHeight="1" x14ac:dyDescent="0.25">
      <c r="A298" s="29"/>
      <c r="B298" s="201" t="s">
        <v>483</v>
      </c>
      <c r="C298" s="202"/>
      <c r="D298" s="63"/>
      <c r="E298" s="64"/>
      <c r="F298" s="64"/>
      <c r="G298" s="64"/>
      <c r="H298" s="64"/>
      <c r="I298" s="64"/>
      <c r="J298" s="64"/>
      <c r="K298" s="57"/>
      <c r="L298" s="88"/>
      <c r="M298" s="62"/>
      <c r="N298" s="57"/>
      <c r="O298" s="88"/>
      <c r="P298" s="62"/>
      <c r="Q298" s="16"/>
      <c r="R298" s="92"/>
      <c r="S298" s="64"/>
      <c r="T298" s="47"/>
      <c r="U298" s="39"/>
      <c r="V298" s="39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22"/>
      <c r="AT298" s="10"/>
      <c r="AU298" s="11"/>
    </row>
    <row r="299" spans="1:49" s="4" customFormat="1" ht="17.25" customHeight="1" thickBot="1" x14ac:dyDescent="0.3">
      <c r="A299" s="24"/>
      <c r="B299" s="246"/>
      <c r="C299" s="246"/>
      <c r="D299" s="81"/>
      <c r="E299" s="81"/>
      <c r="F299" s="81"/>
      <c r="G299" s="81"/>
      <c r="H299" s="81"/>
      <c r="I299" s="81"/>
      <c r="J299" s="81"/>
      <c r="K299" s="59"/>
      <c r="L299" s="90"/>
      <c r="M299" s="136"/>
      <c r="N299" s="59"/>
      <c r="O299" s="90"/>
      <c r="P299" s="136"/>
      <c r="Q299" s="59"/>
      <c r="R299" s="90"/>
      <c r="S299" s="136"/>
      <c r="T299" s="39"/>
      <c r="U299" s="39"/>
      <c r="V299" s="39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22"/>
      <c r="AR299" s="43"/>
      <c r="AS299" s="12" t="e">
        <f>#REF!</f>
        <v>#REF!</v>
      </c>
      <c r="AW299" s="2"/>
    </row>
    <row r="300" spans="1:49" s="2" customFormat="1" ht="17.25" customHeight="1" x14ac:dyDescent="0.25">
      <c r="A300" s="29"/>
      <c r="B300" s="261" t="s">
        <v>482</v>
      </c>
      <c r="C300" s="262"/>
      <c r="D300" s="63"/>
      <c r="E300" s="64"/>
      <c r="F300" s="64"/>
      <c r="G300" s="64"/>
      <c r="H300" s="64"/>
      <c r="I300" s="64"/>
      <c r="J300" s="64"/>
      <c r="K300" s="57"/>
      <c r="L300" s="88"/>
      <c r="M300" s="62"/>
      <c r="N300" s="57"/>
      <c r="O300" s="88"/>
      <c r="P300" s="62"/>
      <c r="Q300" s="16"/>
      <c r="R300" s="92"/>
      <c r="S300" s="64"/>
      <c r="T300" s="47"/>
      <c r="U300" s="39"/>
      <c r="V300" s="39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22"/>
      <c r="AT300" s="10"/>
      <c r="AU300" s="11"/>
    </row>
    <row r="301" spans="1:49" s="4" customFormat="1" ht="17.25" customHeight="1" x14ac:dyDescent="0.25">
      <c r="A301" s="23"/>
      <c r="B301" s="212" t="s">
        <v>94</v>
      </c>
      <c r="C301" s="212"/>
      <c r="D301" s="66"/>
      <c r="E301" s="66"/>
      <c r="F301" s="117"/>
      <c r="G301" s="117"/>
      <c r="H301" s="66"/>
      <c r="I301" s="66"/>
      <c r="J301" s="66"/>
      <c r="K301" s="58"/>
      <c r="L301" s="89"/>
      <c r="M301" s="73"/>
      <c r="N301" s="58"/>
      <c r="O301" s="89"/>
      <c r="P301" s="73"/>
      <c r="Q301" s="58"/>
      <c r="R301" s="89"/>
      <c r="S301" s="73"/>
      <c r="T301" s="39"/>
      <c r="U301" s="39"/>
      <c r="V301" s="8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35"/>
      <c r="AS301" s="12" t="e">
        <f>#REF!</f>
        <v>#REF!</v>
      </c>
    </row>
    <row r="302" spans="1:49" s="4" customFormat="1" ht="17.25" customHeight="1" x14ac:dyDescent="0.25">
      <c r="A302" s="23"/>
      <c r="B302" s="201" t="s">
        <v>95</v>
      </c>
      <c r="C302" s="203"/>
      <c r="D302" s="64"/>
      <c r="E302" s="64"/>
      <c r="F302" s="117"/>
      <c r="G302" s="117"/>
      <c r="H302" s="64"/>
      <c r="I302" s="64"/>
      <c r="J302" s="64"/>
      <c r="K302" s="57"/>
      <c r="L302" s="88"/>
      <c r="M302" s="62"/>
      <c r="N302" s="57"/>
      <c r="O302" s="88"/>
      <c r="P302" s="62"/>
      <c r="Q302" s="58"/>
      <c r="R302" s="89"/>
      <c r="S302" s="73"/>
      <c r="T302" s="39"/>
      <c r="U302" s="39"/>
      <c r="V302" s="8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35"/>
      <c r="AS302" s="12" t="e">
        <f>#REF!</f>
        <v>#REF!</v>
      </c>
    </row>
    <row r="303" spans="1:49" s="4" customFormat="1" ht="17.25" customHeight="1" x14ac:dyDescent="0.25">
      <c r="A303" s="23"/>
      <c r="B303" s="201" t="s">
        <v>479</v>
      </c>
      <c r="C303" s="203"/>
      <c r="D303" s="64"/>
      <c r="E303" s="64"/>
      <c r="F303" s="117"/>
      <c r="G303" s="117"/>
      <c r="H303" s="64"/>
      <c r="I303" s="64"/>
      <c r="J303" s="64"/>
      <c r="K303" s="57"/>
      <c r="L303" s="88"/>
      <c r="M303" s="62"/>
      <c r="N303" s="57"/>
      <c r="O303" s="88"/>
      <c r="P303" s="62"/>
      <c r="Q303" s="57"/>
      <c r="R303" s="88"/>
      <c r="S303" s="62"/>
      <c r="T303" s="39"/>
      <c r="U303" s="39"/>
      <c r="V303" s="8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35"/>
      <c r="AS303" s="12" t="e">
        <f>#REF!</f>
        <v>#REF!</v>
      </c>
    </row>
    <row r="304" spans="1:49" s="4" customFormat="1" ht="17.25" customHeight="1" x14ac:dyDescent="0.25">
      <c r="A304" s="23"/>
      <c r="B304" s="201" t="s">
        <v>97</v>
      </c>
      <c r="C304" s="203"/>
      <c r="D304" s="64"/>
      <c r="E304" s="64"/>
      <c r="F304" s="64"/>
      <c r="G304" s="64"/>
      <c r="H304" s="64"/>
      <c r="I304" s="64"/>
      <c r="J304" s="64"/>
      <c r="K304" s="57"/>
      <c r="L304" s="88"/>
      <c r="M304" s="62"/>
      <c r="N304" s="57"/>
      <c r="O304" s="88"/>
      <c r="P304" s="62"/>
      <c r="Q304" s="57"/>
      <c r="R304" s="88"/>
      <c r="S304" s="62"/>
      <c r="T304" s="39"/>
      <c r="U304" s="39"/>
      <c r="V304" s="39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22"/>
      <c r="AR304" s="43"/>
      <c r="AS304" s="12" t="e">
        <f>#REF!</f>
        <v>#REF!</v>
      </c>
      <c r="AW304" s="2"/>
    </row>
    <row r="305" spans="1:49" s="4" customFormat="1" ht="17.25" customHeight="1" x14ac:dyDescent="0.25">
      <c r="A305" s="23"/>
      <c r="B305" s="201" t="s">
        <v>100</v>
      </c>
      <c r="C305" s="202"/>
      <c r="D305" s="64"/>
      <c r="E305" s="64"/>
      <c r="F305" s="64"/>
      <c r="G305" s="64"/>
      <c r="H305" s="64"/>
      <c r="I305" s="64"/>
      <c r="J305" s="64"/>
      <c r="K305" s="57"/>
      <c r="L305" s="88"/>
      <c r="M305" s="62"/>
      <c r="N305" s="57"/>
      <c r="O305" s="88"/>
      <c r="P305" s="62"/>
      <c r="Q305" s="57"/>
      <c r="R305" s="88"/>
      <c r="S305" s="62"/>
      <c r="T305" s="39"/>
      <c r="U305" s="39"/>
      <c r="V305" s="39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22"/>
      <c r="AR305" s="43"/>
      <c r="AS305" s="12" t="e">
        <f>#REF!</f>
        <v>#REF!</v>
      </c>
      <c r="AW305" s="2"/>
    </row>
    <row r="306" spans="1:49" s="2" customFormat="1" ht="17.25" customHeight="1" x14ac:dyDescent="0.2">
      <c r="A306" s="24"/>
      <c r="B306" s="201"/>
      <c r="C306" s="204"/>
      <c r="D306" s="63"/>
      <c r="E306" s="64"/>
      <c r="F306" s="64"/>
      <c r="G306" s="64"/>
      <c r="H306" s="64"/>
      <c r="I306" s="64"/>
      <c r="J306" s="64"/>
      <c r="K306" s="16"/>
      <c r="L306" s="16"/>
      <c r="M306" s="64"/>
      <c r="N306" s="16"/>
      <c r="O306" s="16"/>
      <c r="P306" s="64"/>
      <c r="Q306" s="16"/>
      <c r="R306" s="16"/>
      <c r="S306" s="64"/>
      <c r="T306" s="46"/>
      <c r="U306" s="46"/>
      <c r="V306" s="39"/>
      <c r="W306" s="16"/>
      <c r="X306" s="16"/>
      <c r="Y306" s="16"/>
      <c r="Z306" s="16"/>
      <c r="AA306" s="16"/>
      <c r="AB306" s="19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43"/>
      <c r="AT306" s="10"/>
      <c r="AU306" s="11"/>
    </row>
    <row r="307" spans="1:49" s="2" customFormat="1" ht="17.25" customHeight="1" thickBot="1" x14ac:dyDescent="0.3">
      <c r="A307" s="56"/>
      <c r="B307" s="101" t="s">
        <v>102</v>
      </c>
      <c r="C307" s="102">
        <f>D308+E308+F308+G308+H308+I308+J308+M308+P308</f>
        <v>117279.92954000011</v>
      </c>
      <c r="D307" s="84"/>
      <c r="E307" s="85"/>
      <c r="F307" s="85"/>
      <c r="G307" s="85"/>
      <c r="H307" s="85"/>
      <c r="I307" s="85"/>
      <c r="J307" s="85"/>
      <c r="K307" s="28"/>
      <c r="L307" s="28"/>
      <c r="M307" s="85"/>
      <c r="N307" s="28"/>
      <c r="O307" s="28"/>
      <c r="P307" s="85"/>
      <c r="Q307" s="28"/>
      <c r="R307" s="28"/>
      <c r="S307" s="85"/>
      <c r="T307" s="48"/>
      <c r="U307" s="48"/>
      <c r="V307" s="51"/>
      <c r="W307" s="28"/>
      <c r="X307" s="28"/>
      <c r="Y307" s="28"/>
      <c r="Z307" s="28"/>
      <c r="AA307" s="28"/>
      <c r="AB307" s="36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42">
        <f>SUM($T291:AQ307)</f>
        <v>-487087.82890000002</v>
      </c>
      <c r="AT307" s="10"/>
      <c r="AU307" s="11"/>
      <c r="AV307" s="2" t="s">
        <v>5</v>
      </c>
    </row>
    <row r="308" spans="1:49" s="2" customFormat="1" ht="17.25" customHeight="1" thickTop="1" thickBot="1" x14ac:dyDescent="0.3">
      <c r="A308" s="103"/>
      <c r="B308" s="104" t="s">
        <v>103</v>
      </c>
      <c r="C308" s="105">
        <f>AR308</f>
        <v>-368502.60935999989</v>
      </c>
      <c r="D308" s="106">
        <f t="shared" ref="D308:K308" si="34">SUM(D291:D307)</f>
        <v>12717.607040000057</v>
      </c>
      <c r="E308" s="107">
        <f t="shared" si="34"/>
        <v>-43287.790000000008</v>
      </c>
      <c r="F308" s="107">
        <f t="shared" si="34"/>
        <v>0.65000000000145519</v>
      </c>
      <c r="G308" s="107">
        <f t="shared" si="34"/>
        <v>0</v>
      </c>
      <c r="H308" s="107">
        <f t="shared" si="34"/>
        <v>65082.292500000054</v>
      </c>
      <c r="I308" s="107">
        <f t="shared" si="34"/>
        <v>10004.65</v>
      </c>
      <c r="J308" s="107">
        <f t="shared" si="34"/>
        <v>0</v>
      </c>
      <c r="K308" s="108">
        <f t="shared" si="34"/>
        <v>12170</v>
      </c>
      <c r="L308" s="109">
        <f>M308/K308</f>
        <v>5.1465924404272805</v>
      </c>
      <c r="M308" s="107">
        <f>ROUND(SUM(M291:M307),2)</f>
        <v>62634.03</v>
      </c>
      <c r="N308" s="108">
        <f>SUM(N291:N307)</f>
        <v>2783</v>
      </c>
      <c r="O308" s="109">
        <f>P308/N308</f>
        <v>3.6394143011139057</v>
      </c>
      <c r="P308" s="107">
        <f>ROUND(SUM(P291:P307),2)</f>
        <v>10128.49</v>
      </c>
      <c r="Q308" s="108">
        <f>SUM(Q291:Q307)</f>
        <v>214</v>
      </c>
      <c r="R308" s="109">
        <f>S308/Q308</f>
        <v>6.099485981308411</v>
      </c>
      <c r="S308" s="107">
        <f>ROUND(SUM(S291:S307),2)</f>
        <v>1305.29</v>
      </c>
      <c r="T308" s="110">
        <f t="shared" ref="T308:AQ308" si="35">SUM(T291:T307)</f>
        <v>-537317.12890000001</v>
      </c>
      <c r="U308" s="107">
        <f t="shared" si="35"/>
        <v>50229.299999999996</v>
      </c>
      <c r="V308" s="107">
        <f t="shared" si="35"/>
        <v>0</v>
      </c>
      <c r="W308" s="107">
        <f t="shared" si="35"/>
        <v>0</v>
      </c>
      <c r="X308" s="107">
        <f t="shared" si="35"/>
        <v>0</v>
      </c>
      <c r="Y308" s="107">
        <f t="shared" si="35"/>
        <v>0</v>
      </c>
      <c r="Z308" s="107">
        <f t="shared" si="35"/>
        <v>0</v>
      </c>
      <c r="AA308" s="107">
        <f t="shared" si="35"/>
        <v>0</v>
      </c>
      <c r="AB308" s="107">
        <f t="shared" si="35"/>
        <v>0</v>
      </c>
      <c r="AC308" s="107">
        <f t="shared" si="35"/>
        <v>0</v>
      </c>
      <c r="AD308" s="107">
        <f t="shared" si="35"/>
        <v>0</v>
      </c>
      <c r="AE308" s="107">
        <f t="shared" si="35"/>
        <v>0</v>
      </c>
      <c r="AF308" s="107">
        <f t="shared" si="35"/>
        <v>0</v>
      </c>
      <c r="AG308" s="107">
        <f t="shared" si="35"/>
        <v>0</v>
      </c>
      <c r="AH308" s="107">
        <f t="shared" si="35"/>
        <v>0</v>
      </c>
      <c r="AI308" s="107">
        <f t="shared" si="35"/>
        <v>0</v>
      </c>
      <c r="AJ308" s="107">
        <f t="shared" si="35"/>
        <v>0</v>
      </c>
      <c r="AK308" s="107">
        <f t="shared" si="35"/>
        <v>0</v>
      </c>
      <c r="AL308" s="107">
        <f t="shared" si="35"/>
        <v>0</v>
      </c>
      <c r="AM308" s="107">
        <f t="shared" si="35"/>
        <v>0</v>
      </c>
      <c r="AN308" s="107">
        <f t="shared" si="35"/>
        <v>0</v>
      </c>
      <c r="AO308" s="107">
        <f t="shared" si="35"/>
        <v>0</v>
      </c>
      <c r="AP308" s="107">
        <f t="shared" si="35"/>
        <v>0</v>
      </c>
      <c r="AQ308" s="107">
        <f t="shared" si="35"/>
        <v>0</v>
      </c>
      <c r="AR308" s="111">
        <f>D308+E308+F308+G308+H308+I308+J308+M308+P308+S308+SUM(T308:AQ308)</f>
        <v>-368502.60935999989</v>
      </c>
      <c r="AS308" s="4"/>
      <c r="AT308" s="5"/>
      <c r="AU308" s="5"/>
      <c r="AV308" s="2" t="s">
        <v>484</v>
      </c>
    </row>
    <row r="309" spans="1:49" s="2" customFormat="1" ht="17.25" customHeight="1" thickTop="1" x14ac:dyDescent="0.25">
      <c r="A309" s="29">
        <f>A292+1</f>
        <v>46375</v>
      </c>
      <c r="B309" s="261" t="s">
        <v>480</v>
      </c>
      <c r="C309" s="262"/>
      <c r="D309" s="63"/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16"/>
      <c r="R309" s="92"/>
      <c r="S309" s="64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x14ac:dyDescent="0.25">
      <c r="A310" s="29"/>
      <c r="B310" s="201" t="s">
        <v>64</v>
      </c>
      <c r="C310" s="202"/>
      <c r="D310" s="65"/>
      <c r="E310" s="64"/>
      <c r="F310" s="64"/>
      <c r="G310" s="64"/>
      <c r="H310" s="64"/>
      <c r="I310" s="64"/>
      <c r="J310" s="64"/>
      <c r="K310" s="57"/>
      <c r="L310" s="88"/>
      <c r="M310" s="62"/>
      <c r="N310" s="57"/>
      <c r="O310" s="88"/>
      <c r="P310" s="62"/>
      <c r="Q310" s="57"/>
      <c r="R310" s="88"/>
      <c r="S310" s="62"/>
      <c r="T310" s="47"/>
      <c r="U310" s="39"/>
      <c r="V310" s="39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22"/>
      <c r="AT310" s="10" t="s">
        <v>4</v>
      </c>
      <c r="AU310" s="11" t="e">
        <v>#REF!</v>
      </c>
    </row>
    <row r="311" spans="1:49" s="2" customFormat="1" ht="17.25" customHeight="1" x14ac:dyDescent="0.25">
      <c r="A311" s="29"/>
      <c r="B311" s="201" t="s">
        <v>96</v>
      </c>
      <c r="C311" s="202"/>
      <c r="D311" s="65"/>
      <c r="E311" s="64"/>
      <c r="F311" s="64"/>
      <c r="G311" s="64"/>
      <c r="H311" s="64"/>
      <c r="I311" s="64"/>
      <c r="J311" s="64"/>
      <c r="K311" s="57"/>
      <c r="L311" s="88"/>
      <c r="M311" s="62"/>
      <c r="N311" s="57"/>
      <c r="O311" s="88"/>
      <c r="P311" s="62"/>
      <c r="Q311" s="57"/>
      <c r="R311" s="88"/>
      <c r="S311" s="62"/>
      <c r="T311" s="47"/>
      <c r="U311" s="39"/>
      <c r="V311" s="39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22"/>
      <c r="AT311" s="10" t="s">
        <v>4</v>
      </c>
      <c r="AU311" s="11" t="e">
        <v>#REF!</v>
      </c>
    </row>
    <row r="312" spans="1:49" s="2" customFormat="1" ht="17.25" customHeight="1" x14ac:dyDescent="0.25">
      <c r="A312" s="29"/>
      <c r="B312" s="201" t="s">
        <v>327</v>
      </c>
      <c r="C312" s="202"/>
      <c r="D312" s="65"/>
      <c r="E312" s="64"/>
      <c r="F312" s="64"/>
      <c r="G312" s="64"/>
      <c r="H312" s="64"/>
      <c r="I312" s="64"/>
      <c r="J312" s="64"/>
      <c r="K312" s="57"/>
      <c r="L312" s="88"/>
      <c r="M312" s="62"/>
      <c r="N312" s="57"/>
      <c r="O312" s="88"/>
      <c r="P312" s="62"/>
      <c r="Q312" s="57"/>
      <c r="R312" s="88"/>
      <c r="S312" s="62"/>
      <c r="T312" s="47"/>
      <c r="U312" s="39"/>
      <c r="V312" s="39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22"/>
      <c r="AT312" s="10"/>
      <c r="AU312" s="11"/>
    </row>
    <row r="313" spans="1:49" s="2" customFormat="1" ht="17.25" customHeight="1" x14ac:dyDescent="0.25">
      <c r="A313" s="29"/>
      <c r="B313" s="201" t="s">
        <v>328</v>
      </c>
      <c r="C313" s="202"/>
      <c r="D313" s="63"/>
      <c r="E313" s="64"/>
      <c r="F313" s="64"/>
      <c r="G313" s="64"/>
      <c r="H313" s="64"/>
      <c r="I313" s="64"/>
      <c r="J313" s="64"/>
      <c r="K313" s="57"/>
      <c r="L313" s="88"/>
      <c r="M313" s="62"/>
      <c r="N313" s="57"/>
      <c r="O313" s="88"/>
      <c r="P313" s="62"/>
      <c r="Q313" s="16"/>
      <c r="R313" s="92"/>
      <c r="S313" s="64"/>
      <c r="T313" s="47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22"/>
      <c r="AT313" s="10"/>
      <c r="AU313" s="11"/>
    </row>
    <row r="314" spans="1:49" s="2" customFormat="1" ht="17.25" customHeight="1" x14ac:dyDescent="0.25">
      <c r="A314" s="29"/>
      <c r="B314" s="261" t="s">
        <v>481</v>
      </c>
      <c r="C314" s="262"/>
      <c r="D314" s="63"/>
      <c r="E314" s="64"/>
      <c r="F314" s="64"/>
      <c r="G314" s="64"/>
      <c r="H314" s="64"/>
      <c r="I314" s="64"/>
      <c r="J314" s="64"/>
      <c r="K314" s="57"/>
      <c r="L314" s="88"/>
      <c r="M314" s="62"/>
      <c r="N314" s="57"/>
      <c r="O314" s="88"/>
      <c r="P314" s="62"/>
      <c r="Q314" s="16"/>
      <c r="R314" s="92"/>
      <c r="S314" s="64"/>
      <c r="T314" s="47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22"/>
      <c r="AT314" s="10"/>
      <c r="AU314" s="11"/>
    </row>
    <row r="315" spans="1:49" s="2" customFormat="1" ht="17.25" customHeight="1" x14ac:dyDescent="0.25">
      <c r="A315" s="29"/>
      <c r="B315" s="201" t="s">
        <v>483</v>
      </c>
      <c r="C315" s="202"/>
      <c r="D315" s="63"/>
      <c r="E315" s="64"/>
      <c r="F315" s="64"/>
      <c r="G315" s="64"/>
      <c r="H315" s="64"/>
      <c r="I315" s="64"/>
      <c r="J315" s="64"/>
      <c r="K315" s="57"/>
      <c r="L315" s="88"/>
      <c r="M315" s="62"/>
      <c r="N315" s="57"/>
      <c r="O315" s="88"/>
      <c r="P315" s="62"/>
      <c r="Q315" s="16"/>
      <c r="R315" s="92"/>
      <c r="S315" s="64"/>
      <c r="T315" s="47"/>
      <c r="U315" s="39"/>
      <c r="V315" s="39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22"/>
      <c r="AT315" s="10"/>
      <c r="AU315" s="11"/>
    </row>
    <row r="316" spans="1:49" s="4" customFormat="1" ht="17.25" customHeight="1" thickBot="1" x14ac:dyDescent="0.3">
      <c r="A316" s="24"/>
      <c r="B316" s="246"/>
      <c r="C316" s="246"/>
      <c r="D316" s="81"/>
      <c r="E316" s="81"/>
      <c r="F316" s="81"/>
      <c r="G316" s="81"/>
      <c r="H316" s="81"/>
      <c r="I316" s="81"/>
      <c r="J316" s="81"/>
      <c r="K316" s="59"/>
      <c r="L316" s="90"/>
      <c r="M316" s="136"/>
      <c r="N316" s="59"/>
      <c r="O316" s="90"/>
      <c r="P316" s="136"/>
      <c r="Q316" s="59"/>
      <c r="R316" s="90"/>
      <c r="S316" s="136"/>
      <c r="T316" s="39"/>
      <c r="U316" s="39"/>
      <c r="V316" s="39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22"/>
      <c r="AR316" s="43"/>
      <c r="AS316" s="12" t="e">
        <f>#REF!</f>
        <v>#REF!</v>
      </c>
      <c r="AW316" s="2"/>
    </row>
    <row r="317" spans="1:49" s="2" customFormat="1" ht="17.25" customHeight="1" x14ac:dyDescent="0.25">
      <c r="A317" s="29"/>
      <c r="B317" s="261" t="s">
        <v>482</v>
      </c>
      <c r="C317" s="262"/>
      <c r="D317" s="63"/>
      <c r="E317" s="64"/>
      <c r="F317" s="64"/>
      <c r="G317" s="64"/>
      <c r="H317" s="64"/>
      <c r="I317" s="64"/>
      <c r="J317" s="64"/>
      <c r="K317" s="57"/>
      <c r="L317" s="88"/>
      <c r="M317" s="62"/>
      <c r="N317" s="57"/>
      <c r="O317" s="88"/>
      <c r="P317" s="62"/>
      <c r="Q317" s="16"/>
      <c r="R317" s="92"/>
      <c r="S317" s="64"/>
      <c r="T317" s="47"/>
      <c r="U317" s="39"/>
      <c r="V317" s="39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22"/>
      <c r="AT317" s="10"/>
      <c r="AU317" s="11"/>
    </row>
    <row r="318" spans="1:49" s="4" customFormat="1" ht="17.25" customHeight="1" x14ac:dyDescent="0.25">
      <c r="A318" s="23"/>
      <c r="B318" s="212" t="s">
        <v>94</v>
      </c>
      <c r="C318" s="212"/>
      <c r="D318" s="66"/>
      <c r="E318" s="66"/>
      <c r="F318" s="117"/>
      <c r="G318" s="117"/>
      <c r="H318" s="66"/>
      <c r="I318" s="66"/>
      <c r="J318" s="66"/>
      <c r="K318" s="58"/>
      <c r="L318" s="89"/>
      <c r="M318" s="73"/>
      <c r="N318" s="58"/>
      <c r="O318" s="89"/>
      <c r="P318" s="73"/>
      <c r="Q318" s="58"/>
      <c r="R318" s="89"/>
      <c r="S318" s="73"/>
      <c r="T318" s="39"/>
      <c r="U318" s="39"/>
      <c r="V318" s="8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35"/>
      <c r="AS318" s="12" t="e">
        <f>#REF!</f>
        <v>#REF!</v>
      </c>
    </row>
    <row r="319" spans="1:49" s="4" customFormat="1" ht="17.25" customHeight="1" x14ac:dyDescent="0.25">
      <c r="A319" s="23"/>
      <c r="B319" s="201" t="s">
        <v>95</v>
      </c>
      <c r="C319" s="203"/>
      <c r="D319" s="64"/>
      <c r="E319" s="64"/>
      <c r="F319" s="117"/>
      <c r="G319" s="117"/>
      <c r="H319" s="64"/>
      <c r="I319" s="64"/>
      <c r="J319" s="64"/>
      <c r="K319" s="57"/>
      <c r="L319" s="88"/>
      <c r="M319" s="62"/>
      <c r="N319" s="57"/>
      <c r="O319" s="88"/>
      <c r="P319" s="62"/>
      <c r="Q319" s="58"/>
      <c r="R319" s="89"/>
      <c r="S319" s="73"/>
      <c r="T319" s="39"/>
      <c r="U319" s="39"/>
      <c r="V319" s="8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35"/>
      <c r="AS319" s="12" t="e">
        <f>#REF!</f>
        <v>#REF!</v>
      </c>
    </row>
    <row r="320" spans="1:49" s="4" customFormat="1" ht="17.25" customHeight="1" x14ac:dyDescent="0.25">
      <c r="A320" s="23"/>
      <c r="B320" s="201" t="s">
        <v>479</v>
      </c>
      <c r="C320" s="203"/>
      <c r="D320" s="64"/>
      <c r="E320" s="64"/>
      <c r="F320" s="117"/>
      <c r="G320" s="117"/>
      <c r="H320" s="64"/>
      <c r="I320" s="64"/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39"/>
      <c r="U320" s="39"/>
      <c r="V320" s="8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35"/>
      <c r="AS320" s="12" t="e">
        <f>#REF!</f>
        <v>#REF!</v>
      </c>
    </row>
    <row r="321" spans="1:49" s="4" customFormat="1" ht="17.25" customHeight="1" x14ac:dyDescent="0.25">
      <c r="A321" s="23"/>
      <c r="B321" s="201" t="s">
        <v>97</v>
      </c>
      <c r="C321" s="203"/>
      <c r="D321" s="64"/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39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22"/>
      <c r="AR321" s="43"/>
      <c r="AS321" s="12" t="e">
        <f>#REF!</f>
        <v>#REF!</v>
      </c>
      <c r="AW321" s="2"/>
    </row>
    <row r="322" spans="1:49" s="4" customFormat="1" ht="17.25" customHeight="1" x14ac:dyDescent="0.25">
      <c r="A322" s="23"/>
      <c r="B322" s="201" t="s">
        <v>100</v>
      </c>
      <c r="C322" s="202"/>
      <c r="D322" s="64"/>
      <c r="E322" s="64"/>
      <c r="F322" s="64"/>
      <c r="G322" s="64"/>
      <c r="H322" s="64"/>
      <c r="I322" s="64"/>
      <c r="J322" s="64"/>
      <c r="K322" s="57"/>
      <c r="L322" s="88"/>
      <c r="M322" s="62"/>
      <c r="N322" s="57"/>
      <c r="O322" s="88"/>
      <c r="P322" s="62"/>
      <c r="Q322" s="57"/>
      <c r="R322" s="88"/>
      <c r="S322" s="62"/>
      <c r="T322" s="39"/>
      <c r="U322" s="39"/>
      <c r="V322" s="39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22"/>
      <c r="AR322" s="43"/>
      <c r="AS322" s="12" t="e">
        <f>#REF!</f>
        <v>#REF!</v>
      </c>
      <c r="AW322" s="2"/>
    </row>
    <row r="323" spans="1:49" s="2" customFormat="1" ht="17.25" customHeight="1" x14ac:dyDescent="0.2">
      <c r="A323" s="24"/>
      <c r="B323" s="201"/>
      <c r="C323" s="204"/>
      <c r="D323" s="63"/>
      <c r="E323" s="64"/>
      <c r="F323" s="64"/>
      <c r="G323" s="64"/>
      <c r="H323" s="64"/>
      <c r="I323" s="64"/>
      <c r="J323" s="64"/>
      <c r="K323" s="16"/>
      <c r="L323" s="16"/>
      <c r="M323" s="64"/>
      <c r="N323" s="16"/>
      <c r="O323" s="16"/>
      <c r="P323" s="64"/>
      <c r="Q323" s="16"/>
      <c r="R323" s="16"/>
      <c r="S323" s="64"/>
      <c r="T323" s="46"/>
      <c r="U323" s="46"/>
      <c r="V323" s="39"/>
      <c r="W323" s="16"/>
      <c r="X323" s="16"/>
      <c r="Y323" s="16"/>
      <c r="Z323" s="16"/>
      <c r="AA323" s="16"/>
      <c r="AB323" s="19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43"/>
      <c r="AT323" s="10"/>
      <c r="AU323" s="11"/>
    </row>
    <row r="324" spans="1:49" s="2" customFormat="1" ht="17.25" customHeight="1" thickBot="1" x14ac:dyDescent="0.3">
      <c r="A324" s="56"/>
      <c r="B324" s="101" t="s">
        <v>102</v>
      </c>
      <c r="C324" s="102">
        <f>D325+E325+F325+G325+H325+I325+J325+M325+P325</f>
        <v>117279.92954000011</v>
      </c>
      <c r="D324" s="84"/>
      <c r="E324" s="85"/>
      <c r="F324" s="85"/>
      <c r="G324" s="85"/>
      <c r="H324" s="85"/>
      <c r="I324" s="85"/>
      <c r="J324" s="85"/>
      <c r="K324" s="28"/>
      <c r="L324" s="28"/>
      <c r="M324" s="85"/>
      <c r="N324" s="28"/>
      <c r="O324" s="28"/>
      <c r="P324" s="85"/>
      <c r="Q324" s="28"/>
      <c r="R324" s="28"/>
      <c r="S324" s="85"/>
      <c r="T324" s="48"/>
      <c r="U324" s="48"/>
      <c r="V324" s="51"/>
      <c r="W324" s="28"/>
      <c r="X324" s="28"/>
      <c r="Y324" s="28"/>
      <c r="Z324" s="28"/>
      <c r="AA324" s="28"/>
      <c r="AB324" s="36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42">
        <f>SUM($T308:AQ324)</f>
        <v>-487087.82890000002</v>
      </c>
      <c r="AT324" s="10"/>
      <c r="AU324" s="11"/>
      <c r="AV324" s="2" t="s">
        <v>5</v>
      </c>
    </row>
    <row r="325" spans="1:49" s="2" customFormat="1" ht="17.25" customHeight="1" thickTop="1" thickBot="1" x14ac:dyDescent="0.3">
      <c r="A325" s="103"/>
      <c r="B325" s="104" t="s">
        <v>103</v>
      </c>
      <c r="C325" s="105">
        <f>AR325</f>
        <v>-368502.60935999989</v>
      </c>
      <c r="D325" s="106">
        <f t="shared" ref="D325:K325" si="36">SUM(D308:D324)</f>
        <v>12717.607040000057</v>
      </c>
      <c r="E325" s="107">
        <f t="shared" si="36"/>
        <v>-43287.790000000008</v>
      </c>
      <c r="F325" s="107">
        <f t="shared" si="36"/>
        <v>0.65000000000145519</v>
      </c>
      <c r="G325" s="107">
        <f t="shared" si="36"/>
        <v>0</v>
      </c>
      <c r="H325" s="107">
        <f t="shared" si="36"/>
        <v>65082.292500000054</v>
      </c>
      <c r="I325" s="107">
        <f t="shared" si="36"/>
        <v>10004.65</v>
      </c>
      <c r="J325" s="107">
        <f t="shared" si="36"/>
        <v>0</v>
      </c>
      <c r="K325" s="108">
        <f t="shared" si="36"/>
        <v>12170</v>
      </c>
      <c r="L325" s="109">
        <f>M325/K325</f>
        <v>5.1465924404272805</v>
      </c>
      <c r="M325" s="107">
        <f>ROUND(SUM(M308:M324),2)</f>
        <v>62634.03</v>
      </c>
      <c r="N325" s="108">
        <f>SUM(N308:N324)</f>
        <v>2783</v>
      </c>
      <c r="O325" s="109">
        <f>P325/N325</f>
        <v>3.6394143011139057</v>
      </c>
      <c r="P325" s="107">
        <f>ROUND(SUM(P308:P324),2)</f>
        <v>10128.49</v>
      </c>
      <c r="Q325" s="108">
        <f>SUM(Q308:Q324)</f>
        <v>214</v>
      </c>
      <c r="R325" s="109">
        <f>S325/Q325</f>
        <v>6.099485981308411</v>
      </c>
      <c r="S325" s="107">
        <f>ROUND(SUM(S308:S324),2)</f>
        <v>1305.29</v>
      </c>
      <c r="T325" s="110">
        <f t="shared" ref="T325:AQ325" si="37">SUM(T308:T324)</f>
        <v>-537317.12890000001</v>
      </c>
      <c r="U325" s="107">
        <f t="shared" si="37"/>
        <v>50229.299999999996</v>
      </c>
      <c r="V325" s="107">
        <f t="shared" si="37"/>
        <v>0</v>
      </c>
      <c r="W325" s="107">
        <f t="shared" si="37"/>
        <v>0</v>
      </c>
      <c r="X325" s="107">
        <f t="shared" si="37"/>
        <v>0</v>
      </c>
      <c r="Y325" s="107">
        <f t="shared" si="37"/>
        <v>0</v>
      </c>
      <c r="Z325" s="107">
        <f t="shared" si="37"/>
        <v>0</v>
      </c>
      <c r="AA325" s="107">
        <f t="shared" si="37"/>
        <v>0</v>
      </c>
      <c r="AB325" s="107">
        <f t="shared" si="37"/>
        <v>0</v>
      </c>
      <c r="AC325" s="107">
        <f t="shared" si="37"/>
        <v>0</v>
      </c>
      <c r="AD325" s="107">
        <f t="shared" si="37"/>
        <v>0</v>
      </c>
      <c r="AE325" s="107">
        <f t="shared" si="37"/>
        <v>0</v>
      </c>
      <c r="AF325" s="107">
        <f t="shared" si="37"/>
        <v>0</v>
      </c>
      <c r="AG325" s="107">
        <f t="shared" si="37"/>
        <v>0</v>
      </c>
      <c r="AH325" s="107">
        <f t="shared" si="37"/>
        <v>0</v>
      </c>
      <c r="AI325" s="107">
        <f t="shared" si="37"/>
        <v>0</v>
      </c>
      <c r="AJ325" s="107">
        <f t="shared" si="37"/>
        <v>0</v>
      </c>
      <c r="AK325" s="107">
        <f t="shared" si="37"/>
        <v>0</v>
      </c>
      <c r="AL325" s="107">
        <f t="shared" si="37"/>
        <v>0</v>
      </c>
      <c r="AM325" s="107">
        <f t="shared" si="37"/>
        <v>0</v>
      </c>
      <c r="AN325" s="107">
        <f t="shared" si="37"/>
        <v>0</v>
      </c>
      <c r="AO325" s="107">
        <f t="shared" si="37"/>
        <v>0</v>
      </c>
      <c r="AP325" s="107">
        <f t="shared" si="37"/>
        <v>0</v>
      </c>
      <c r="AQ325" s="107">
        <f t="shared" si="37"/>
        <v>0</v>
      </c>
      <c r="AR325" s="111">
        <f>D325+E325+F325+G325+H325+I325+J325+M325+P325+S325+SUM(T325:AQ325)</f>
        <v>-368502.60935999989</v>
      </c>
      <c r="AS325" s="4"/>
      <c r="AT325" s="5"/>
      <c r="AU325" s="5"/>
      <c r="AV325" s="2" t="s">
        <v>484</v>
      </c>
    </row>
    <row r="326" spans="1:49" s="2" customFormat="1" ht="17.25" customHeight="1" thickTop="1" x14ac:dyDescent="0.25">
      <c r="A326" s="29">
        <f>A309+1</f>
        <v>46376</v>
      </c>
      <c r="B326" s="261" t="s">
        <v>480</v>
      </c>
      <c r="C326" s="262"/>
      <c r="D326" s="63"/>
      <c r="E326" s="64"/>
      <c r="F326" s="64"/>
      <c r="G326" s="64"/>
      <c r="H326" s="64"/>
      <c r="I326" s="64"/>
      <c r="J326" s="64"/>
      <c r="K326" s="57"/>
      <c r="L326" s="88"/>
      <c r="M326" s="62"/>
      <c r="N326" s="57"/>
      <c r="O326" s="88"/>
      <c r="P326" s="62"/>
      <c r="Q326" s="16"/>
      <c r="R326" s="92"/>
      <c r="S326" s="64"/>
      <c r="T326" s="47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22"/>
      <c r="AT326" s="10"/>
      <c r="AU326" s="11"/>
    </row>
    <row r="327" spans="1:49" s="2" customFormat="1" ht="17.25" customHeight="1" x14ac:dyDescent="0.25">
      <c r="A327" s="29"/>
      <c r="B327" s="201" t="s">
        <v>64</v>
      </c>
      <c r="C327" s="202"/>
      <c r="D327" s="65"/>
      <c r="E327" s="64"/>
      <c r="F327" s="64"/>
      <c r="G327" s="64"/>
      <c r="H327" s="64"/>
      <c r="I327" s="64"/>
      <c r="J327" s="64"/>
      <c r="K327" s="57"/>
      <c r="L327" s="88"/>
      <c r="M327" s="62"/>
      <c r="N327" s="57"/>
      <c r="O327" s="88"/>
      <c r="P327" s="62"/>
      <c r="Q327" s="57"/>
      <c r="R327" s="88"/>
      <c r="S327" s="62"/>
      <c r="T327" s="47"/>
      <c r="U327" s="39"/>
      <c r="V327" s="39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22"/>
      <c r="AT327" s="10" t="s">
        <v>4</v>
      </c>
      <c r="AU327" s="11" t="e">
        <v>#REF!</v>
      </c>
    </row>
    <row r="328" spans="1:49" s="2" customFormat="1" ht="17.25" customHeight="1" x14ac:dyDescent="0.25">
      <c r="A328" s="29"/>
      <c r="B328" s="201" t="s">
        <v>96</v>
      </c>
      <c r="C328" s="202"/>
      <c r="D328" s="65"/>
      <c r="E328" s="64"/>
      <c r="F328" s="64"/>
      <c r="G328" s="64"/>
      <c r="H328" s="64"/>
      <c r="I328" s="64"/>
      <c r="J328" s="64"/>
      <c r="K328" s="57"/>
      <c r="L328" s="88"/>
      <c r="M328" s="62"/>
      <c r="N328" s="57"/>
      <c r="O328" s="88"/>
      <c r="P328" s="62"/>
      <c r="Q328" s="57"/>
      <c r="R328" s="88"/>
      <c r="S328" s="62"/>
      <c r="T328" s="47"/>
      <c r="U328" s="39"/>
      <c r="V328" s="39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22"/>
      <c r="AT328" s="10" t="s">
        <v>4</v>
      </c>
      <c r="AU328" s="11" t="e">
        <v>#REF!</v>
      </c>
    </row>
    <row r="329" spans="1:49" s="2" customFormat="1" ht="17.25" customHeight="1" x14ac:dyDescent="0.25">
      <c r="A329" s="29"/>
      <c r="B329" s="201" t="s">
        <v>327</v>
      </c>
      <c r="C329" s="202"/>
      <c r="D329" s="65"/>
      <c r="E329" s="64"/>
      <c r="F329" s="64"/>
      <c r="G329" s="64"/>
      <c r="H329" s="64"/>
      <c r="I329" s="64"/>
      <c r="J329" s="64"/>
      <c r="K329" s="57"/>
      <c r="L329" s="88"/>
      <c r="M329" s="62"/>
      <c r="N329" s="57"/>
      <c r="O329" s="88"/>
      <c r="P329" s="62"/>
      <c r="Q329" s="57"/>
      <c r="R329" s="88"/>
      <c r="S329" s="62"/>
      <c r="T329" s="47"/>
      <c r="U329" s="39"/>
      <c r="V329" s="39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22"/>
      <c r="AT329" s="10"/>
      <c r="AU329" s="11"/>
    </row>
    <row r="330" spans="1:49" s="2" customFormat="1" ht="17.25" customHeight="1" x14ac:dyDescent="0.25">
      <c r="A330" s="29"/>
      <c r="B330" s="201" t="s">
        <v>328</v>
      </c>
      <c r="C330" s="202"/>
      <c r="D330" s="63"/>
      <c r="E330" s="64"/>
      <c r="F330" s="64"/>
      <c r="G330" s="64"/>
      <c r="H330" s="64"/>
      <c r="I330" s="64"/>
      <c r="J330" s="64"/>
      <c r="K330" s="57"/>
      <c r="L330" s="88"/>
      <c r="M330" s="62"/>
      <c r="N330" s="57"/>
      <c r="O330" s="88"/>
      <c r="P330" s="62"/>
      <c r="Q330" s="16"/>
      <c r="R330" s="92"/>
      <c r="S330" s="64"/>
      <c r="T330" s="47"/>
      <c r="U330" s="39"/>
      <c r="V330" s="39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22"/>
      <c r="AT330" s="10"/>
      <c r="AU330" s="11"/>
    </row>
    <row r="331" spans="1:49" s="2" customFormat="1" ht="17.25" customHeight="1" x14ac:dyDescent="0.25">
      <c r="A331" s="29"/>
      <c r="B331" s="261" t="s">
        <v>481</v>
      </c>
      <c r="C331" s="262"/>
      <c r="D331" s="63"/>
      <c r="E331" s="64"/>
      <c r="F331" s="64"/>
      <c r="G331" s="64"/>
      <c r="H331" s="64"/>
      <c r="I331" s="64"/>
      <c r="J331" s="64"/>
      <c r="K331" s="57"/>
      <c r="L331" s="88"/>
      <c r="M331" s="62"/>
      <c r="N331" s="57"/>
      <c r="O331" s="88"/>
      <c r="P331" s="62"/>
      <c r="Q331" s="16"/>
      <c r="R331" s="92"/>
      <c r="S331" s="64"/>
      <c r="T331" s="47"/>
      <c r="U331" s="39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T331" s="10"/>
      <c r="AU331" s="11"/>
    </row>
    <row r="332" spans="1:49" s="2" customFormat="1" ht="17.25" customHeight="1" x14ac:dyDescent="0.25">
      <c r="A332" s="29"/>
      <c r="B332" s="201" t="s">
        <v>483</v>
      </c>
      <c r="C332" s="202"/>
      <c r="D332" s="63"/>
      <c r="E332" s="64"/>
      <c r="F332" s="64"/>
      <c r="G332" s="64"/>
      <c r="H332" s="64"/>
      <c r="I332" s="64"/>
      <c r="J332" s="64"/>
      <c r="K332" s="57"/>
      <c r="L332" s="88"/>
      <c r="M332" s="62"/>
      <c r="N332" s="57"/>
      <c r="O332" s="88"/>
      <c r="P332" s="62"/>
      <c r="Q332" s="16"/>
      <c r="R332" s="92"/>
      <c r="S332" s="64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4" customFormat="1" ht="17.25" customHeight="1" thickBot="1" x14ac:dyDescent="0.3">
      <c r="A333" s="24"/>
      <c r="B333" s="246"/>
      <c r="C333" s="246"/>
      <c r="D333" s="81"/>
      <c r="E333" s="81"/>
      <c r="F333" s="81"/>
      <c r="G333" s="81"/>
      <c r="H333" s="81"/>
      <c r="I333" s="81"/>
      <c r="J333" s="81"/>
      <c r="K333" s="59"/>
      <c r="L333" s="90"/>
      <c r="M333" s="136"/>
      <c r="N333" s="59"/>
      <c r="O333" s="90"/>
      <c r="P333" s="136"/>
      <c r="Q333" s="59"/>
      <c r="R333" s="90"/>
      <c r="S333" s="136"/>
      <c r="T333" s="39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22"/>
      <c r="AR333" s="43"/>
      <c r="AS333" s="12" t="e">
        <f>#REF!</f>
        <v>#REF!</v>
      </c>
      <c r="AW333" s="2"/>
    </row>
    <row r="334" spans="1:49" s="2" customFormat="1" ht="17.25" customHeight="1" x14ac:dyDescent="0.25">
      <c r="A334" s="29"/>
      <c r="B334" s="261" t="s">
        <v>482</v>
      </c>
      <c r="C334" s="262"/>
      <c r="D334" s="63"/>
      <c r="E334" s="64"/>
      <c r="F334" s="64"/>
      <c r="G334" s="64"/>
      <c r="H334" s="64"/>
      <c r="I334" s="64"/>
      <c r="J334" s="64"/>
      <c r="K334" s="57"/>
      <c r="L334" s="88"/>
      <c r="M334" s="62"/>
      <c r="N334" s="57"/>
      <c r="O334" s="88"/>
      <c r="P334" s="62"/>
      <c r="Q334" s="16"/>
      <c r="R334" s="92"/>
      <c r="S334" s="64"/>
      <c r="T334" s="47"/>
      <c r="U334" s="39"/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T334" s="10"/>
      <c r="AU334" s="11"/>
    </row>
    <row r="335" spans="1:49" s="4" customFormat="1" ht="17.25" customHeight="1" x14ac:dyDescent="0.25">
      <c r="A335" s="23"/>
      <c r="B335" s="212" t="s">
        <v>94</v>
      </c>
      <c r="C335" s="212"/>
      <c r="D335" s="66"/>
      <c r="E335" s="66"/>
      <c r="F335" s="117"/>
      <c r="G335" s="117"/>
      <c r="H335" s="66"/>
      <c r="I335" s="66"/>
      <c r="J335" s="66"/>
      <c r="K335" s="58"/>
      <c r="L335" s="89"/>
      <c r="M335" s="73"/>
      <c r="N335" s="58"/>
      <c r="O335" s="89"/>
      <c r="P335" s="73"/>
      <c r="Q335" s="58"/>
      <c r="R335" s="89"/>
      <c r="S335" s="73"/>
      <c r="T335" s="39"/>
      <c r="U335" s="39"/>
      <c r="V335" s="8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35"/>
      <c r="AS335" s="12" t="e">
        <f>#REF!</f>
        <v>#REF!</v>
      </c>
    </row>
    <row r="336" spans="1:49" s="4" customFormat="1" ht="17.25" customHeight="1" x14ac:dyDescent="0.25">
      <c r="A336" s="23"/>
      <c r="B336" s="201" t="s">
        <v>95</v>
      </c>
      <c r="C336" s="203"/>
      <c r="D336" s="64"/>
      <c r="E336" s="64"/>
      <c r="F336" s="117"/>
      <c r="G336" s="117"/>
      <c r="H336" s="64"/>
      <c r="I336" s="64"/>
      <c r="J336" s="64"/>
      <c r="K336" s="57"/>
      <c r="L336" s="88"/>
      <c r="M336" s="62"/>
      <c r="N336" s="57"/>
      <c r="O336" s="88"/>
      <c r="P336" s="62"/>
      <c r="Q336" s="58"/>
      <c r="R336" s="89"/>
      <c r="S336" s="73"/>
      <c r="T336" s="39"/>
      <c r="U336" s="39"/>
      <c r="V336" s="8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35"/>
      <c r="AS336" s="12" t="e">
        <f>#REF!</f>
        <v>#REF!</v>
      </c>
    </row>
    <row r="337" spans="1:49" s="4" customFormat="1" ht="17.25" customHeight="1" x14ac:dyDescent="0.25">
      <c r="A337" s="23"/>
      <c r="B337" s="201" t="s">
        <v>479</v>
      </c>
      <c r="C337" s="203"/>
      <c r="D337" s="64"/>
      <c r="E337" s="64"/>
      <c r="F337" s="117"/>
      <c r="G337" s="117"/>
      <c r="H337" s="64"/>
      <c r="I337" s="64"/>
      <c r="J337" s="64"/>
      <c r="K337" s="57"/>
      <c r="L337" s="88"/>
      <c r="M337" s="62"/>
      <c r="N337" s="57"/>
      <c r="O337" s="88"/>
      <c r="P337" s="62"/>
      <c r="Q337" s="57"/>
      <c r="R337" s="88"/>
      <c r="S337" s="62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97</v>
      </c>
      <c r="C338" s="203"/>
      <c r="D338" s="64"/>
      <c r="E338" s="64"/>
      <c r="F338" s="64"/>
      <c r="G338" s="64"/>
      <c r="H338" s="64"/>
      <c r="I338" s="64"/>
      <c r="J338" s="64"/>
      <c r="K338" s="57"/>
      <c r="L338" s="88"/>
      <c r="M338" s="62"/>
      <c r="N338" s="57"/>
      <c r="O338" s="88"/>
      <c r="P338" s="62"/>
      <c r="Q338" s="57"/>
      <c r="R338" s="88"/>
      <c r="S338" s="62"/>
      <c r="T338" s="39"/>
      <c r="U338" s="39"/>
      <c r="V338" s="39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22"/>
      <c r="AR338" s="43"/>
      <c r="AS338" s="12" t="e">
        <f>#REF!</f>
        <v>#REF!</v>
      </c>
      <c r="AW338" s="2"/>
    </row>
    <row r="339" spans="1:49" s="4" customFormat="1" ht="17.25" customHeight="1" x14ac:dyDescent="0.25">
      <c r="A339" s="23"/>
      <c r="B339" s="201" t="s">
        <v>100</v>
      </c>
      <c r="C339" s="202"/>
      <c r="D339" s="64"/>
      <c r="E339" s="64"/>
      <c r="F339" s="64"/>
      <c r="G339" s="64"/>
      <c r="H339" s="64"/>
      <c r="I339" s="64"/>
      <c r="J339" s="64"/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/>
      <c r="AS339" s="12" t="e">
        <f>#REF!</f>
        <v>#REF!</v>
      </c>
      <c r="AW339" s="2"/>
    </row>
    <row r="340" spans="1:49" s="2" customFormat="1" ht="17.25" customHeight="1" x14ac:dyDescent="0.2">
      <c r="A340" s="24"/>
      <c r="B340" s="201"/>
      <c r="C340" s="204"/>
      <c r="D340" s="63"/>
      <c r="E340" s="64"/>
      <c r="F340" s="64"/>
      <c r="G340" s="64"/>
      <c r="H340" s="64"/>
      <c r="I340" s="64"/>
      <c r="J340" s="64"/>
      <c r="K340" s="16"/>
      <c r="L340" s="16"/>
      <c r="M340" s="64"/>
      <c r="N340" s="16"/>
      <c r="O340" s="16"/>
      <c r="P340" s="64"/>
      <c r="Q340" s="16"/>
      <c r="R340" s="16"/>
      <c r="S340" s="64"/>
      <c r="T340" s="46"/>
      <c r="U340" s="46"/>
      <c r="V340" s="39"/>
      <c r="W340" s="16"/>
      <c r="X340" s="16"/>
      <c r="Y340" s="16"/>
      <c r="Z340" s="16"/>
      <c r="AA340" s="16"/>
      <c r="AB340" s="19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43"/>
      <c r="AT340" s="10"/>
      <c r="AU340" s="11"/>
    </row>
    <row r="341" spans="1:49" s="2" customFormat="1" ht="17.25" customHeight="1" thickBot="1" x14ac:dyDescent="0.3">
      <c r="A341" s="56"/>
      <c r="B341" s="101" t="s">
        <v>102</v>
      </c>
      <c r="C341" s="102">
        <f>D342+E342+F342+G342+H342+I342+J342+M342+P342</f>
        <v>117279.92954000011</v>
      </c>
      <c r="D341" s="84"/>
      <c r="E341" s="85"/>
      <c r="F341" s="85"/>
      <c r="G341" s="85"/>
      <c r="H341" s="85"/>
      <c r="I341" s="85"/>
      <c r="J341" s="85"/>
      <c r="K341" s="28"/>
      <c r="L341" s="28"/>
      <c r="M341" s="85"/>
      <c r="N341" s="28"/>
      <c r="O341" s="28"/>
      <c r="P341" s="85"/>
      <c r="Q341" s="28"/>
      <c r="R341" s="28"/>
      <c r="S341" s="85"/>
      <c r="T341" s="48"/>
      <c r="U341" s="48"/>
      <c r="V341" s="51"/>
      <c r="W341" s="28"/>
      <c r="X341" s="28"/>
      <c r="Y341" s="28"/>
      <c r="Z341" s="28"/>
      <c r="AA341" s="28"/>
      <c r="AB341" s="36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42">
        <f>SUM($T325:AQ341)</f>
        <v>-487087.82890000002</v>
      </c>
      <c r="AT341" s="10"/>
      <c r="AU341" s="11"/>
      <c r="AV341" s="2" t="s">
        <v>5</v>
      </c>
    </row>
    <row r="342" spans="1:49" s="2" customFormat="1" ht="17.25" customHeight="1" thickTop="1" thickBot="1" x14ac:dyDescent="0.3">
      <c r="A342" s="103"/>
      <c r="B342" s="104" t="s">
        <v>103</v>
      </c>
      <c r="C342" s="105">
        <f>AR342</f>
        <v>-368502.60935999989</v>
      </c>
      <c r="D342" s="106">
        <f t="shared" ref="D342:K342" si="38">SUM(D325:D341)</f>
        <v>12717.607040000057</v>
      </c>
      <c r="E342" s="107">
        <f t="shared" si="38"/>
        <v>-43287.790000000008</v>
      </c>
      <c r="F342" s="107">
        <f t="shared" si="38"/>
        <v>0.65000000000145519</v>
      </c>
      <c r="G342" s="107">
        <f t="shared" si="38"/>
        <v>0</v>
      </c>
      <c r="H342" s="107">
        <f t="shared" si="38"/>
        <v>65082.292500000054</v>
      </c>
      <c r="I342" s="107">
        <f t="shared" si="38"/>
        <v>10004.65</v>
      </c>
      <c r="J342" s="107">
        <f t="shared" si="38"/>
        <v>0</v>
      </c>
      <c r="K342" s="108">
        <f t="shared" si="38"/>
        <v>12170</v>
      </c>
      <c r="L342" s="109">
        <f>M342/K342</f>
        <v>5.1465924404272805</v>
      </c>
      <c r="M342" s="107">
        <f>ROUND(SUM(M325:M341),2)</f>
        <v>62634.03</v>
      </c>
      <c r="N342" s="108">
        <f>SUM(N325:N341)</f>
        <v>2783</v>
      </c>
      <c r="O342" s="109">
        <f>P342/N342</f>
        <v>3.6394143011139057</v>
      </c>
      <c r="P342" s="107">
        <f>ROUND(SUM(P325:P341),2)</f>
        <v>10128.49</v>
      </c>
      <c r="Q342" s="108">
        <f>SUM(Q325:Q341)</f>
        <v>214</v>
      </c>
      <c r="R342" s="109">
        <f>S342/Q342</f>
        <v>6.099485981308411</v>
      </c>
      <c r="S342" s="107">
        <f>ROUND(SUM(S325:S341),2)</f>
        <v>1305.29</v>
      </c>
      <c r="T342" s="110">
        <f t="shared" ref="T342:AQ342" si="39">SUM(T325:T341)</f>
        <v>-537317.12890000001</v>
      </c>
      <c r="U342" s="107">
        <f t="shared" si="39"/>
        <v>50229.299999999996</v>
      </c>
      <c r="V342" s="107">
        <f t="shared" si="39"/>
        <v>0</v>
      </c>
      <c r="W342" s="107">
        <f t="shared" si="39"/>
        <v>0</v>
      </c>
      <c r="X342" s="107">
        <f t="shared" si="39"/>
        <v>0</v>
      </c>
      <c r="Y342" s="107">
        <f t="shared" si="39"/>
        <v>0</v>
      </c>
      <c r="Z342" s="107">
        <f t="shared" si="39"/>
        <v>0</v>
      </c>
      <c r="AA342" s="107">
        <f t="shared" si="39"/>
        <v>0</v>
      </c>
      <c r="AB342" s="107">
        <f t="shared" si="39"/>
        <v>0</v>
      </c>
      <c r="AC342" s="107">
        <f t="shared" si="39"/>
        <v>0</v>
      </c>
      <c r="AD342" s="107">
        <f t="shared" si="39"/>
        <v>0</v>
      </c>
      <c r="AE342" s="107">
        <f t="shared" si="39"/>
        <v>0</v>
      </c>
      <c r="AF342" s="107">
        <f t="shared" si="39"/>
        <v>0</v>
      </c>
      <c r="AG342" s="107">
        <f t="shared" si="39"/>
        <v>0</v>
      </c>
      <c r="AH342" s="107">
        <f t="shared" si="39"/>
        <v>0</v>
      </c>
      <c r="AI342" s="107">
        <f t="shared" si="39"/>
        <v>0</v>
      </c>
      <c r="AJ342" s="107">
        <f t="shared" si="39"/>
        <v>0</v>
      </c>
      <c r="AK342" s="107">
        <f t="shared" si="39"/>
        <v>0</v>
      </c>
      <c r="AL342" s="107">
        <f t="shared" si="39"/>
        <v>0</v>
      </c>
      <c r="AM342" s="107">
        <f t="shared" si="39"/>
        <v>0</v>
      </c>
      <c r="AN342" s="107">
        <f t="shared" si="39"/>
        <v>0</v>
      </c>
      <c r="AO342" s="107">
        <f t="shared" si="39"/>
        <v>0</v>
      </c>
      <c r="AP342" s="107">
        <f t="shared" si="39"/>
        <v>0</v>
      </c>
      <c r="AQ342" s="107">
        <f t="shared" si="39"/>
        <v>0</v>
      </c>
      <c r="AR342" s="111">
        <f>D342+E342+F342+G342+H342+I342+J342+M342+P342+S342+SUM(T342:AQ342)</f>
        <v>-368502.60935999989</v>
      </c>
      <c r="AS342" s="4"/>
      <c r="AT342" s="5"/>
      <c r="AU342" s="5"/>
      <c r="AV342" s="2" t="s">
        <v>484</v>
      </c>
    </row>
    <row r="343" spans="1:49" s="2" customFormat="1" ht="17.25" customHeight="1" thickTop="1" x14ac:dyDescent="0.25">
      <c r="A343" s="29">
        <f>A326+1</f>
        <v>46377</v>
      </c>
      <c r="B343" s="261" t="s">
        <v>480</v>
      </c>
      <c r="C343" s="262"/>
      <c r="D343" s="63"/>
      <c r="E343" s="64"/>
      <c r="F343" s="64"/>
      <c r="G343" s="64"/>
      <c r="H343" s="64"/>
      <c r="I343" s="64"/>
      <c r="J343" s="64"/>
      <c r="K343" s="57"/>
      <c r="L343" s="88"/>
      <c r="M343" s="62"/>
      <c r="N343" s="57"/>
      <c r="O343" s="88"/>
      <c r="P343" s="62"/>
      <c r="Q343" s="16"/>
      <c r="R343" s="92"/>
      <c r="S343" s="64"/>
      <c r="T343" s="47"/>
      <c r="U343" s="39"/>
      <c r="V343" s="39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22"/>
      <c r="AT343" s="10"/>
      <c r="AU343" s="11"/>
    </row>
    <row r="344" spans="1:49" s="2" customFormat="1" ht="17.25" customHeight="1" x14ac:dyDescent="0.25">
      <c r="A344" s="29"/>
      <c r="B344" s="201" t="s">
        <v>64</v>
      </c>
      <c r="C344" s="202"/>
      <c r="D344" s="65"/>
      <c r="E344" s="64"/>
      <c r="F344" s="64"/>
      <c r="G344" s="64"/>
      <c r="H344" s="64"/>
      <c r="I344" s="64"/>
      <c r="J344" s="64"/>
      <c r="K344" s="57"/>
      <c r="L344" s="88"/>
      <c r="M344" s="62"/>
      <c r="N344" s="57"/>
      <c r="O344" s="88"/>
      <c r="P344" s="62"/>
      <c r="Q344" s="57"/>
      <c r="R344" s="88"/>
      <c r="S344" s="62"/>
      <c r="T344" s="47"/>
      <c r="U344" s="39"/>
      <c r="V344" s="39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22"/>
      <c r="AT344" s="10" t="s">
        <v>4</v>
      </c>
      <c r="AU344" s="11" t="e">
        <v>#REF!</v>
      </c>
    </row>
    <row r="345" spans="1:49" s="2" customFormat="1" ht="17.25" customHeight="1" x14ac:dyDescent="0.25">
      <c r="A345" s="29"/>
      <c r="B345" s="201" t="s">
        <v>96</v>
      </c>
      <c r="C345" s="202"/>
      <c r="D345" s="65"/>
      <c r="E345" s="64"/>
      <c r="F345" s="64"/>
      <c r="G345" s="64"/>
      <c r="H345" s="64"/>
      <c r="I345" s="64"/>
      <c r="J345" s="64"/>
      <c r="K345" s="57"/>
      <c r="L345" s="88"/>
      <c r="M345" s="62"/>
      <c r="N345" s="57"/>
      <c r="O345" s="88"/>
      <c r="P345" s="62"/>
      <c r="Q345" s="57"/>
      <c r="R345" s="88"/>
      <c r="S345" s="62"/>
      <c r="T345" s="47"/>
      <c r="U345" s="39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T345" s="10" t="s">
        <v>4</v>
      </c>
      <c r="AU345" s="11" t="e">
        <v>#REF!</v>
      </c>
    </row>
    <row r="346" spans="1:49" s="2" customFormat="1" ht="17.25" customHeight="1" x14ac:dyDescent="0.25">
      <c r="A346" s="29"/>
      <c r="B346" s="201" t="s">
        <v>327</v>
      </c>
      <c r="C346" s="202"/>
      <c r="D346" s="65"/>
      <c r="E346" s="64"/>
      <c r="F346" s="64"/>
      <c r="G346" s="64"/>
      <c r="H346" s="64"/>
      <c r="I346" s="64"/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/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16"/>
      <c r="R347" s="92"/>
      <c r="S347" s="64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2" customFormat="1" ht="17.25" customHeight="1" x14ac:dyDescent="0.25">
      <c r="A348" s="29"/>
      <c r="B348" s="261" t="s">
        <v>481</v>
      </c>
      <c r="C348" s="262"/>
      <c r="D348" s="63"/>
      <c r="E348" s="64"/>
      <c r="F348" s="64"/>
      <c r="G348" s="64"/>
      <c r="H348" s="64"/>
      <c r="I348" s="64"/>
      <c r="J348" s="64"/>
      <c r="K348" s="57"/>
      <c r="L348" s="88"/>
      <c r="M348" s="62"/>
      <c r="N348" s="57"/>
      <c r="O348" s="88"/>
      <c r="P348" s="62"/>
      <c r="Q348" s="16"/>
      <c r="R348" s="92"/>
      <c r="S348" s="64"/>
      <c r="T348" s="47"/>
      <c r="U348" s="39"/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T348" s="10"/>
      <c r="AU348" s="11"/>
    </row>
    <row r="349" spans="1:49" s="2" customFormat="1" ht="17.25" customHeight="1" x14ac:dyDescent="0.25">
      <c r="A349" s="29"/>
      <c r="B349" s="201" t="s">
        <v>483</v>
      </c>
      <c r="C349" s="202"/>
      <c r="D349" s="63"/>
      <c r="E349" s="64"/>
      <c r="F349" s="64"/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16"/>
      <c r="R349" s="92"/>
      <c r="S349" s="64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/>
      <c r="AU349" s="11"/>
    </row>
    <row r="350" spans="1:49" s="4" customFormat="1" ht="17.25" customHeight="1" thickBot="1" x14ac:dyDescent="0.3">
      <c r="A350" s="24"/>
      <c r="B350" s="246"/>
      <c r="C350" s="246"/>
      <c r="D350" s="81"/>
      <c r="E350" s="81"/>
      <c r="F350" s="81"/>
      <c r="G350" s="81"/>
      <c r="H350" s="81"/>
      <c r="I350" s="81"/>
      <c r="J350" s="81"/>
      <c r="K350" s="59"/>
      <c r="L350" s="90"/>
      <c r="M350" s="136"/>
      <c r="N350" s="59"/>
      <c r="O350" s="90"/>
      <c r="P350" s="136"/>
      <c r="Q350" s="59"/>
      <c r="R350" s="90"/>
      <c r="S350" s="136"/>
      <c r="T350" s="39"/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22"/>
      <c r="AR350" s="43"/>
      <c r="AS350" s="12" t="e">
        <f>#REF!</f>
        <v>#REF!</v>
      </c>
      <c r="AW350" s="2"/>
    </row>
    <row r="351" spans="1:49" s="2" customFormat="1" ht="17.25" customHeight="1" x14ac:dyDescent="0.25">
      <c r="A351" s="29"/>
      <c r="B351" s="261" t="s">
        <v>482</v>
      </c>
      <c r="C351" s="262"/>
      <c r="D351" s="63"/>
      <c r="E351" s="64"/>
      <c r="F351" s="64"/>
      <c r="G351" s="64"/>
      <c r="H351" s="64"/>
      <c r="I351" s="64"/>
      <c r="J351" s="64"/>
      <c r="K351" s="57"/>
      <c r="L351" s="88"/>
      <c r="M351" s="62"/>
      <c r="N351" s="57"/>
      <c r="O351" s="88"/>
      <c r="P351" s="62"/>
      <c r="Q351" s="16"/>
      <c r="R351" s="92"/>
      <c r="S351" s="64"/>
      <c r="T351" s="47"/>
      <c r="U351" s="39"/>
      <c r="V351" s="39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22"/>
      <c r="AT351" s="10"/>
      <c r="AU351" s="11"/>
    </row>
    <row r="352" spans="1:49" s="4" customFormat="1" ht="17.25" customHeight="1" x14ac:dyDescent="0.25">
      <c r="A352" s="23"/>
      <c r="B352" s="212" t="s">
        <v>94</v>
      </c>
      <c r="C352" s="212"/>
      <c r="D352" s="66"/>
      <c r="E352" s="66"/>
      <c r="F352" s="117"/>
      <c r="G352" s="117"/>
      <c r="H352" s="66"/>
      <c r="I352" s="66"/>
      <c r="J352" s="66"/>
      <c r="K352" s="58"/>
      <c r="L352" s="89"/>
      <c r="M352" s="73"/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3"/>
      <c r="D353" s="64"/>
      <c r="E353" s="64"/>
      <c r="F353" s="117"/>
      <c r="G353" s="117"/>
      <c r="H353" s="64"/>
      <c r="I353" s="64"/>
      <c r="J353" s="64"/>
      <c r="K353" s="57"/>
      <c r="L353" s="88"/>
      <c r="M353" s="62"/>
      <c r="N353" s="57"/>
      <c r="O353" s="88"/>
      <c r="P353" s="62"/>
      <c r="Q353" s="58"/>
      <c r="R353" s="89"/>
      <c r="S353" s="73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479</v>
      </c>
      <c r="C354" s="203"/>
      <c r="D354" s="64"/>
      <c r="E354" s="64"/>
      <c r="F354" s="117"/>
      <c r="G354" s="117"/>
      <c r="H354" s="64"/>
      <c r="I354" s="64"/>
      <c r="J354" s="64"/>
      <c r="K354" s="57"/>
      <c r="L354" s="88"/>
      <c r="M354" s="62"/>
      <c r="N354" s="57"/>
      <c r="O354" s="88"/>
      <c r="P354" s="62"/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/>
      <c r="I355" s="64"/>
      <c r="J355" s="64"/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/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100</v>
      </c>
      <c r="C356" s="202"/>
      <c r="D356" s="64"/>
      <c r="E356" s="64"/>
      <c r="F356" s="64"/>
      <c r="G356" s="64"/>
      <c r="H356" s="64"/>
      <c r="I356" s="64"/>
      <c r="J356" s="64"/>
      <c r="K356" s="57"/>
      <c r="L356" s="88"/>
      <c r="M356" s="62"/>
      <c r="N356" s="57"/>
      <c r="O356" s="88"/>
      <c r="P356" s="62"/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/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/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117279.92954000011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SUM($T342:AQ358)</f>
        <v>-487087.82890000002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-368502.60935999989</v>
      </c>
      <c r="D359" s="106">
        <f t="shared" ref="D359:K359" si="40">SUM(D342:D358)</f>
        <v>12717.607040000057</v>
      </c>
      <c r="E359" s="107">
        <f t="shared" si="40"/>
        <v>-43287.790000000008</v>
      </c>
      <c r="F359" s="107">
        <f t="shared" si="40"/>
        <v>0.65000000000145519</v>
      </c>
      <c r="G359" s="107">
        <f t="shared" si="40"/>
        <v>0</v>
      </c>
      <c r="H359" s="107">
        <f t="shared" si="40"/>
        <v>65082.292500000054</v>
      </c>
      <c r="I359" s="107">
        <f t="shared" si="40"/>
        <v>10004.65</v>
      </c>
      <c r="J359" s="107">
        <f t="shared" si="40"/>
        <v>0</v>
      </c>
      <c r="K359" s="108">
        <f t="shared" si="40"/>
        <v>12170</v>
      </c>
      <c r="L359" s="109">
        <f>M359/K359</f>
        <v>5.1465924404272805</v>
      </c>
      <c r="M359" s="107">
        <f>ROUND(SUM(M342:M358),2)</f>
        <v>62634.03</v>
      </c>
      <c r="N359" s="108">
        <f>SUM(N342:N358)</f>
        <v>2783</v>
      </c>
      <c r="O359" s="109">
        <f>P359/N359</f>
        <v>3.6394143011139057</v>
      </c>
      <c r="P359" s="107">
        <f>ROUND(SUM(P342:P358),2)</f>
        <v>10128.49</v>
      </c>
      <c r="Q359" s="108">
        <f>SUM(Q342:Q358)</f>
        <v>214</v>
      </c>
      <c r="R359" s="109">
        <f>S359/Q359</f>
        <v>6.099485981308411</v>
      </c>
      <c r="S359" s="107">
        <f>ROUND(SUM(S342:S358),2)</f>
        <v>1305.29</v>
      </c>
      <c r="T359" s="110">
        <f t="shared" ref="T359:AQ359" si="41">SUM(T342:T358)</f>
        <v>-537317.12890000001</v>
      </c>
      <c r="U359" s="107">
        <f t="shared" si="41"/>
        <v>50229.299999999996</v>
      </c>
      <c r="V359" s="107">
        <f t="shared" si="41"/>
        <v>0</v>
      </c>
      <c r="W359" s="107">
        <f t="shared" si="41"/>
        <v>0</v>
      </c>
      <c r="X359" s="107">
        <f t="shared" si="41"/>
        <v>0</v>
      </c>
      <c r="Y359" s="107">
        <f t="shared" si="41"/>
        <v>0</v>
      </c>
      <c r="Z359" s="107">
        <f t="shared" si="41"/>
        <v>0</v>
      </c>
      <c r="AA359" s="107">
        <f t="shared" si="41"/>
        <v>0</v>
      </c>
      <c r="AB359" s="107">
        <f t="shared" si="41"/>
        <v>0</v>
      </c>
      <c r="AC359" s="107">
        <f t="shared" si="41"/>
        <v>0</v>
      </c>
      <c r="AD359" s="107">
        <f t="shared" si="41"/>
        <v>0</v>
      </c>
      <c r="AE359" s="107">
        <f t="shared" si="41"/>
        <v>0</v>
      </c>
      <c r="AF359" s="107">
        <f t="shared" si="41"/>
        <v>0</v>
      </c>
      <c r="AG359" s="107">
        <f t="shared" si="41"/>
        <v>0</v>
      </c>
      <c r="AH359" s="107">
        <f t="shared" si="41"/>
        <v>0</v>
      </c>
      <c r="AI359" s="107">
        <f t="shared" si="41"/>
        <v>0</v>
      </c>
      <c r="AJ359" s="107">
        <f t="shared" si="41"/>
        <v>0</v>
      </c>
      <c r="AK359" s="107">
        <f t="shared" si="41"/>
        <v>0</v>
      </c>
      <c r="AL359" s="107">
        <f t="shared" si="41"/>
        <v>0</v>
      </c>
      <c r="AM359" s="107">
        <f t="shared" si="41"/>
        <v>0</v>
      </c>
      <c r="AN359" s="107">
        <f t="shared" si="41"/>
        <v>0</v>
      </c>
      <c r="AO359" s="107">
        <f t="shared" si="41"/>
        <v>0</v>
      </c>
      <c r="AP359" s="107">
        <f t="shared" si="41"/>
        <v>0</v>
      </c>
      <c r="AQ359" s="107">
        <f t="shared" si="41"/>
        <v>0</v>
      </c>
      <c r="AR359" s="111">
        <f>D359+E359+F359+G359+H359+I359+J359+M359+P359+S359+SUM(T359:AQ359)</f>
        <v>-368502.60935999989</v>
      </c>
      <c r="AS359" s="4"/>
      <c r="AT359" s="5"/>
      <c r="AU359" s="5"/>
      <c r="AV359" s="2" t="s">
        <v>484</v>
      </c>
    </row>
    <row r="360" spans="1:49" s="2" customFormat="1" ht="17.25" customHeight="1" thickTop="1" x14ac:dyDescent="0.25">
      <c r="A360" s="29">
        <f>A343+1</f>
        <v>46378</v>
      </c>
      <c r="B360" s="261" t="s">
        <v>480</v>
      </c>
      <c r="C360" s="262"/>
      <c r="D360" s="63"/>
      <c r="E360" s="64"/>
      <c r="F360" s="64"/>
      <c r="G360" s="64"/>
      <c r="H360" s="64"/>
      <c r="I360" s="64"/>
      <c r="J360" s="64"/>
      <c r="K360" s="57"/>
      <c r="L360" s="88"/>
      <c r="M360" s="62"/>
      <c r="N360" s="57"/>
      <c r="O360" s="88"/>
      <c r="P360" s="62"/>
      <c r="Q360" s="16"/>
      <c r="R360" s="92"/>
      <c r="S360" s="64"/>
      <c r="T360" s="47"/>
      <c r="U360" s="39"/>
      <c r="V360" s="39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22"/>
      <c r="AT360" s="10"/>
      <c r="AU360" s="11"/>
    </row>
    <row r="361" spans="1:49" s="2" customFormat="1" ht="17.25" customHeight="1" x14ac:dyDescent="0.25">
      <c r="A361" s="29"/>
      <c r="B361" s="201" t="s">
        <v>64</v>
      </c>
      <c r="C361" s="202"/>
      <c r="D361" s="65"/>
      <c r="E361" s="64"/>
      <c r="F361" s="64"/>
      <c r="G361" s="64"/>
      <c r="H361" s="64"/>
      <c r="I361" s="64"/>
      <c r="J361" s="64"/>
      <c r="K361" s="57"/>
      <c r="L361" s="88"/>
      <c r="M361" s="62"/>
      <c r="N361" s="57"/>
      <c r="O361" s="88"/>
      <c r="P361" s="62"/>
      <c r="Q361" s="57"/>
      <c r="R361" s="88"/>
      <c r="S361" s="62"/>
      <c r="T361" s="47"/>
      <c r="U361" s="39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T361" s="10" t="s">
        <v>4</v>
      </c>
      <c r="AU361" s="11" t="e">
        <v>#REF!</v>
      </c>
    </row>
    <row r="362" spans="1:49" s="2" customFormat="1" ht="17.25" customHeight="1" x14ac:dyDescent="0.25">
      <c r="A362" s="29"/>
      <c r="B362" s="201" t="s">
        <v>96</v>
      </c>
      <c r="C362" s="202"/>
      <c r="D362" s="65"/>
      <c r="E362" s="64"/>
      <c r="F362" s="64"/>
      <c r="G362" s="64"/>
      <c r="H362" s="64"/>
      <c r="I362" s="64"/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 t="s">
        <v>4</v>
      </c>
      <c r="AU362" s="11" t="e">
        <v>#REF!</v>
      </c>
    </row>
    <row r="363" spans="1:49" s="2" customFormat="1" ht="17.25" customHeight="1" x14ac:dyDescent="0.25">
      <c r="A363" s="29"/>
      <c r="B363" s="201" t="s">
        <v>327</v>
      </c>
      <c r="C363" s="202"/>
      <c r="D363" s="65"/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328</v>
      </c>
      <c r="C364" s="202"/>
      <c r="D364" s="63"/>
      <c r="E364" s="64"/>
      <c r="F364" s="64"/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16"/>
      <c r="R364" s="92"/>
      <c r="S364" s="64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/>
      <c r="AU364" s="11"/>
    </row>
    <row r="365" spans="1:49" s="2" customFormat="1" ht="17.25" customHeight="1" x14ac:dyDescent="0.25">
      <c r="A365" s="29"/>
      <c r="B365" s="261" t="s">
        <v>481</v>
      </c>
      <c r="C365" s="262"/>
      <c r="D365" s="63"/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16"/>
      <c r="R365" s="92"/>
      <c r="S365" s="64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2" customFormat="1" ht="17.25" customHeight="1" x14ac:dyDescent="0.25">
      <c r="A366" s="29"/>
      <c r="B366" s="201" t="s">
        <v>483</v>
      </c>
      <c r="C366" s="202"/>
      <c r="D366" s="63"/>
      <c r="E366" s="64"/>
      <c r="F366" s="64"/>
      <c r="G366" s="64"/>
      <c r="H366" s="64"/>
      <c r="I366" s="64"/>
      <c r="J366" s="64"/>
      <c r="K366" s="57"/>
      <c r="L366" s="88"/>
      <c r="M366" s="62"/>
      <c r="N366" s="57"/>
      <c r="O366" s="88"/>
      <c r="P366" s="62"/>
      <c r="Q366" s="16"/>
      <c r="R366" s="92"/>
      <c r="S366" s="64"/>
      <c r="T366" s="47"/>
      <c r="U366" s="39"/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T366" s="10"/>
      <c r="AU366" s="11"/>
    </row>
    <row r="367" spans="1:49" s="4" customFormat="1" ht="17.25" customHeight="1" thickBot="1" x14ac:dyDescent="0.3">
      <c r="A367" s="24"/>
      <c r="B367" s="246"/>
      <c r="C367" s="246"/>
      <c r="D367" s="81"/>
      <c r="E367" s="81"/>
      <c r="F367" s="81"/>
      <c r="G367" s="81"/>
      <c r="H367" s="81"/>
      <c r="I367" s="81"/>
      <c r="J367" s="81"/>
      <c r="K367" s="59"/>
      <c r="L367" s="90"/>
      <c r="M367" s="136"/>
      <c r="N367" s="59"/>
      <c r="O367" s="90"/>
      <c r="P367" s="136"/>
      <c r="Q367" s="59"/>
      <c r="R367" s="90"/>
      <c r="S367" s="136"/>
      <c r="T367" s="39"/>
      <c r="U367" s="39"/>
      <c r="V367" s="39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22"/>
      <c r="AR367" s="43"/>
      <c r="AS367" s="12" t="e">
        <f>#REF!</f>
        <v>#REF!</v>
      </c>
      <c r="AW367" s="2"/>
    </row>
    <row r="368" spans="1:49" s="2" customFormat="1" ht="17.25" customHeight="1" x14ac:dyDescent="0.25">
      <c r="A368" s="29"/>
      <c r="B368" s="261" t="s">
        <v>482</v>
      </c>
      <c r="C368" s="262"/>
      <c r="D368" s="63"/>
      <c r="E368" s="64"/>
      <c r="F368" s="64"/>
      <c r="G368" s="64"/>
      <c r="H368" s="64"/>
      <c r="I368" s="64"/>
      <c r="J368" s="64"/>
      <c r="K368" s="57"/>
      <c r="L368" s="88"/>
      <c r="M368" s="62"/>
      <c r="N368" s="57"/>
      <c r="O368" s="88"/>
      <c r="P368" s="62"/>
      <c r="Q368" s="16"/>
      <c r="R368" s="92"/>
      <c r="S368" s="64"/>
      <c r="T368" s="47"/>
      <c r="U368" s="39"/>
      <c r="V368" s="39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22"/>
      <c r="AT368" s="10"/>
      <c r="AU368" s="11"/>
    </row>
    <row r="369" spans="1:49" s="4" customFormat="1" ht="17.25" customHeight="1" x14ac:dyDescent="0.25">
      <c r="A369" s="23"/>
      <c r="B369" s="212" t="s">
        <v>94</v>
      </c>
      <c r="C369" s="212"/>
      <c r="D369" s="66"/>
      <c r="E369" s="66"/>
      <c r="F369" s="117"/>
      <c r="G369" s="117"/>
      <c r="H369" s="66"/>
      <c r="I369" s="66"/>
      <c r="J369" s="66"/>
      <c r="K369" s="58"/>
      <c r="L369" s="89"/>
      <c r="M369" s="73"/>
      <c r="N369" s="58"/>
      <c r="O369" s="89"/>
      <c r="P369" s="73"/>
      <c r="Q369" s="58"/>
      <c r="R369" s="89"/>
      <c r="S369" s="73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95</v>
      </c>
      <c r="C370" s="203"/>
      <c r="D370" s="64"/>
      <c r="E370" s="64"/>
      <c r="F370" s="117"/>
      <c r="G370" s="117"/>
      <c r="H370" s="64"/>
      <c r="I370" s="64"/>
      <c r="J370" s="64"/>
      <c r="K370" s="57"/>
      <c r="L370" s="88"/>
      <c r="M370" s="62"/>
      <c r="N370" s="57"/>
      <c r="O370" s="88"/>
      <c r="P370" s="62"/>
      <c r="Q370" s="58"/>
      <c r="R370" s="89"/>
      <c r="S370" s="73"/>
      <c r="T370" s="39"/>
      <c r="U370" s="39"/>
      <c r="V370" s="8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35"/>
      <c r="AS370" s="12" t="e">
        <f>#REF!</f>
        <v>#REF!</v>
      </c>
    </row>
    <row r="371" spans="1:49" s="4" customFormat="1" ht="17.25" customHeight="1" x14ac:dyDescent="0.25">
      <c r="A371" s="23"/>
      <c r="B371" s="201" t="s">
        <v>479</v>
      </c>
      <c r="C371" s="203"/>
      <c r="D371" s="64"/>
      <c r="E371" s="64"/>
      <c r="F371" s="117"/>
      <c r="G371" s="117"/>
      <c r="H371" s="64"/>
      <c r="I371" s="64"/>
      <c r="J371" s="64"/>
      <c r="K371" s="57"/>
      <c r="L371" s="88"/>
      <c r="M371" s="62"/>
      <c r="N371" s="57"/>
      <c r="O371" s="88"/>
      <c r="P371" s="62"/>
      <c r="Q371" s="57"/>
      <c r="R371" s="88"/>
      <c r="S371" s="62"/>
      <c r="T371" s="39"/>
      <c r="U371" s="39"/>
      <c r="V371" s="8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35"/>
      <c r="AS371" s="12" t="e">
        <f>#REF!</f>
        <v>#REF!</v>
      </c>
    </row>
    <row r="372" spans="1:49" s="4" customFormat="1" ht="17.25" customHeight="1" x14ac:dyDescent="0.25">
      <c r="A372" s="23"/>
      <c r="B372" s="201" t="s">
        <v>97</v>
      </c>
      <c r="C372" s="203"/>
      <c r="D372" s="64"/>
      <c r="E372" s="64"/>
      <c r="F372" s="64"/>
      <c r="G372" s="64"/>
      <c r="H372" s="64"/>
      <c r="I372" s="64"/>
      <c r="J372" s="64"/>
      <c r="K372" s="57"/>
      <c r="L372" s="88"/>
      <c r="M372" s="62"/>
      <c r="N372" s="57"/>
      <c r="O372" s="88"/>
      <c r="P372" s="62"/>
      <c r="Q372" s="57"/>
      <c r="R372" s="88"/>
      <c r="S372" s="62"/>
      <c r="T372" s="39"/>
      <c r="U372" s="39"/>
      <c r="V372" s="39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22"/>
      <c r="AR372" s="43"/>
      <c r="AS372" s="12" t="e">
        <f>#REF!</f>
        <v>#REF!</v>
      </c>
      <c r="AW372" s="2"/>
    </row>
    <row r="373" spans="1:49" s="4" customFormat="1" ht="17.25" customHeight="1" x14ac:dyDescent="0.25">
      <c r="A373" s="23"/>
      <c r="B373" s="201" t="s">
        <v>100</v>
      </c>
      <c r="C373" s="202"/>
      <c r="D373" s="64"/>
      <c r="E373" s="64"/>
      <c r="F373" s="64"/>
      <c r="G373" s="64"/>
      <c r="H373" s="64"/>
      <c r="I373" s="64"/>
      <c r="J373" s="64"/>
      <c r="K373" s="57"/>
      <c r="L373" s="88"/>
      <c r="M373" s="62"/>
      <c r="N373" s="57"/>
      <c r="O373" s="88"/>
      <c r="P373" s="62"/>
      <c r="Q373" s="57"/>
      <c r="R373" s="88"/>
      <c r="S373" s="62"/>
      <c r="T373" s="39"/>
      <c r="U373" s="39"/>
      <c r="V373" s="39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22"/>
      <c r="AR373" s="43"/>
      <c r="AS373" s="12" t="e">
        <f>#REF!</f>
        <v>#REF!</v>
      </c>
      <c r="AW373" s="2"/>
    </row>
    <row r="374" spans="1:49" s="2" customFormat="1" ht="17.25" customHeight="1" x14ac:dyDescent="0.2">
      <c r="A374" s="24"/>
      <c r="B374" s="201"/>
      <c r="C374" s="204"/>
      <c r="D374" s="63"/>
      <c r="E374" s="64"/>
      <c r="F374" s="64"/>
      <c r="G374" s="64"/>
      <c r="H374" s="64"/>
      <c r="I374" s="64"/>
      <c r="J374" s="64"/>
      <c r="K374" s="16"/>
      <c r="L374" s="16"/>
      <c r="M374" s="64"/>
      <c r="N374" s="16"/>
      <c r="O374" s="16"/>
      <c r="P374" s="64"/>
      <c r="Q374" s="16"/>
      <c r="R374" s="16"/>
      <c r="S374" s="64"/>
      <c r="T374" s="46"/>
      <c r="U374" s="46"/>
      <c r="V374" s="39"/>
      <c r="W374" s="16"/>
      <c r="X374" s="16"/>
      <c r="Y374" s="16"/>
      <c r="Z374" s="16"/>
      <c r="AA374" s="16"/>
      <c r="AB374" s="19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43"/>
      <c r="AT374" s="10"/>
      <c r="AU374" s="11"/>
    </row>
    <row r="375" spans="1:49" s="2" customFormat="1" ht="17.25" customHeight="1" thickBot="1" x14ac:dyDescent="0.3">
      <c r="A375" s="56"/>
      <c r="B375" s="101" t="s">
        <v>102</v>
      </c>
      <c r="C375" s="102">
        <f>D376+E376+F376+G376+H376+I376+J376+M376+P376</f>
        <v>117279.92954000011</v>
      </c>
      <c r="D375" s="84"/>
      <c r="E375" s="85"/>
      <c r="F375" s="85"/>
      <c r="G375" s="85"/>
      <c r="H375" s="85"/>
      <c r="I375" s="85"/>
      <c r="J375" s="85"/>
      <c r="K375" s="28"/>
      <c r="L375" s="28"/>
      <c r="M375" s="85"/>
      <c r="N375" s="28"/>
      <c r="O375" s="28"/>
      <c r="P375" s="85"/>
      <c r="Q375" s="28"/>
      <c r="R375" s="28"/>
      <c r="S375" s="85"/>
      <c r="T375" s="48"/>
      <c r="U375" s="48"/>
      <c r="V375" s="51"/>
      <c r="W375" s="28"/>
      <c r="X375" s="28"/>
      <c r="Y375" s="28"/>
      <c r="Z375" s="28"/>
      <c r="AA375" s="28"/>
      <c r="AB375" s="36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42">
        <f>SUM($T359:AQ375)</f>
        <v>-487087.82890000002</v>
      </c>
      <c r="AT375" s="10"/>
      <c r="AU375" s="11"/>
      <c r="AV375" s="2" t="s">
        <v>5</v>
      </c>
    </row>
    <row r="376" spans="1:49" s="2" customFormat="1" ht="17.25" customHeight="1" thickTop="1" thickBot="1" x14ac:dyDescent="0.3">
      <c r="A376" s="103"/>
      <c r="B376" s="104" t="s">
        <v>103</v>
      </c>
      <c r="C376" s="105">
        <f>AR376</f>
        <v>-368502.60935999989</v>
      </c>
      <c r="D376" s="106">
        <f t="shared" ref="D376:K376" si="42">SUM(D359:D375)</f>
        <v>12717.607040000057</v>
      </c>
      <c r="E376" s="107">
        <f t="shared" si="42"/>
        <v>-43287.790000000008</v>
      </c>
      <c r="F376" s="107">
        <f t="shared" si="42"/>
        <v>0.65000000000145519</v>
      </c>
      <c r="G376" s="107">
        <f t="shared" si="42"/>
        <v>0</v>
      </c>
      <c r="H376" s="107">
        <f t="shared" si="42"/>
        <v>65082.292500000054</v>
      </c>
      <c r="I376" s="107">
        <f t="shared" si="42"/>
        <v>10004.65</v>
      </c>
      <c r="J376" s="107">
        <f t="shared" si="42"/>
        <v>0</v>
      </c>
      <c r="K376" s="108">
        <f t="shared" si="42"/>
        <v>12170</v>
      </c>
      <c r="L376" s="109">
        <f>M376/K376</f>
        <v>5.1465924404272805</v>
      </c>
      <c r="M376" s="107">
        <f>ROUND(SUM(M359:M375),2)</f>
        <v>62634.03</v>
      </c>
      <c r="N376" s="108">
        <f>SUM(N359:N375)</f>
        <v>2783</v>
      </c>
      <c r="O376" s="109">
        <f>P376/N376</f>
        <v>3.6394143011139057</v>
      </c>
      <c r="P376" s="107">
        <f>ROUND(SUM(P359:P375),2)</f>
        <v>10128.49</v>
      </c>
      <c r="Q376" s="108">
        <f>SUM(Q359:Q375)</f>
        <v>214</v>
      </c>
      <c r="R376" s="109">
        <f>S376/Q376</f>
        <v>6.099485981308411</v>
      </c>
      <c r="S376" s="107">
        <f>ROUND(SUM(S359:S375),2)</f>
        <v>1305.29</v>
      </c>
      <c r="T376" s="110">
        <f t="shared" ref="T376:AQ376" si="43">SUM(T359:T375)</f>
        <v>-537317.12890000001</v>
      </c>
      <c r="U376" s="107">
        <f t="shared" si="43"/>
        <v>50229.299999999996</v>
      </c>
      <c r="V376" s="107">
        <f t="shared" si="43"/>
        <v>0</v>
      </c>
      <c r="W376" s="107">
        <f t="shared" si="43"/>
        <v>0</v>
      </c>
      <c r="X376" s="107">
        <f t="shared" si="43"/>
        <v>0</v>
      </c>
      <c r="Y376" s="107">
        <f t="shared" si="43"/>
        <v>0</v>
      </c>
      <c r="Z376" s="107">
        <f t="shared" si="43"/>
        <v>0</v>
      </c>
      <c r="AA376" s="107">
        <f t="shared" si="43"/>
        <v>0</v>
      </c>
      <c r="AB376" s="107">
        <f t="shared" si="43"/>
        <v>0</v>
      </c>
      <c r="AC376" s="107">
        <f t="shared" si="43"/>
        <v>0</v>
      </c>
      <c r="AD376" s="107">
        <f t="shared" si="43"/>
        <v>0</v>
      </c>
      <c r="AE376" s="107">
        <f t="shared" si="43"/>
        <v>0</v>
      </c>
      <c r="AF376" s="107">
        <f t="shared" si="43"/>
        <v>0</v>
      </c>
      <c r="AG376" s="107">
        <f t="shared" si="43"/>
        <v>0</v>
      </c>
      <c r="AH376" s="107">
        <f t="shared" si="43"/>
        <v>0</v>
      </c>
      <c r="AI376" s="107">
        <f t="shared" si="43"/>
        <v>0</v>
      </c>
      <c r="AJ376" s="107">
        <f t="shared" si="43"/>
        <v>0</v>
      </c>
      <c r="AK376" s="107">
        <f t="shared" si="43"/>
        <v>0</v>
      </c>
      <c r="AL376" s="107">
        <f t="shared" si="43"/>
        <v>0</v>
      </c>
      <c r="AM376" s="107">
        <f t="shared" si="43"/>
        <v>0</v>
      </c>
      <c r="AN376" s="107">
        <f t="shared" si="43"/>
        <v>0</v>
      </c>
      <c r="AO376" s="107">
        <f t="shared" si="43"/>
        <v>0</v>
      </c>
      <c r="AP376" s="107">
        <f t="shared" si="43"/>
        <v>0</v>
      </c>
      <c r="AQ376" s="107">
        <f t="shared" si="43"/>
        <v>0</v>
      </c>
      <c r="AR376" s="111">
        <f>D376+E376+F376+G376+H376+I376+J376+M376+P376+S376+SUM(T376:AQ376)</f>
        <v>-368502.60935999989</v>
      </c>
      <c r="AS376" s="4"/>
      <c r="AT376" s="5"/>
      <c r="AU376" s="5"/>
      <c r="AV376" s="2" t="s">
        <v>484</v>
      </c>
    </row>
    <row r="377" spans="1:49" s="2" customFormat="1" ht="17.25" customHeight="1" thickTop="1" x14ac:dyDescent="0.25">
      <c r="A377" s="29">
        <f>A360+1</f>
        <v>46379</v>
      </c>
      <c r="B377" s="261" t="s">
        <v>480</v>
      </c>
      <c r="C377" s="262"/>
      <c r="D377" s="63"/>
      <c r="E377" s="64"/>
      <c r="F377" s="64"/>
      <c r="G377" s="64"/>
      <c r="H377" s="64"/>
      <c r="I377" s="64"/>
      <c r="J377" s="64"/>
      <c r="K377" s="57"/>
      <c r="L377" s="88"/>
      <c r="M377" s="62"/>
      <c r="N377" s="57"/>
      <c r="O377" s="88"/>
      <c r="P377" s="62"/>
      <c r="Q377" s="16"/>
      <c r="R377" s="92"/>
      <c r="S377" s="64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64</v>
      </c>
      <c r="C378" s="202"/>
      <c r="D378" s="65"/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 t="s">
        <v>4</v>
      </c>
      <c r="AU378" s="11" t="e">
        <v>#REF!</v>
      </c>
    </row>
    <row r="379" spans="1:49" s="2" customFormat="1" ht="17.25" customHeight="1" x14ac:dyDescent="0.25">
      <c r="A379" s="29"/>
      <c r="B379" s="201" t="s">
        <v>96</v>
      </c>
      <c r="C379" s="202"/>
      <c r="D379" s="65"/>
      <c r="E379" s="64"/>
      <c r="F379" s="64"/>
      <c r="G379" s="64"/>
      <c r="H379" s="64"/>
      <c r="I379" s="64"/>
      <c r="J379" s="64"/>
      <c r="K379" s="57"/>
      <c r="L379" s="88"/>
      <c r="M379" s="62"/>
      <c r="N379" s="57"/>
      <c r="O379" s="88"/>
      <c r="P379" s="62"/>
      <c r="Q379" s="57"/>
      <c r="R379" s="88"/>
      <c r="S379" s="62"/>
      <c r="T379" s="47"/>
      <c r="U379" s="39"/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T379" s="10" t="s">
        <v>4</v>
      </c>
      <c r="AU379" s="11" t="e">
        <v>#REF!</v>
      </c>
    </row>
    <row r="380" spans="1:49" s="2" customFormat="1" ht="17.25" customHeight="1" x14ac:dyDescent="0.25">
      <c r="A380" s="29"/>
      <c r="B380" s="201" t="s">
        <v>327</v>
      </c>
      <c r="C380" s="202"/>
      <c r="D380" s="65"/>
      <c r="E380" s="64"/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/>
      <c r="AU380" s="11"/>
    </row>
    <row r="381" spans="1:49" s="2" customFormat="1" ht="17.25" customHeight="1" x14ac:dyDescent="0.25">
      <c r="A381" s="29"/>
      <c r="B381" s="201" t="s">
        <v>328</v>
      </c>
      <c r="C381" s="202"/>
      <c r="D381" s="63"/>
      <c r="E381" s="64"/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16"/>
      <c r="R381" s="92"/>
      <c r="S381" s="64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/>
      <c r="AU381" s="11"/>
    </row>
    <row r="382" spans="1:49" s="2" customFormat="1" ht="17.25" customHeight="1" x14ac:dyDescent="0.25">
      <c r="A382" s="29"/>
      <c r="B382" s="261" t="s">
        <v>481</v>
      </c>
      <c r="C382" s="262"/>
      <c r="D382" s="63"/>
      <c r="E382" s="64"/>
      <c r="F382" s="64"/>
      <c r="G382" s="64"/>
      <c r="H382" s="64"/>
      <c r="I382" s="64"/>
      <c r="J382" s="64"/>
      <c r="K382" s="57"/>
      <c r="L382" s="88"/>
      <c r="M382" s="62"/>
      <c r="N382" s="57"/>
      <c r="O382" s="88"/>
      <c r="P382" s="62"/>
      <c r="Q382" s="16"/>
      <c r="R382" s="92"/>
      <c r="S382" s="64"/>
      <c r="T382" s="47"/>
      <c r="U382" s="39"/>
      <c r="V382" s="39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22"/>
      <c r="AT382" s="10"/>
      <c r="AU382" s="11"/>
    </row>
    <row r="383" spans="1:49" s="2" customFormat="1" ht="17.25" customHeight="1" x14ac:dyDescent="0.25">
      <c r="A383" s="29"/>
      <c r="B383" s="201" t="s">
        <v>483</v>
      </c>
      <c r="C383" s="202"/>
      <c r="D383" s="63"/>
      <c r="E383" s="64"/>
      <c r="F383" s="64"/>
      <c r="G383" s="64"/>
      <c r="H383" s="64"/>
      <c r="I383" s="64"/>
      <c r="J383" s="64"/>
      <c r="K383" s="57"/>
      <c r="L383" s="88"/>
      <c r="M383" s="62"/>
      <c r="N383" s="57"/>
      <c r="O383" s="88"/>
      <c r="P383" s="62"/>
      <c r="Q383" s="16"/>
      <c r="R383" s="92"/>
      <c r="S383" s="64"/>
      <c r="T383" s="47"/>
      <c r="U383" s="39"/>
      <c r="V383" s="39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22"/>
      <c r="AT383" s="10"/>
      <c r="AU383" s="11"/>
    </row>
    <row r="384" spans="1:49" s="4" customFormat="1" ht="17.25" customHeight="1" thickBot="1" x14ac:dyDescent="0.3">
      <c r="A384" s="24"/>
      <c r="B384" s="246"/>
      <c r="C384" s="246"/>
      <c r="D384" s="81"/>
      <c r="E384" s="81"/>
      <c r="F384" s="81"/>
      <c r="G384" s="81"/>
      <c r="H384" s="81"/>
      <c r="I384" s="81"/>
      <c r="J384" s="81"/>
      <c r="K384" s="59"/>
      <c r="L384" s="90"/>
      <c r="M384" s="136"/>
      <c r="N384" s="59"/>
      <c r="O384" s="90"/>
      <c r="P384" s="136"/>
      <c r="Q384" s="59"/>
      <c r="R384" s="90"/>
      <c r="S384" s="136"/>
      <c r="T384" s="39"/>
      <c r="U384" s="39"/>
      <c r="V384" s="39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22"/>
      <c r="AR384" s="43"/>
      <c r="AS384" s="12" t="e">
        <f>#REF!</f>
        <v>#REF!</v>
      </c>
      <c r="AW384" s="2"/>
    </row>
    <row r="385" spans="1:49" s="2" customFormat="1" ht="17.25" customHeight="1" x14ac:dyDescent="0.25">
      <c r="A385" s="29"/>
      <c r="B385" s="261" t="s">
        <v>482</v>
      </c>
      <c r="C385" s="262"/>
      <c r="D385" s="63"/>
      <c r="E385" s="64"/>
      <c r="F385" s="64"/>
      <c r="G385" s="64"/>
      <c r="H385" s="64"/>
      <c r="I385" s="64"/>
      <c r="J385" s="64"/>
      <c r="K385" s="57"/>
      <c r="L385" s="88"/>
      <c r="M385" s="62"/>
      <c r="N385" s="57"/>
      <c r="O385" s="88"/>
      <c r="P385" s="62"/>
      <c r="Q385" s="16"/>
      <c r="R385" s="92"/>
      <c r="S385" s="64"/>
      <c r="T385" s="47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22"/>
      <c r="AT385" s="10"/>
      <c r="AU385" s="11"/>
    </row>
    <row r="386" spans="1:49" s="4" customFormat="1" ht="17.25" customHeight="1" x14ac:dyDescent="0.25">
      <c r="A386" s="23"/>
      <c r="B386" s="212" t="s">
        <v>94</v>
      </c>
      <c r="C386" s="212"/>
      <c r="D386" s="66"/>
      <c r="E386" s="66"/>
      <c r="F386" s="117"/>
      <c r="G386" s="117"/>
      <c r="H386" s="66"/>
      <c r="I386" s="66"/>
      <c r="J386" s="66"/>
      <c r="K386" s="58"/>
      <c r="L386" s="89"/>
      <c r="M386" s="73"/>
      <c r="N386" s="58"/>
      <c r="O386" s="89"/>
      <c r="P386" s="73"/>
      <c r="Q386" s="58"/>
      <c r="R386" s="89"/>
      <c r="S386" s="73"/>
      <c r="T386" s="39"/>
      <c r="U386" s="39"/>
      <c r="V386" s="8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35"/>
      <c r="AS386" s="12" t="e">
        <f>#REF!</f>
        <v>#REF!</v>
      </c>
    </row>
    <row r="387" spans="1:49" s="4" customFormat="1" ht="17.25" customHeight="1" x14ac:dyDescent="0.25">
      <c r="A387" s="23"/>
      <c r="B387" s="201" t="s">
        <v>95</v>
      </c>
      <c r="C387" s="203"/>
      <c r="D387" s="64"/>
      <c r="E387" s="64"/>
      <c r="F387" s="117"/>
      <c r="G387" s="117"/>
      <c r="H387" s="64"/>
      <c r="I387" s="64"/>
      <c r="J387" s="64"/>
      <c r="K387" s="57"/>
      <c r="L387" s="88"/>
      <c r="M387" s="62"/>
      <c r="N387" s="57"/>
      <c r="O387" s="88"/>
      <c r="P387" s="62"/>
      <c r="Q387" s="58"/>
      <c r="R387" s="89"/>
      <c r="S387" s="73"/>
      <c r="T387" s="39"/>
      <c r="U387" s="39"/>
      <c r="V387" s="8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35"/>
      <c r="AS387" s="12" t="e">
        <f>#REF!</f>
        <v>#REF!</v>
      </c>
    </row>
    <row r="388" spans="1:49" s="4" customFormat="1" ht="17.25" customHeight="1" x14ac:dyDescent="0.25">
      <c r="A388" s="23"/>
      <c r="B388" s="201" t="s">
        <v>479</v>
      </c>
      <c r="C388" s="203"/>
      <c r="D388" s="64"/>
      <c r="E388" s="64"/>
      <c r="F388" s="117"/>
      <c r="G388" s="117"/>
      <c r="H388" s="64"/>
      <c r="I388" s="64"/>
      <c r="J388" s="64"/>
      <c r="K388" s="57"/>
      <c r="L388" s="88"/>
      <c r="M388" s="62"/>
      <c r="N388" s="57"/>
      <c r="O388" s="88"/>
      <c r="P388" s="62"/>
      <c r="Q388" s="57"/>
      <c r="R388" s="88"/>
      <c r="S388" s="62"/>
      <c r="T388" s="39"/>
      <c r="U388" s="39"/>
      <c r="V388" s="8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35"/>
      <c r="AS388" s="12" t="e">
        <f>#REF!</f>
        <v>#REF!</v>
      </c>
    </row>
    <row r="389" spans="1:49" s="4" customFormat="1" ht="17.25" customHeight="1" x14ac:dyDescent="0.25">
      <c r="A389" s="23"/>
      <c r="B389" s="201" t="s">
        <v>97</v>
      </c>
      <c r="C389" s="203"/>
      <c r="D389" s="64"/>
      <c r="E389" s="64"/>
      <c r="F389" s="64"/>
      <c r="G389" s="64"/>
      <c r="H389" s="64"/>
      <c r="I389" s="64"/>
      <c r="J389" s="64"/>
      <c r="K389" s="57"/>
      <c r="L389" s="88"/>
      <c r="M389" s="62"/>
      <c r="N389" s="57"/>
      <c r="O389" s="88"/>
      <c r="P389" s="62"/>
      <c r="Q389" s="57"/>
      <c r="R389" s="88"/>
      <c r="S389" s="62"/>
      <c r="T389" s="39"/>
      <c r="U389" s="39"/>
      <c r="V389" s="39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22"/>
      <c r="AR389" s="43"/>
      <c r="AS389" s="12" t="e">
        <f>#REF!</f>
        <v>#REF!</v>
      </c>
      <c r="AW389" s="2"/>
    </row>
    <row r="390" spans="1:49" s="4" customFormat="1" ht="17.25" customHeight="1" x14ac:dyDescent="0.25">
      <c r="A390" s="23"/>
      <c r="B390" s="201" t="s">
        <v>100</v>
      </c>
      <c r="C390" s="202"/>
      <c r="D390" s="64"/>
      <c r="E390" s="64"/>
      <c r="F390" s="64"/>
      <c r="G390" s="64"/>
      <c r="H390" s="64"/>
      <c r="I390" s="64"/>
      <c r="J390" s="64"/>
      <c r="K390" s="57"/>
      <c r="L390" s="88"/>
      <c r="M390" s="62"/>
      <c r="N390" s="57"/>
      <c r="O390" s="88"/>
      <c r="P390" s="62"/>
      <c r="Q390" s="57"/>
      <c r="R390" s="88"/>
      <c r="S390" s="62"/>
      <c r="T390" s="39"/>
      <c r="U390" s="39"/>
      <c r="V390" s="39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22"/>
      <c r="AR390" s="43"/>
      <c r="AS390" s="12" t="e">
        <f>#REF!</f>
        <v>#REF!</v>
      </c>
      <c r="AW390" s="2"/>
    </row>
    <row r="391" spans="1:49" s="2" customFormat="1" ht="17.25" customHeight="1" x14ac:dyDescent="0.2">
      <c r="A391" s="24"/>
      <c r="B391" s="201"/>
      <c r="C391" s="204"/>
      <c r="D391" s="63"/>
      <c r="E391" s="64"/>
      <c r="F391" s="64"/>
      <c r="G391" s="64"/>
      <c r="H391" s="64"/>
      <c r="I391" s="64"/>
      <c r="J391" s="64"/>
      <c r="K391" s="16"/>
      <c r="L391" s="16"/>
      <c r="M391" s="64"/>
      <c r="N391" s="16"/>
      <c r="O391" s="16"/>
      <c r="P391" s="64"/>
      <c r="Q391" s="16"/>
      <c r="R391" s="16"/>
      <c r="S391" s="64"/>
      <c r="T391" s="46"/>
      <c r="U391" s="46"/>
      <c r="V391" s="39"/>
      <c r="W391" s="16"/>
      <c r="X391" s="16"/>
      <c r="Y391" s="16"/>
      <c r="Z391" s="16"/>
      <c r="AA391" s="16"/>
      <c r="AB391" s="19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43"/>
      <c r="AT391" s="10"/>
      <c r="AU391" s="11"/>
    </row>
    <row r="392" spans="1:49" s="2" customFormat="1" ht="17.25" customHeight="1" thickBot="1" x14ac:dyDescent="0.3">
      <c r="A392" s="56"/>
      <c r="B392" s="101" t="s">
        <v>102</v>
      </c>
      <c r="C392" s="102">
        <f>D393+E393+F393+G393+H393+I393+J393+M393+P393</f>
        <v>117279.92954000011</v>
      </c>
      <c r="D392" s="84"/>
      <c r="E392" s="85"/>
      <c r="F392" s="85"/>
      <c r="G392" s="85"/>
      <c r="H392" s="85"/>
      <c r="I392" s="85"/>
      <c r="J392" s="85"/>
      <c r="K392" s="28"/>
      <c r="L392" s="28"/>
      <c r="M392" s="85"/>
      <c r="N392" s="28"/>
      <c r="O392" s="28"/>
      <c r="P392" s="85"/>
      <c r="Q392" s="28"/>
      <c r="R392" s="28"/>
      <c r="S392" s="85"/>
      <c r="T392" s="48"/>
      <c r="U392" s="48"/>
      <c r="V392" s="51"/>
      <c r="W392" s="28"/>
      <c r="X392" s="28"/>
      <c r="Y392" s="28"/>
      <c r="Z392" s="28"/>
      <c r="AA392" s="28"/>
      <c r="AB392" s="36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42">
        <f>SUM($T376:AQ392)</f>
        <v>-487087.82890000002</v>
      </c>
      <c r="AT392" s="10"/>
      <c r="AU392" s="11"/>
      <c r="AV392" s="2" t="s">
        <v>5</v>
      </c>
    </row>
    <row r="393" spans="1:49" s="2" customFormat="1" ht="17.25" customHeight="1" thickTop="1" thickBot="1" x14ac:dyDescent="0.3">
      <c r="A393" s="103"/>
      <c r="B393" s="104" t="s">
        <v>103</v>
      </c>
      <c r="C393" s="105">
        <f>AR393</f>
        <v>-368502.60935999989</v>
      </c>
      <c r="D393" s="106">
        <f t="shared" ref="D393:K393" si="44">SUM(D376:D392)</f>
        <v>12717.607040000057</v>
      </c>
      <c r="E393" s="107">
        <f t="shared" si="44"/>
        <v>-43287.790000000008</v>
      </c>
      <c r="F393" s="107">
        <f t="shared" si="44"/>
        <v>0.65000000000145519</v>
      </c>
      <c r="G393" s="107">
        <f t="shared" si="44"/>
        <v>0</v>
      </c>
      <c r="H393" s="107">
        <f t="shared" si="44"/>
        <v>65082.292500000054</v>
      </c>
      <c r="I393" s="107">
        <f t="shared" si="44"/>
        <v>10004.65</v>
      </c>
      <c r="J393" s="107">
        <f t="shared" si="44"/>
        <v>0</v>
      </c>
      <c r="K393" s="108">
        <f t="shared" si="44"/>
        <v>12170</v>
      </c>
      <c r="L393" s="109">
        <f>M393/K393</f>
        <v>5.1465924404272805</v>
      </c>
      <c r="M393" s="107">
        <f>ROUND(SUM(M376:M392),2)</f>
        <v>62634.03</v>
      </c>
      <c r="N393" s="108">
        <f>SUM(N376:N392)</f>
        <v>2783</v>
      </c>
      <c r="O393" s="109">
        <f>P393/N393</f>
        <v>3.6394143011139057</v>
      </c>
      <c r="P393" s="107">
        <f>ROUND(SUM(P376:P392),2)</f>
        <v>10128.49</v>
      </c>
      <c r="Q393" s="108">
        <f>SUM(Q376:Q392)</f>
        <v>214</v>
      </c>
      <c r="R393" s="109">
        <f>S393/Q393</f>
        <v>6.099485981308411</v>
      </c>
      <c r="S393" s="107">
        <f>ROUND(SUM(S376:S392),2)</f>
        <v>1305.29</v>
      </c>
      <c r="T393" s="110">
        <f t="shared" ref="T393:AQ393" si="45">SUM(T376:T392)</f>
        <v>-537317.12890000001</v>
      </c>
      <c r="U393" s="107">
        <f t="shared" si="45"/>
        <v>50229.299999999996</v>
      </c>
      <c r="V393" s="107">
        <f t="shared" si="45"/>
        <v>0</v>
      </c>
      <c r="W393" s="107">
        <f t="shared" si="45"/>
        <v>0</v>
      </c>
      <c r="X393" s="107">
        <f t="shared" si="45"/>
        <v>0</v>
      </c>
      <c r="Y393" s="107">
        <f t="shared" si="45"/>
        <v>0</v>
      </c>
      <c r="Z393" s="107">
        <f t="shared" si="45"/>
        <v>0</v>
      </c>
      <c r="AA393" s="107">
        <f t="shared" si="45"/>
        <v>0</v>
      </c>
      <c r="AB393" s="107">
        <f t="shared" si="45"/>
        <v>0</v>
      </c>
      <c r="AC393" s="107">
        <f t="shared" si="45"/>
        <v>0</v>
      </c>
      <c r="AD393" s="107">
        <f t="shared" si="45"/>
        <v>0</v>
      </c>
      <c r="AE393" s="107">
        <f t="shared" si="45"/>
        <v>0</v>
      </c>
      <c r="AF393" s="107">
        <f t="shared" si="45"/>
        <v>0</v>
      </c>
      <c r="AG393" s="107">
        <f t="shared" si="45"/>
        <v>0</v>
      </c>
      <c r="AH393" s="107">
        <f t="shared" si="45"/>
        <v>0</v>
      </c>
      <c r="AI393" s="107">
        <f t="shared" si="45"/>
        <v>0</v>
      </c>
      <c r="AJ393" s="107">
        <f t="shared" si="45"/>
        <v>0</v>
      </c>
      <c r="AK393" s="107">
        <f t="shared" si="45"/>
        <v>0</v>
      </c>
      <c r="AL393" s="107">
        <f t="shared" si="45"/>
        <v>0</v>
      </c>
      <c r="AM393" s="107">
        <f t="shared" si="45"/>
        <v>0</v>
      </c>
      <c r="AN393" s="107">
        <f t="shared" si="45"/>
        <v>0</v>
      </c>
      <c r="AO393" s="107">
        <f t="shared" si="45"/>
        <v>0</v>
      </c>
      <c r="AP393" s="107">
        <f t="shared" si="45"/>
        <v>0</v>
      </c>
      <c r="AQ393" s="107">
        <f t="shared" si="45"/>
        <v>0</v>
      </c>
      <c r="AR393" s="111">
        <f>D393+E393+F393+G393+H393+I393+J393+M393+P393+S393+SUM(T393:AQ393)</f>
        <v>-368502.60935999989</v>
      </c>
      <c r="AS393" s="4"/>
      <c r="AT393" s="5"/>
      <c r="AU393" s="5"/>
      <c r="AV393" s="2" t="s">
        <v>484</v>
      </c>
    </row>
    <row r="394" spans="1:49" s="2" customFormat="1" ht="17.25" customHeight="1" thickTop="1" x14ac:dyDescent="0.25">
      <c r="A394" s="29">
        <f>A377+1</f>
        <v>46380</v>
      </c>
      <c r="B394" s="261" t="s">
        <v>480</v>
      </c>
      <c r="C394" s="262"/>
      <c r="D394" s="63"/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16"/>
      <c r="R394" s="92"/>
      <c r="S394" s="64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2" customFormat="1" ht="17.25" customHeight="1" x14ac:dyDescent="0.25">
      <c r="A395" s="29"/>
      <c r="B395" s="201" t="s">
        <v>64</v>
      </c>
      <c r="C395" s="202"/>
      <c r="D395" s="65"/>
      <c r="E395" s="64"/>
      <c r="F395" s="64"/>
      <c r="G395" s="64"/>
      <c r="H395" s="64"/>
      <c r="I395" s="64"/>
      <c r="J395" s="64"/>
      <c r="K395" s="57"/>
      <c r="L395" s="88"/>
      <c r="M395" s="62"/>
      <c r="N395" s="57"/>
      <c r="O395" s="88"/>
      <c r="P395" s="62"/>
      <c r="Q395" s="57"/>
      <c r="R395" s="88"/>
      <c r="S395" s="62"/>
      <c r="T395" s="47"/>
      <c r="U395" s="39"/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T395" s="10" t="s">
        <v>4</v>
      </c>
      <c r="AU395" s="11" t="e">
        <v>#REF!</v>
      </c>
    </row>
    <row r="396" spans="1:49" s="2" customFormat="1" ht="17.25" customHeight="1" x14ac:dyDescent="0.25">
      <c r="A396" s="29"/>
      <c r="B396" s="201" t="s">
        <v>96</v>
      </c>
      <c r="C396" s="202"/>
      <c r="D396" s="65"/>
      <c r="E396" s="64"/>
      <c r="F396" s="64"/>
      <c r="G396" s="64"/>
      <c r="H396" s="64"/>
      <c r="I396" s="64"/>
      <c r="J396" s="64"/>
      <c r="K396" s="57"/>
      <c r="L396" s="88"/>
      <c r="M396" s="62"/>
      <c r="N396" s="57"/>
      <c r="O396" s="88"/>
      <c r="P396" s="62"/>
      <c r="Q396" s="57"/>
      <c r="R396" s="88"/>
      <c r="S396" s="62"/>
      <c r="T396" s="47"/>
      <c r="U396" s="39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 t="s">
        <v>4</v>
      </c>
      <c r="AU396" s="11" t="e">
        <v>#REF!</v>
      </c>
    </row>
    <row r="397" spans="1:49" s="2" customFormat="1" ht="17.25" customHeight="1" x14ac:dyDescent="0.25">
      <c r="A397" s="29"/>
      <c r="B397" s="201" t="s">
        <v>327</v>
      </c>
      <c r="C397" s="202"/>
      <c r="D397" s="65"/>
      <c r="E397" s="64"/>
      <c r="F397" s="64"/>
      <c r="G397" s="64"/>
      <c r="H397" s="64"/>
      <c r="I397" s="64"/>
      <c r="J397" s="64"/>
      <c r="K397" s="57"/>
      <c r="L397" s="88"/>
      <c r="M397" s="62"/>
      <c r="N397" s="57"/>
      <c r="O397" s="88"/>
      <c r="P397" s="62"/>
      <c r="Q397" s="57"/>
      <c r="R397" s="88"/>
      <c r="S397" s="62"/>
      <c r="T397" s="47"/>
      <c r="U397" s="39"/>
      <c r="V397" s="39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22"/>
      <c r="AT397" s="10"/>
      <c r="AU397" s="11"/>
    </row>
    <row r="398" spans="1:49" s="2" customFormat="1" ht="17.25" customHeight="1" x14ac:dyDescent="0.25">
      <c r="A398" s="29"/>
      <c r="B398" s="201" t="s">
        <v>328</v>
      </c>
      <c r="C398" s="202"/>
      <c r="D398" s="63"/>
      <c r="E398" s="64"/>
      <c r="F398" s="64"/>
      <c r="G398" s="64"/>
      <c r="H398" s="64"/>
      <c r="I398" s="64"/>
      <c r="J398" s="64"/>
      <c r="K398" s="57"/>
      <c r="L398" s="88"/>
      <c r="M398" s="62"/>
      <c r="N398" s="57"/>
      <c r="O398" s="88"/>
      <c r="P398" s="62"/>
      <c r="Q398" s="16"/>
      <c r="R398" s="92"/>
      <c r="S398" s="64"/>
      <c r="T398" s="47"/>
      <c r="U398" s="39"/>
      <c r="V398" s="39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22"/>
      <c r="AT398" s="10"/>
      <c r="AU398" s="11"/>
    </row>
    <row r="399" spans="1:49" s="2" customFormat="1" ht="17.25" customHeight="1" x14ac:dyDescent="0.25">
      <c r="A399" s="29"/>
      <c r="B399" s="261" t="s">
        <v>481</v>
      </c>
      <c r="C399" s="262"/>
      <c r="D399" s="63"/>
      <c r="E399" s="64"/>
      <c r="F399" s="64"/>
      <c r="G399" s="64"/>
      <c r="H399" s="64"/>
      <c r="I399" s="64"/>
      <c r="J399" s="64"/>
      <c r="K399" s="57"/>
      <c r="L399" s="88"/>
      <c r="M399" s="62"/>
      <c r="N399" s="57"/>
      <c r="O399" s="88"/>
      <c r="P399" s="62"/>
      <c r="Q399" s="16"/>
      <c r="R399" s="92"/>
      <c r="S399" s="64"/>
      <c r="T399" s="47"/>
      <c r="U399" s="39"/>
      <c r="V399" s="39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22"/>
      <c r="AT399" s="10"/>
      <c r="AU399" s="11"/>
    </row>
    <row r="400" spans="1:49" s="2" customFormat="1" ht="17.25" customHeight="1" x14ac:dyDescent="0.25">
      <c r="A400" s="29"/>
      <c r="B400" s="201" t="s">
        <v>483</v>
      </c>
      <c r="C400" s="202"/>
      <c r="D400" s="63"/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16"/>
      <c r="R400" s="92"/>
      <c r="S400" s="64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/>
      <c r="AU400" s="11"/>
    </row>
    <row r="401" spans="1:49" s="4" customFormat="1" ht="17.25" customHeight="1" thickBot="1" x14ac:dyDescent="0.3">
      <c r="A401" s="24"/>
      <c r="B401" s="246"/>
      <c r="C401" s="246"/>
      <c r="D401" s="81"/>
      <c r="E401" s="81"/>
      <c r="F401" s="81"/>
      <c r="G401" s="81"/>
      <c r="H401" s="81"/>
      <c r="I401" s="81"/>
      <c r="J401" s="81"/>
      <c r="K401" s="59"/>
      <c r="L401" s="90"/>
      <c r="M401" s="136"/>
      <c r="N401" s="59"/>
      <c r="O401" s="90"/>
      <c r="P401" s="136"/>
      <c r="Q401" s="59"/>
      <c r="R401" s="90"/>
      <c r="S401" s="136"/>
      <c r="T401" s="39"/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22"/>
      <c r="AR401" s="43"/>
      <c r="AS401" s="12" t="e">
        <f>#REF!</f>
        <v>#REF!</v>
      </c>
      <c r="AW401" s="2"/>
    </row>
    <row r="402" spans="1:49" s="2" customFormat="1" ht="17.25" customHeight="1" x14ac:dyDescent="0.25">
      <c r="A402" s="29"/>
      <c r="B402" s="261" t="s">
        <v>482</v>
      </c>
      <c r="C402" s="262"/>
      <c r="D402" s="63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16"/>
      <c r="R402" s="92"/>
      <c r="S402" s="64"/>
      <c r="T402" s="47"/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4" customFormat="1" ht="17.25" customHeight="1" x14ac:dyDescent="0.25">
      <c r="A403" s="23"/>
      <c r="B403" s="212" t="s">
        <v>94</v>
      </c>
      <c r="C403" s="212"/>
      <c r="D403" s="66"/>
      <c r="E403" s="66"/>
      <c r="F403" s="117"/>
      <c r="G403" s="117"/>
      <c r="H403" s="66"/>
      <c r="I403" s="66"/>
      <c r="J403" s="66"/>
      <c r="K403" s="58"/>
      <c r="L403" s="89"/>
      <c r="M403" s="73"/>
      <c r="N403" s="58"/>
      <c r="O403" s="89"/>
      <c r="P403" s="73"/>
      <c r="Q403" s="58"/>
      <c r="R403" s="89"/>
      <c r="S403" s="73"/>
      <c r="T403" s="39"/>
      <c r="U403" s="39"/>
      <c r="V403" s="8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35"/>
      <c r="AS403" s="12" t="e">
        <f>#REF!</f>
        <v>#REF!</v>
      </c>
    </row>
    <row r="404" spans="1:49" s="4" customFormat="1" ht="17.25" customHeight="1" x14ac:dyDescent="0.25">
      <c r="A404" s="23"/>
      <c r="B404" s="201" t="s">
        <v>95</v>
      </c>
      <c r="C404" s="203"/>
      <c r="D404" s="64"/>
      <c r="E404" s="64"/>
      <c r="F404" s="117"/>
      <c r="G404" s="117"/>
      <c r="H404" s="64"/>
      <c r="I404" s="64"/>
      <c r="J404" s="64"/>
      <c r="K404" s="57"/>
      <c r="L404" s="88"/>
      <c r="M404" s="62"/>
      <c r="N404" s="57"/>
      <c r="O404" s="88"/>
      <c r="P404" s="62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479</v>
      </c>
      <c r="C405" s="203"/>
      <c r="D405" s="64"/>
      <c r="E405" s="64"/>
      <c r="F405" s="117"/>
      <c r="G405" s="117"/>
      <c r="H405" s="64"/>
      <c r="I405" s="64"/>
      <c r="J405" s="64"/>
      <c r="K405" s="57"/>
      <c r="L405" s="88"/>
      <c r="M405" s="62"/>
      <c r="N405" s="57"/>
      <c r="O405" s="88"/>
      <c r="P405" s="62"/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/>
      <c r="I406" s="64"/>
      <c r="J406" s="64"/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100</v>
      </c>
      <c r="C407" s="202"/>
      <c r="D407" s="64"/>
      <c r="E407" s="64"/>
      <c r="F407" s="64"/>
      <c r="G407" s="64"/>
      <c r="H407" s="64"/>
      <c r="I407" s="64"/>
      <c r="J407" s="64"/>
      <c r="K407" s="57"/>
      <c r="L407" s="88"/>
      <c r="M407" s="62"/>
      <c r="N407" s="57"/>
      <c r="O407" s="88"/>
      <c r="P407" s="62"/>
      <c r="Q407" s="57"/>
      <c r="R407" s="88"/>
      <c r="S407" s="62"/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/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/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117279.92954000011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SUM($T393:AQ409)</f>
        <v>-487087.82890000002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-368502.60935999989</v>
      </c>
      <c r="D410" s="106">
        <f t="shared" ref="D410:K410" si="46">SUM(D393:D409)</f>
        <v>12717.607040000057</v>
      </c>
      <c r="E410" s="107">
        <f t="shared" si="46"/>
        <v>-43287.790000000008</v>
      </c>
      <c r="F410" s="107">
        <f t="shared" si="46"/>
        <v>0.65000000000145519</v>
      </c>
      <c r="G410" s="107">
        <f t="shared" si="46"/>
        <v>0</v>
      </c>
      <c r="H410" s="107">
        <f t="shared" si="46"/>
        <v>65082.292500000054</v>
      </c>
      <c r="I410" s="107">
        <f t="shared" si="46"/>
        <v>10004.65</v>
      </c>
      <c r="J410" s="107">
        <f t="shared" si="46"/>
        <v>0</v>
      </c>
      <c r="K410" s="108">
        <f t="shared" si="46"/>
        <v>12170</v>
      </c>
      <c r="L410" s="109">
        <f>M410/K410</f>
        <v>5.1465924404272805</v>
      </c>
      <c r="M410" s="107">
        <f>ROUND(SUM(M393:M409),2)</f>
        <v>62634.03</v>
      </c>
      <c r="N410" s="108">
        <f>SUM(N393:N409)</f>
        <v>2783</v>
      </c>
      <c r="O410" s="109">
        <f>P410/N410</f>
        <v>3.6394143011139057</v>
      </c>
      <c r="P410" s="107">
        <f>ROUND(SUM(P393:P409),2)</f>
        <v>10128.49</v>
      </c>
      <c r="Q410" s="108">
        <f>SUM(Q393:Q409)</f>
        <v>214</v>
      </c>
      <c r="R410" s="109">
        <f>S410/Q410</f>
        <v>6.099485981308411</v>
      </c>
      <c r="S410" s="107">
        <f>ROUND(SUM(S393:S409),2)</f>
        <v>1305.29</v>
      </c>
      <c r="T410" s="110">
        <f t="shared" ref="T410:AQ410" si="47">SUM(T393:T409)</f>
        <v>-537317.12890000001</v>
      </c>
      <c r="U410" s="107">
        <f t="shared" si="47"/>
        <v>50229.299999999996</v>
      </c>
      <c r="V410" s="107">
        <f t="shared" si="47"/>
        <v>0</v>
      </c>
      <c r="W410" s="107">
        <f t="shared" si="47"/>
        <v>0</v>
      </c>
      <c r="X410" s="107">
        <f t="shared" si="47"/>
        <v>0</v>
      </c>
      <c r="Y410" s="107">
        <f t="shared" si="47"/>
        <v>0</v>
      </c>
      <c r="Z410" s="107">
        <f t="shared" si="47"/>
        <v>0</v>
      </c>
      <c r="AA410" s="107">
        <f t="shared" si="47"/>
        <v>0</v>
      </c>
      <c r="AB410" s="107">
        <f t="shared" si="47"/>
        <v>0</v>
      </c>
      <c r="AC410" s="107">
        <f t="shared" si="47"/>
        <v>0</v>
      </c>
      <c r="AD410" s="107">
        <f t="shared" si="47"/>
        <v>0</v>
      </c>
      <c r="AE410" s="107">
        <f t="shared" si="47"/>
        <v>0</v>
      </c>
      <c r="AF410" s="107">
        <f t="shared" si="47"/>
        <v>0</v>
      </c>
      <c r="AG410" s="107">
        <f t="shared" si="47"/>
        <v>0</v>
      </c>
      <c r="AH410" s="107">
        <f t="shared" si="47"/>
        <v>0</v>
      </c>
      <c r="AI410" s="107">
        <f t="shared" si="47"/>
        <v>0</v>
      </c>
      <c r="AJ410" s="107">
        <f t="shared" si="47"/>
        <v>0</v>
      </c>
      <c r="AK410" s="107">
        <f t="shared" si="47"/>
        <v>0</v>
      </c>
      <c r="AL410" s="107">
        <f t="shared" si="47"/>
        <v>0</v>
      </c>
      <c r="AM410" s="107">
        <f t="shared" si="47"/>
        <v>0</v>
      </c>
      <c r="AN410" s="107">
        <f t="shared" si="47"/>
        <v>0</v>
      </c>
      <c r="AO410" s="107">
        <f t="shared" si="47"/>
        <v>0</v>
      </c>
      <c r="AP410" s="107">
        <f t="shared" si="47"/>
        <v>0</v>
      </c>
      <c r="AQ410" s="107">
        <f t="shared" si="47"/>
        <v>0</v>
      </c>
      <c r="AR410" s="111">
        <f>D410+E410+F410+G410+H410+I410+J410+M410+P410+S410+SUM(T410:AQ410)</f>
        <v>-368502.60935999989</v>
      </c>
      <c r="AS410" s="4"/>
      <c r="AT410" s="5"/>
      <c r="AU410" s="5"/>
      <c r="AV410" s="2" t="s">
        <v>484</v>
      </c>
    </row>
    <row r="411" spans="1:49" s="2" customFormat="1" ht="17.25" customHeight="1" thickTop="1" x14ac:dyDescent="0.25">
      <c r="A411" s="29">
        <f>A394+1</f>
        <v>46381</v>
      </c>
      <c r="B411" s="261" t="s">
        <v>480</v>
      </c>
      <c r="C411" s="262"/>
      <c r="D411" s="63"/>
      <c r="E411" s="64"/>
      <c r="F411" s="64"/>
      <c r="G411" s="64"/>
      <c r="H411" s="64"/>
      <c r="I411" s="64"/>
      <c r="J411" s="64"/>
      <c r="K411" s="57"/>
      <c r="L411" s="88"/>
      <c r="M411" s="62"/>
      <c r="N411" s="57"/>
      <c r="O411" s="88"/>
      <c r="P411" s="62"/>
      <c r="Q411" s="16"/>
      <c r="R411" s="92"/>
      <c r="S411" s="64"/>
      <c r="T411" s="47"/>
      <c r="U411" s="39"/>
      <c r="V411" s="39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22"/>
      <c r="AT411" s="10"/>
      <c r="AU411" s="11"/>
    </row>
    <row r="412" spans="1:49" s="2" customFormat="1" ht="17.25" customHeight="1" x14ac:dyDescent="0.25">
      <c r="A412" s="29"/>
      <c r="B412" s="201" t="s">
        <v>64</v>
      </c>
      <c r="C412" s="202"/>
      <c r="D412" s="65"/>
      <c r="E412" s="64"/>
      <c r="F412" s="64"/>
      <c r="G412" s="64"/>
      <c r="H412" s="64"/>
      <c r="I412" s="64"/>
      <c r="J412" s="64"/>
      <c r="K412" s="57"/>
      <c r="L412" s="88"/>
      <c r="M412" s="62"/>
      <c r="N412" s="57"/>
      <c r="O412" s="88"/>
      <c r="P412" s="62"/>
      <c r="Q412" s="57"/>
      <c r="R412" s="88"/>
      <c r="S412" s="62"/>
      <c r="T412" s="47"/>
      <c r="U412" s="39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T412" s="10" t="s">
        <v>4</v>
      </c>
      <c r="AU412" s="11" t="e">
        <v>#REF!</v>
      </c>
    </row>
    <row r="413" spans="1:49" s="2" customFormat="1" ht="17.25" customHeight="1" x14ac:dyDescent="0.25">
      <c r="A413" s="29"/>
      <c r="B413" s="201" t="s">
        <v>96</v>
      </c>
      <c r="C413" s="202"/>
      <c r="D413" s="65"/>
      <c r="E413" s="64"/>
      <c r="F413" s="64"/>
      <c r="G413" s="64"/>
      <c r="H413" s="64"/>
      <c r="I413" s="64"/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 t="s">
        <v>4</v>
      </c>
      <c r="AU413" s="11" t="e">
        <v>#REF!</v>
      </c>
    </row>
    <row r="414" spans="1:49" s="2" customFormat="1" ht="17.25" customHeight="1" x14ac:dyDescent="0.25">
      <c r="A414" s="29"/>
      <c r="B414" s="201" t="s">
        <v>327</v>
      </c>
      <c r="C414" s="202"/>
      <c r="D414" s="65"/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x14ac:dyDescent="0.25">
      <c r="A415" s="29"/>
      <c r="B415" s="201" t="s">
        <v>328</v>
      </c>
      <c r="C415" s="202"/>
      <c r="D415" s="63"/>
      <c r="E415" s="64"/>
      <c r="F415" s="64"/>
      <c r="G415" s="64"/>
      <c r="H415" s="64"/>
      <c r="I415" s="64"/>
      <c r="J415" s="64"/>
      <c r="K415" s="57"/>
      <c r="L415" s="88"/>
      <c r="M415" s="62"/>
      <c r="N415" s="57"/>
      <c r="O415" s="88"/>
      <c r="P415" s="62"/>
      <c r="Q415" s="16"/>
      <c r="R415" s="92"/>
      <c r="S415" s="64"/>
      <c r="T415" s="47"/>
      <c r="U415" s="39"/>
      <c r="V415" s="39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22"/>
      <c r="AT415" s="10"/>
      <c r="AU415" s="11"/>
    </row>
    <row r="416" spans="1:49" s="2" customFormat="1" ht="17.25" customHeight="1" x14ac:dyDescent="0.25">
      <c r="A416" s="29"/>
      <c r="B416" s="261" t="s">
        <v>481</v>
      </c>
      <c r="C416" s="262"/>
      <c r="D416" s="63"/>
      <c r="E416" s="64"/>
      <c r="F416" s="64"/>
      <c r="G416" s="64"/>
      <c r="H416" s="64"/>
      <c r="I416" s="64"/>
      <c r="J416" s="64"/>
      <c r="K416" s="57"/>
      <c r="L416" s="88"/>
      <c r="M416" s="62"/>
      <c r="N416" s="57"/>
      <c r="O416" s="88"/>
      <c r="P416" s="62"/>
      <c r="Q416" s="16"/>
      <c r="R416" s="92"/>
      <c r="S416" s="64"/>
      <c r="T416" s="47"/>
      <c r="U416" s="39"/>
      <c r="V416" s="39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22"/>
      <c r="AT416" s="10"/>
      <c r="AU416" s="11"/>
    </row>
    <row r="417" spans="1:49" s="2" customFormat="1" ht="17.25" customHeight="1" x14ac:dyDescent="0.25">
      <c r="A417" s="29"/>
      <c r="B417" s="201" t="s">
        <v>483</v>
      </c>
      <c r="C417" s="202"/>
      <c r="D417" s="63"/>
      <c r="E417" s="64"/>
      <c r="F417" s="64"/>
      <c r="G417" s="64"/>
      <c r="H417" s="64"/>
      <c r="I417" s="64"/>
      <c r="J417" s="64"/>
      <c r="K417" s="57"/>
      <c r="L417" s="88"/>
      <c r="M417" s="62"/>
      <c r="N417" s="57"/>
      <c r="O417" s="88"/>
      <c r="P417" s="62"/>
      <c r="Q417" s="16"/>
      <c r="R417" s="92"/>
      <c r="S417" s="64"/>
      <c r="T417" s="47"/>
      <c r="U417" s="39"/>
      <c r="V417" s="39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22"/>
      <c r="AT417" s="10"/>
      <c r="AU417" s="11"/>
    </row>
    <row r="418" spans="1:49" s="4" customFormat="1" ht="17.25" customHeight="1" thickBot="1" x14ac:dyDescent="0.3">
      <c r="A418" s="24"/>
      <c r="B418" s="246"/>
      <c r="C418" s="246"/>
      <c r="D418" s="81"/>
      <c r="E418" s="81"/>
      <c r="F418" s="81"/>
      <c r="G418" s="81"/>
      <c r="H418" s="81"/>
      <c r="I418" s="81"/>
      <c r="J418" s="81"/>
      <c r="K418" s="59"/>
      <c r="L418" s="90"/>
      <c r="M418" s="136"/>
      <c r="N418" s="59"/>
      <c r="O418" s="90"/>
      <c r="P418" s="136"/>
      <c r="Q418" s="59"/>
      <c r="R418" s="90"/>
      <c r="S418" s="136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/>
      <c r="AS418" s="12" t="e">
        <f>#REF!</f>
        <v>#REF!</v>
      </c>
      <c r="AW418" s="2"/>
    </row>
    <row r="419" spans="1:49" s="2" customFormat="1" ht="17.25" customHeight="1" x14ac:dyDescent="0.25">
      <c r="A419" s="29"/>
      <c r="B419" s="261" t="s">
        <v>482</v>
      </c>
      <c r="C419" s="262"/>
      <c r="D419" s="63"/>
      <c r="E419" s="64"/>
      <c r="F419" s="64"/>
      <c r="G419" s="64"/>
      <c r="H419" s="64"/>
      <c r="I419" s="64"/>
      <c r="J419" s="64"/>
      <c r="K419" s="57"/>
      <c r="L419" s="88"/>
      <c r="M419" s="62"/>
      <c r="N419" s="57"/>
      <c r="O419" s="88"/>
      <c r="P419" s="62"/>
      <c r="Q419" s="16"/>
      <c r="R419" s="92"/>
      <c r="S419" s="64"/>
      <c r="T419" s="47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22"/>
      <c r="AT419" s="10"/>
      <c r="AU419" s="11"/>
    </row>
    <row r="420" spans="1:49" s="4" customFormat="1" ht="17.25" customHeight="1" x14ac:dyDescent="0.25">
      <c r="A420" s="23"/>
      <c r="B420" s="212" t="s">
        <v>94</v>
      </c>
      <c r="C420" s="212"/>
      <c r="D420" s="66"/>
      <c r="E420" s="66"/>
      <c r="F420" s="117"/>
      <c r="G420" s="117"/>
      <c r="H420" s="66"/>
      <c r="I420" s="66"/>
      <c r="J420" s="66"/>
      <c r="K420" s="58"/>
      <c r="L420" s="89"/>
      <c r="M420" s="73"/>
      <c r="N420" s="58"/>
      <c r="O420" s="89"/>
      <c r="P420" s="73"/>
      <c r="Q420" s="58"/>
      <c r="R420" s="89"/>
      <c r="S420" s="73"/>
      <c r="T420" s="39"/>
      <c r="U420" s="39"/>
      <c r="V420" s="8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35"/>
      <c r="AS420" s="12" t="e">
        <f>#REF!</f>
        <v>#REF!</v>
      </c>
    </row>
    <row r="421" spans="1:49" s="4" customFormat="1" ht="17.25" customHeight="1" x14ac:dyDescent="0.25">
      <c r="A421" s="23"/>
      <c r="B421" s="201" t="s">
        <v>95</v>
      </c>
      <c r="C421" s="203"/>
      <c r="D421" s="64"/>
      <c r="E421" s="64"/>
      <c r="F421" s="117"/>
      <c r="G421" s="117"/>
      <c r="H421" s="64"/>
      <c r="I421" s="64"/>
      <c r="J421" s="64"/>
      <c r="K421" s="57"/>
      <c r="L421" s="88"/>
      <c r="M421" s="62"/>
      <c r="N421" s="57"/>
      <c r="O421" s="88"/>
      <c r="P421" s="62"/>
      <c r="Q421" s="58"/>
      <c r="R421" s="89"/>
      <c r="S421" s="73"/>
      <c r="T421" s="39"/>
      <c r="U421" s="39"/>
      <c r="V421" s="8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35"/>
      <c r="AS421" s="12" t="e">
        <f>#REF!</f>
        <v>#REF!</v>
      </c>
    </row>
    <row r="422" spans="1:49" s="4" customFormat="1" ht="17.25" customHeight="1" x14ac:dyDescent="0.25">
      <c r="A422" s="23"/>
      <c r="B422" s="201" t="s">
        <v>479</v>
      </c>
      <c r="C422" s="203"/>
      <c r="D422" s="64"/>
      <c r="E422" s="64"/>
      <c r="F422" s="117"/>
      <c r="G422" s="117"/>
      <c r="H422" s="64"/>
      <c r="I422" s="64"/>
      <c r="J422" s="64"/>
      <c r="K422" s="57"/>
      <c r="L422" s="88"/>
      <c r="M422" s="62"/>
      <c r="N422" s="57"/>
      <c r="O422" s="88"/>
      <c r="P422" s="62"/>
      <c r="Q422" s="57"/>
      <c r="R422" s="88"/>
      <c r="S422" s="62"/>
      <c r="T422" s="39"/>
      <c r="U422" s="39"/>
      <c r="V422" s="8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35"/>
      <c r="AS422" s="12" t="e">
        <f>#REF!</f>
        <v>#REF!</v>
      </c>
    </row>
    <row r="423" spans="1:49" s="4" customFormat="1" ht="17.25" customHeight="1" x14ac:dyDescent="0.25">
      <c r="A423" s="23"/>
      <c r="B423" s="201" t="s">
        <v>97</v>
      </c>
      <c r="C423" s="203"/>
      <c r="D423" s="64"/>
      <c r="E423" s="64"/>
      <c r="F423" s="64"/>
      <c r="G423" s="64"/>
      <c r="H423" s="64"/>
      <c r="I423" s="64"/>
      <c r="J423" s="64"/>
      <c r="K423" s="57"/>
      <c r="L423" s="88"/>
      <c r="M423" s="62"/>
      <c r="N423" s="57"/>
      <c r="O423" s="88"/>
      <c r="P423" s="62"/>
      <c r="Q423" s="57"/>
      <c r="R423" s="88"/>
      <c r="S423" s="62"/>
      <c r="T423" s="39"/>
      <c r="U423" s="39"/>
      <c r="V423" s="39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22"/>
      <c r="AR423" s="43"/>
      <c r="AS423" s="12" t="e">
        <f>#REF!</f>
        <v>#REF!</v>
      </c>
      <c r="AW423" s="2"/>
    </row>
    <row r="424" spans="1:49" s="4" customFormat="1" ht="17.25" customHeight="1" x14ac:dyDescent="0.25">
      <c r="A424" s="23"/>
      <c r="B424" s="201" t="s">
        <v>100</v>
      </c>
      <c r="C424" s="202"/>
      <c r="D424" s="64"/>
      <c r="E424" s="64"/>
      <c r="F424" s="64"/>
      <c r="G424" s="64"/>
      <c r="H424" s="64"/>
      <c r="I424" s="64"/>
      <c r="J424" s="64"/>
      <c r="K424" s="57"/>
      <c r="L424" s="88"/>
      <c r="M424" s="62"/>
      <c r="N424" s="57"/>
      <c r="O424" s="88"/>
      <c r="P424" s="62"/>
      <c r="Q424" s="57"/>
      <c r="R424" s="88"/>
      <c r="S424" s="62"/>
      <c r="T424" s="39"/>
      <c r="U424" s="39"/>
      <c r="V424" s="39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22"/>
      <c r="AR424" s="43"/>
      <c r="AS424" s="12" t="e">
        <f>#REF!</f>
        <v>#REF!</v>
      </c>
      <c r="AW424" s="2"/>
    </row>
    <row r="425" spans="1:49" s="2" customFormat="1" ht="17.25" customHeight="1" x14ac:dyDescent="0.2">
      <c r="A425" s="24"/>
      <c r="B425" s="201"/>
      <c r="C425" s="204"/>
      <c r="D425" s="63"/>
      <c r="E425" s="64"/>
      <c r="F425" s="64"/>
      <c r="G425" s="64"/>
      <c r="H425" s="64"/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46"/>
      <c r="V425" s="39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43"/>
      <c r="AT425" s="10"/>
      <c r="AU425" s="11"/>
    </row>
    <row r="426" spans="1:49" s="2" customFormat="1" ht="17.25" customHeight="1" thickBot="1" x14ac:dyDescent="0.3">
      <c r="A426" s="56"/>
      <c r="B426" s="101" t="s">
        <v>102</v>
      </c>
      <c r="C426" s="102">
        <f>D427+E427+F427+G427+H427+I427+J427+M427+P427</f>
        <v>117279.92954000011</v>
      </c>
      <c r="D426" s="84"/>
      <c r="E426" s="85"/>
      <c r="F426" s="85"/>
      <c r="G426" s="85"/>
      <c r="H426" s="85"/>
      <c r="I426" s="85"/>
      <c r="J426" s="85"/>
      <c r="K426" s="28"/>
      <c r="L426" s="28"/>
      <c r="M426" s="85"/>
      <c r="N426" s="28"/>
      <c r="O426" s="28"/>
      <c r="P426" s="85"/>
      <c r="Q426" s="28"/>
      <c r="R426" s="28"/>
      <c r="S426" s="85"/>
      <c r="T426" s="48"/>
      <c r="U426" s="48"/>
      <c r="V426" s="51"/>
      <c r="W426" s="28"/>
      <c r="X426" s="28"/>
      <c r="Y426" s="28"/>
      <c r="Z426" s="28"/>
      <c r="AA426" s="28"/>
      <c r="AB426" s="36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42">
        <f>SUM($T410:AQ426)</f>
        <v>-487087.82890000002</v>
      </c>
      <c r="AT426" s="10"/>
      <c r="AU426" s="11"/>
      <c r="AV426" s="2" t="s">
        <v>5</v>
      </c>
    </row>
    <row r="427" spans="1:49" s="2" customFormat="1" ht="17.25" customHeight="1" thickTop="1" thickBot="1" x14ac:dyDescent="0.3">
      <c r="A427" s="103"/>
      <c r="B427" s="104" t="s">
        <v>103</v>
      </c>
      <c r="C427" s="105">
        <f>AR427</f>
        <v>-368502.60935999989</v>
      </c>
      <c r="D427" s="106">
        <f t="shared" ref="D427:K427" si="48">SUM(D410:D426)</f>
        <v>12717.607040000057</v>
      </c>
      <c r="E427" s="107">
        <f t="shared" si="48"/>
        <v>-43287.790000000008</v>
      </c>
      <c r="F427" s="107">
        <f t="shared" si="48"/>
        <v>0.65000000000145519</v>
      </c>
      <c r="G427" s="107">
        <f t="shared" si="48"/>
        <v>0</v>
      </c>
      <c r="H427" s="107">
        <f t="shared" si="48"/>
        <v>65082.292500000054</v>
      </c>
      <c r="I427" s="107">
        <f t="shared" si="48"/>
        <v>10004.65</v>
      </c>
      <c r="J427" s="107">
        <f t="shared" si="48"/>
        <v>0</v>
      </c>
      <c r="K427" s="108">
        <f t="shared" si="48"/>
        <v>12170</v>
      </c>
      <c r="L427" s="109">
        <f>M427/K427</f>
        <v>5.1465924404272805</v>
      </c>
      <c r="M427" s="107">
        <f>ROUND(SUM(M410:M426),2)</f>
        <v>62634.03</v>
      </c>
      <c r="N427" s="108">
        <f>SUM(N410:N426)</f>
        <v>2783</v>
      </c>
      <c r="O427" s="109">
        <f>P427/N427</f>
        <v>3.6394143011139057</v>
      </c>
      <c r="P427" s="107">
        <f>ROUND(SUM(P410:P426),2)</f>
        <v>10128.49</v>
      </c>
      <c r="Q427" s="108">
        <f>SUM(Q410:Q426)</f>
        <v>214</v>
      </c>
      <c r="R427" s="109">
        <f>S427/Q427</f>
        <v>6.099485981308411</v>
      </c>
      <c r="S427" s="107">
        <f>ROUND(SUM(S410:S426),2)</f>
        <v>1305.29</v>
      </c>
      <c r="T427" s="110">
        <f t="shared" ref="T427:AQ427" si="49">SUM(T410:T426)</f>
        <v>-537317.12890000001</v>
      </c>
      <c r="U427" s="107">
        <f t="shared" si="49"/>
        <v>50229.299999999996</v>
      </c>
      <c r="V427" s="107">
        <f t="shared" si="49"/>
        <v>0</v>
      </c>
      <c r="W427" s="107">
        <f t="shared" si="49"/>
        <v>0</v>
      </c>
      <c r="X427" s="107">
        <f t="shared" si="49"/>
        <v>0</v>
      </c>
      <c r="Y427" s="107">
        <f t="shared" si="49"/>
        <v>0</v>
      </c>
      <c r="Z427" s="107">
        <f t="shared" si="49"/>
        <v>0</v>
      </c>
      <c r="AA427" s="107">
        <f t="shared" si="49"/>
        <v>0</v>
      </c>
      <c r="AB427" s="107">
        <f t="shared" si="49"/>
        <v>0</v>
      </c>
      <c r="AC427" s="107">
        <f t="shared" si="49"/>
        <v>0</v>
      </c>
      <c r="AD427" s="107">
        <f t="shared" si="49"/>
        <v>0</v>
      </c>
      <c r="AE427" s="107">
        <f t="shared" si="49"/>
        <v>0</v>
      </c>
      <c r="AF427" s="107">
        <f t="shared" si="49"/>
        <v>0</v>
      </c>
      <c r="AG427" s="107">
        <f t="shared" si="49"/>
        <v>0</v>
      </c>
      <c r="AH427" s="107">
        <f t="shared" si="49"/>
        <v>0</v>
      </c>
      <c r="AI427" s="107">
        <f t="shared" si="49"/>
        <v>0</v>
      </c>
      <c r="AJ427" s="107">
        <f t="shared" si="49"/>
        <v>0</v>
      </c>
      <c r="AK427" s="107">
        <f t="shared" si="49"/>
        <v>0</v>
      </c>
      <c r="AL427" s="107">
        <f t="shared" si="49"/>
        <v>0</v>
      </c>
      <c r="AM427" s="107">
        <f t="shared" si="49"/>
        <v>0</v>
      </c>
      <c r="AN427" s="107">
        <f t="shared" si="49"/>
        <v>0</v>
      </c>
      <c r="AO427" s="107">
        <f t="shared" si="49"/>
        <v>0</v>
      </c>
      <c r="AP427" s="107">
        <f t="shared" si="49"/>
        <v>0</v>
      </c>
      <c r="AQ427" s="107">
        <f t="shared" si="49"/>
        <v>0</v>
      </c>
      <c r="AR427" s="111">
        <f>D427+E427+F427+G427+H427+I427+J427+M427+P427+S427+SUM(T427:AQ427)</f>
        <v>-368502.60935999989</v>
      </c>
      <c r="AS427" s="4"/>
      <c r="AT427" s="5"/>
      <c r="AU427" s="5"/>
      <c r="AV427" s="2" t="s">
        <v>484</v>
      </c>
    </row>
    <row r="428" spans="1:49" s="2" customFormat="1" ht="17.25" customHeight="1" thickTop="1" x14ac:dyDescent="0.25">
      <c r="A428" s="29">
        <f>A411+1</f>
        <v>46382</v>
      </c>
      <c r="B428" s="261" t="s">
        <v>480</v>
      </c>
      <c r="C428" s="262"/>
      <c r="D428" s="63"/>
      <c r="E428" s="64"/>
      <c r="F428" s="64"/>
      <c r="G428" s="64"/>
      <c r="H428" s="64"/>
      <c r="I428" s="64"/>
      <c r="J428" s="64"/>
      <c r="K428" s="57"/>
      <c r="L428" s="88"/>
      <c r="M428" s="62"/>
      <c r="N428" s="57"/>
      <c r="O428" s="88"/>
      <c r="P428" s="62"/>
      <c r="Q428" s="16"/>
      <c r="R428" s="92"/>
      <c r="S428" s="64"/>
      <c r="T428" s="47"/>
      <c r="U428" s="39"/>
      <c r="V428" s="39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22"/>
      <c r="AT428" s="10"/>
      <c r="AU428" s="11"/>
    </row>
    <row r="429" spans="1:49" s="2" customFormat="1" ht="17.25" customHeight="1" x14ac:dyDescent="0.25">
      <c r="A429" s="29"/>
      <c r="B429" s="201" t="s">
        <v>64</v>
      </c>
      <c r="C429" s="202"/>
      <c r="D429" s="65"/>
      <c r="E429" s="64"/>
      <c r="F429" s="64"/>
      <c r="G429" s="64"/>
      <c r="H429" s="64"/>
      <c r="I429" s="64"/>
      <c r="J429" s="64"/>
      <c r="K429" s="57"/>
      <c r="L429" s="88"/>
      <c r="M429" s="62"/>
      <c r="N429" s="57"/>
      <c r="O429" s="88"/>
      <c r="P429" s="62"/>
      <c r="Q429" s="57"/>
      <c r="R429" s="88"/>
      <c r="S429" s="62"/>
      <c r="T429" s="47"/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 t="s">
        <v>4</v>
      </c>
      <c r="AU429" s="11" t="e">
        <v>#REF!</v>
      </c>
    </row>
    <row r="430" spans="1:49" s="2" customFormat="1" ht="17.25" customHeight="1" x14ac:dyDescent="0.25">
      <c r="A430" s="29"/>
      <c r="B430" s="201" t="s">
        <v>96</v>
      </c>
      <c r="C430" s="202"/>
      <c r="D430" s="65"/>
      <c r="E430" s="64"/>
      <c r="F430" s="64"/>
      <c r="G430" s="64"/>
      <c r="H430" s="64"/>
      <c r="I430" s="64"/>
      <c r="J430" s="64"/>
      <c r="K430" s="57"/>
      <c r="L430" s="88"/>
      <c r="M430" s="62"/>
      <c r="N430" s="57"/>
      <c r="O430" s="88"/>
      <c r="P430" s="62"/>
      <c r="Q430" s="57"/>
      <c r="R430" s="88"/>
      <c r="S430" s="62"/>
      <c r="T430" s="47"/>
      <c r="U430" s="39"/>
      <c r="V430" s="39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22"/>
      <c r="AT430" s="10" t="s">
        <v>4</v>
      </c>
      <c r="AU430" s="11" t="e">
        <v>#REF!</v>
      </c>
    </row>
    <row r="431" spans="1:49" s="2" customFormat="1" ht="17.25" customHeight="1" x14ac:dyDescent="0.25">
      <c r="A431" s="29"/>
      <c r="B431" s="201" t="s">
        <v>327</v>
      </c>
      <c r="C431" s="202"/>
      <c r="D431" s="65"/>
      <c r="E431" s="64"/>
      <c r="F431" s="64"/>
      <c r="G431" s="64"/>
      <c r="H431" s="64"/>
      <c r="I431" s="64"/>
      <c r="J431" s="64"/>
      <c r="K431" s="57"/>
      <c r="L431" s="88"/>
      <c r="M431" s="62"/>
      <c r="N431" s="57"/>
      <c r="O431" s="88"/>
      <c r="P431" s="62"/>
      <c r="Q431" s="57"/>
      <c r="R431" s="88"/>
      <c r="S431" s="62"/>
      <c r="T431" s="47"/>
      <c r="U431" s="39"/>
      <c r="V431" s="39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22"/>
      <c r="AT431" s="10"/>
      <c r="AU431" s="11"/>
    </row>
    <row r="432" spans="1:49" s="2" customFormat="1" ht="17.25" customHeight="1" x14ac:dyDescent="0.25">
      <c r="A432" s="29"/>
      <c r="B432" s="201" t="s">
        <v>328</v>
      </c>
      <c r="C432" s="202"/>
      <c r="D432" s="63"/>
      <c r="E432" s="64"/>
      <c r="F432" s="64"/>
      <c r="G432" s="64"/>
      <c r="H432" s="64"/>
      <c r="I432" s="64"/>
      <c r="J432" s="64"/>
      <c r="K432" s="57"/>
      <c r="L432" s="88"/>
      <c r="M432" s="62"/>
      <c r="N432" s="57"/>
      <c r="O432" s="88"/>
      <c r="P432" s="62"/>
      <c r="Q432" s="16"/>
      <c r="R432" s="92"/>
      <c r="S432" s="64"/>
      <c r="T432" s="47"/>
      <c r="U432" s="39"/>
      <c r="V432" s="39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22"/>
      <c r="AT432" s="10"/>
      <c r="AU432" s="11"/>
    </row>
    <row r="433" spans="1:49" s="2" customFormat="1" ht="17.25" customHeight="1" x14ac:dyDescent="0.25">
      <c r="A433" s="29"/>
      <c r="B433" s="261" t="s">
        <v>481</v>
      </c>
      <c r="C433" s="262"/>
      <c r="D433" s="63"/>
      <c r="E433" s="64"/>
      <c r="F433" s="64"/>
      <c r="G433" s="64"/>
      <c r="H433" s="64"/>
      <c r="I433" s="64"/>
      <c r="J433" s="64"/>
      <c r="K433" s="57"/>
      <c r="L433" s="88"/>
      <c r="M433" s="62"/>
      <c r="N433" s="57"/>
      <c r="O433" s="88"/>
      <c r="P433" s="62"/>
      <c r="Q433" s="16"/>
      <c r="R433" s="92"/>
      <c r="S433" s="64"/>
      <c r="T433" s="47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22"/>
      <c r="AT433" s="10"/>
      <c r="AU433" s="11"/>
    </row>
    <row r="434" spans="1:49" s="2" customFormat="1" ht="17.25" customHeight="1" x14ac:dyDescent="0.25">
      <c r="A434" s="29"/>
      <c r="B434" s="201" t="s">
        <v>483</v>
      </c>
      <c r="C434" s="202"/>
      <c r="D434" s="63"/>
      <c r="E434" s="64"/>
      <c r="F434" s="64"/>
      <c r="G434" s="64"/>
      <c r="H434" s="64"/>
      <c r="I434" s="64"/>
      <c r="J434" s="64"/>
      <c r="K434" s="57"/>
      <c r="L434" s="88"/>
      <c r="M434" s="62"/>
      <c r="N434" s="57"/>
      <c r="O434" s="88"/>
      <c r="P434" s="62"/>
      <c r="Q434" s="16"/>
      <c r="R434" s="92"/>
      <c r="S434" s="64"/>
      <c r="T434" s="47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22"/>
      <c r="AT434" s="10"/>
      <c r="AU434" s="11"/>
    </row>
    <row r="435" spans="1:49" s="4" customFormat="1" ht="17.25" customHeight="1" thickBot="1" x14ac:dyDescent="0.3">
      <c r="A435" s="24"/>
      <c r="B435" s="246"/>
      <c r="C435" s="246"/>
      <c r="D435" s="81"/>
      <c r="E435" s="81"/>
      <c r="F435" s="81"/>
      <c r="G435" s="81"/>
      <c r="H435" s="81"/>
      <c r="I435" s="81"/>
      <c r="J435" s="81"/>
      <c r="K435" s="59"/>
      <c r="L435" s="90"/>
      <c r="M435" s="136"/>
      <c r="N435" s="59"/>
      <c r="O435" s="90"/>
      <c r="P435" s="136"/>
      <c r="Q435" s="59"/>
      <c r="R435" s="90"/>
      <c r="S435" s="136"/>
      <c r="T435" s="39"/>
      <c r="U435" s="39"/>
      <c r="V435" s="39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22"/>
      <c r="AR435" s="43"/>
      <c r="AS435" s="12" t="e">
        <f>#REF!</f>
        <v>#REF!</v>
      </c>
      <c r="AW435" s="2"/>
    </row>
    <row r="436" spans="1:49" s="2" customFormat="1" ht="17.25" customHeight="1" x14ac:dyDescent="0.25">
      <c r="A436" s="29"/>
      <c r="B436" s="261" t="s">
        <v>482</v>
      </c>
      <c r="C436" s="262"/>
      <c r="D436" s="63"/>
      <c r="E436" s="64"/>
      <c r="F436" s="64"/>
      <c r="G436" s="64"/>
      <c r="H436" s="64"/>
      <c r="I436" s="64"/>
      <c r="J436" s="64"/>
      <c r="K436" s="57"/>
      <c r="L436" s="88"/>
      <c r="M436" s="62"/>
      <c r="N436" s="57"/>
      <c r="O436" s="88"/>
      <c r="P436" s="62"/>
      <c r="Q436" s="16"/>
      <c r="R436" s="92"/>
      <c r="S436" s="64"/>
      <c r="T436" s="47"/>
      <c r="U436" s="39"/>
      <c r="V436" s="39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22"/>
      <c r="AT436" s="10"/>
      <c r="AU436" s="11"/>
    </row>
    <row r="437" spans="1:49" s="4" customFormat="1" ht="17.25" customHeight="1" x14ac:dyDescent="0.25">
      <c r="A437" s="23"/>
      <c r="B437" s="212" t="s">
        <v>94</v>
      </c>
      <c r="C437" s="212"/>
      <c r="D437" s="66"/>
      <c r="E437" s="66"/>
      <c r="F437" s="117"/>
      <c r="G437" s="117"/>
      <c r="H437" s="66"/>
      <c r="I437" s="66"/>
      <c r="J437" s="66"/>
      <c r="K437" s="58"/>
      <c r="L437" s="89"/>
      <c r="M437" s="73"/>
      <c r="N437" s="58"/>
      <c r="O437" s="89"/>
      <c r="P437" s="73"/>
      <c r="Q437" s="58"/>
      <c r="R437" s="89"/>
      <c r="S437" s="73"/>
      <c r="T437" s="39"/>
      <c r="U437" s="39"/>
      <c r="V437" s="8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35"/>
      <c r="AS437" s="12" t="e">
        <f>#REF!</f>
        <v>#REF!</v>
      </c>
    </row>
    <row r="438" spans="1:49" s="4" customFormat="1" ht="17.25" customHeight="1" x14ac:dyDescent="0.25">
      <c r="A438" s="23"/>
      <c r="B438" s="201" t="s">
        <v>95</v>
      </c>
      <c r="C438" s="203"/>
      <c r="D438" s="64"/>
      <c r="E438" s="64"/>
      <c r="F438" s="117"/>
      <c r="G438" s="117"/>
      <c r="H438" s="64"/>
      <c r="I438" s="64"/>
      <c r="J438" s="64"/>
      <c r="K438" s="57"/>
      <c r="L438" s="88"/>
      <c r="M438" s="62"/>
      <c r="N438" s="57"/>
      <c r="O438" s="88"/>
      <c r="P438" s="62"/>
      <c r="Q438" s="58"/>
      <c r="R438" s="89"/>
      <c r="S438" s="73"/>
      <c r="T438" s="39"/>
      <c r="U438" s="39"/>
      <c r="V438" s="8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35"/>
      <c r="AS438" s="12" t="e">
        <f>#REF!</f>
        <v>#REF!</v>
      </c>
    </row>
    <row r="439" spans="1:49" s="4" customFormat="1" ht="17.25" customHeight="1" x14ac:dyDescent="0.25">
      <c r="A439" s="23"/>
      <c r="B439" s="201" t="s">
        <v>479</v>
      </c>
      <c r="C439" s="203"/>
      <c r="D439" s="64"/>
      <c r="E439" s="64"/>
      <c r="F439" s="117"/>
      <c r="G439" s="117"/>
      <c r="H439" s="64"/>
      <c r="I439" s="64"/>
      <c r="J439" s="64"/>
      <c r="K439" s="57"/>
      <c r="L439" s="88"/>
      <c r="M439" s="62"/>
      <c r="N439" s="57"/>
      <c r="O439" s="88"/>
      <c r="P439" s="62"/>
      <c r="Q439" s="57"/>
      <c r="R439" s="88"/>
      <c r="S439" s="62"/>
      <c r="T439" s="39"/>
      <c r="U439" s="39"/>
      <c r="V439" s="8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35"/>
      <c r="AS439" s="12" t="e">
        <f>#REF!</f>
        <v>#REF!</v>
      </c>
    </row>
    <row r="440" spans="1:49" s="4" customFormat="1" ht="17.25" customHeight="1" x14ac:dyDescent="0.25">
      <c r="A440" s="23"/>
      <c r="B440" s="201" t="s">
        <v>97</v>
      </c>
      <c r="C440" s="203"/>
      <c r="D440" s="64"/>
      <c r="E440" s="64"/>
      <c r="F440" s="64"/>
      <c r="G440" s="64"/>
      <c r="H440" s="64"/>
      <c r="I440" s="64"/>
      <c r="J440" s="64"/>
      <c r="K440" s="57"/>
      <c r="L440" s="88"/>
      <c r="M440" s="62"/>
      <c r="N440" s="57"/>
      <c r="O440" s="88"/>
      <c r="P440" s="62"/>
      <c r="Q440" s="57"/>
      <c r="R440" s="88"/>
      <c r="S440" s="62"/>
      <c r="T440" s="39"/>
      <c r="U440" s="39"/>
      <c r="V440" s="39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22"/>
      <c r="AR440" s="43"/>
      <c r="AS440" s="12" t="e">
        <f>#REF!</f>
        <v>#REF!</v>
      </c>
      <c r="AW440" s="2"/>
    </row>
    <row r="441" spans="1:49" s="4" customFormat="1" ht="17.25" customHeight="1" x14ac:dyDescent="0.25">
      <c r="A441" s="23"/>
      <c r="B441" s="201" t="s">
        <v>100</v>
      </c>
      <c r="C441" s="202"/>
      <c r="D441" s="64"/>
      <c r="E441" s="64"/>
      <c r="F441" s="64"/>
      <c r="G441" s="64"/>
      <c r="H441" s="64"/>
      <c r="I441" s="64"/>
      <c r="J441" s="64"/>
      <c r="K441" s="57"/>
      <c r="L441" s="88"/>
      <c r="M441" s="62"/>
      <c r="N441" s="57"/>
      <c r="O441" s="88"/>
      <c r="P441" s="62"/>
      <c r="Q441" s="57"/>
      <c r="R441" s="88"/>
      <c r="S441" s="62"/>
      <c r="T441" s="39"/>
      <c r="U441" s="39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22"/>
      <c r="AR441" s="43"/>
      <c r="AS441" s="12" t="e">
        <f>#REF!</f>
        <v>#REF!</v>
      </c>
      <c r="AW441" s="2"/>
    </row>
    <row r="442" spans="1:49" s="2" customFormat="1" ht="17.25" customHeight="1" x14ac:dyDescent="0.2">
      <c r="A442" s="24"/>
      <c r="B442" s="201"/>
      <c r="C442" s="204"/>
      <c r="D442" s="63"/>
      <c r="E442" s="64"/>
      <c r="F442" s="64"/>
      <c r="G442" s="6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46"/>
      <c r="V442" s="39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43"/>
      <c r="AT442" s="10"/>
      <c r="AU442" s="11"/>
    </row>
    <row r="443" spans="1:49" s="2" customFormat="1" ht="17.25" customHeight="1" thickBot="1" x14ac:dyDescent="0.3">
      <c r="A443" s="56"/>
      <c r="B443" s="101" t="s">
        <v>102</v>
      </c>
      <c r="C443" s="102">
        <f>D444+E444+F444+G444+H444+I444+J444+M444+P444</f>
        <v>117279.92954000011</v>
      </c>
      <c r="D443" s="84"/>
      <c r="E443" s="85"/>
      <c r="F443" s="85"/>
      <c r="G443" s="85"/>
      <c r="H443" s="85"/>
      <c r="I443" s="85"/>
      <c r="J443" s="85"/>
      <c r="K443" s="28"/>
      <c r="L443" s="28"/>
      <c r="M443" s="85"/>
      <c r="N443" s="28"/>
      <c r="O443" s="28"/>
      <c r="P443" s="85"/>
      <c r="Q443" s="28"/>
      <c r="R443" s="28"/>
      <c r="S443" s="85"/>
      <c r="T443" s="48"/>
      <c r="U443" s="48"/>
      <c r="V443" s="51"/>
      <c r="W443" s="28"/>
      <c r="X443" s="28"/>
      <c r="Y443" s="28"/>
      <c r="Z443" s="28"/>
      <c r="AA443" s="28"/>
      <c r="AB443" s="36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42">
        <f>SUM($T427:AQ443)</f>
        <v>-487087.82890000002</v>
      </c>
      <c r="AT443" s="10"/>
      <c r="AU443" s="11"/>
      <c r="AV443" s="2" t="s">
        <v>5</v>
      </c>
    </row>
    <row r="444" spans="1:49" s="2" customFormat="1" ht="17.25" customHeight="1" thickTop="1" thickBot="1" x14ac:dyDescent="0.3">
      <c r="A444" s="103"/>
      <c r="B444" s="104" t="s">
        <v>103</v>
      </c>
      <c r="C444" s="105">
        <f>AR444</f>
        <v>-368502.60935999989</v>
      </c>
      <c r="D444" s="106">
        <f t="shared" ref="D444:K444" si="50">SUM(D427:D443)</f>
        <v>12717.607040000057</v>
      </c>
      <c r="E444" s="107">
        <f t="shared" si="50"/>
        <v>-43287.790000000008</v>
      </c>
      <c r="F444" s="107">
        <f t="shared" si="50"/>
        <v>0.65000000000145519</v>
      </c>
      <c r="G444" s="107">
        <f t="shared" si="50"/>
        <v>0</v>
      </c>
      <c r="H444" s="107">
        <f t="shared" si="50"/>
        <v>65082.292500000054</v>
      </c>
      <c r="I444" s="107">
        <f t="shared" si="50"/>
        <v>10004.65</v>
      </c>
      <c r="J444" s="107">
        <f t="shared" si="50"/>
        <v>0</v>
      </c>
      <c r="K444" s="108">
        <f t="shared" si="50"/>
        <v>12170</v>
      </c>
      <c r="L444" s="109">
        <f>M444/K444</f>
        <v>5.1465924404272805</v>
      </c>
      <c r="M444" s="107">
        <f>ROUND(SUM(M427:M443),2)</f>
        <v>62634.03</v>
      </c>
      <c r="N444" s="108">
        <f>SUM(N427:N443)</f>
        <v>2783</v>
      </c>
      <c r="O444" s="109">
        <f>P444/N444</f>
        <v>3.6394143011139057</v>
      </c>
      <c r="P444" s="107">
        <f>ROUND(SUM(P427:P443),2)</f>
        <v>10128.49</v>
      </c>
      <c r="Q444" s="108">
        <f>SUM(Q427:Q443)</f>
        <v>214</v>
      </c>
      <c r="R444" s="109">
        <f>S444/Q444</f>
        <v>6.099485981308411</v>
      </c>
      <c r="S444" s="107">
        <f>ROUND(SUM(S427:S443),2)</f>
        <v>1305.29</v>
      </c>
      <c r="T444" s="110">
        <f t="shared" ref="T444:AQ444" si="51">SUM(T427:T443)</f>
        <v>-537317.12890000001</v>
      </c>
      <c r="U444" s="107">
        <f t="shared" si="51"/>
        <v>50229.299999999996</v>
      </c>
      <c r="V444" s="107">
        <f t="shared" si="51"/>
        <v>0</v>
      </c>
      <c r="W444" s="107">
        <f t="shared" si="51"/>
        <v>0</v>
      </c>
      <c r="X444" s="107">
        <f t="shared" si="51"/>
        <v>0</v>
      </c>
      <c r="Y444" s="107">
        <f t="shared" si="51"/>
        <v>0</v>
      </c>
      <c r="Z444" s="107">
        <f t="shared" si="51"/>
        <v>0</v>
      </c>
      <c r="AA444" s="107">
        <f t="shared" si="51"/>
        <v>0</v>
      </c>
      <c r="AB444" s="107">
        <f t="shared" si="51"/>
        <v>0</v>
      </c>
      <c r="AC444" s="107">
        <f t="shared" si="51"/>
        <v>0</v>
      </c>
      <c r="AD444" s="107">
        <f t="shared" si="51"/>
        <v>0</v>
      </c>
      <c r="AE444" s="107">
        <f t="shared" si="51"/>
        <v>0</v>
      </c>
      <c r="AF444" s="107">
        <f t="shared" si="51"/>
        <v>0</v>
      </c>
      <c r="AG444" s="107">
        <f t="shared" si="51"/>
        <v>0</v>
      </c>
      <c r="AH444" s="107">
        <f t="shared" si="51"/>
        <v>0</v>
      </c>
      <c r="AI444" s="107">
        <f t="shared" si="51"/>
        <v>0</v>
      </c>
      <c r="AJ444" s="107">
        <f t="shared" si="51"/>
        <v>0</v>
      </c>
      <c r="AK444" s="107">
        <f t="shared" si="51"/>
        <v>0</v>
      </c>
      <c r="AL444" s="107">
        <f t="shared" si="51"/>
        <v>0</v>
      </c>
      <c r="AM444" s="107">
        <f t="shared" si="51"/>
        <v>0</v>
      </c>
      <c r="AN444" s="107">
        <f t="shared" si="51"/>
        <v>0</v>
      </c>
      <c r="AO444" s="107">
        <f t="shared" si="51"/>
        <v>0</v>
      </c>
      <c r="AP444" s="107">
        <f t="shared" si="51"/>
        <v>0</v>
      </c>
      <c r="AQ444" s="107">
        <f t="shared" si="51"/>
        <v>0</v>
      </c>
      <c r="AR444" s="111">
        <f>D444+E444+F444+G444+H444+I444+J444+M444+P444+S444+SUM(T444:AQ444)</f>
        <v>-368502.60935999989</v>
      </c>
      <c r="AS444" s="4"/>
      <c r="AT444" s="5"/>
      <c r="AU444" s="5"/>
      <c r="AV444" s="2" t="s">
        <v>484</v>
      </c>
    </row>
    <row r="445" spans="1:49" s="2" customFormat="1" ht="17.25" customHeight="1" thickTop="1" x14ac:dyDescent="0.25">
      <c r="A445" s="29">
        <f>A428+1</f>
        <v>46383</v>
      </c>
      <c r="B445" s="261" t="s">
        <v>480</v>
      </c>
      <c r="C445" s="26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16"/>
      <c r="R445" s="92"/>
      <c r="S445" s="64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/>
      <c r="AU445" s="11"/>
    </row>
    <row r="446" spans="1:49" s="2" customFormat="1" ht="17.25" customHeight="1" x14ac:dyDescent="0.25">
      <c r="A446" s="29"/>
      <c r="B446" s="201" t="s">
        <v>64</v>
      </c>
      <c r="C446" s="202"/>
      <c r="D446" s="65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5">
      <c r="A447" s="29"/>
      <c r="B447" s="201" t="s">
        <v>96</v>
      </c>
      <c r="C447" s="202"/>
      <c r="D447" s="65"/>
      <c r="E447" s="64"/>
      <c r="F447" s="64"/>
      <c r="G447" s="64"/>
      <c r="H447" s="64"/>
      <c r="I447" s="64"/>
      <c r="J447" s="64"/>
      <c r="K447" s="57"/>
      <c r="L447" s="88"/>
      <c r="M447" s="62"/>
      <c r="N447" s="57"/>
      <c r="O447" s="88"/>
      <c r="P447" s="62"/>
      <c r="Q447" s="57"/>
      <c r="R447" s="88"/>
      <c r="S447" s="62"/>
      <c r="T447" s="47"/>
      <c r="U447" s="39"/>
      <c r="V447" s="39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22"/>
      <c r="AT447" s="10" t="s">
        <v>4</v>
      </c>
      <c r="AU447" s="11" t="e">
        <v>#REF!</v>
      </c>
    </row>
    <row r="448" spans="1:49" s="2" customFormat="1" ht="17.25" customHeight="1" x14ac:dyDescent="0.25">
      <c r="A448" s="29"/>
      <c r="B448" s="201" t="s">
        <v>327</v>
      </c>
      <c r="C448" s="202"/>
      <c r="D448" s="65"/>
      <c r="E448" s="64"/>
      <c r="F448" s="64"/>
      <c r="G448" s="64"/>
      <c r="H448" s="64"/>
      <c r="I448" s="64"/>
      <c r="J448" s="64"/>
      <c r="K448" s="57"/>
      <c r="L448" s="88"/>
      <c r="M448" s="62"/>
      <c r="N448" s="57"/>
      <c r="O448" s="88"/>
      <c r="P448" s="62"/>
      <c r="Q448" s="57"/>
      <c r="R448" s="88"/>
      <c r="S448" s="62"/>
      <c r="T448" s="47"/>
      <c r="U448" s="39"/>
      <c r="V448" s="39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22"/>
      <c r="AT448" s="10"/>
      <c r="AU448" s="11"/>
    </row>
    <row r="449" spans="1:49" s="2" customFormat="1" ht="17.25" customHeight="1" x14ac:dyDescent="0.25">
      <c r="A449" s="29"/>
      <c r="B449" s="201" t="s">
        <v>328</v>
      </c>
      <c r="C449" s="202"/>
      <c r="D449" s="63"/>
      <c r="E449" s="64"/>
      <c r="F449" s="64"/>
      <c r="G449" s="64"/>
      <c r="H449" s="64"/>
      <c r="I449" s="64"/>
      <c r="J449" s="64"/>
      <c r="K449" s="57"/>
      <c r="L449" s="88"/>
      <c r="M449" s="62"/>
      <c r="N449" s="57"/>
      <c r="O449" s="88"/>
      <c r="P449" s="62"/>
      <c r="Q449" s="16"/>
      <c r="R449" s="92"/>
      <c r="S449" s="64"/>
      <c r="T449" s="47"/>
      <c r="U449" s="39"/>
      <c r="V449" s="39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22"/>
      <c r="AT449" s="10"/>
      <c r="AU449" s="11"/>
    </row>
    <row r="450" spans="1:49" s="2" customFormat="1" ht="17.25" customHeight="1" x14ac:dyDescent="0.25">
      <c r="A450" s="29"/>
      <c r="B450" s="261" t="s">
        <v>481</v>
      </c>
      <c r="C450" s="262"/>
      <c r="D450" s="63"/>
      <c r="E450" s="64"/>
      <c r="F450" s="64"/>
      <c r="G450" s="64"/>
      <c r="H450" s="64"/>
      <c r="I450" s="64"/>
      <c r="J450" s="64"/>
      <c r="K450" s="57"/>
      <c r="L450" s="88"/>
      <c r="M450" s="62"/>
      <c r="N450" s="57"/>
      <c r="O450" s="88"/>
      <c r="P450" s="62"/>
      <c r="Q450" s="16"/>
      <c r="R450" s="92"/>
      <c r="S450" s="64"/>
      <c r="T450" s="47"/>
      <c r="U450" s="39"/>
      <c r="V450" s="39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22"/>
      <c r="AT450" s="10"/>
      <c r="AU450" s="11"/>
    </row>
    <row r="451" spans="1:49" s="2" customFormat="1" ht="17.25" customHeight="1" x14ac:dyDescent="0.25">
      <c r="A451" s="29"/>
      <c r="B451" s="201" t="s">
        <v>483</v>
      </c>
      <c r="C451" s="202"/>
      <c r="D451" s="63"/>
      <c r="E451" s="64"/>
      <c r="F451" s="64"/>
      <c r="G451" s="64"/>
      <c r="H451" s="64"/>
      <c r="I451" s="64"/>
      <c r="J451" s="64"/>
      <c r="K451" s="57"/>
      <c r="L451" s="88"/>
      <c r="M451" s="62"/>
      <c r="N451" s="57"/>
      <c r="O451" s="88"/>
      <c r="P451" s="62"/>
      <c r="Q451" s="16"/>
      <c r="R451" s="92"/>
      <c r="S451" s="64"/>
      <c r="T451" s="47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22"/>
      <c r="AT451" s="10"/>
      <c r="AU451" s="11"/>
    </row>
    <row r="452" spans="1:49" s="4" customFormat="1" ht="17.25" customHeight="1" thickBot="1" x14ac:dyDescent="0.3">
      <c r="A452" s="24"/>
      <c r="B452" s="246"/>
      <c r="C452" s="246"/>
      <c r="D452" s="81"/>
      <c r="E452" s="81"/>
      <c r="F452" s="81"/>
      <c r="G452" s="81"/>
      <c r="H452" s="81"/>
      <c r="I452" s="81"/>
      <c r="J452" s="81"/>
      <c r="K452" s="59"/>
      <c r="L452" s="90"/>
      <c r="M452" s="136"/>
      <c r="N452" s="59"/>
      <c r="O452" s="90"/>
      <c r="P452" s="136"/>
      <c r="Q452" s="59"/>
      <c r="R452" s="90"/>
      <c r="S452" s="136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/>
      <c r="AS452" s="12" t="e">
        <f>#REF!</f>
        <v>#REF!</v>
      </c>
      <c r="AW452" s="2"/>
    </row>
    <row r="453" spans="1:49" s="2" customFormat="1" ht="17.25" customHeight="1" x14ac:dyDescent="0.25">
      <c r="A453" s="29"/>
      <c r="B453" s="261" t="s">
        <v>482</v>
      </c>
      <c r="C453" s="262"/>
      <c r="D453" s="63"/>
      <c r="E453" s="64"/>
      <c r="F453" s="64"/>
      <c r="G453" s="64"/>
      <c r="H453" s="64"/>
      <c r="I453" s="64"/>
      <c r="J453" s="64"/>
      <c r="K453" s="57"/>
      <c r="L453" s="88"/>
      <c r="M453" s="62"/>
      <c r="N453" s="57"/>
      <c r="O453" s="88"/>
      <c r="P453" s="62"/>
      <c r="Q453" s="16"/>
      <c r="R453" s="92"/>
      <c r="S453" s="64"/>
      <c r="T453" s="47"/>
      <c r="U453" s="39"/>
      <c r="V453" s="39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22"/>
      <c r="AT453" s="10"/>
      <c r="AU453" s="11"/>
    </row>
    <row r="454" spans="1:49" s="4" customFormat="1" ht="17.25" customHeight="1" x14ac:dyDescent="0.25">
      <c r="A454" s="23"/>
      <c r="B454" s="212" t="s">
        <v>94</v>
      </c>
      <c r="C454" s="212"/>
      <c r="D454" s="66"/>
      <c r="E454" s="66"/>
      <c r="F454" s="117"/>
      <c r="G454" s="117"/>
      <c r="H454" s="66"/>
      <c r="I454" s="66"/>
      <c r="J454" s="66"/>
      <c r="K454" s="58"/>
      <c r="L454" s="89"/>
      <c r="M454" s="73"/>
      <c r="N454" s="58"/>
      <c r="O454" s="89"/>
      <c r="P454" s="73"/>
      <c r="Q454" s="58"/>
      <c r="R454" s="89"/>
      <c r="S454" s="73"/>
      <c r="T454" s="39"/>
      <c r="U454" s="39"/>
      <c r="V454" s="8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35"/>
      <c r="AS454" s="12" t="e">
        <f>#REF!</f>
        <v>#REF!</v>
      </c>
    </row>
    <row r="455" spans="1:49" s="4" customFormat="1" ht="17.25" customHeight="1" x14ac:dyDescent="0.25">
      <c r="A455" s="23"/>
      <c r="B455" s="201" t="s">
        <v>95</v>
      </c>
      <c r="C455" s="203"/>
      <c r="D455" s="64"/>
      <c r="E455" s="64"/>
      <c r="F455" s="117"/>
      <c r="G455" s="117"/>
      <c r="H455" s="64"/>
      <c r="I455" s="64"/>
      <c r="J455" s="64"/>
      <c r="K455" s="57"/>
      <c r="L455" s="88"/>
      <c r="M455" s="62"/>
      <c r="N455" s="57"/>
      <c r="O455" s="88"/>
      <c r="P455" s="62"/>
      <c r="Q455" s="58"/>
      <c r="R455" s="89"/>
      <c r="S455" s="73"/>
      <c r="T455" s="39"/>
      <c r="U455" s="39"/>
      <c r="V455" s="8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35"/>
      <c r="AS455" s="12" t="e">
        <f>#REF!</f>
        <v>#REF!</v>
      </c>
    </row>
    <row r="456" spans="1:49" s="4" customFormat="1" ht="17.25" customHeight="1" x14ac:dyDescent="0.25">
      <c r="A456" s="23"/>
      <c r="B456" s="201" t="s">
        <v>479</v>
      </c>
      <c r="C456" s="203"/>
      <c r="D456" s="64"/>
      <c r="E456" s="64"/>
      <c r="F456" s="117"/>
      <c r="G456" s="117"/>
      <c r="H456" s="64"/>
      <c r="I456" s="64"/>
      <c r="J456" s="64"/>
      <c r="K456" s="57"/>
      <c r="L456" s="88"/>
      <c r="M456" s="62"/>
      <c r="N456" s="57"/>
      <c r="O456" s="88"/>
      <c r="P456" s="62"/>
      <c r="Q456" s="57"/>
      <c r="R456" s="88"/>
      <c r="S456" s="62"/>
      <c r="T456" s="39"/>
      <c r="U456" s="39"/>
      <c r="V456" s="8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35"/>
      <c r="AS456" s="12" t="e">
        <f>#REF!</f>
        <v>#REF!</v>
      </c>
    </row>
    <row r="457" spans="1:49" s="4" customFormat="1" ht="17.25" customHeight="1" x14ac:dyDescent="0.25">
      <c r="A457" s="23"/>
      <c r="B457" s="201" t="s">
        <v>97</v>
      </c>
      <c r="C457" s="203"/>
      <c r="D457" s="64"/>
      <c r="E457" s="64"/>
      <c r="F457" s="64"/>
      <c r="G457" s="64"/>
      <c r="H457" s="64"/>
      <c r="I457" s="64"/>
      <c r="J457" s="64"/>
      <c r="K457" s="57"/>
      <c r="L457" s="88"/>
      <c r="M457" s="62"/>
      <c r="N457" s="57"/>
      <c r="O457" s="88"/>
      <c r="P457" s="62"/>
      <c r="Q457" s="57"/>
      <c r="R457" s="88"/>
      <c r="S457" s="62"/>
      <c r="T457" s="39"/>
      <c r="U457" s="39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22"/>
      <c r="AR457" s="43"/>
      <c r="AS457" s="12" t="e">
        <f>#REF!</f>
        <v>#REF!</v>
      </c>
      <c r="AW457" s="2"/>
    </row>
    <row r="458" spans="1:49" s="4" customFormat="1" ht="17.25" customHeight="1" x14ac:dyDescent="0.25">
      <c r="A458" s="23"/>
      <c r="B458" s="201" t="s">
        <v>100</v>
      </c>
      <c r="C458" s="202"/>
      <c r="D458" s="64"/>
      <c r="E458" s="64"/>
      <c r="F458" s="64"/>
      <c r="G458" s="64"/>
      <c r="H458" s="64"/>
      <c r="I458" s="64"/>
      <c r="J458" s="64"/>
      <c r="K458" s="57"/>
      <c r="L458" s="88"/>
      <c r="M458" s="62"/>
      <c r="N458" s="57"/>
      <c r="O458" s="88"/>
      <c r="P458" s="62"/>
      <c r="Q458" s="57"/>
      <c r="R458" s="88"/>
      <c r="S458" s="62"/>
      <c r="T458" s="39"/>
      <c r="U458" s="39"/>
      <c r="V458" s="39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22"/>
      <c r="AR458" s="43"/>
      <c r="AS458" s="12" t="e">
        <f>#REF!</f>
        <v>#REF!</v>
      </c>
      <c r="AW458" s="2"/>
    </row>
    <row r="459" spans="1:49" s="2" customFormat="1" ht="17.25" customHeight="1" x14ac:dyDescent="0.2">
      <c r="A459" s="24"/>
      <c r="B459" s="201"/>
      <c r="C459" s="204"/>
      <c r="D459" s="63"/>
      <c r="E459" s="64"/>
      <c r="F459" s="64"/>
      <c r="G459" s="6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46"/>
      <c r="V459" s="39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43"/>
      <c r="AT459" s="10"/>
      <c r="AU459" s="11"/>
    </row>
    <row r="460" spans="1:49" s="2" customFormat="1" ht="17.25" customHeight="1" thickBot="1" x14ac:dyDescent="0.3">
      <c r="A460" s="56"/>
      <c r="B460" s="101" t="s">
        <v>102</v>
      </c>
      <c r="C460" s="102">
        <f>D461+E461+F461+G461+H461+I461+J461+M461+P461</f>
        <v>117279.92954000011</v>
      </c>
      <c r="D460" s="84"/>
      <c r="E460" s="85"/>
      <c r="F460" s="85"/>
      <c r="G460" s="85"/>
      <c r="H460" s="85"/>
      <c r="I460" s="85"/>
      <c r="J460" s="85"/>
      <c r="K460" s="28"/>
      <c r="L460" s="28"/>
      <c r="M460" s="85"/>
      <c r="N460" s="28"/>
      <c r="O460" s="28"/>
      <c r="P460" s="85"/>
      <c r="Q460" s="28"/>
      <c r="R460" s="28"/>
      <c r="S460" s="85"/>
      <c r="T460" s="48"/>
      <c r="U460" s="48"/>
      <c r="V460" s="51"/>
      <c r="W460" s="28"/>
      <c r="X460" s="28"/>
      <c r="Y460" s="28"/>
      <c r="Z460" s="28"/>
      <c r="AA460" s="28"/>
      <c r="AB460" s="36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42">
        <f>SUM($T444:AQ460)</f>
        <v>-487087.82890000002</v>
      </c>
      <c r="AT460" s="10"/>
      <c r="AU460" s="11"/>
      <c r="AV460" s="2" t="s">
        <v>5</v>
      </c>
    </row>
    <row r="461" spans="1:49" s="2" customFormat="1" ht="17.25" customHeight="1" thickTop="1" thickBot="1" x14ac:dyDescent="0.3">
      <c r="A461" s="103"/>
      <c r="B461" s="104" t="s">
        <v>103</v>
      </c>
      <c r="C461" s="105">
        <f>AR461</f>
        <v>-368502.60935999989</v>
      </c>
      <c r="D461" s="106">
        <f t="shared" ref="D461:K461" si="52">SUM(D444:D460)</f>
        <v>12717.607040000057</v>
      </c>
      <c r="E461" s="107">
        <f t="shared" si="52"/>
        <v>-43287.790000000008</v>
      </c>
      <c r="F461" s="107">
        <f t="shared" si="52"/>
        <v>0.65000000000145519</v>
      </c>
      <c r="G461" s="107">
        <f t="shared" si="52"/>
        <v>0</v>
      </c>
      <c r="H461" s="107">
        <f t="shared" si="52"/>
        <v>65082.292500000054</v>
      </c>
      <c r="I461" s="107">
        <f t="shared" si="52"/>
        <v>10004.65</v>
      </c>
      <c r="J461" s="107">
        <f t="shared" si="52"/>
        <v>0</v>
      </c>
      <c r="K461" s="108">
        <f t="shared" si="52"/>
        <v>12170</v>
      </c>
      <c r="L461" s="109">
        <f>M461/K461</f>
        <v>5.1465924404272805</v>
      </c>
      <c r="M461" s="107">
        <f>ROUND(SUM(M444:M460),2)</f>
        <v>62634.03</v>
      </c>
      <c r="N461" s="108">
        <f>SUM(N444:N460)</f>
        <v>2783</v>
      </c>
      <c r="O461" s="109">
        <f>P461/N461</f>
        <v>3.6394143011139057</v>
      </c>
      <c r="P461" s="107">
        <f>ROUND(SUM(P444:P460),2)</f>
        <v>10128.49</v>
      </c>
      <c r="Q461" s="108">
        <f>SUM(Q444:Q460)</f>
        <v>214</v>
      </c>
      <c r="R461" s="109">
        <f>S461/Q461</f>
        <v>6.099485981308411</v>
      </c>
      <c r="S461" s="107">
        <f>ROUND(SUM(S444:S460),2)</f>
        <v>1305.29</v>
      </c>
      <c r="T461" s="110">
        <f t="shared" ref="T461:AQ461" si="53">SUM(T444:T460)</f>
        <v>-537317.12890000001</v>
      </c>
      <c r="U461" s="107">
        <f t="shared" si="53"/>
        <v>50229.299999999996</v>
      </c>
      <c r="V461" s="107">
        <f t="shared" si="53"/>
        <v>0</v>
      </c>
      <c r="W461" s="107">
        <f t="shared" si="53"/>
        <v>0</v>
      </c>
      <c r="X461" s="107">
        <f t="shared" si="53"/>
        <v>0</v>
      </c>
      <c r="Y461" s="107">
        <f t="shared" si="53"/>
        <v>0</v>
      </c>
      <c r="Z461" s="107">
        <f t="shared" si="53"/>
        <v>0</v>
      </c>
      <c r="AA461" s="107">
        <f t="shared" si="53"/>
        <v>0</v>
      </c>
      <c r="AB461" s="107">
        <f t="shared" si="53"/>
        <v>0</v>
      </c>
      <c r="AC461" s="107">
        <f t="shared" si="53"/>
        <v>0</v>
      </c>
      <c r="AD461" s="107">
        <f t="shared" si="53"/>
        <v>0</v>
      </c>
      <c r="AE461" s="107">
        <f t="shared" si="53"/>
        <v>0</v>
      </c>
      <c r="AF461" s="107">
        <f t="shared" si="53"/>
        <v>0</v>
      </c>
      <c r="AG461" s="107">
        <f t="shared" si="53"/>
        <v>0</v>
      </c>
      <c r="AH461" s="107">
        <f t="shared" si="53"/>
        <v>0</v>
      </c>
      <c r="AI461" s="107">
        <f t="shared" si="53"/>
        <v>0</v>
      </c>
      <c r="AJ461" s="107">
        <f t="shared" si="53"/>
        <v>0</v>
      </c>
      <c r="AK461" s="107">
        <f t="shared" si="53"/>
        <v>0</v>
      </c>
      <c r="AL461" s="107">
        <f t="shared" si="53"/>
        <v>0</v>
      </c>
      <c r="AM461" s="107">
        <f t="shared" si="53"/>
        <v>0</v>
      </c>
      <c r="AN461" s="107">
        <f t="shared" si="53"/>
        <v>0</v>
      </c>
      <c r="AO461" s="107">
        <f t="shared" si="53"/>
        <v>0</v>
      </c>
      <c r="AP461" s="107">
        <f t="shared" si="53"/>
        <v>0</v>
      </c>
      <c r="AQ461" s="107">
        <f t="shared" si="53"/>
        <v>0</v>
      </c>
      <c r="AR461" s="111">
        <f>D461+E461+F461+G461+H461+I461+J461+M461+P461+S461+SUM(T461:AQ461)</f>
        <v>-368502.60935999989</v>
      </c>
      <c r="AS461" s="4"/>
      <c r="AT461" s="5"/>
      <c r="AU461" s="5"/>
      <c r="AV461" s="2" t="s">
        <v>484</v>
      </c>
    </row>
    <row r="462" spans="1:49" s="2" customFormat="1" ht="17.25" customHeight="1" thickTop="1" x14ac:dyDescent="0.25">
      <c r="A462" s="29">
        <f>A445+1</f>
        <v>46384</v>
      </c>
      <c r="B462" s="261" t="s">
        <v>480</v>
      </c>
      <c r="C462" s="26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16"/>
      <c r="R462" s="92"/>
      <c r="S462" s="64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/>
      <c r="AU462" s="11"/>
    </row>
    <row r="463" spans="1:49" s="2" customFormat="1" ht="17.25" customHeight="1" x14ac:dyDescent="0.25">
      <c r="A463" s="29"/>
      <c r="B463" s="201" t="s">
        <v>64</v>
      </c>
      <c r="C463" s="202"/>
      <c r="D463" s="65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5">
      <c r="A464" s="29"/>
      <c r="B464" s="201" t="s">
        <v>96</v>
      </c>
      <c r="C464" s="202"/>
      <c r="D464" s="65"/>
      <c r="E464" s="64"/>
      <c r="F464" s="64"/>
      <c r="G464" s="64"/>
      <c r="H464" s="64"/>
      <c r="I464" s="64"/>
      <c r="J464" s="64"/>
      <c r="K464" s="57"/>
      <c r="L464" s="88"/>
      <c r="M464" s="62"/>
      <c r="N464" s="57"/>
      <c r="O464" s="88"/>
      <c r="P464" s="62"/>
      <c r="Q464" s="57"/>
      <c r="R464" s="88"/>
      <c r="S464" s="62"/>
      <c r="T464" s="47"/>
      <c r="U464" s="39"/>
      <c r="V464" s="39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22"/>
      <c r="AT464" s="10" t="s">
        <v>4</v>
      </c>
      <c r="AU464" s="11" t="e">
        <v>#REF!</v>
      </c>
    </row>
    <row r="465" spans="1:49" s="2" customFormat="1" ht="17.25" customHeight="1" x14ac:dyDescent="0.25">
      <c r="A465" s="29"/>
      <c r="B465" s="201" t="s">
        <v>327</v>
      </c>
      <c r="C465" s="202"/>
      <c r="D465" s="65"/>
      <c r="E465" s="64"/>
      <c r="F465" s="64"/>
      <c r="G465" s="64"/>
      <c r="H465" s="64"/>
      <c r="I465" s="64"/>
      <c r="J465" s="64"/>
      <c r="K465" s="57"/>
      <c r="L465" s="88"/>
      <c r="M465" s="62"/>
      <c r="N465" s="57"/>
      <c r="O465" s="88"/>
      <c r="P465" s="62"/>
      <c r="Q465" s="57"/>
      <c r="R465" s="88"/>
      <c r="S465" s="62"/>
      <c r="T465" s="47"/>
      <c r="U465" s="39"/>
      <c r="V465" s="39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22"/>
      <c r="AT465" s="10"/>
      <c r="AU465" s="11"/>
    </row>
    <row r="466" spans="1:49" s="2" customFormat="1" ht="17.25" customHeight="1" x14ac:dyDescent="0.25">
      <c r="A466" s="29"/>
      <c r="B466" s="201" t="s">
        <v>328</v>
      </c>
      <c r="C466" s="202"/>
      <c r="D466" s="63"/>
      <c r="E466" s="64"/>
      <c r="F466" s="64"/>
      <c r="G466" s="64"/>
      <c r="H466" s="64"/>
      <c r="I466" s="64"/>
      <c r="J466" s="64"/>
      <c r="K466" s="57"/>
      <c r="L466" s="88"/>
      <c r="M466" s="62"/>
      <c r="N466" s="57"/>
      <c r="O466" s="88"/>
      <c r="P466" s="62"/>
      <c r="Q466" s="16"/>
      <c r="R466" s="92"/>
      <c r="S466" s="64"/>
      <c r="T466" s="47"/>
      <c r="U466" s="39"/>
      <c r="V466" s="39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22"/>
      <c r="AT466" s="10"/>
      <c r="AU466" s="11"/>
    </row>
    <row r="467" spans="1:49" s="2" customFormat="1" ht="17.25" customHeight="1" x14ac:dyDescent="0.25">
      <c r="A467" s="29"/>
      <c r="B467" s="261" t="s">
        <v>481</v>
      </c>
      <c r="C467" s="262"/>
      <c r="D467" s="63"/>
      <c r="E467" s="64"/>
      <c r="F467" s="64"/>
      <c r="G467" s="64"/>
      <c r="H467" s="64"/>
      <c r="I467" s="64"/>
      <c r="J467" s="64"/>
      <c r="K467" s="57"/>
      <c r="L467" s="88"/>
      <c r="M467" s="62"/>
      <c r="N467" s="57"/>
      <c r="O467" s="88"/>
      <c r="P467" s="62"/>
      <c r="Q467" s="16"/>
      <c r="R467" s="92"/>
      <c r="S467" s="64"/>
      <c r="T467" s="47"/>
      <c r="U467" s="39"/>
      <c r="V467" s="39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22"/>
      <c r="AT467" s="10"/>
      <c r="AU467" s="11"/>
    </row>
    <row r="468" spans="1:49" s="2" customFormat="1" ht="17.25" customHeight="1" x14ac:dyDescent="0.25">
      <c r="A468" s="29"/>
      <c r="B468" s="201" t="s">
        <v>483</v>
      </c>
      <c r="C468" s="202"/>
      <c r="D468" s="63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16"/>
      <c r="R468" s="92"/>
      <c r="S468" s="64"/>
      <c r="T468" s="47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22"/>
      <c r="AT468" s="10"/>
      <c r="AU468" s="11"/>
    </row>
    <row r="469" spans="1:49" s="4" customFormat="1" ht="17.25" customHeight="1" thickBot="1" x14ac:dyDescent="0.3">
      <c r="A469" s="24"/>
      <c r="B469" s="246"/>
      <c r="C469" s="246"/>
      <c r="D469" s="81"/>
      <c r="E469" s="81"/>
      <c r="F469" s="81"/>
      <c r="G469" s="81"/>
      <c r="H469" s="81"/>
      <c r="I469" s="81"/>
      <c r="J469" s="81"/>
      <c r="K469" s="59"/>
      <c r="L469" s="90"/>
      <c r="M469" s="136"/>
      <c r="N469" s="59"/>
      <c r="O469" s="90"/>
      <c r="P469" s="136"/>
      <c r="Q469" s="59"/>
      <c r="R469" s="90"/>
      <c r="S469" s="136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/>
      <c r="AS469" s="12" t="e">
        <f>#REF!</f>
        <v>#REF!</v>
      </c>
      <c r="AW469" s="2"/>
    </row>
    <row r="470" spans="1:49" s="2" customFormat="1" ht="17.25" customHeight="1" x14ac:dyDescent="0.25">
      <c r="A470" s="29"/>
      <c r="B470" s="261" t="s">
        <v>482</v>
      </c>
      <c r="C470" s="262"/>
      <c r="D470" s="63"/>
      <c r="E470" s="64"/>
      <c r="F470" s="64"/>
      <c r="G470" s="64"/>
      <c r="H470" s="64"/>
      <c r="I470" s="64"/>
      <c r="J470" s="64"/>
      <c r="K470" s="57"/>
      <c r="L470" s="88"/>
      <c r="M470" s="62"/>
      <c r="N470" s="57"/>
      <c r="O470" s="88"/>
      <c r="P470" s="62"/>
      <c r="Q470" s="16"/>
      <c r="R470" s="92"/>
      <c r="S470" s="64"/>
      <c r="T470" s="47"/>
      <c r="U470" s="39"/>
      <c r="V470" s="39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22"/>
      <c r="AT470" s="10"/>
      <c r="AU470" s="11"/>
    </row>
    <row r="471" spans="1:49" s="4" customFormat="1" ht="17.25" customHeight="1" x14ac:dyDescent="0.25">
      <c r="A471" s="23"/>
      <c r="B471" s="212" t="s">
        <v>94</v>
      </c>
      <c r="C471" s="212"/>
      <c r="D471" s="66"/>
      <c r="E471" s="66"/>
      <c r="F471" s="117"/>
      <c r="G471" s="117"/>
      <c r="H471" s="66"/>
      <c r="I471" s="66"/>
      <c r="J471" s="66"/>
      <c r="K471" s="58"/>
      <c r="L471" s="89"/>
      <c r="M471" s="73"/>
      <c r="N471" s="58"/>
      <c r="O471" s="89"/>
      <c r="P471" s="73"/>
      <c r="Q471" s="58"/>
      <c r="R471" s="89"/>
      <c r="S471" s="73"/>
      <c r="T471" s="39"/>
      <c r="U471" s="39"/>
      <c r="V471" s="8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35"/>
      <c r="AS471" s="12" t="e">
        <f>#REF!</f>
        <v>#REF!</v>
      </c>
    </row>
    <row r="472" spans="1:49" s="4" customFormat="1" ht="17.25" customHeight="1" x14ac:dyDescent="0.25">
      <c r="A472" s="23"/>
      <c r="B472" s="201" t="s">
        <v>95</v>
      </c>
      <c r="C472" s="203"/>
      <c r="D472" s="64"/>
      <c r="E472" s="64"/>
      <c r="F472" s="117"/>
      <c r="G472" s="117"/>
      <c r="H472" s="64"/>
      <c r="I472" s="64"/>
      <c r="J472" s="64"/>
      <c r="K472" s="57"/>
      <c r="L472" s="88"/>
      <c r="M472" s="62"/>
      <c r="N472" s="57"/>
      <c r="O472" s="88"/>
      <c r="P472" s="62"/>
      <c r="Q472" s="58"/>
      <c r="R472" s="89"/>
      <c r="S472" s="73"/>
      <c r="T472" s="39"/>
      <c r="U472" s="39"/>
      <c r="V472" s="8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35"/>
      <c r="AS472" s="12" t="e">
        <f>#REF!</f>
        <v>#REF!</v>
      </c>
    </row>
    <row r="473" spans="1:49" s="4" customFormat="1" ht="17.25" customHeight="1" x14ac:dyDescent="0.25">
      <c r="A473" s="23"/>
      <c r="B473" s="201" t="s">
        <v>479</v>
      </c>
      <c r="C473" s="203"/>
      <c r="D473" s="64"/>
      <c r="E473" s="64"/>
      <c r="F473" s="117"/>
      <c r="G473" s="117"/>
      <c r="H473" s="64"/>
      <c r="I473" s="64"/>
      <c r="J473" s="64"/>
      <c r="K473" s="57"/>
      <c r="L473" s="88"/>
      <c r="M473" s="62"/>
      <c r="N473" s="57"/>
      <c r="O473" s="88"/>
      <c r="P473" s="62"/>
      <c r="Q473" s="57"/>
      <c r="R473" s="88"/>
      <c r="S473" s="62"/>
      <c r="T473" s="39"/>
      <c r="U473" s="39"/>
      <c r="V473" s="8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35"/>
      <c r="AS473" s="12" t="e">
        <f>#REF!</f>
        <v>#REF!</v>
      </c>
    </row>
    <row r="474" spans="1:49" s="4" customFormat="1" ht="17.25" customHeight="1" x14ac:dyDescent="0.25">
      <c r="A474" s="23"/>
      <c r="B474" s="201" t="s">
        <v>97</v>
      </c>
      <c r="C474" s="203"/>
      <c r="D474" s="64"/>
      <c r="E474" s="64"/>
      <c r="F474" s="64"/>
      <c r="G474" s="64"/>
      <c r="H474" s="64"/>
      <c r="I474" s="64"/>
      <c r="J474" s="64"/>
      <c r="K474" s="57"/>
      <c r="L474" s="88"/>
      <c r="M474" s="62"/>
      <c r="N474" s="57"/>
      <c r="O474" s="88"/>
      <c r="P474" s="62"/>
      <c r="Q474" s="57"/>
      <c r="R474" s="88"/>
      <c r="S474" s="62"/>
      <c r="T474" s="39"/>
      <c r="U474" s="39"/>
      <c r="V474" s="39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22"/>
      <c r="AR474" s="43"/>
      <c r="AS474" s="12" t="e">
        <f>#REF!</f>
        <v>#REF!</v>
      </c>
      <c r="AW474" s="2"/>
    </row>
    <row r="475" spans="1:49" s="4" customFormat="1" ht="17.25" customHeight="1" x14ac:dyDescent="0.25">
      <c r="A475" s="23"/>
      <c r="B475" s="201" t="s">
        <v>100</v>
      </c>
      <c r="C475" s="202"/>
      <c r="D475" s="64"/>
      <c r="E475" s="64"/>
      <c r="F475" s="64"/>
      <c r="G475" s="64"/>
      <c r="H475" s="64"/>
      <c r="I475" s="64"/>
      <c r="J475" s="64"/>
      <c r="K475" s="57"/>
      <c r="L475" s="88"/>
      <c r="M475" s="62"/>
      <c r="N475" s="57"/>
      <c r="O475" s="88"/>
      <c r="P475" s="62"/>
      <c r="Q475" s="57"/>
      <c r="R475" s="88"/>
      <c r="S475" s="62"/>
      <c r="T475" s="39"/>
      <c r="U475" s="39"/>
      <c r="V475" s="39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22"/>
      <c r="AR475" s="43"/>
      <c r="AS475" s="12" t="e">
        <f>#REF!</f>
        <v>#REF!</v>
      </c>
      <c r="AW475" s="2"/>
    </row>
    <row r="476" spans="1:49" s="2" customFormat="1" ht="17.25" customHeight="1" x14ac:dyDescent="0.2">
      <c r="A476" s="24"/>
      <c r="B476" s="201"/>
      <c r="C476" s="204"/>
      <c r="D476" s="63"/>
      <c r="E476" s="64"/>
      <c r="F476" s="64"/>
      <c r="G476" s="64"/>
      <c r="H476" s="64"/>
      <c r="I476" s="64"/>
      <c r="J476" s="64"/>
      <c r="K476" s="16"/>
      <c r="L476" s="16"/>
      <c r="M476" s="64"/>
      <c r="N476" s="16"/>
      <c r="O476" s="16"/>
      <c r="P476" s="64"/>
      <c r="Q476" s="16"/>
      <c r="R476" s="16"/>
      <c r="S476" s="64"/>
      <c r="T476" s="46"/>
      <c r="U476" s="46"/>
      <c r="V476" s="39"/>
      <c r="W476" s="16"/>
      <c r="X476" s="16"/>
      <c r="Y476" s="16"/>
      <c r="Z476" s="16"/>
      <c r="AA476" s="16"/>
      <c r="AB476" s="19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43"/>
      <c r="AT476" s="10"/>
      <c r="AU476" s="11"/>
    </row>
    <row r="477" spans="1:49" s="2" customFormat="1" ht="17.25" customHeight="1" thickBot="1" x14ac:dyDescent="0.3">
      <c r="A477" s="56"/>
      <c r="B477" s="101" t="s">
        <v>102</v>
      </c>
      <c r="C477" s="102">
        <f>D478+E478+F478+G478+H478+I478+J478+M478+P478</f>
        <v>117279.92954000011</v>
      </c>
      <c r="D477" s="84"/>
      <c r="E477" s="85"/>
      <c r="F477" s="85"/>
      <c r="G477" s="85"/>
      <c r="H477" s="85"/>
      <c r="I477" s="85"/>
      <c r="J477" s="85"/>
      <c r="K477" s="28"/>
      <c r="L477" s="28"/>
      <c r="M477" s="85"/>
      <c r="N477" s="28"/>
      <c r="O477" s="28"/>
      <c r="P477" s="85"/>
      <c r="Q477" s="28"/>
      <c r="R477" s="28"/>
      <c r="S477" s="85"/>
      <c r="T477" s="48"/>
      <c r="U477" s="48"/>
      <c r="V477" s="51"/>
      <c r="W477" s="28"/>
      <c r="X477" s="28"/>
      <c r="Y477" s="28"/>
      <c r="Z477" s="28"/>
      <c r="AA477" s="28"/>
      <c r="AB477" s="36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42">
        <f>SUM($T461:AQ477)</f>
        <v>-487087.82890000002</v>
      </c>
      <c r="AT477" s="10"/>
      <c r="AU477" s="11"/>
      <c r="AV477" s="2" t="s">
        <v>5</v>
      </c>
    </row>
    <row r="478" spans="1:49" s="2" customFormat="1" ht="17.25" customHeight="1" thickTop="1" thickBot="1" x14ac:dyDescent="0.3">
      <c r="A478" s="103"/>
      <c r="B478" s="104" t="s">
        <v>103</v>
      </c>
      <c r="C478" s="105">
        <f>AR478</f>
        <v>-368502.60935999989</v>
      </c>
      <c r="D478" s="106">
        <f t="shared" ref="D478:K478" si="54">SUM(D461:D477)</f>
        <v>12717.607040000057</v>
      </c>
      <c r="E478" s="107">
        <f t="shared" si="54"/>
        <v>-43287.790000000008</v>
      </c>
      <c r="F478" s="107">
        <f t="shared" si="54"/>
        <v>0.65000000000145519</v>
      </c>
      <c r="G478" s="107">
        <f t="shared" si="54"/>
        <v>0</v>
      </c>
      <c r="H478" s="107">
        <f t="shared" si="54"/>
        <v>65082.292500000054</v>
      </c>
      <c r="I478" s="107">
        <f t="shared" si="54"/>
        <v>10004.65</v>
      </c>
      <c r="J478" s="107">
        <f t="shared" si="54"/>
        <v>0</v>
      </c>
      <c r="K478" s="108">
        <f t="shared" si="54"/>
        <v>12170</v>
      </c>
      <c r="L478" s="109">
        <f>M478/K478</f>
        <v>5.1465924404272805</v>
      </c>
      <c r="M478" s="107">
        <f>ROUND(SUM(M461:M477),2)</f>
        <v>62634.03</v>
      </c>
      <c r="N478" s="108">
        <f>SUM(N461:N477)</f>
        <v>2783</v>
      </c>
      <c r="O478" s="109">
        <f>P478/N478</f>
        <v>3.6394143011139057</v>
      </c>
      <c r="P478" s="107">
        <f>ROUND(SUM(P461:P477),2)</f>
        <v>10128.49</v>
      </c>
      <c r="Q478" s="108">
        <f>SUM(Q461:Q477)</f>
        <v>214</v>
      </c>
      <c r="R478" s="109">
        <f>S478/Q478</f>
        <v>6.099485981308411</v>
      </c>
      <c r="S478" s="107">
        <f>ROUND(SUM(S461:S477),2)</f>
        <v>1305.29</v>
      </c>
      <c r="T478" s="110">
        <f t="shared" ref="T478:AQ478" si="55">SUM(T461:T477)</f>
        <v>-537317.12890000001</v>
      </c>
      <c r="U478" s="107">
        <f t="shared" si="55"/>
        <v>50229.299999999996</v>
      </c>
      <c r="V478" s="107">
        <f t="shared" si="55"/>
        <v>0</v>
      </c>
      <c r="W478" s="107">
        <f t="shared" si="55"/>
        <v>0</v>
      </c>
      <c r="X478" s="107">
        <f t="shared" si="55"/>
        <v>0</v>
      </c>
      <c r="Y478" s="107">
        <f t="shared" si="55"/>
        <v>0</v>
      </c>
      <c r="Z478" s="107">
        <f t="shared" si="55"/>
        <v>0</v>
      </c>
      <c r="AA478" s="107">
        <f t="shared" si="55"/>
        <v>0</v>
      </c>
      <c r="AB478" s="107">
        <f t="shared" si="55"/>
        <v>0</v>
      </c>
      <c r="AC478" s="107">
        <f t="shared" si="55"/>
        <v>0</v>
      </c>
      <c r="AD478" s="107">
        <f t="shared" si="55"/>
        <v>0</v>
      </c>
      <c r="AE478" s="107">
        <f t="shared" si="55"/>
        <v>0</v>
      </c>
      <c r="AF478" s="107">
        <f t="shared" si="55"/>
        <v>0</v>
      </c>
      <c r="AG478" s="107">
        <f t="shared" si="55"/>
        <v>0</v>
      </c>
      <c r="AH478" s="107">
        <f t="shared" si="55"/>
        <v>0</v>
      </c>
      <c r="AI478" s="107">
        <f t="shared" si="55"/>
        <v>0</v>
      </c>
      <c r="AJ478" s="107">
        <f t="shared" si="55"/>
        <v>0</v>
      </c>
      <c r="AK478" s="107">
        <f t="shared" si="55"/>
        <v>0</v>
      </c>
      <c r="AL478" s="107">
        <f t="shared" si="55"/>
        <v>0</v>
      </c>
      <c r="AM478" s="107">
        <f t="shared" si="55"/>
        <v>0</v>
      </c>
      <c r="AN478" s="107">
        <f t="shared" si="55"/>
        <v>0</v>
      </c>
      <c r="AO478" s="107">
        <f t="shared" si="55"/>
        <v>0</v>
      </c>
      <c r="AP478" s="107">
        <f t="shared" si="55"/>
        <v>0</v>
      </c>
      <c r="AQ478" s="107">
        <f t="shared" si="55"/>
        <v>0</v>
      </c>
      <c r="AR478" s="111">
        <f>D478+E478+F478+G478+H478+I478+J478+M478+P478+S478+SUM(T478:AQ478)</f>
        <v>-368502.60935999989</v>
      </c>
      <c r="AS478" s="4"/>
      <c r="AT478" s="5"/>
      <c r="AU478" s="5"/>
      <c r="AV478" s="2" t="s">
        <v>484</v>
      </c>
    </row>
    <row r="479" spans="1:49" s="2" customFormat="1" ht="17.25" customHeight="1" thickTop="1" x14ac:dyDescent="0.25">
      <c r="A479" s="29">
        <f>A462+1</f>
        <v>46385</v>
      </c>
      <c r="B479" s="261" t="s">
        <v>480</v>
      </c>
      <c r="C479" s="262"/>
      <c r="D479" s="63"/>
      <c r="E479" s="64"/>
      <c r="F479" s="64"/>
      <c r="G479" s="64"/>
      <c r="H479" s="64"/>
      <c r="I479" s="64"/>
      <c r="J479" s="64"/>
      <c r="K479" s="57"/>
      <c r="L479" s="88"/>
      <c r="M479" s="62"/>
      <c r="N479" s="57"/>
      <c r="O479" s="88"/>
      <c r="P479" s="62"/>
      <c r="Q479" s="16"/>
      <c r="R479" s="92"/>
      <c r="S479" s="64"/>
      <c r="T479" s="47"/>
      <c r="U479" s="39"/>
      <c r="V479" s="39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22"/>
      <c r="AT479" s="10"/>
      <c r="AU479" s="11"/>
    </row>
    <row r="480" spans="1:49" s="2" customFormat="1" ht="17.25" customHeight="1" x14ac:dyDescent="0.25">
      <c r="A480" s="29"/>
      <c r="B480" s="201" t="s">
        <v>64</v>
      </c>
      <c r="C480" s="202"/>
      <c r="D480" s="65"/>
      <c r="E480" s="64"/>
      <c r="F480" s="64"/>
      <c r="G480" s="64"/>
      <c r="H480" s="64"/>
      <c r="I480" s="64"/>
      <c r="J480" s="64"/>
      <c r="K480" s="57"/>
      <c r="L480" s="88"/>
      <c r="M480" s="62"/>
      <c r="N480" s="57"/>
      <c r="O480" s="88"/>
      <c r="P480" s="62"/>
      <c r="Q480" s="57"/>
      <c r="R480" s="88"/>
      <c r="S480" s="62"/>
      <c r="T480" s="47"/>
      <c r="U480" s="39"/>
      <c r="V480" s="39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22"/>
      <c r="AT480" s="10" t="s">
        <v>4</v>
      </c>
      <c r="AU480" s="11" t="e">
        <v>#REF!</v>
      </c>
    </row>
    <row r="481" spans="1:49" s="2" customFormat="1" ht="17.25" customHeight="1" x14ac:dyDescent="0.25">
      <c r="A481" s="29"/>
      <c r="B481" s="201" t="s">
        <v>96</v>
      </c>
      <c r="C481" s="202"/>
      <c r="D481" s="65"/>
      <c r="E481" s="64"/>
      <c r="F481" s="64"/>
      <c r="G481" s="64"/>
      <c r="H481" s="64"/>
      <c r="I481" s="64"/>
      <c r="J481" s="64"/>
      <c r="K481" s="57"/>
      <c r="L481" s="88"/>
      <c r="M481" s="62"/>
      <c r="N481" s="57"/>
      <c r="O481" s="88"/>
      <c r="P481" s="62"/>
      <c r="Q481" s="57"/>
      <c r="R481" s="88"/>
      <c r="S481" s="62"/>
      <c r="T481" s="47"/>
      <c r="U481" s="39"/>
      <c r="V481" s="39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22"/>
      <c r="AT481" s="10" t="s">
        <v>4</v>
      </c>
      <c r="AU481" s="11" t="e">
        <v>#REF!</v>
      </c>
    </row>
    <row r="482" spans="1:49" s="2" customFormat="1" ht="17.25" customHeight="1" x14ac:dyDescent="0.25">
      <c r="A482" s="29"/>
      <c r="B482" s="201" t="s">
        <v>327</v>
      </c>
      <c r="C482" s="202"/>
      <c r="D482" s="65"/>
      <c r="E482" s="64"/>
      <c r="F482" s="64"/>
      <c r="G482" s="64"/>
      <c r="H482" s="64"/>
      <c r="I482" s="64"/>
      <c r="J482" s="64"/>
      <c r="K482" s="57"/>
      <c r="L482" s="88"/>
      <c r="M482" s="62"/>
      <c r="N482" s="57"/>
      <c r="O482" s="88"/>
      <c r="P482" s="62"/>
      <c r="Q482" s="57"/>
      <c r="R482" s="88"/>
      <c r="S482" s="62"/>
      <c r="T482" s="47"/>
      <c r="U482" s="39"/>
      <c r="V482" s="39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22"/>
      <c r="AT482" s="10"/>
      <c r="AU482" s="11"/>
    </row>
    <row r="483" spans="1:49" s="2" customFormat="1" ht="17.25" customHeight="1" x14ac:dyDescent="0.25">
      <c r="A483" s="29"/>
      <c r="B483" s="201" t="s">
        <v>328</v>
      </c>
      <c r="C483" s="202"/>
      <c r="D483" s="63"/>
      <c r="E483" s="64"/>
      <c r="F483" s="64"/>
      <c r="G483" s="64"/>
      <c r="H483" s="64"/>
      <c r="I483" s="64"/>
      <c r="J483" s="64"/>
      <c r="K483" s="57"/>
      <c r="L483" s="88"/>
      <c r="M483" s="62"/>
      <c r="N483" s="57"/>
      <c r="O483" s="88"/>
      <c r="P483" s="62"/>
      <c r="Q483" s="16"/>
      <c r="R483" s="92"/>
      <c r="S483" s="64"/>
      <c r="T483" s="47"/>
      <c r="U483" s="39"/>
      <c r="V483" s="39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22"/>
      <c r="AT483" s="10"/>
      <c r="AU483" s="11"/>
    </row>
    <row r="484" spans="1:49" s="2" customFormat="1" ht="17.25" customHeight="1" x14ac:dyDescent="0.25">
      <c r="A484" s="29"/>
      <c r="B484" s="261" t="s">
        <v>481</v>
      </c>
      <c r="C484" s="262"/>
      <c r="D484" s="63"/>
      <c r="E484" s="64"/>
      <c r="F484" s="64"/>
      <c r="G484" s="64"/>
      <c r="H484" s="64"/>
      <c r="I484" s="64"/>
      <c r="J484" s="64"/>
      <c r="K484" s="57"/>
      <c r="L484" s="88"/>
      <c r="M484" s="62"/>
      <c r="N484" s="57"/>
      <c r="O484" s="88"/>
      <c r="P484" s="62"/>
      <c r="Q484" s="16"/>
      <c r="R484" s="92"/>
      <c r="S484" s="64"/>
      <c r="T484" s="47"/>
      <c r="U484" s="39"/>
      <c r="V484" s="39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22"/>
      <c r="AT484" s="10"/>
      <c r="AU484" s="11"/>
    </row>
    <row r="485" spans="1:49" s="2" customFormat="1" ht="17.25" customHeight="1" x14ac:dyDescent="0.25">
      <c r="A485" s="29"/>
      <c r="B485" s="201" t="s">
        <v>483</v>
      </c>
      <c r="C485" s="202"/>
      <c r="D485" s="63"/>
      <c r="E485" s="64"/>
      <c r="F485" s="64"/>
      <c r="G485" s="64"/>
      <c r="H485" s="64"/>
      <c r="I485" s="64"/>
      <c r="J485" s="64"/>
      <c r="K485" s="57"/>
      <c r="L485" s="88"/>
      <c r="M485" s="62"/>
      <c r="N485" s="57"/>
      <c r="O485" s="88"/>
      <c r="P485" s="62"/>
      <c r="Q485" s="16"/>
      <c r="R485" s="92"/>
      <c r="S485" s="64"/>
      <c r="T485" s="47"/>
      <c r="U485" s="39"/>
      <c r="V485" s="39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22"/>
      <c r="AT485" s="10"/>
      <c r="AU485" s="11"/>
    </row>
    <row r="486" spans="1:49" s="4" customFormat="1" ht="17.25" customHeight="1" thickBot="1" x14ac:dyDescent="0.3">
      <c r="A486" s="24"/>
      <c r="B486" s="246"/>
      <c r="C486" s="246"/>
      <c r="D486" s="81"/>
      <c r="E486" s="81"/>
      <c r="F486" s="81"/>
      <c r="G486" s="81"/>
      <c r="H486" s="81"/>
      <c r="I486" s="81"/>
      <c r="J486" s="81"/>
      <c r="K486" s="59"/>
      <c r="L486" s="90"/>
      <c r="M486" s="136"/>
      <c r="N486" s="59"/>
      <c r="O486" s="90"/>
      <c r="P486" s="136"/>
      <c r="Q486" s="59"/>
      <c r="R486" s="90"/>
      <c r="S486" s="136"/>
      <c r="T486" s="39"/>
      <c r="U486" s="39"/>
      <c r="V486" s="39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22"/>
      <c r="AR486" s="43"/>
      <c r="AS486" s="12" t="e">
        <f>#REF!</f>
        <v>#REF!</v>
      </c>
      <c r="AW486" s="2"/>
    </row>
    <row r="487" spans="1:49" s="2" customFormat="1" ht="17.25" customHeight="1" x14ac:dyDescent="0.25">
      <c r="A487" s="29"/>
      <c r="B487" s="261" t="s">
        <v>482</v>
      </c>
      <c r="C487" s="262"/>
      <c r="D487" s="63"/>
      <c r="E487" s="64"/>
      <c r="F487" s="64"/>
      <c r="G487" s="64"/>
      <c r="H487" s="64"/>
      <c r="I487" s="64"/>
      <c r="J487" s="64"/>
      <c r="K487" s="57"/>
      <c r="L487" s="88"/>
      <c r="M487" s="62"/>
      <c r="N487" s="57"/>
      <c r="O487" s="88"/>
      <c r="P487" s="62"/>
      <c r="Q487" s="16"/>
      <c r="R487" s="92"/>
      <c r="S487" s="64"/>
      <c r="T487" s="47"/>
      <c r="U487" s="39"/>
      <c r="V487" s="39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22"/>
      <c r="AT487" s="10"/>
      <c r="AU487" s="11"/>
    </row>
    <row r="488" spans="1:49" s="4" customFormat="1" ht="17.25" customHeight="1" x14ac:dyDescent="0.25">
      <c r="A488" s="23"/>
      <c r="B488" s="212" t="s">
        <v>94</v>
      </c>
      <c r="C488" s="212"/>
      <c r="D488" s="66"/>
      <c r="E488" s="66"/>
      <c r="F488" s="117"/>
      <c r="G488" s="117"/>
      <c r="H488" s="66"/>
      <c r="I488" s="66"/>
      <c r="J488" s="66"/>
      <c r="K488" s="58"/>
      <c r="L488" s="89"/>
      <c r="M488" s="73"/>
      <c r="N488" s="58"/>
      <c r="O488" s="89"/>
      <c r="P488" s="73"/>
      <c r="Q488" s="58"/>
      <c r="R488" s="89"/>
      <c r="S488" s="73"/>
      <c r="T488" s="39"/>
      <c r="U488" s="39"/>
      <c r="V488" s="8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35"/>
      <c r="AS488" s="12" t="e">
        <f>#REF!</f>
        <v>#REF!</v>
      </c>
    </row>
    <row r="489" spans="1:49" s="4" customFormat="1" ht="17.25" customHeight="1" x14ac:dyDescent="0.25">
      <c r="A489" s="23"/>
      <c r="B489" s="201" t="s">
        <v>95</v>
      </c>
      <c r="C489" s="203"/>
      <c r="D489" s="64"/>
      <c r="E489" s="64"/>
      <c r="F489" s="117"/>
      <c r="G489" s="117"/>
      <c r="H489" s="64"/>
      <c r="I489" s="64"/>
      <c r="J489" s="64"/>
      <c r="K489" s="57"/>
      <c r="L489" s="88"/>
      <c r="M489" s="62"/>
      <c r="N489" s="57"/>
      <c r="O489" s="88"/>
      <c r="P489" s="62"/>
      <c r="Q489" s="58"/>
      <c r="R489" s="89"/>
      <c r="S489" s="73"/>
      <c r="T489" s="39"/>
      <c r="U489" s="39"/>
      <c r="V489" s="8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35"/>
      <c r="AS489" s="12" t="e">
        <f>#REF!</f>
        <v>#REF!</v>
      </c>
    </row>
    <row r="490" spans="1:49" s="4" customFormat="1" ht="17.25" customHeight="1" x14ac:dyDescent="0.25">
      <c r="A490" s="23"/>
      <c r="B490" s="201" t="s">
        <v>479</v>
      </c>
      <c r="C490" s="203"/>
      <c r="D490" s="64"/>
      <c r="E490" s="64"/>
      <c r="F490" s="117"/>
      <c r="G490" s="117"/>
      <c r="H490" s="64"/>
      <c r="I490" s="64"/>
      <c r="J490" s="64"/>
      <c r="K490" s="57"/>
      <c r="L490" s="88"/>
      <c r="M490" s="62"/>
      <c r="N490" s="57"/>
      <c r="O490" s="88"/>
      <c r="P490" s="62"/>
      <c r="Q490" s="57"/>
      <c r="R490" s="88"/>
      <c r="S490" s="62"/>
      <c r="T490" s="39"/>
      <c r="U490" s="39"/>
      <c r="V490" s="8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35"/>
      <c r="AS490" s="12" t="e">
        <f>#REF!</f>
        <v>#REF!</v>
      </c>
    </row>
    <row r="491" spans="1:49" s="4" customFormat="1" ht="17.25" customHeight="1" x14ac:dyDescent="0.25">
      <c r="A491" s="23"/>
      <c r="B491" s="201" t="s">
        <v>97</v>
      </c>
      <c r="C491" s="203"/>
      <c r="D491" s="64"/>
      <c r="E491" s="64"/>
      <c r="F491" s="64"/>
      <c r="G491" s="64"/>
      <c r="H491" s="64"/>
      <c r="I491" s="64"/>
      <c r="J491" s="64"/>
      <c r="K491" s="57"/>
      <c r="L491" s="88"/>
      <c r="M491" s="62"/>
      <c r="N491" s="57"/>
      <c r="O491" s="88"/>
      <c r="P491" s="62"/>
      <c r="Q491" s="57"/>
      <c r="R491" s="88"/>
      <c r="S491" s="62"/>
      <c r="T491" s="39"/>
      <c r="U491" s="39"/>
      <c r="V491" s="39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22"/>
      <c r="AR491" s="43"/>
      <c r="AS491" s="12" t="e">
        <f>#REF!</f>
        <v>#REF!</v>
      </c>
      <c r="AW491" s="2"/>
    </row>
    <row r="492" spans="1:49" s="4" customFormat="1" ht="17.25" customHeight="1" x14ac:dyDescent="0.25">
      <c r="A492" s="23"/>
      <c r="B492" s="201" t="s">
        <v>100</v>
      </c>
      <c r="C492" s="202"/>
      <c r="D492" s="64"/>
      <c r="E492" s="64"/>
      <c r="F492" s="64"/>
      <c r="G492" s="64"/>
      <c r="H492" s="64"/>
      <c r="I492" s="64"/>
      <c r="J492" s="64"/>
      <c r="K492" s="57"/>
      <c r="L492" s="88"/>
      <c r="M492" s="62"/>
      <c r="N492" s="57"/>
      <c r="O492" s="88"/>
      <c r="P492" s="62"/>
      <c r="Q492" s="57"/>
      <c r="R492" s="88"/>
      <c r="S492" s="62"/>
      <c r="T492" s="39"/>
      <c r="U492" s="39"/>
      <c r="V492" s="39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22"/>
      <c r="AR492" s="43"/>
      <c r="AS492" s="12" t="e">
        <f>#REF!</f>
        <v>#REF!</v>
      </c>
      <c r="AW492" s="2"/>
    </row>
    <row r="493" spans="1:49" s="2" customFormat="1" ht="17.25" customHeight="1" x14ac:dyDescent="0.2">
      <c r="A493" s="24"/>
      <c r="B493" s="201"/>
      <c r="C493" s="204"/>
      <c r="D493" s="63"/>
      <c r="E493" s="64"/>
      <c r="F493" s="64"/>
      <c r="G493" s="64"/>
      <c r="H493" s="64"/>
      <c r="I493" s="64"/>
      <c r="J493" s="64"/>
      <c r="K493" s="16"/>
      <c r="L493" s="16"/>
      <c r="M493" s="64"/>
      <c r="N493" s="16"/>
      <c r="O493" s="16"/>
      <c r="P493" s="64"/>
      <c r="Q493" s="16"/>
      <c r="R493" s="16"/>
      <c r="S493" s="64"/>
      <c r="T493" s="46"/>
      <c r="U493" s="46"/>
      <c r="V493" s="39"/>
      <c r="W493" s="16"/>
      <c r="X493" s="16"/>
      <c r="Y493" s="16"/>
      <c r="Z493" s="16"/>
      <c r="AA493" s="16"/>
      <c r="AB493" s="19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43"/>
      <c r="AT493" s="10"/>
      <c r="AU493" s="11"/>
    </row>
    <row r="494" spans="1:49" s="2" customFormat="1" ht="17.25" customHeight="1" thickBot="1" x14ac:dyDescent="0.3">
      <c r="A494" s="56"/>
      <c r="B494" s="101" t="s">
        <v>102</v>
      </c>
      <c r="C494" s="102">
        <f>D495+E495+F495+G495+H495+I495+J495+M495+P495</f>
        <v>117279.92954000011</v>
      </c>
      <c r="D494" s="84"/>
      <c r="E494" s="85"/>
      <c r="F494" s="85"/>
      <c r="G494" s="85"/>
      <c r="H494" s="85"/>
      <c r="I494" s="85"/>
      <c r="J494" s="85"/>
      <c r="K494" s="28"/>
      <c r="L494" s="28"/>
      <c r="M494" s="85"/>
      <c r="N494" s="28"/>
      <c r="O494" s="28"/>
      <c r="P494" s="85"/>
      <c r="Q494" s="28"/>
      <c r="R494" s="28"/>
      <c r="S494" s="85"/>
      <c r="T494" s="48"/>
      <c r="U494" s="48"/>
      <c r="V494" s="51"/>
      <c r="W494" s="28"/>
      <c r="X494" s="28"/>
      <c r="Y494" s="28"/>
      <c r="Z494" s="28"/>
      <c r="AA494" s="28"/>
      <c r="AB494" s="36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42">
        <f>SUM($T478:AQ494)</f>
        <v>-487087.82890000002</v>
      </c>
      <c r="AT494" s="10"/>
      <c r="AU494" s="11"/>
      <c r="AV494" s="2" t="s">
        <v>5</v>
      </c>
    </row>
    <row r="495" spans="1:49" s="2" customFormat="1" ht="17.25" customHeight="1" thickTop="1" thickBot="1" x14ac:dyDescent="0.3">
      <c r="A495" s="103"/>
      <c r="B495" s="104" t="s">
        <v>103</v>
      </c>
      <c r="C495" s="105">
        <f>AR495</f>
        <v>-368502.60935999989</v>
      </c>
      <c r="D495" s="106">
        <f t="shared" ref="D495:K495" si="56">SUM(D478:D494)</f>
        <v>12717.607040000057</v>
      </c>
      <c r="E495" s="107">
        <f t="shared" si="56"/>
        <v>-43287.790000000008</v>
      </c>
      <c r="F495" s="107">
        <f t="shared" si="56"/>
        <v>0.65000000000145519</v>
      </c>
      <c r="G495" s="107">
        <f t="shared" si="56"/>
        <v>0</v>
      </c>
      <c r="H495" s="107">
        <f t="shared" si="56"/>
        <v>65082.292500000054</v>
      </c>
      <c r="I495" s="107">
        <f t="shared" si="56"/>
        <v>10004.65</v>
      </c>
      <c r="J495" s="107">
        <f t="shared" si="56"/>
        <v>0</v>
      </c>
      <c r="K495" s="108">
        <f t="shared" si="56"/>
        <v>12170</v>
      </c>
      <c r="L495" s="109">
        <f>M495/K495</f>
        <v>5.1465924404272805</v>
      </c>
      <c r="M495" s="107">
        <f>ROUND(SUM(M478:M494),2)</f>
        <v>62634.03</v>
      </c>
      <c r="N495" s="108">
        <f>SUM(N478:N494)</f>
        <v>2783</v>
      </c>
      <c r="O495" s="109">
        <f>P495/N495</f>
        <v>3.6394143011139057</v>
      </c>
      <c r="P495" s="107">
        <f>ROUND(SUM(P478:P494),2)</f>
        <v>10128.49</v>
      </c>
      <c r="Q495" s="108">
        <f>SUM(Q478:Q494)</f>
        <v>214</v>
      </c>
      <c r="R495" s="109">
        <f>S495/Q495</f>
        <v>6.099485981308411</v>
      </c>
      <c r="S495" s="107">
        <f>ROUND(SUM(S478:S494),2)</f>
        <v>1305.29</v>
      </c>
      <c r="T495" s="110">
        <f t="shared" ref="T495:AQ495" si="57">SUM(T478:T494)</f>
        <v>-537317.12890000001</v>
      </c>
      <c r="U495" s="107">
        <f t="shared" si="57"/>
        <v>50229.299999999996</v>
      </c>
      <c r="V495" s="107">
        <f t="shared" si="57"/>
        <v>0</v>
      </c>
      <c r="W495" s="107">
        <f t="shared" si="57"/>
        <v>0</v>
      </c>
      <c r="X495" s="107">
        <f t="shared" si="57"/>
        <v>0</v>
      </c>
      <c r="Y495" s="107">
        <f t="shared" si="57"/>
        <v>0</v>
      </c>
      <c r="Z495" s="107">
        <f t="shared" si="57"/>
        <v>0</v>
      </c>
      <c r="AA495" s="107">
        <f t="shared" si="57"/>
        <v>0</v>
      </c>
      <c r="AB495" s="107">
        <f t="shared" si="57"/>
        <v>0</v>
      </c>
      <c r="AC495" s="107">
        <f t="shared" si="57"/>
        <v>0</v>
      </c>
      <c r="AD495" s="107">
        <f t="shared" si="57"/>
        <v>0</v>
      </c>
      <c r="AE495" s="107">
        <f t="shared" si="57"/>
        <v>0</v>
      </c>
      <c r="AF495" s="107">
        <f t="shared" si="57"/>
        <v>0</v>
      </c>
      <c r="AG495" s="107">
        <f t="shared" si="57"/>
        <v>0</v>
      </c>
      <c r="AH495" s="107">
        <f t="shared" si="57"/>
        <v>0</v>
      </c>
      <c r="AI495" s="107">
        <f t="shared" si="57"/>
        <v>0</v>
      </c>
      <c r="AJ495" s="107">
        <f t="shared" si="57"/>
        <v>0</v>
      </c>
      <c r="AK495" s="107">
        <f t="shared" si="57"/>
        <v>0</v>
      </c>
      <c r="AL495" s="107">
        <f t="shared" si="57"/>
        <v>0</v>
      </c>
      <c r="AM495" s="107">
        <f t="shared" si="57"/>
        <v>0</v>
      </c>
      <c r="AN495" s="107">
        <f t="shared" si="57"/>
        <v>0</v>
      </c>
      <c r="AO495" s="107">
        <f t="shared" si="57"/>
        <v>0</v>
      </c>
      <c r="AP495" s="107">
        <f t="shared" si="57"/>
        <v>0</v>
      </c>
      <c r="AQ495" s="107">
        <f t="shared" si="57"/>
        <v>0</v>
      </c>
      <c r="AR495" s="111">
        <f>D495+E495+F495+G495+H495+I495+J495+M495+P495+S495+SUM(T495:AQ495)</f>
        <v>-368502.60935999989</v>
      </c>
      <c r="AS495" s="4"/>
      <c r="AT495" s="5"/>
      <c r="AU495" s="5"/>
      <c r="AV495" s="2" t="s">
        <v>484</v>
      </c>
    </row>
    <row r="496" spans="1:49" s="2" customFormat="1" ht="17.25" customHeight="1" thickTop="1" x14ac:dyDescent="0.25">
      <c r="A496" s="29">
        <f>A479+1</f>
        <v>46386</v>
      </c>
      <c r="B496" s="261" t="s">
        <v>480</v>
      </c>
      <c r="C496" s="262"/>
      <c r="D496" s="63"/>
      <c r="E496" s="64"/>
      <c r="F496" s="64"/>
      <c r="G496" s="64"/>
      <c r="H496" s="64"/>
      <c r="I496" s="64"/>
      <c r="J496" s="64"/>
      <c r="K496" s="57"/>
      <c r="L496" s="88"/>
      <c r="M496" s="62"/>
      <c r="N496" s="57"/>
      <c r="O496" s="88"/>
      <c r="P496" s="62"/>
      <c r="Q496" s="16"/>
      <c r="R496" s="92"/>
      <c r="S496" s="64"/>
      <c r="T496" s="47"/>
      <c r="U496" s="39"/>
      <c r="V496" s="39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22"/>
      <c r="AT496" s="10"/>
      <c r="AU496" s="11"/>
    </row>
    <row r="497" spans="1:49" s="2" customFormat="1" ht="17.25" customHeight="1" x14ac:dyDescent="0.25">
      <c r="A497" s="29"/>
      <c r="B497" s="201" t="s">
        <v>64</v>
      </c>
      <c r="C497" s="202"/>
      <c r="D497" s="65"/>
      <c r="E497" s="64"/>
      <c r="F497" s="64"/>
      <c r="G497" s="64"/>
      <c r="H497" s="64"/>
      <c r="I497" s="64"/>
      <c r="J497" s="64"/>
      <c r="K497" s="57"/>
      <c r="L497" s="88"/>
      <c r="M497" s="62"/>
      <c r="N497" s="57"/>
      <c r="O497" s="88"/>
      <c r="P497" s="62"/>
      <c r="Q497" s="57"/>
      <c r="R497" s="88"/>
      <c r="S497" s="62"/>
      <c r="T497" s="47"/>
      <c r="U497" s="39"/>
      <c r="V497" s="39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22"/>
      <c r="AT497" s="10" t="s">
        <v>4</v>
      </c>
      <c r="AU497" s="11" t="e">
        <v>#REF!</v>
      </c>
    </row>
    <row r="498" spans="1:49" s="2" customFormat="1" ht="17.25" customHeight="1" x14ac:dyDescent="0.25">
      <c r="A498" s="29"/>
      <c r="B498" s="201" t="s">
        <v>96</v>
      </c>
      <c r="C498" s="202"/>
      <c r="D498" s="65"/>
      <c r="E498" s="64"/>
      <c r="F498" s="64"/>
      <c r="G498" s="64"/>
      <c r="H498" s="64"/>
      <c r="I498" s="64"/>
      <c r="J498" s="64"/>
      <c r="K498" s="57"/>
      <c r="L498" s="88"/>
      <c r="M498" s="62"/>
      <c r="N498" s="57"/>
      <c r="O498" s="88"/>
      <c r="P498" s="62"/>
      <c r="Q498" s="57"/>
      <c r="R498" s="88"/>
      <c r="S498" s="62"/>
      <c r="T498" s="47"/>
      <c r="U498" s="39"/>
      <c r="V498" s="39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22"/>
      <c r="AT498" s="10" t="s">
        <v>4</v>
      </c>
      <c r="AU498" s="11" t="e">
        <v>#REF!</v>
      </c>
    </row>
    <row r="499" spans="1:49" s="2" customFormat="1" ht="17.25" customHeight="1" x14ac:dyDescent="0.25">
      <c r="A499" s="29"/>
      <c r="B499" s="201" t="s">
        <v>327</v>
      </c>
      <c r="C499" s="202"/>
      <c r="D499" s="65"/>
      <c r="E499" s="64"/>
      <c r="F499" s="64"/>
      <c r="G499" s="64"/>
      <c r="H499" s="64"/>
      <c r="I499" s="64"/>
      <c r="J499" s="64"/>
      <c r="K499" s="57"/>
      <c r="L499" s="88"/>
      <c r="M499" s="62"/>
      <c r="N499" s="57"/>
      <c r="O499" s="88"/>
      <c r="P499" s="62"/>
      <c r="Q499" s="57"/>
      <c r="R499" s="88"/>
      <c r="S499" s="62"/>
      <c r="T499" s="47"/>
      <c r="U499" s="39"/>
      <c r="V499" s="39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22"/>
      <c r="AT499" s="10"/>
      <c r="AU499" s="11"/>
    </row>
    <row r="500" spans="1:49" s="2" customFormat="1" ht="17.25" customHeight="1" x14ac:dyDescent="0.25">
      <c r="A500" s="29"/>
      <c r="B500" s="201" t="s">
        <v>328</v>
      </c>
      <c r="C500" s="202"/>
      <c r="D500" s="63"/>
      <c r="E500" s="64"/>
      <c r="F500" s="64"/>
      <c r="G500" s="64"/>
      <c r="H500" s="64"/>
      <c r="I500" s="64"/>
      <c r="J500" s="64"/>
      <c r="K500" s="57"/>
      <c r="L500" s="88"/>
      <c r="M500" s="62"/>
      <c r="N500" s="57"/>
      <c r="O500" s="88"/>
      <c r="P500" s="62"/>
      <c r="Q500" s="16"/>
      <c r="R500" s="92"/>
      <c r="S500" s="64"/>
      <c r="T500" s="47"/>
      <c r="U500" s="39"/>
      <c r="V500" s="39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22"/>
      <c r="AT500" s="10"/>
      <c r="AU500" s="11"/>
    </row>
    <row r="501" spans="1:49" s="2" customFormat="1" ht="17.25" customHeight="1" x14ac:dyDescent="0.25">
      <c r="A501" s="29"/>
      <c r="B501" s="261" t="s">
        <v>481</v>
      </c>
      <c r="C501" s="262"/>
      <c r="D501" s="63"/>
      <c r="E501" s="64"/>
      <c r="F501" s="64"/>
      <c r="G501" s="64"/>
      <c r="H501" s="64"/>
      <c r="I501" s="64"/>
      <c r="J501" s="64"/>
      <c r="K501" s="57"/>
      <c r="L501" s="88"/>
      <c r="M501" s="62"/>
      <c r="N501" s="57"/>
      <c r="O501" s="88"/>
      <c r="P501" s="62"/>
      <c r="Q501" s="16"/>
      <c r="R501" s="92"/>
      <c r="S501" s="64"/>
      <c r="T501" s="47"/>
      <c r="U501" s="39"/>
      <c r="V501" s="39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22"/>
      <c r="AT501" s="10"/>
      <c r="AU501" s="11"/>
    </row>
    <row r="502" spans="1:49" s="2" customFormat="1" ht="17.25" customHeight="1" x14ac:dyDescent="0.25">
      <c r="A502" s="29"/>
      <c r="B502" s="201" t="s">
        <v>483</v>
      </c>
      <c r="C502" s="202"/>
      <c r="D502" s="63"/>
      <c r="E502" s="64"/>
      <c r="F502" s="64"/>
      <c r="G502" s="64"/>
      <c r="H502" s="64"/>
      <c r="I502" s="64"/>
      <c r="J502" s="64"/>
      <c r="K502" s="57"/>
      <c r="L502" s="88"/>
      <c r="M502" s="62"/>
      <c r="N502" s="57"/>
      <c r="O502" s="88"/>
      <c r="P502" s="62"/>
      <c r="Q502" s="16"/>
      <c r="R502" s="92"/>
      <c r="S502" s="64"/>
      <c r="T502" s="47"/>
      <c r="U502" s="39"/>
      <c r="V502" s="39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22"/>
      <c r="AT502" s="10"/>
      <c r="AU502" s="11"/>
    </row>
    <row r="503" spans="1:49" s="4" customFormat="1" ht="17.25" customHeight="1" thickBot="1" x14ac:dyDescent="0.3">
      <c r="A503" s="24"/>
      <c r="B503" s="246"/>
      <c r="C503" s="246"/>
      <c r="D503" s="81"/>
      <c r="E503" s="81"/>
      <c r="F503" s="81"/>
      <c r="G503" s="81"/>
      <c r="H503" s="81"/>
      <c r="I503" s="81"/>
      <c r="J503" s="81"/>
      <c r="K503" s="59"/>
      <c r="L503" s="90"/>
      <c r="M503" s="136"/>
      <c r="N503" s="59"/>
      <c r="O503" s="90"/>
      <c r="P503" s="136"/>
      <c r="Q503" s="59"/>
      <c r="R503" s="90"/>
      <c r="S503" s="136"/>
      <c r="T503" s="39"/>
      <c r="U503" s="39"/>
      <c r="V503" s="39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22"/>
      <c r="AR503" s="43"/>
      <c r="AS503" s="12" t="e">
        <f>#REF!</f>
        <v>#REF!</v>
      </c>
      <c r="AW503" s="2"/>
    </row>
    <row r="504" spans="1:49" s="2" customFormat="1" ht="17.25" customHeight="1" x14ac:dyDescent="0.25">
      <c r="A504" s="29"/>
      <c r="B504" s="261" t="s">
        <v>482</v>
      </c>
      <c r="C504" s="262"/>
      <c r="D504" s="63"/>
      <c r="E504" s="64"/>
      <c r="F504" s="64"/>
      <c r="G504" s="64"/>
      <c r="H504" s="64"/>
      <c r="I504" s="64"/>
      <c r="J504" s="64"/>
      <c r="K504" s="57"/>
      <c r="L504" s="88"/>
      <c r="M504" s="62"/>
      <c r="N504" s="57"/>
      <c r="O504" s="88"/>
      <c r="P504" s="62"/>
      <c r="Q504" s="16"/>
      <c r="R504" s="92"/>
      <c r="S504" s="64"/>
      <c r="T504" s="47"/>
      <c r="U504" s="39"/>
      <c r="V504" s="39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22"/>
      <c r="AT504" s="10"/>
      <c r="AU504" s="11"/>
    </row>
    <row r="505" spans="1:49" s="4" customFormat="1" ht="17.25" customHeight="1" x14ac:dyDescent="0.25">
      <c r="A505" s="23"/>
      <c r="B505" s="212" t="s">
        <v>94</v>
      </c>
      <c r="C505" s="212"/>
      <c r="D505" s="66"/>
      <c r="E505" s="66"/>
      <c r="F505" s="117"/>
      <c r="G505" s="117"/>
      <c r="H505" s="66"/>
      <c r="I505" s="66"/>
      <c r="J505" s="66"/>
      <c r="K505" s="58"/>
      <c r="L505" s="89"/>
      <c r="M505" s="73"/>
      <c r="N505" s="58"/>
      <c r="O505" s="89"/>
      <c r="P505" s="73"/>
      <c r="Q505" s="58"/>
      <c r="R505" s="89"/>
      <c r="S505" s="73"/>
      <c r="T505" s="39"/>
      <c r="U505" s="39"/>
      <c r="V505" s="8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35"/>
      <c r="AS505" s="12" t="e">
        <f>#REF!</f>
        <v>#REF!</v>
      </c>
    </row>
    <row r="506" spans="1:49" s="4" customFormat="1" ht="17.25" customHeight="1" x14ac:dyDescent="0.25">
      <c r="A506" s="23"/>
      <c r="B506" s="201" t="s">
        <v>95</v>
      </c>
      <c r="C506" s="203"/>
      <c r="D506" s="64"/>
      <c r="E506" s="64"/>
      <c r="F506" s="117"/>
      <c r="G506" s="117"/>
      <c r="H506" s="64"/>
      <c r="I506" s="64"/>
      <c r="J506" s="64"/>
      <c r="K506" s="57"/>
      <c r="L506" s="88"/>
      <c r="M506" s="62"/>
      <c r="N506" s="57"/>
      <c r="O506" s="88"/>
      <c r="P506" s="62"/>
      <c r="Q506" s="58"/>
      <c r="R506" s="89"/>
      <c r="S506" s="73"/>
      <c r="T506" s="39"/>
      <c r="U506" s="39"/>
      <c r="V506" s="8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35"/>
      <c r="AS506" s="12" t="e">
        <f>#REF!</f>
        <v>#REF!</v>
      </c>
    </row>
    <row r="507" spans="1:49" s="4" customFormat="1" ht="17.25" customHeight="1" x14ac:dyDescent="0.25">
      <c r="A507" s="23"/>
      <c r="B507" s="201" t="s">
        <v>479</v>
      </c>
      <c r="C507" s="203"/>
      <c r="D507" s="64"/>
      <c r="E507" s="64"/>
      <c r="F507" s="117"/>
      <c r="G507" s="117"/>
      <c r="H507" s="64"/>
      <c r="I507" s="64"/>
      <c r="J507" s="64"/>
      <c r="K507" s="57"/>
      <c r="L507" s="88"/>
      <c r="M507" s="62"/>
      <c r="N507" s="57"/>
      <c r="O507" s="88"/>
      <c r="P507" s="62"/>
      <c r="Q507" s="57"/>
      <c r="R507" s="88"/>
      <c r="S507" s="62"/>
      <c r="T507" s="39"/>
      <c r="U507" s="39"/>
      <c r="V507" s="8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35"/>
      <c r="AS507" s="12" t="e">
        <f>#REF!</f>
        <v>#REF!</v>
      </c>
    </row>
    <row r="508" spans="1:49" s="4" customFormat="1" ht="17.25" customHeight="1" x14ac:dyDescent="0.25">
      <c r="A508" s="23"/>
      <c r="B508" s="201" t="s">
        <v>97</v>
      </c>
      <c r="C508" s="203"/>
      <c r="D508" s="64"/>
      <c r="E508" s="64"/>
      <c r="F508" s="64"/>
      <c r="G508" s="64"/>
      <c r="H508" s="64"/>
      <c r="I508" s="64"/>
      <c r="J508" s="64"/>
      <c r="K508" s="57"/>
      <c r="L508" s="88"/>
      <c r="M508" s="62"/>
      <c r="N508" s="57"/>
      <c r="O508" s="88"/>
      <c r="P508" s="62"/>
      <c r="Q508" s="57"/>
      <c r="R508" s="88"/>
      <c r="S508" s="62"/>
      <c r="T508" s="39"/>
      <c r="U508" s="39"/>
      <c r="V508" s="39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22"/>
      <c r="AR508" s="43"/>
      <c r="AS508" s="12" t="e">
        <f>#REF!</f>
        <v>#REF!</v>
      </c>
      <c r="AW508" s="2"/>
    </row>
    <row r="509" spans="1:49" s="4" customFormat="1" ht="17.25" customHeight="1" x14ac:dyDescent="0.25">
      <c r="A509" s="23"/>
      <c r="B509" s="201" t="s">
        <v>100</v>
      </c>
      <c r="C509" s="202"/>
      <c r="D509" s="64"/>
      <c r="E509" s="64"/>
      <c r="F509" s="64"/>
      <c r="G509" s="64"/>
      <c r="H509" s="64"/>
      <c r="I509" s="64"/>
      <c r="J509" s="64"/>
      <c r="K509" s="57"/>
      <c r="L509" s="88"/>
      <c r="M509" s="62"/>
      <c r="N509" s="57"/>
      <c r="O509" s="88"/>
      <c r="P509" s="62"/>
      <c r="Q509" s="57"/>
      <c r="R509" s="88"/>
      <c r="S509" s="62"/>
      <c r="T509" s="39"/>
      <c r="U509" s="39"/>
      <c r="V509" s="39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22"/>
      <c r="AR509" s="43"/>
      <c r="AS509" s="12" t="e">
        <f>#REF!</f>
        <v>#REF!</v>
      </c>
      <c r="AW509" s="2"/>
    </row>
    <row r="510" spans="1:49" s="2" customFormat="1" ht="17.25" customHeight="1" x14ac:dyDescent="0.2">
      <c r="A510" s="24"/>
      <c r="B510" s="201"/>
      <c r="C510" s="204"/>
      <c r="D510" s="63"/>
      <c r="E510" s="64"/>
      <c r="F510" s="64"/>
      <c r="G510" s="64"/>
      <c r="H510" s="64"/>
      <c r="I510" s="64"/>
      <c r="J510" s="64"/>
      <c r="K510" s="16"/>
      <c r="L510" s="16"/>
      <c r="M510" s="64"/>
      <c r="N510" s="16"/>
      <c r="O510" s="16"/>
      <c r="P510" s="64"/>
      <c r="Q510" s="16"/>
      <c r="R510" s="16"/>
      <c r="S510" s="64"/>
      <c r="T510" s="46"/>
      <c r="U510" s="46"/>
      <c r="V510" s="39"/>
      <c r="W510" s="16"/>
      <c r="X510" s="16"/>
      <c r="Y510" s="16"/>
      <c r="Z510" s="16"/>
      <c r="AA510" s="16"/>
      <c r="AB510" s="19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43"/>
      <c r="AT510" s="10"/>
      <c r="AU510" s="11"/>
    </row>
    <row r="511" spans="1:49" s="2" customFormat="1" ht="17.25" customHeight="1" thickBot="1" x14ac:dyDescent="0.3">
      <c r="A511" s="56"/>
      <c r="B511" s="101" t="s">
        <v>102</v>
      </c>
      <c r="C511" s="102">
        <f>D512+E512+F512+G512+H512+I512+J512+M512+P512</f>
        <v>117279.92954000011</v>
      </c>
      <c r="D511" s="84"/>
      <c r="E511" s="85"/>
      <c r="F511" s="85"/>
      <c r="G511" s="85"/>
      <c r="H511" s="85"/>
      <c r="I511" s="85"/>
      <c r="J511" s="85"/>
      <c r="K511" s="28"/>
      <c r="L511" s="28"/>
      <c r="M511" s="85"/>
      <c r="N511" s="28"/>
      <c r="O511" s="28"/>
      <c r="P511" s="85"/>
      <c r="Q511" s="28"/>
      <c r="R511" s="28"/>
      <c r="S511" s="85"/>
      <c r="T511" s="48"/>
      <c r="U511" s="48"/>
      <c r="V511" s="51"/>
      <c r="W511" s="28"/>
      <c r="X511" s="28"/>
      <c r="Y511" s="28"/>
      <c r="Z511" s="28"/>
      <c r="AA511" s="28"/>
      <c r="AB511" s="36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42">
        <f>SUM($T495:AQ511)</f>
        <v>-487087.82890000002</v>
      </c>
      <c r="AT511" s="10"/>
      <c r="AU511" s="11"/>
      <c r="AV511" s="2" t="s">
        <v>5</v>
      </c>
    </row>
    <row r="512" spans="1:49" s="2" customFormat="1" ht="17.25" customHeight="1" thickTop="1" thickBot="1" x14ac:dyDescent="0.3">
      <c r="A512" s="103"/>
      <c r="B512" s="104" t="s">
        <v>103</v>
      </c>
      <c r="C512" s="105">
        <f>AR512</f>
        <v>-368502.60935999989</v>
      </c>
      <c r="D512" s="106">
        <f t="shared" ref="D512:K512" si="58">SUM(D495:D511)</f>
        <v>12717.607040000057</v>
      </c>
      <c r="E512" s="107">
        <f t="shared" si="58"/>
        <v>-43287.790000000008</v>
      </c>
      <c r="F512" s="107">
        <f t="shared" si="58"/>
        <v>0.65000000000145519</v>
      </c>
      <c r="G512" s="107">
        <f t="shared" si="58"/>
        <v>0</v>
      </c>
      <c r="H512" s="107">
        <f t="shared" si="58"/>
        <v>65082.292500000054</v>
      </c>
      <c r="I512" s="107">
        <f t="shared" si="58"/>
        <v>10004.65</v>
      </c>
      <c r="J512" s="107">
        <f t="shared" si="58"/>
        <v>0</v>
      </c>
      <c r="K512" s="108">
        <f t="shared" si="58"/>
        <v>12170</v>
      </c>
      <c r="L512" s="109">
        <f>M512/K512</f>
        <v>5.1465924404272805</v>
      </c>
      <c r="M512" s="107">
        <f>ROUND(SUM(M495:M511),2)</f>
        <v>62634.03</v>
      </c>
      <c r="N512" s="108">
        <f>SUM(N495:N511)</f>
        <v>2783</v>
      </c>
      <c r="O512" s="109">
        <f>P512/N512</f>
        <v>3.6394143011139057</v>
      </c>
      <c r="P512" s="107">
        <f>ROUND(SUM(P495:P511),2)</f>
        <v>10128.49</v>
      </c>
      <c r="Q512" s="108">
        <f>SUM(Q495:Q511)</f>
        <v>214</v>
      </c>
      <c r="R512" s="109">
        <f>S512/Q512</f>
        <v>6.099485981308411</v>
      </c>
      <c r="S512" s="107">
        <f>ROUND(SUM(S495:S511),2)</f>
        <v>1305.29</v>
      </c>
      <c r="T512" s="110">
        <f t="shared" ref="T512:AQ512" si="59">SUM(T495:T511)</f>
        <v>-537317.12890000001</v>
      </c>
      <c r="U512" s="107">
        <f t="shared" si="59"/>
        <v>50229.299999999996</v>
      </c>
      <c r="V512" s="107">
        <f t="shared" si="59"/>
        <v>0</v>
      </c>
      <c r="W512" s="107">
        <f t="shared" si="59"/>
        <v>0</v>
      </c>
      <c r="X512" s="107">
        <f t="shared" si="59"/>
        <v>0</v>
      </c>
      <c r="Y512" s="107">
        <f t="shared" si="59"/>
        <v>0</v>
      </c>
      <c r="Z512" s="107">
        <f t="shared" si="59"/>
        <v>0</v>
      </c>
      <c r="AA512" s="107">
        <f t="shared" si="59"/>
        <v>0</v>
      </c>
      <c r="AB512" s="107">
        <f t="shared" si="59"/>
        <v>0</v>
      </c>
      <c r="AC512" s="107">
        <f t="shared" si="59"/>
        <v>0</v>
      </c>
      <c r="AD512" s="107">
        <f t="shared" si="59"/>
        <v>0</v>
      </c>
      <c r="AE512" s="107">
        <f t="shared" si="59"/>
        <v>0</v>
      </c>
      <c r="AF512" s="107">
        <f t="shared" si="59"/>
        <v>0</v>
      </c>
      <c r="AG512" s="107">
        <f t="shared" si="59"/>
        <v>0</v>
      </c>
      <c r="AH512" s="107">
        <f t="shared" si="59"/>
        <v>0</v>
      </c>
      <c r="AI512" s="107">
        <f t="shared" si="59"/>
        <v>0</v>
      </c>
      <c r="AJ512" s="107">
        <f t="shared" si="59"/>
        <v>0</v>
      </c>
      <c r="AK512" s="107">
        <f t="shared" si="59"/>
        <v>0</v>
      </c>
      <c r="AL512" s="107">
        <f t="shared" si="59"/>
        <v>0</v>
      </c>
      <c r="AM512" s="107">
        <f t="shared" si="59"/>
        <v>0</v>
      </c>
      <c r="AN512" s="107">
        <f t="shared" si="59"/>
        <v>0</v>
      </c>
      <c r="AO512" s="107">
        <f t="shared" si="59"/>
        <v>0</v>
      </c>
      <c r="AP512" s="107">
        <f t="shared" si="59"/>
        <v>0</v>
      </c>
      <c r="AQ512" s="107">
        <f t="shared" si="59"/>
        <v>0</v>
      </c>
      <c r="AR512" s="111">
        <f>D512+E512+F512+G512+H512+I512+J512+M512+P512+S512+SUM(T512:AQ512)</f>
        <v>-368502.60935999989</v>
      </c>
      <c r="AS512" s="4"/>
      <c r="AT512" s="5"/>
      <c r="AU512" s="5"/>
      <c r="AV512" s="2" t="s">
        <v>484</v>
      </c>
    </row>
    <row r="513" spans="1:49" s="2" customFormat="1" ht="17.25" customHeight="1" thickTop="1" x14ac:dyDescent="0.25">
      <c r="A513" s="29">
        <f>A496+1</f>
        <v>46387</v>
      </c>
      <c r="B513" s="261" t="s">
        <v>480</v>
      </c>
      <c r="C513" s="262"/>
      <c r="D513" s="63"/>
      <c r="E513" s="64"/>
      <c r="F513" s="64"/>
      <c r="G513" s="64"/>
      <c r="H513" s="64"/>
      <c r="I513" s="64"/>
      <c r="J513" s="64"/>
      <c r="K513" s="57"/>
      <c r="L513" s="88"/>
      <c r="M513" s="62"/>
      <c r="N513" s="57"/>
      <c r="O513" s="88"/>
      <c r="P513" s="62"/>
      <c r="Q513" s="16"/>
      <c r="R513" s="92"/>
      <c r="S513" s="64"/>
      <c r="T513" s="47"/>
      <c r="U513" s="39"/>
      <c r="V513" s="39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22"/>
      <c r="AT513" s="10"/>
      <c r="AU513" s="11"/>
    </row>
    <row r="514" spans="1:49" s="2" customFormat="1" ht="17.25" customHeight="1" x14ac:dyDescent="0.25">
      <c r="A514" s="29"/>
      <c r="B514" s="201" t="s">
        <v>64</v>
      </c>
      <c r="C514" s="202"/>
      <c r="D514" s="65"/>
      <c r="E514" s="64"/>
      <c r="F514" s="64"/>
      <c r="G514" s="64"/>
      <c r="H514" s="64"/>
      <c r="I514" s="64"/>
      <c r="J514" s="64"/>
      <c r="K514" s="57"/>
      <c r="L514" s="88"/>
      <c r="M514" s="62"/>
      <c r="N514" s="57"/>
      <c r="O514" s="88"/>
      <c r="P514" s="62"/>
      <c r="Q514" s="57"/>
      <c r="R514" s="88"/>
      <c r="S514" s="62"/>
      <c r="T514" s="47"/>
      <c r="U514" s="39"/>
      <c r="V514" s="39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22"/>
      <c r="AT514" s="10" t="s">
        <v>4</v>
      </c>
      <c r="AU514" s="11" t="e">
        <v>#REF!</v>
      </c>
    </row>
    <row r="515" spans="1:49" s="2" customFormat="1" ht="17.25" customHeight="1" x14ac:dyDescent="0.25">
      <c r="A515" s="29"/>
      <c r="B515" s="201" t="s">
        <v>96</v>
      </c>
      <c r="C515" s="202"/>
      <c r="D515" s="65"/>
      <c r="E515" s="64"/>
      <c r="F515" s="64"/>
      <c r="G515" s="64"/>
      <c r="H515" s="64"/>
      <c r="I515" s="64"/>
      <c r="J515" s="64"/>
      <c r="K515" s="57"/>
      <c r="L515" s="88"/>
      <c r="M515" s="62"/>
      <c r="N515" s="57"/>
      <c r="O515" s="88"/>
      <c r="P515" s="62"/>
      <c r="Q515" s="57"/>
      <c r="R515" s="88"/>
      <c r="S515" s="62"/>
      <c r="T515" s="47"/>
      <c r="U515" s="39"/>
      <c r="V515" s="39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22"/>
      <c r="AT515" s="10" t="s">
        <v>4</v>
      </c>
      <c r="AU515" s="11" t="e">
        <v>#REF!</v>
      </c>
    </row>
    <row r="516" spans="1:49" s="2" customFormat="1" ht="17.25" customHeight="1" x14ac:dyDescent="0.25">
      <c r="A516" s="29"/>
      <c r="B516" s="201" t="s">
        <v>327</v>
      </c>
      <c r="C516" s="202"/>
      <c r="D516" s="65"/>
      <c r="E516" s="64"/>
      <c r="F516" s="64"/>
      <c r="G516" s="64"/>
      <c r="H516" s="64"/>
      <c r="I516" s="64"/>
      <c r="J516" s="64"/>
      <c r="K516" s="57"/>
      <c r="L516" s="88"/>
      <c r="M516" s="62"/>
      <c r="N516" s="57"/>
      <c r="O516" s="88"/>
      <c r="P516" s="62"/>
      <c r="Q516" s="57"/>
      <c r="R516" s="88"/>
      <c r="S516" s="62"/>
      <c r="T516" s="47"/>
      <c r="U516" s="39"/>
      <c r="V516" s="39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22"/>
      <c r="AT516" s="10"/>
      <c r="AU516" s="11"/>
    </row>
    <row r="517" spans="1:49" s="2" customFormat="1" ht="17.25" customHeight="1" x14ac:dyDescent="0.25">
      <c r="A517" s="29"/>
      <c r="B517" s="201" t="s">
        <v>328</v>
      </c>
      <c r="C517" s="202"/>
      <c r="D517" s="63"/>
      <c r="E517" s="64"/>
      <c r="F517" s="64"/>
      <c r="G517" s="64"/>
      <c r="H517" s="64"/>
      <c r="I517" s="64"/>
      <c r="J517" s="64"/>
      <c r="K517" s="57"/>
      <c r="L517" s="88"/>
      <c r="M517" s="62"/>
      <c r="N517" s="57"/>
      <c r="O517" s="88"/>
      <c r="P517" s="62"/>
      <c r="Q517" s="16"/>
      <c r="R517" s="92"/>
      <c r="S517" s="64"/>
      <c r="T517" s="47"/>
      <c r="U517" s="39"/>
      <c r="V517" s="39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22"/>
      <c r="AT517" s="10"/>
      <c r="AU517" s="11"/>
    </row>
    <row r="518" spans="1:49" s="2" customFormat="1" ht="17.25" customHeight="1" x14ac:dyDescent="0.25">
      <c r="A518" s="29"/>
      <c r="B518" s="261" t="s">
        <v>481</v>
      </c>
      <c r="C518" s="262"/>
      <c r="D518" s="63"/>
      <c r="E518" s="64"/>
      <c r="F518" s="64"/>
      <c r="G518" s="64"/>
      <c r="H518" s="64"/>
      <c r="I518" s="64"/>
      <c r="J518" s="64"/>
      <c r="K518" s="57"/>
      <c r="L518" s="88"/>
      <c r="M518" s="62"/>
      <c r="N518" s="57"/>
      <c r="O518" s="88"/>
      <c r="P518" s="62"/>
      <c r="Q518" s="16"/>
      <c r="R518" s="92"/>
      <c r="S518" s="64"/>
      <c r="T518" s="47"/>
      <c r="U518" s="39"/>
      <c r="V518" s="39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22"/>
      <c r="AT518" s="10"/>
      <c r="AU518" s="11"/>
    </row>
    <row r="519" spans="1:49" s="2" customFormat="1" ht="17.25" customHeight="1" x14ac:dyDescent="0.25">
      <c r="A519" s="29"/>
      <c r="B519" s="201" t="s">
        <v>483</v>
      </c>
      <c r="C519" s="202"/>
      <c r="D519" s="63"/>
      <c r="E519" s="64"/>
      <c r="F519" s="64"/>
      <c r="G519" s="64"/>
      <c r="H519" s="64"/>
      <c r="I519" s="64"/>
      <c r="J519" s="64"/>
      <c r="K519" s="57"/>
      <c r="L519" s="88"/>
      <c r="M519" s="62"/>
      <c r="N519" s="57"/>
      <c r="O519" s="88"/>
      <c r="P519" s="62"/>
      <c r="Q519" s="16"/>
      <c r="R519" s="92"/>
      <c r="S519" s="64"/>
      <c r="T519" s="47"/>
      <c r="U519" s="39"/>
      <c r="V519" s="39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22"/>
      <c r="AT519" s="10"/>
      <c r="AU519" s="11"/>
    </row>
    <row r="520" spans="1:49" s="4" customFormat="1" ht="17.25" customHeight="1" thickBot="1" x14ac:dyDescent="0.3">
      <c r="A520" s="24"/>
      <c r="B520" s="246"/>
      <c r="C520" s="246"/>
      <c r="D520" s="81"/>
      <c r="E520" s="81"/>
      <c r="F520" s="81"/>
      <c r="G520" s="81"/>
      <c r="H520" s="81"/>
      <c r="I520" s="81"/>
      <c r="J520" s="81"/>
      <c r="K520" s="59"/>
      <c r="L520" s="90"/>
      <c r="M520" s="136"/>
      <c r="N520" s="59"/>
      <c r="O520" s="90"/>
      <c r="P520" s="136"/>
      <c r="Q520" s="59"/>
      <c r="R520" s="90"/>
      <c r="S520" s="136"/>
      <c r="T520" s="39"/>
      <c r="U520" s="39"/>
      <c r="V520" s="39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22"/>
      <c r="AR520" s="43"/>
      <c r="AS520" s="12" t="e">
        <f>#REF!</f>
        <v>#REF!</v>
      </c>
      <c r="AW520" s="2"/>
    </row>
    <row r="521" spans="1:49" s="2" customFormat="1" ht="17.25" customHeight="1" x14ac:dyDescent="0.25">
      <c r="A521" s="29"/>
      <c r="B521" s="261" t="s">
        <v>482</v>
      </c>
      <c r="C521" s="262"/>
      <c r="D521" s="63"/>
      <c r="E521" s="64"/>
      <c r="F521" s="64"/>
      <c r="G521" s="64"/>
      <c r="H521" s="64"/>
      <c r="I521" s="64"/>
      <c r="J521" s="64"/>
      <c r="K521" s="57"/>
      <c r="L521" s="88"/>
      <c r="M521" s="62"/>
      <c r="N521" s="57"/>
      <c r="O521" s="88"/>
      <c r="P521" s="62"/>
      <c r="Q521" s="16"/>
      <c r="R521" s="92"/>
      <c r="S521" s="64"/>
      <c r="T521" s="47"/>
      <c r="U521" s="39"/>
      <c r="V521" s="39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22"/>
      <c r="AT521" s="10"/>
      <c r="AU521" s="11"/>
    </row>
    <row r="522" spans="1:49" s="4" customFormat="1" ht="17.25" customHeight="1" x14ac:dyDescent="0.25">
      <c r="A522" s="23"/>
      <c r="B522" s="212" t="s">
        <v>94</v>
      </c>
      <c r="C522" s="212"/>
      <c r="D522" s="66"/>
      <c r="E522" s="66"/>
      <c r="F522" s="117"/>
      <c r="G522" s="117"/>
      <c r="H522" s="66"/>
      <c r="I522" s="66"/>
      <c r="J522" s="66"/>
      <c r="K522" s="58"/>
      <c r="L522" s="89"/>
      <c r="M522" s="73"/>
      <c r="N522" s="58"/>
      <c r="O522" s="89"/>
      <c r="P522" s="73"/>
      <c r="Q522" s="58"/>
      <c r="R522" s="89"/>
      <c r="S522" s="73"/>
      <c r="T522" s="39"/>
      <c r="U522" s="39"/>
      <c r="V522" s="8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35"/>
      <c r="AS522" s="12" t="e">
        <f>#REF!</f>
        <v>#REF!</v>
      </c>
    </row>
    <row r="523" spans="1:49" s="4" customFormat="1" ht="17.25" customHeight="1" x14ac:dyDescent="0.25">
      <c r="A523" s="23"/>
      <c r="B523" s="201" t="s">
        <v>95</v>
      </c>
      <c r="C523" s="203"/>
      <c r="D523" s="64"/>
      <c r="E523" s="64"/>
      <c r="F523" s="117"/>
      <c r="G523" s="117"/>
      <c r="H523" s="64"/>
      <c r="I523" s="64"/>
      <c r="J523" s="64"/>
      <c r="K523" s="57"/>
      <c r="L523" s="88"/>
      <c r="M523" s="62"/>
      <c r="N523" s="57"/>
      <c r="O523" s="88"/>
      <c r="P523" s="62"/>
      <c r="Q523" s="58"/>
      <c r="R523" s="89"/>
      <c r="S523" s="73"/>
      <c r="T523" s="39"/>
      <c r="U523" s="39"/>
      <c r="V523" s="8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35"/>
      <c r="AS523" s="12" t="e">
        <f>#REF!</f>
        <v>#REF!</v>
      </c>
    </row>
    <row r="524" spans="1:49" s="4" customFormat="1" ht="17.25" customHeight="1" x14ac:dyDescent="0.25">
      <c r="A524" s="23"/>
      <c r="B524" s="201" t="s">
        <v>479</v>
      </c>
      <c r="C524" s="203"/>
      <c r="D524" s="64"/>
      <c r="E524" s="64"/>
      <c r="F524" s="117"/>
      <c r="G524" s="117"/>
      <c r="H524" s="64"/>
      <c r="I524" s="64"/>
      <c r="J524" s="64"/>
      <c r="K524" s="57"/>
      <c r="L524" s="88"/>
      <c r="M524" s="62"/>
      <c r="N524" s="57"/>
      <c r="O524" s="88"/>
      <c r="P524" s="62"/>
      <c r="Q524" s="57"/>
      <c r="R524" s="88"/>
      <c r="S524" s="62"/>
      <c r="T524" s="39"/>
      <c r="U524" s="39"/>
      <c r="V524" s="8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35"/>
      <c r="AS524" s="12" t="e">
        <f>#REF!</f>
        <v>#REF!</v>
      </c>
    </row>
    <row r="525" spans="1:49" s="4" customFormat="1" ht="17.25" customHeight="1" x14ac:dyDescent="0.25">
      <c r="A525" s="23"/>
      <c r="B525" s="201" t="s">
        <v>97</v>
      </c>
      <c r="C525" s="203"/>
      <c r="D525" s="64"/>
      <c r="E525" s="64"/>
      <c r="F525" s="64"/>
      <c r="G525" s="64"/>
      <c r="H525" s="64"/>
      <c r="I525" s="64"/>
      <c r="J525" s="64"/>
      <c r="K525" s="57"/>
      <c r="L525" s="88"/>
      <c r="M525" s="62"/>
      <c r="N525" s="57"/>
      <c r="O525" s="88"/>
      <c r="P525" s="62"/>
      <c r="Q525" s="57"/>
      <c r="R525" s="88"/>
      <c r="S525" s="62"/>
      <c r="T525" s="39"/>
      <c r="U525" s="39"/>
      <c r="V525" s="39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22"/>
      <c r="AR525" s="43"/>
      <c r="AS525" s="12" t="e">
        <f>#REF!</f>
        <v>#REF!</v>
      </c>
      <c r="AW525" s="2"/>
    </row>
    <row r="526" spans="1:49" s="4" customFormat="1" ht="17.25" customHeight="1" x14ac:dyDescent="0.25">
      <c r="A526" s="23"/>
      <c r="B526" s="201" t="s">
        <v>100</v>
      </c>
      <c r="C526" s="202"/>
      <c r="D526" s="64"/>
      <c r="E526" s="64"/>
      <c r="F526" s="64"/>
      <c r="G526" s="64"/>
      <c r="H526" s="64"/>
      <c r="I526" s="64"/>
      <c r="J526" s="64"/>
      <c r="K526" s="57"/>
      <c r="L526" s="88"/>
      <c r="M526" s="62"/>
      <c r="N526" s="57"/>
      <c r="O526" s="88"/>
      <c r="P526" s="62"/>
      <c r="Q526" s="57"/>
      <c r="R526" s="88"/>
      <c r="S526" s="62"/>
      <c r="T526" s="39"/>
      <c r="U526" s="39"/>
      <c r="V526" s="39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22"/>
      <c r="AR526" s="43"/>
      <c r="AS526" s="12" t="e">
        <f>#REF!</f>
        <v>#REF!</v>
      </c>
      <c r="AW526" s="2"/>
    </row>
    <row r="527" spans="1:49" s="2" customFormat="1" ht="17.25" customHeight="1" x14ac:dyDescent="0.2">
      <c r="A527" s="24"/>
      <c r="B527" s="201"/>
      <c r="C527" s="204"/>
      <c r="D527" s="63"/>
      <c r="E527" s="64"/>
      <c r="F527" s="64"/>
      <c r="G527" s="64"/>
      <c r="H527" s="64"/>
      <c r="I527" s="64"/>
      <c r="J527" s="64"/>
      <c r="K527" s="16"/>
      <c r="L527" s="16"/>
      <c r="M527" s="64"/>
      <c r="N527" s="16"/>
      <c r="O527" s="16"/>
      <c r="P527" s="64"/>
      <c r="Q527" s="16"/>
      <c r="R527" s="16"/>
      <c r="S527" s="64"/>
      <c r="T527" s="46"/>
      <c r="U527" s="46"/>
      <c r="V527" s="39"/>
      <c r="W527" s="16"/>
      <c r="X527" s="16"/>
      <c r="Y527" s="16"/>
      <c r="Z527" s="16"/>
      <c r="AA527" s="16"/>
      <c r="AB527" s="19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43"/>
      <c r="AT527" s="10"/>
      <c r="AU527" s="11"/>
    </row>
    <row r="528" spans="1:49" s="2" customFormat="1" ht="17.25" customHeight="1" thickBot="1" x14ac:dyDescent="0.3">
      <c r="A528" s="56"/>
      <c r="B528" s="101" t="s">
        <v>102</v>
      </c>
      <c r="C528" s="102">
        <f>D529+E529+F529+G529+H529+I529+J529+M529+P529</f>
        <v>117279.92954000011</v>
      </c>
      <c r="D528" s="84"/>
      <c r="E528" s="85"/>
      <c r="F528" s="85"/>
      <c r="G528" s="85"/>
      <c r="H528" s="85"/>
      <c r="I528" s="85"/>
      <c r="J528" s="85"/>
      <c r="K528" s="28"/>
      <c r="L528" s="28"/>
      <c r="M528" s="85"/>
      <c r="N528" s="28"/>
      <c r="O528" s="28"/>
      <c r="P528" s="85"/>
      <c r="Q528" s="28"/>
      <c r="R528" s="28"/>
      <c r="S528" s="85"/>
      <c r="T528" s="48"/>
      <c r="U528" s="48"/>
      <c r="V528" s="51"/>
      <c r="W528" s="28"/>
      <c r="X528" s="28"/>
      <c r="Y528" s="28"/>
      <c r="Z528" s="28"/>
      <c r="AA528" s="28"/>
      <c r="AB528" s="36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42">
        <f>SUM($T512:AQ528)</f>
        <v>-487087.82890000002</v>
      </c>
      <c r="AT528" s="10"/>
      <c r="AU528" s="11"/>
      <c r="AV528" s="2" t="s">
        <v>5</v>
      </c>
    </row>
    <row r="529" spans="1:49" s="2" customFormat="1" ht="17.25" customHeight="1" thickTop="1" thickBot="1" x14ac:dyDescent="0.3">
      <c r="A529" s="103"/>
      <c r="B529" s="104" t="s">
        <v>103</v>
      </c>
      <c r="C529" s="105">
        <f>AR529</f>
        <v>-368502.60935999989</v>
      </c>
      <c r="D529" s="106">
        <f t="shared" ref="D529:K529" si="60">SUM(D512:D528)</f>
        <v>12717.607040000057</v>
      </c>
      <c r="E529" s="106">
        <f t="shared" si="60"/>
        <v>-43287.790000000008</v>
      </c>
      <c r="F529" s="106">
        <f t="shared" si="60"/>
        <v>0.65000000000145519</v>
      </c>
      <c r="G529" s="106">
        <f t="shared" si="60"/>
        <v>0</v>
      </c>
      <c r="H529" s="106">
        <f t="shared" si="60"/>
        <v>65082.292500000054</v>
      </c>
      <c r="I529" s="106">
        <f t="shared" si="60"/>
        <v>10004.65</v>
      </c>
      <c r="J529" s="106">
        <f t="shared" si="60"/>
        <v>0</v>
      </c>
      <c r="K529" s="108">
        <f t="shared" si="60"/>
        <v>12170</v>
      </c>
      <c r="L529" s="109">
        <f>M529/K529</f>
        <v>5.1465924404272805</v>
      </c>
      <c r="M529" s="107">
        <f>ROUND(SUM(M512:M528),2)</f>
        <v>62634.03</v>
      </c>
      <c r="N529" s="108">
        <f>SUM(N512:N528)</f>
        <v>2783</v>
      </c>
      <c r="O529" s="109">
        <f>P529/N529</f>
        <v>3.6394143011139057</v>
      </c>
      <c r="P529" s="107">
        <f>ROUND(SUM(P512:P528),2)</f>
        <v>10128.49</v>
      </c>
      <c r="Q529" s="108">
        <f>SUM(Q512:Q528)</f>
        <v>214</v>
      </c>
      <c r="R529" s="109">
        <f>S529/Q529</f>
        <v>6.099485981308411</v>
      </c>
      <c r="S529" s="107">
        <f>ROUND(SUM(S512:S528),2)</f>
        <v>1305.29</v>
      </c>
      <c r="T529" s="110">
        <f t="shared" ref="T529:Y529" si="61">SUM(T512:T528)</f>
        <v>-537317.12890000001</v>
      </c>
      <c r="U529" s="110">
        <f t="shared" si="61"/>
        <v>50229.299999999996</v>
      </c>
      <c r="V529" s="110">
        <f t="shared" si="61"/>
        <v>0</v>
      </c>
      <c r="W529" s="110">
        <f t="shared" si="61"/>
        <v>0</v>
      </c>
      <c r="X529" s="110">
        <f t="shared" si="61"/>
        <v>0</v>
      </c>
      <c r="Y529" s="110">
        <f t="shared" si="61"/>
        <v>0</v>
      </c>
      <c r="Z529" s="107">
        <f t="shared" ref="Z529:AQ529" si="62">SUM(Z427:Z528)</f>
        <v>0</v>
      </c>
      <c r="AA529" s="107">
        <f t="shared" si="62"/>
        <v>0</v>
      </c>
      <c r="AB529" s="107">
        <f t="shared" si="62"/>
        <v>0</v>
      </c>
      <c r="AC529" s="107">
        <f t="shared" si="62"/>
        <v>0</v>
      </c>
      <c r="AD529" s="107">
        <f t="shared" si="62"/>
        <v>0</v>
      </c>
      <c r="AE529" s="107">
        <f t="shared" si="62"/>
        <v>0</v>
      </c>
      <c r="AF529" s="107">
        <f t="shared" si="62"/>
        <v>0</v>
      </c>
      <c r="AG529" s="107">
        <f t="shared" si="62"/>
        <v>0</v>
      </c>
      <c r="AH529" s="107">
        <f t="shared" si="62"/>
        <v>0</v>
      </c>
      <c r="AI529" s="107">
        <f t="shared" si="62"/>
        <v>0</v>
      </c>
      <c r="AJ529" s="107">
        <f t="shared" si="62"/>
        <v>0</v>
      </c>
      <c r="AK529" s="107">
        <f t="shared" si="62"/>
        <v>0</v>
      </c>
      <c r="AL529" s="107">
        <f t="shared" si="62"/>
        <v>0</v>
      </c>
      <c r="AM529" s="107">
        <f t="shared" si="62"/>
        <v>0</v>
      </c>
      <c r="AN529" s="107">
        <f t="shared" si="62"/>
        <v>0</v>
      </c>
      <c r="AO529" s="107">
        <f t="shared" si="62"/>
        <v>0</v>
      </c>
      <c r="AP529" s="107">
        <f t="shared" si="62"/>
        <v>0</v>
      </c>
      <c r="AQ529" s="107">
        <f t="shared" si="62"/>
        <v>0</v>
      </c>
      <c r="AR529" s="111">
        <f>D529+E529+F529+G529+H529+I529+J529+M529+P529+S529+SUM(T529:AQ529)</f>
        <v>-368502.60935999989</v>
      </c>
      <c r="AS529" s="4"/>
      <c r="AT529" s="5"/>
      <c r="AU529" s="5"/>
      <c r="AV529" s="2" t="s">
        <v>484</v>
      </c>
    </row>
    <row r="530" spans="1:49" ht="17.25" customHeight="1" thickTop="1" x14ac:dyDescent="0.25">
      <c r="A530" s="127"/>
      <c r="B530" s="125"/>
      <c r="C530" s="125"/>
      <c r="D530" s="128"/>
      <c r="E530" s="128"/>
      <c r="F530" s="128"/>
      <c r="G530" s="128"/>
      <c r="H530" s="128"/>
      <c r="I530" s="128"/>
      <c r="J530" s="128"/>
    </row>
    <row r="531" spans="1:49" ht="17.25" customHeight="1" x14ac:dyDescent="0.25">
      <c r="A531" s="127"/>
      <c r="B531" s="131" t="s">
        <v>150</v>
      </c>
      <c r="C531" s="126" t="e">
        <f>N537</f>
        <v>#REF!</v>
      </c>
      <c r="D531" s="128"/>
      <c r="E531" s="218" t="s">
        <v>243</v>
      </c>
      <c r="F531" s="218"/>
      <c r="G531" s="218"/>
      <c r="H531" s="213" t="e">
        <f>#REF!</f>
        <v>#REF!</v>
      </c>
      <c r="I531" s="213"/>
      <c r="J531" s="129"/>
      <c r="K531" s="219" t="s">
        <v>87</v>
      </c>
      <c r="L531" s="220"/>
      <c r="M531" s="221"/>
      <c r="N531" s="223" t="s">
        <v>88</v>
      </c>
      <c r="O531" s="224"/>
      <c r="P531" s="225"/>
      <c r="Q531" s="223" t="s">
        <v>478</v>
      </c>
      <c r="R531" s="224"/>
      <c r="S531" s="225"/>
      <c r="U531" s="121"/>
    </row>
    <row r="532" spans="1:49" ht="17.25" customHeight="1" x14ac:dyDescent="0.25">
      <c r="A532" s="127"/>
      <c r="B532" s="131" t="s">
        <v>151</v>
      </c>
      <c r="C532" s="126" t="e">
        <f>I5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532" s="128"/>
      <c r="E532" s="218" t="s">
        <v>158</v>
      </c>
      <c r="F532" s="218"/>
      <c r="G532" s="218"/>
      <c r="H532" s="213" t="e">
        <f>#REF!+#REF!</f>
        <v>#REF!</v>
      </c>
      <c r="I532" s="213"/>
      <c r="J532" s="129"/>
      <c r="K532" s="226" t="s">
        <v>143</v>
      </c>
      <c r="L532" s="227"/>
      <c r="M532" s="57" t="e">
        <f>(K12+K29+#REF!+#REF!+K85+#REF!+#REF!+#REF!+#REF!+#REF!+K187+#REF!+#REF!+#REF!+#REF!+#REF!+#REF!+#REF!+#REF!+#REF!+#REF!+#REF!+#REF!+#REF!+#REF!+#REF!+#REF!+#REF!+#REF!+#REF!+#REF!)*-1</f>
        <v>#REF!</v>
      </c>
      <c r="N532" s="226" t="s">
        <v>143</v>
      </c>
      <c r="O532" s="227"/>
      <c r="P532" s="57" t="e">
        <f>(N13+N30+#REF!+#REF!+#REF!+#REF!+#REF!+#REF!+#REF!+#REF!+#REF!+#REF!+#REF!+#REF!+#REF!+#REF!+#REF!+#REF!+#REF!+#REF!+#REF!+#REF!+#REF!+#REF!+N425+#REF!+#REF!+#REF!+#REF!+#REF!+#REF!)*-1</f>
        <v>#REF!</v>
      </c>
      <c r="Q532" s="226" t="s">
        <v>143</v>
      </c>
      <c r="R532" s="227"/>
      <c r="S532" s="57" t="e">
        <f>(Q13+Q31+#REF!+#REF!+#REF!+#REF!+#REF!+#REF!+#REF!+#REF!+#REF!+#REF!+#REF!+#REF!+#REF!+#REF!+#REF!+#REF!+#REF!+#REF!+#REF!+#REF!+#REF!+#REF!+#REF!+#REF!+#REF!+#REF!+#REF!+#REF!)*-1</f>
        <v>#REF!</v>
      </c>
      <c r="U532" s="121" t="e">
        <f>I15+I32+#REF!+I68+#REF!+#REF!+#REF!+#REF!+#REF!+#REF!+#REF!+I221+I238+#REF!+#REF!+#REF!+#REF!+#REF!+#REF!+#REF!+#REF!+I391+I408+#REF!+#REF!+#REF!+#REF!+I493+#REF!+#REF!+I204</f>
        <v>#REF!</v>
      </c>
    </row>
    <row r="533" spans="1:49" ht="17.25" customHeight="1" x14ac:dyDescent="0.25">
      <c r="A533" s="127"/>
      <c r="B533" s="131" t="s">
        <v>160</v>
      </c>
      <c r="C533" s="126" t="e">
        <f>#REF!+#REF!+#REF!+#REF!+#REF!+E170+#REF!+#REF!+#REF!+#REF!+#REF!+#REF!+E306+#REF!+#REF!+E340+#REF!++#REF!+#REF!+#REF!</f>
        <v>#REF!</v>
      </c>
      <c r="D533" s="128"/>
      <c r="E533" s="218" t="s">
        <v>157</v>
      </c>
      <c r="F533" s="218"/>
      <c r="G533" s="218"/>
      <c r="H533" s="213" t="e">
        <f>#REF!+#REF!+#REF!+#REF!+#REF!+#REF!+#REF!+#REF!</f>
        <v>#REF!</v>
      </c>
      <c r="I533" s="213"/>
      <c r="J533" s="129"/>
      <c r="K533" s="226" t="s">
        <v>144</v>
      </c>
      <c r="L533" s="227"/>
      <c r="M533" s="121" t="e">
        <f>(M16+M33+#REF!+#REF!+#REF!+#REF!+#REF!+#REF!+#REF!+#REF!+#REF!+#REF!+#REF!+#REF!+#REF!+#REF!+#REF!+#REF!+#REF!+#REF!+#REF!+#REF!+#REF!+#REF!+#REF!+#REF!+#REF!+#REF!+#REF!+#REF!+#REF!)</f>
        <v>#REF!</v>
      </c>
      <c r="N533" s="226" t="s">
        <v>144</v>
      </c>
      <c r="O533" s="227"/>
      <c r="P533" s="121" t="e">
        <f>(P16+P33+#REF!+#REF!+#REF!+#REF!+#REF!+#REF!+#REF!+#REF!+#REF!+#REF!+#REF!+#REF!+#REF!+#REF!+#REF!+#REF!+#REF!+#REF!+#REF!+#REF!+#REF!+#REF!+#REF!+#REF!+#REF!+#REF!+#REF!+#REF!+#REF!)</f>
        <v>#REF!</v>
      </c>
      <c r="Q533" s="226" t="s">
        <v>144</v>
      </c>
      <c r="R533" s="227"/>
      <c r="S533" s="121" t="e">
        <f>(S16+S33+S50+#REF!+#REF!+#REF!+#REF!+#REF!+#REF!+#REF!+#REF!+#REF!+#REF!+#REF!+#REF!+#REF!+#REF!+#REF!+#REF!+#REF!+#REF!+#REF!+#REF!+#REF!+#REF!+#REF!+#REF!+#REF!+#REF!+#REF!+#REF!)</f>
        <v>#REF!</v>
      </c>
      <c r="U533" s="121">
        <v>-312909.86</v>
      </c>
    </row>
    <row r="534" spans="1:49" ht="17.25" customHeight="1" x14ac:dyDescent="0.25">
      <c r="A534" s="127"/>
      <c r="B534" s="131" t="s">
        <v>244</v>
      </c>
      <c r="C534" s="126" t="e">
        <f>#REF!+#REF!+#REF!+#REF!+#REF!+#REF!</f>
        <v>#REF!</v>
      </c>
      <c r="D534" s="128"/>
      <c r="E534" s="230" t="s">
        <v>156</v>
      </c>
      <c r="F534" s="230"/>
      <c r="G534" s="230"/>
      <c r="H534" s="213" t="e">
        <f>E50+#REF!</f>
        <v>#REF!</v>
      </c>
      <c r="I534" s="213"/>
      <c r="J534" s="133"/>
      <c r="K534" s="226" t="s">
        <v>145</v>
      </c>
      <c r="L534" s="227"/>
      <c r="M534" s="57" t="e">
        <f>(K16+K33+#REF!+#REF!+#REF!+#REF!+#REF!+#REF!+#REF!+#REF!+#REF!+#REF!+#REF!+#REF!+#REF!+#REF!+#REF!+#REF!+#REF!+#REF!+#REF!+#REF!+#REF!+#REF!+#REF!+#REF!+#REF!+#REF!+#REF!+#REF!+#REF!)</f>
        <v>#REF!</v>
      </c>
      <c r="N534" s="226" t="s">
        <v>145</v>
      </c>
      <c r="O534" s="227"/>
      <c r="P534" s="57" t="e">
        <f>(N16+N33+#REF!+#REF!+#REF!+#REF!+#REF!+#REF!+#REF!+#REF!+#REF!+#REF!+#REF!+#REF!+#REF!+#REF!+#REF!+#REF!+#REF!+#REF!+#REF!+#REF!+#REF!+#REF!+#REF!+#REF!+#REF!+#REF!+#REF!+#REF!+#REF!)</f>
        <v>#REF!</v>
      </c>
      <c r="Q534" s="226" t="s">
        <v>145</v>
      </c>
      <c r="R534" s="227"/>
      <c r="S534" s="57" t="e">
        <f>(Q16+Q33+Q50+#REF!+#REF!+#REF!+#REF!+#REF!+#REF!+#REF!+#REF!+#REF!+#REF!+#REF!+#REF!+#REF!+#REF!+#REF!+#REF!+#REF!+#REF!+#REF!+#REF!+#REF!+#REF!+#REF!+#REF!+#REF!+#REF!+#REF!+#REF!)</f>
        <v>#REF!</v>
      </c>
      <c r="U534" s="121" t="e">
        <f>SUM(U532:U533)</f>
        <v>#REF!</v>
      </c>
    </row>
    <row r="535" spans="1:49" ht="17.25" customHeight="1" x14ac:dyDescent="0.25">
      <c r="A535" s="127"/>
      <c r="B535" s="131" t="s">
        <v>245</v>
      </c>
      <c r="C535" s="126" t="e">
        <f>#REF!</f>
        <v>#REF!</v>
      </c>
      <c r="D535" s="3"/>
      <c r="E535" s="230" t="s">
        <v>300</v>
      </c>
      <c r="F535" s="230"/>
      <c r="G535" s="230"/>
      <c r="H535" s="213"/>
      <c r="I535" s="213"/>
      <c r="J535" s="129"/>
      <c r="K535" s="228"/>
      <c r="L535" s="229"/>
      <c r="M535" s="122"/>
      <c r="N535" s="228"/>
      <c r="O535" s="229"/>
      <c r="P535" s="123"/>
      <c r="Q535" s="228"/>
      <c r="R535" s="229"/>
      <c r="S535" s="123"/>
    </row>
    <row r="536" spans="1:49" s="21" customFormat="1" ht="17.25" customHeight="1" x14ac:dyDescent="0.25">
      <c r="A536" s="127"/>
      <c r="B536" s="137" t="s">
        <v>149</v>
      </c>
      <c r="C536" s="138" t="e">
        <f>SUM(C531:C535)</f>
        <v>#REF!</v>
      </c>
      <c r="D536" s="128"/>
      <c r="E536" s="231" t="s">
        <v>159</v>
      </c>
      <c r="F536" s="232"/>
      <c r="G536" s="232"/>
      <c r="H536" s="233" t="e">
        <f>SUM(H531:I535)</f>
        <v>#REF!</v>
      </c>
      <c r="I536" s="234"/>
      <c r="J536" s="128"/>
      <c r="K536" s="241" t="s">
        <v>146</v>
      </c>
      <c r="L536" s="241"/>
      <c r="M536" s="241"/>
      <c r="N536" s="235" t="e">
        <f>M532+P532</f>
        <v>#REF!</v>
      </c>
      <c r="O536" s="236"/>
      <c r="P536" s="237"/>
      <c r="Q536" s="235" t="e">
        <f>P600+S532</f>
        <v>#REF!</v>
      </c>
      <c r="R536" s="236"/>
      <c r="S536" s="237"/>
      <c r="AS536" s="3"/>
      <c r="AT536" s="3"/>
      <c r="AU536" s="3"/>
      <c r="AV536" s="3"/>
      <c r="AW536" s="3"/>
    </row>
    <row r="537" spans="1:49" s="21" customFormat="1" ht="17.25" customHeight="1" x14ac:dyDescent="0.25">
      <c r="A537" s="127"/>
      <c r="B537" s="3"/>
      <c r="C537" s="3"/>
      <c r="D537" s="3"/>
      <c r="J537" s="128"/>
      <c r="K537" s="241" t="s">
        <v>147</v>
      </c>
      <c r="L537" s="241"/>
      <c r="M537" s="241"/>
      <c r="N537" s="238" t="e">
        <f>M533+P533</f>
        <v>#REF!</v>
      </c>
      <c r="O537" s="239"/>
      <c r="P537" s="240"/>
      <c r="AS537" s="3"/>
      <c r="AT537" s="3"/>
      <c r="AU537" s="3"/>
      <c r="AV537" s="3"/>
      <c r="AW537" s="3"/>
    </row>
    <row r="538" spans="1:49" s="21" customFormat="1" ht="17.25" customHeight="1" x14ac:dyDescent="0.25">
      <c r="A538" s="127"/>
      <c r="B538" s="137" t="s">
        <v>242</v>
      </c>
      <c r="C538" s="138" t="e">
        <f>C536+H536</f>
        <v>#REF!</v>
      </c>
      <c r="D538" s="255" t="s">
        <v>457</v>
      </c>
      <c r="E538" s="256"/>
      <c r="F538" s="256"/>
      <c r="G538" s="256"/>
      <c r="H538" s="256"/>
      <c r="I538" s="256"/>
      <c r="J538" s="128"/>
      <c r="K538" s="241" t="s">
        <v>148</v>
      </c>
      <c r="L538" s="241"/>
      <c r="M538" s="241"/>
      <c r="N538" s="235" t="e">
        <f>M534+P534</f>
        <v>#REF!</v>
      </c>
      <c r="O538" s="236"/>
      <c r="P538" s="237"/>
      <c r="AS538" s="3"/>
      <c r="AT538" s="3"/>
      <c r="AU538" s="3"/>
      <c r="AV538" s="3"/>
      <c r="AW538" s="3"/>
    </row>
    <row r="539" spans="1:49" s="21" customFormat="1" ht="17.25" customHeight="1" x14ac:dyDescent="0.25">
      <c r="A539" s="25"/>
      <c r="B539" s="3"/>
      <c r="C539" s="124"/>
      <c r="E539" s="230"/>
      <c r="F539" s="230"/>
      <c r="G539" s="230"/>
      <c r="H539" s="213"/>
      <c r="I539" s="213"/>
      <c r="AS539" s="3"/>
      <c r="AT539" s="3"/>
      <c r="AU539" s="3"/>
      <c r="AV539" s="3"/>
      <c r="AW539" s="3"/>
    </row>
    <row r="540" spans="1:49" s="21" customFormat="1" ht="17.25" customHeight="1" x14ac:dyDescent="0.25">
      <c r="A540" s="25"/>
      <c r="B540" s="137" t="s">
        <v>454</v>
      </c>
      <c r="C540" s="138" t="e">
        <f>#REF!+#REF!</f>
        <v>#REF!</v>
      </c>
      <c r="E540" s="230"/>
      <c r="F540" s="230"/>
      <c r="G540" s="230"/>
      <c r="H540" s="213"/>
      <c r="I540" s="213"/>
      <c r="AS540" s="3"/>
      <c r="AT540" s="3"/>
      <c r="AU540" s="3"/>
      <c r="AV540" s="3"/>
      <c r="AW540" s="3"/>
    </row>
    <row r="541" spans="1:49" s="21" customFormat="1" ht="17.25" customHeight="1" x14ac:dyDescent="0.25">
      <c r="A541" s="25"/>
      <c r="B541" s="3"/>
      <c r="C541" s="124"/>
      <c r="E541" s="230"/>
      <c r="F541" s="230"/>
      <c r="G541" s="230"/>
      <c r="H541" s="213"/>
      <c r="I541" s="213"/>
      <c r="AS541" s="3"/>
      <c r="AT541" s="3"/>
      <c r="AU541" s="3"/>
      <c r="AV541" s="3"/>
      <c r="AW541" s="3"/>
    </row>
    <row r="542" spans="1:49" ht="17.25" customHeight="1" x14ac:dyDescent="0.25">
      <c r="B542" s="137" t="s">
        <v>242</v>
      </c>
      <c r="C542" s="138">
        <f>C529-C2</f>
        <v>1305.2900000000373</v>
      </c>
    </row>
    <row r="543" spans="1:49" ht="17.25" customHeight="1" x14ac:dyDescent="0.25">
      <c r="E543" s="222" t="e">
        <f>C538+C540-C542</f>
        <v>#REF!</v>
      </c>
      <c r="F543" s="222"/>
      <c r="H543" s="169" t="e">
        <f>-E543+H531</f>
        <v>#REF!</v>
      </c>
    </row>
  </sheetData>
  <sheetProtection selectLockedCells="1" selectUnlockedCells="1"/>
  <mergeCells count="510">
    <mergeCell ref="E540:G540"/>
    <mergeCell ref="H540:I540"/>
    <mergeCell ref="E541:G541"/>
    <mergeCell ref="H541:I541"/>
    <mergeCell ref="E543:F543"/>
    <mergeCell ref="K537:M537"/>
    <mergeCell ref="N537:P537"/>
    <mergeCell ref="D538:I538"/>
    <mergeCell ref="K538:M538"/>
    <mergeCell ref="N538:P538"/>
    <mergeCell ref="E539:G539"/>
    <mergeCell ref="H539:I539"/>
    <mergeCell ref="E535:G535"/>
    <mergeCell ref="H535:I535"/>
    <mergeCell ref="K535:L535"/>
    <mergeCell ref="N535:O535"/>
    <mergeCell ref="Q535:R535"/>
    <mergeCell ref="E536:G536"/>
    <mergeCell ref="H536:I536"/>
    <mergeCell ref="K536:M536"/>
    <mergeCell ref="N536:P536"/>
    <mergeCell ref="Q536:S536"/>
    <mergeCell ref="E533:G533"/>
    <mergeCell ref="H533:I533"/>
    <mergeCell ref="K533:L533"/>
    <mergeCell ref="N533:O533"/>
    <mergeCell ref="Q533:R533"/>
    <mergeCell ref="E534:G534"/>
    <mergeCell ref="H534:I534"/>
    <mergeCell ref="K534:L534"/>
    <mergeCell ref="N534:O534"/>
    <mergeCell ref="Q534:R534"/>
    <mergeCell ref="E531:G531"/>
    <mergeCell ref="H531:I531"/>
    <mergeCell ref="K531:M531"/>
    <mergeCell ref="N531:P531"/>
    <mergeCell ref="Q531:S531"/>
    <mergeCell ref="E532:G532"/>
    <mergeCell ref="H532:I532"/>
    <mergeCell ref="K532:L532"/>
    <mergeCell ref="N532:O532"/>
    <mergeCell ref="Q532:R532"/>
    <mergeCell ref="B522:C522"/>
    <mergeCell ref="B523:C523"/>
    <mergeCell ref="B524:C524"/>
    <mergeCell ref="B525:C525"/>
    <mergeCell ref="B526:C526"/>
    <mergeCell ref="B527:C527"/>
    <mergeCell ref="B516:C516"/>
    <mergeCell ref="B517:C517"/>
    <mergeCell ref="B518:C518"/>
    <mergeCell ref="B519:C519"/>
    <mergeCell ref="B520:C520"/>
    <mergeCell ref="B521:C521"/>
    <mergeCell ref="B508:C508"/>
    <mergeCell ref="B509:C509"/>
    <mergeCell ref="B510:C510"/>
    <mergeCell ref="B513:C513"/>
    <mergeCell ref="B514:C514"/>
    <mergeCell ref="B515:C515"/>
    <mergeCell ref="B502:C502"/>
    <mergeCell ref="B503:C503"/>
    <mergeCell ref="B504:C504"/>
    <mergeCell ref="B505:C505"/>
    <mergeCell ref="B506:C506"/>
    <mergeCell ref="B507:C507"/>
    <mergeCell ref="B496:C496"/>
    <mergeCell ref="B497:C497"/>
    <mergeCell ref="B498:C498"/>
    <mergeCell ref="B499:C499"/>
    <mergeCell ref="B500:C500"/>
    <mergeCell ref="B501:C501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4:C474"/>
    <mergeCell ref="B475:C475"/>
    <mergeCell ref="B476:C476"/>
    <mergeCell ref="B479:C479"/>
    <mergeCell ref="B480:C480"/>
    <mergeCell ref="B481:C481"/>
    <mergeCell ref="B468:C468"/>
    <mergeCell ref="B469:C469"/>
    <mergeCell ref="B470:C470"/>
    <mergeCell ref="B471:C471"/>
    <mergeCell ref="B472:C472"/>
    <mergeCell ref="B473:C473"/>
    <mergeCell ref="B462:C462"/>
    <mergeCell ref="B463:C463"/>
    <mergeCell ref="B464:C464"/>
    <mergeCell ref="B465:C465"/>
    <mergeCell ref="B466:C466"/>
    <mergeCell ref="B467:C467"/>
    <mergeCell ref="B454:C454"/>
    <mergeCell ref="B455:C455"/>
    <mergeCell ref="B456:C456"/>
    <mergeCell ref="B457:C457"/>
    <mergeCell ref="B458:C458"/>
    <mergeCell ref="B459:C459"/>
    <mergeCell ref="B448:C448"/>
    <mergeCell ref="B449:C449"/>
    <mergeCell ref="B450:C450"/>
    <mergeCell ref="B451:C451"/>
    <mergeCell ref="B452:C452"/>
    <mergeCell ref="B453:C453"/>
    <mergeCell ref="B440:C440"/>
    <mergeCell ref="B441:C441"/>
    <mergeCell ref="B442:C442"/>
    <mergeCell ref="B445:C445"/>
    <mergeCell ref="B446:C446"/>
    <mergeCell ref="B447:C447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0:C420"/>
    <mergeCell ref="B421:C421"/>
    <mergeCell ref="B422:C422"/>
    <mergeCell ref="B423:C423"/>
    <mergeCell ref="B424:C424"/>
    <mergeCell ref="B425:C425"/>
    <mergeCell ref="B414:C414"/>
    <mergeCell ref="B415:C415"/>
    <mergeCell ref="B416:C416"/>
    <mergeCell ref="B417:C417"/>
    <mergeCell ref="B418:C418"/>
    <mergeCell ref="B419:C419"/>
    <mergeCell ref="B406:C406"/>
    <mergeCell ref="B407:C407"/>
    <mergeCell ref="B408:C408"/>
    <mergeCell ref="B411:C411"/>
    <mergeCell ref="B412:C412"/>
    <mergeCell ref="B413:C413"/>
    <mergeCell ref="B400:C400"/>
    <mergeCell ref="B401:C401"/>
    <mergeCell ref="B402:C402"/>
    <mergeCell ref="B403:C403"/>
    <mergeCell ref="B404:C404"/>
    <mergeCell ref="B405:C405"/>
    <mergeCell ref="B394:C394"/>
    <mergeCell ref="B395:C395"/>
    <mergeCell ref="B396:C396"/>
    <mergeCell ref="B397:C397"/>
    <mergeCell ref="B398:C398"/>
    <mergeCell ref="B399:C399"/>
    <mergeCell ref="B386:C386"/>
    <mergeCell ref="B387:C387"/>
    <mergeCell ref="B388:C388"/>
    <mergeCell ref="B389:C389"/>
    <mergeCell ref="B390:C390"/>
    <mergeCell ref="B391:C391"/>
    <mergeCell ref="B380:C380"/>
    <mergeCell ref="B381:C381"/>
    <mergeCell ref="B382:C382"/>
    <mergeCell ref="B383:C383"/>
    <mergeCell ref="B384:C384"/>
    <mergeCell ref="B385:C385"/>
    <mergeCell ref="B372:C372"/>
    <mergeCell ref="B373:C373"/>
    <mergeCell ref="B374:C374"/>
    <mergeCell ref="B377:C377"/>
    <mergeCell ref="B378:C378"/>
    <mergeCell ref="B379:C379"/>
    <mergeCell ref="B366:C366"/>
    <mergeCell ref="B367:C367"/>
    <mergeCell ref="B368:C368"/>
    <mergeCell ref="B369:C369"/>
    <mergeCell ref="B370:C370"/>
    <mergeCell ref="B371:C371"/>
    <mergeCell ref="B360:C360"/>
    <mergeCell ref="B361:C361"/>
    <mergeCell ref="B362:C362"/>
    <mergeCell ref="B363:C363"/>
    <mergeCell ref="B364:C364"/>
    <mergeCell ref="B365:C365"/>
    <mergeCell ref="B352:C352"/>
    <mergeCell ref="B353:C353"/>
    <mergeCell ref="B354:C354"/>
    <mergeCell ref="B355:C355"/>
    <mergeCell ref="B356:C356"/>
    <mergeCell ref="B357:C357"/>
    <mergeCell ref="B346:C346"/>
    <mergeCell ref="B347:C347"/>
    <mergeCell ref="B348:C348"/>
    <mergeCell ref="B349:C349"/>
    <mergeCell ref="B350:C350"/>
    <mergeCell ref="B351:C351"/>
    <mergeCell ref="B338:C338"/>
    <mergeCell ref="B339:C339"/>
    <mergeCell ref="B340:C340"/>
    <mergeCell ref="B343:C343"/>
    <mergeCell ref="B344:C344"/>
    <mergeCell ref="B345:C345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18:C318"/>
    <mergeCell ref="B319:C319"/>
    <mergeCell ref="B320:C320"/>
    <mergeCell ref="B321:C321"/>
    <mergeCell ref="B322:C322"/>
    <mergeCell ref="B323:C323"/>
    <mergeCell ref="B312:C312"/>
    <mergeCell ref="B313:C313"/>
    <mergeCell ref="B314:C314"/>
    <mergeCell ref="B315:C315"/>
    <mergeCell ref="B316:C316"/>
    <mergeCell ref="B317:C317"/>
    <mergeCell ref="B304:C304"/>
    <mergeCell ref="B305:C305"/>
    <mergeCell ref="B306:C306"/>
    <mergeCell ref="B309:C309"/>
    <mergeCell ref="B310:C310"/>
    <mergeCell ref="B311:C311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0:C270"/>
    <mergeCell ref="B271:C271"/>
    <mergeCell ref="B272:C272"/>
    <mergeCell ref="B275:C275"/>
    <mergeCell ref="B276:C276"/>
    <mergeCell ref="B277:C277"/>
    <mergeCell ref="B264:C264"/>
    <mergeCell ref="B265:C265"/>
    <mergeCell ref="B266:C266"/>
    <mergeCell ref="B267:C267"/>
    <mergeCell ref="B268:C268"/>
    <mergeCell ref="B269:C269"/>
    <mergeCell ref="B258:C258"/>
    <mergeCell ref="B259:C259"/>
    <mergeCell ref="B260:C260"/>
    <mergeCell ref="B261:C261"/>
    <mergeCell ref="B262:C262"/>
    <mergeCell ref="B263:C263"/>
    <mergeCell ref="B250:C250"/>
    <mergeCell ref="B251:C251"/>
    <mergeCell ref="B252:C252"/>
    <mergeCell ref="B253:C253"/>
    <mergeCell ref="B254:C254"/>
    <mergeCell ref="B255:C255"/>
    <mergeCell ref="B244:C244"/>
    <mergeCell ref="B245:C245"/>
    <mergeCell ref="B246:C246"/>
    <mergeCell ref="B247:C247"/>
    <mergeCell ref="B248:C248"/>
    <mergeCell ref="B249:C249"/>
    <mergeCell ref="B236:C236"/>
    <mergeCell ref="B237:C237"/>
    <mergeCell ref="B238:C238"/>
    <mergeCell ref="B241:C241"/>
    <mergeCell ref="B242:C242"/>
    <mergeCell ref="B243:C243"/>
    <mergeCell ref="B230:C230"/>
    <mergeCell ref="B231:C231"/>
    <mergeCell ref="B232:C232"/>
    <mergeCell ref="B233:C233"/>
    <mergeCell ref="B234:C234"/>
    <mergeCell ref="B235:C235"/>
    <mergeCell ref="B224:C224"/>
    <mergeCell ref="B225:C225"/>
    <mergeCell ref="B226:C226"/>
    <mergeCell ref="B227:C227"/>
    <mergeCell ref="B228:C228"/>
    <mergeCell ref="B229:C229"/>
    <mergeCell ref="B216:C216"/>
    <mergeCell ref="B217:C217"/>
    <mergeCell ref="B218:C218"/>
    <mergeCell ref="B219:C219"/>
    <mergeCell ref="B220:C220"/>
    <mergeCell ref="B221:C221"/>
    <mergeCell ref="B210:C210"/>
    <mergeCell ref="B211:C211"/>
    <mergeCell ref="B212:C212"/>
    <mergeCell ref="B213:C213"/>
    <mergeCell ref="B214:C214"/>
    <mergeCell ref="B215:C215"/>
    <mergeCell ref="B202:C202"/>
    <mergeCell ref="B203:C203"/>
    <mergeCell ref="B204:C204"/>
    <mergeCell ref="B207:C207"/>
    <mergeCell ref="B208:C208"/>
    <mergeCell ref="B209:C209"/>
    <mergeCell ref="B196:C196"/>
    <mergeCell ref="B197:C197"/>
    <mergeCell ref="B198:C198"/>
    <mergeCell ref="B199:C199"/>
    <mergeCell ref="B200:C200"/>
    <mergeCell ref="B201:C201"/>
    <mergeCell ref="B190:C190"/>
    <mergeCell ref="B191:C191"/>
    <mergeCell ref="B192:C192"/>
    <mergeCell ref="B193:C193"/>
    <mergeCell ref="B194:C194"/>
    <mergeCell ref="B195:C195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68:C168"/>
    <mergeCell ref="B169:C169"/>
    <mergeCell ref="B170:C170"/>
    <mergeCell ref="B173:C173"/>
    <mergeCell ref="B174:C174"/>
    <mergeCell ref="B175:C175"/>
    <mergeCell ref="B162:C162"/>
    <mergeCell ref="B163:C163"/>
    <mergeCell ref="B164:C164"/>
    <mergeCell ref="B165:C165"/>
    <mergeCell ref="B166:C166"/>
    <mergeCell ref="B167:C167"/>
    <mergeCell ref="B156:C156"/>
    <mergeCell ref="B157:C157"/>
    <mergeCell ref="B158:C158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4:C134"/>
    <mergeCell ref="B135:C135"/>
    <mergeCell ref="B136:C136"/>
    <mergeCell ref="B139:C139"/>
    <mergeCell ref="B140:C140"/>
    <mergeCell ref="B141:C141"/>
    <mergeCell ref="B128:C128"/>
    <mergeCell ref="B129:C129"/>
    <mergeCell ref="B130:C130"/>
    <mergeCell ref="B131:C131"/>
    <mergeCell ref="B132:C132"/>
    <mergeCell ref="B133:C133"/>
    <mergeCell ref="B122:C122"/>
    <mergeCell ref="B123:C123"/>
    <mergeCell ref="B124:C124"/>
    <mergeCell ref="B125:C125"/>
    <mergeCell ref="B126:C126"/>
    <mergeCell ref="B127:C127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0:C100"/>
    <mergeCell ref="B101:C101"/>
    <mergeCell ref="B102:C102"/>
    <mergeCell ref="B105:C105"/>
    <mergeCell ref="B106:C106"/>
    <mergeCell ref="B107:C107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66:C66"/>
    <mergeCell ref="B67:C67"/>
    <mergeCell ref="B68:C68"/>
    <mergeCell ref="B71:C71"/>
    <mergeCell ref="B72:C72"/>
    <mergeCell ref="B73:C73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4:C34"/>
    <mergeCell ref="B37:C37"/>
    <mergeCell ref="B38:C38"/>
    <mergeCell ref="B39:C39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2:C12"/>
    <mergeCell ref="B13:C13"/>
    <mergeCell ref="B14:C14"/>
    <mergeCell ref="B15:C15"/>
    <mergeCell ref="B16:C16"/>
    <mergeCell ref="B17:C17"/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486"/>
  <sheetViews>
    <sheetView showGridLines="0" showZeros="0" view="pageBreakPreview" zoomScale="70" zoomScaleNormal="75" zoomScaleSheetLayoutView="70" workbookViewId="0">
      <pane xSplit="19" ySplit="1" topLeftCell="T413" activePane="bottomRight" state="frozenSplit"/>
      <selection pane="topRight" activeCell="B248" sqref="B248:C248"/>
      <selection pane="bottomLeft" activeCell="B248" sqref="B248:C248"/>
      <selection pane="bottomRight" activeCell="Q2" sqref="Q1:S1048576"/>
    </sheetView>
  </sheetViews>
  <sheetFormatPr defaultRowHeight="17.25" customHeight="1" x14ac:dyDescent="0.2"/>
  <cols>
    <col min="1" max="1" width="7.140625" style="25" customWidth="1"/>
    <col min="2" max="3" width="25.85546875" style="3" customWidth="1"/>
    <col min="4" max="10" width="10.5703125" style="21" customWidth="1"/>
    <col min="11" max="12" width="7.7109375" style="21" customWidth="1"/>
    <col min="13" max="13" width="10.5703125" style="21" customWidth="1"/>
    <col min="14" max="15" width="7.7109375" style="21" customWidth="1"/>
    <col min="16" max="16" width="10.5703125" style="21" customWidth="1"/>
    <col min="17" max="18" width="7.7109375" style="21" customWidth="1"/>
    <col min="19" max="21" width="10.5703125" style="21" customWidth="1"/>
    <col min="22" max="22" width="10.5703125" style="21" hidden="1" customWidth="1"/>
    <col min="23" max="25" width="10.5703125" style="21" customWidth="1"/>
    <col min="26" max="42" width="10.5703125" style="21" hidden="1" customWidth="1"/>
    <col min="43" max="43" width="10.7109375" style="21" hidden="1" customWidth="1"/>
    <col min="44" max="44" width="11.7109375" style="21" customWidth="1"/>
    <col min="45" max="47" width="14.85546875" style="3" hidden="1" customWidth="1"/>
    <col min="48" max="48" width="9.140625" style="3"/>
    <col min="49" max="49" width="9.85546875" style="3" bestFit="1" customWidth="1"/>
    <col min="50" max="16384" width="9.140625" style="3"/>
  </cols>
  <sheetData>
    <row r="1" spans="1:49" s="1" customFormat="1" ht="17.25" customHeight="1" x14ac:dyDescent="0.25">
      <c r="A1" s="157" t="s">
        <v>465</v>
      </c>
      <c r="B1" s="158"/>
      <c r="C1" s="159">
        <f>D2+E2+F2+G2+H2+I2+J2+M2+P2</f>
        <v>117279.92954000011</v>
      </c>
      <c r="D1" s="195" t="s">
        <v>8</v>
      </c>
      <c r="E1" s="67" t="s">
        <v>9</v>
      </c>
      <c r="F1" s="196" t="s">
        <v>89</v>
      </c>
      <c r="G1" s="196" t="s">
        <v>234</v>
      </c>
      <c r="H1" s="67" t="s">
        <v>101</v>
      </c>
      <c r="I1" s="67" t="s">
        <v>91</v>
      </c>
      <c r="J1" s="67" t="s">
        <v>90</v>
      </c>
      <c r="K1" s="258" t="s">
        <v>87</v>
      </c>
      <c r="L1" s="259"/>
      <c r="M1" s="260"/>
      <c r="N1" s="258" t="s">
        <v>88</v>
      </c>
      <c r="O1" s="259"/>
      <c r="P1" s="260"/>
      <c r="Q1" s="258" t="s">
        <v>478</v>
      </c>
      <c r="R1" s="259"/>
      <c r="S1" s="260"/>
      <c r="T1" s="196" t="s">
        <v>10</v>
      </c>
      <c r="U1" s="196" t="s">
        <v>11</v>
      </c>
      <c r="V1" s="196" t="s">
        <v>89</v>
      </c>
      <c r="W1" s="196" t="s">
        <v>86</v>
      </c>
      <c r="X1" s="196" t="s">
        <v>238</v>
      </c>
      <c r="Y1" s="196" t="s">
        <v>92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78"/>
      <c r="AR1" s="79" t="s">
        <v>0</v>
      </c>
      <c r="AS1" s="6" t="s">
        <v>1</v>
      </c>
      <c r="AT1" s="7" t="s">
        <v>2</v>
      </c>
      <c r="AU1" s="7" t="s">
        <v>3</v>
      </c>
    </row>
    <row r="2" spans="1:49" s="1" customFormat="1" ht="17.25" customHeight="1" x14ac:dyDescent="0.25">
      <c r="A2" s="163"/>
      <c r="B2" s="157" t="s">
        <v>7</v>
      </c>
      <c r="C2" s="164">
        <f>D2+E2+F2+G2+H2+I2+J2+M2+P2+SUM(T2:AQ2)</f>
        <v>-369807.89935999992</v>
      </c>
      <c r="D2" s="68">
        <f>'Mar26'!D529</f>
        <v>12717.607040000057</v>
      </c>
      <c r="E2" s="68">
        <f>'Mar26'!E529</f>
        <v>-43287.790000000008</v>
      </c>
      <c r="F2" s="80">
        <f>'Mar26'!F529</f>
        <v>0.65000000000145519</v>
      </c>
      <c r="G2" s="80">
        <f>'Mar26'!G529</f>
        <v>0</v>
      </c>
      <c r="H2" s="68">
        <f>'Mar26'!H529</f>
        <v>65082.292500000054</v>
      </c>
      <c r="I2" s="68">
        <f>'Mar26'!I529</f>
        <v>10004.65</v>
      </c>
      <c r="J2" s="68">
        <f>'Mar26'!J529</f>
        <v>0</v>
      </c>
      <c r="K2" s="165">
        <f>'Mar26'!K529</f>
        <v>12170</v>
      </c>
      <c r="L2" s="166">
        <f>'Mar26'!L529</f>
        <v>5.1465924404272805</v>
      </c>
      <c r="M2" s="68">
        <f>'Mar26'!M529</f>
        <v>62634.03</v>
      </c>
      <c r="N2" s="165">
        <f>'Mar26'!N529</f>
        <v>2783</v>
      </c>
      <c r="O2" s="166">
        <f>'Mar26'!O529</f>
        <v>3.6394143011139057</v>
      </c>
      <c r="P2" s="68">
        <f>'Mar26'!P529</f>
        <v>10128.49</v>
      </c>
      <c r="Q2" s="165">
        <v>214</v>
      </c>
      <c r="R2" s="166">
        <v>6.0994999999999999</v>
      </c>
      <c r="S2" s="68">
        <f>Q2*R2</f>
        <v>1305.2929999999999</v>
      </c>
      <c r="T2" s="80">
        <f>'Mar26'!T529</f>
        <v>-537317.12890000001</v>
      </c>
      <c r="U2" s="80">
        <f>'Mar26'!U529</f>
        <v>50229.299999999996</v>
      </c>
      <c r="V2" s="80">
        <f>'Mar26'!V529</f>
        <v>0</v>
      </c>
      <c r="W2" s="80">
        <f>'Mar26'!W529</f>
        <v>0</v>
      </c>
      <c r="X2" s="80">
        <f>'Mar26'!X529</f>
        <v>0</v>
      </c>
      <c r="Y2" s="80">
        <f>'Mar26'!Y529</f>
        <v>0</v>
      </c>
      <c r="Z2" s="80">
        <f>'Mar26'!Z529</f>
        <v>0</v>
      </c>
      <c r="AA2" s="80">
        <f>'Mar26'!AA529</f>
        <v>0</v>
      </c>
      <c r="AB2" s="80">
        <f>'Mar26'!AB529</f>
        <v>0</v>
      </c>
      <c r="AC2" s="80">
        <f>'Mar26'!AC529</f>
        <v>0</v>
      </c>
      <c r="AD2" s="80">
        <f>'Mar26'!AD529</f>
        <v>0</v>
      </c>
      <c r="AE2" s="80">
        <f>'Mar26'!AE529</f>
        <v>0</v>
      </c>
      <c r="AF2" s="80">
        <f>'Mar26'!AF529</f>
        <v>0</v>
      </c>
      <c r="AG2" s="80">
        <f>'Mar26'!AG529</f>
        <v>0</v>
      </c>
      <c r="AH2" s="80">
        <f>'Mar26'!AH529</f>
        <v>0</v>
      </c>
      <c r="AI2" s="80">
        <f>'Mar26'!AI529</f>
        <v>0</v>
      </c>
      <c r="AJ2" s="80">
        <f>'Mar26'!AJ529</f>
        <v>0</v>
      </c>
      <c r="AK2" s="80">
        <f>'Mar26'!AK529</f>
        <v>0</v>
      </c>
      <c r="AL2" s="80">
        <f>'Mar26'!AL529</f>
        <v>0</v>
      </c>
      <c r="AM2" s="80">
        <f>'Mar26'!AM529</f>
        <v>0</v>
      </c>
      <c r="AN2" s="80">
        <f>'Mar26'!AN529</f>
        <v>0</v>
      </c>
      <c r="AO2" s="80">
        <f>'Mar26'!AO529</f>
        <v>0</v>
      </c>
      <c r="AP2" s="80">
        <f>'Mar26'!AP529</f>
        <v>0</v>
      </c>
      <c r="AQ2" s="80">
        <f>'Mar26'!AQ529</f>
        <v>0</v>
      </c>
      <c r="AR2" s="68">
        <f>'Mar26'!AR529</f>
        <v>-368502.60935999989</v>
      </c>
      <c r="AS2" s="8" t="e">
        <f>#REF!</f>
        <v>#REF!</v>
      </c>
      <c r="AT2" s="9" t="e">
        <f>#REF!</f>
        <v>#REF!</v>
      </c>
      <c r="AU2" s="9" t="e">
        <f>AS2-AT2</f>
        <v>#REF!</v>
      </c>
    </row>
    <row r="3" spans="1:49" s="2" customFormat="1" ht="17.25" customHeight="1" x14ac:dyDescent="0.25">
      <c r="A3" s="29">
        <v>46113</v>
      </c>
      <c r="B3" s="201" t="s">
        <v>64</v>
      </c>
      <c r="C3" s="202"/>
      <c r="D3" s="65">
        <v>8574.06</v>
      </c>
      <c r="E3" s="64"/>
      <c r="F3" s="64"/>
      <c r="G3" s="64"/>
      <c r="H3" s="64"/>
      <c r="I3" s="64">
        <f>-D3</f>
        <v>-8574.06</v>
      </c>
      <c r="J3" s="64"/>
      <c r="K3" s="57"/>
      <c r="L3" s="88"/>
      <c r="M3" s="62"/>
      <c r="N3" s="57"/>
      <c r="O3" s="88"/>
      <c r="P3" s="62"/>
      <c r="Q3" s="57"/>
      <c r="R3" s="88"/>
      <c r="S3" s="62"/>
      <c r="T3" s="47"/>
      <c r="U3" s="39"/>
      <c r="V3" s="39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22"/>
      <c r="AT3" s="10" t="s">
        <v>4</v>
      </c>
      <c r="AU3" s="11" t="e">
        <v>#REF!</v>
      </c>
    </row>
    <row r="4" spans="1:49" s="2" customFormat="1" ht="17.25" customHeight="1" x14ac:dyDescent="0.25">
      <c r="A4" s="29"/>
      <c r="B4" s="201" t="s">
        <v>96</v>
      </c>
      <c r="C4" s="202"/>
      <c r="D4" s="65"/>
      <c r="E4" s="64"/>
      <c r="F4" s="64"/>
      <c r="G4" s="64"/>
      <c r="H4" s="64"/>
      <c r="I4" s="64">
        <f>-I2-I3</f>
        <v>-1430.5900000000001</v>
      </c>
      <c r="J4" s="64"/>
      <c r="K4" s="57"/>
      <c r="L4" s="88"/>
      <c r="M4" s="62"/>
      <c r="N4" s="57"/>
      <c r="O4" s="88"/>
      <c r="P4" s="62"/>
      <c r="Q4" s="57"/>
      <c r="R4" s="88"/>
      <c r="S4" s="62"/>
      <c r="T4" s="47"/>
      <c r="U4" s="39"/>
      <c r="V4" s="39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22"/>
      <c r="AT4" s="10" t="s">
        <v>4</v>
      </c>
      <c r="AU4" s="11" t="e">
        <v>#REF!</v>
      </c>
    </row>
    <row r="5" spans="1:49" s="2" customFormat="1" ht="17.25" customHeight="1" x14ac:dyDescent="0.25">
      <c r="A5" s="29"/>
      <c r="B5" s="201" t="s">
        <v>327</v>
      </c>
      <c r="C5" s="202"/>
      <c r="D5" s="63">
        <f>50+30+40+50+50+120+30+20+50.4+100+30+50+73</f>
        <v>693.4</v>
      </c>
      <c r="E5" s="64"/>
      <c r="F5" s="64"/>
      <c r="G5" s="64"/>
      <c r="H5" s="64"/>
      <c r="I5" s="64">
        <f>-D5</f>
        <v>-693.4</v>
      </c>
      <c r="J5" s="64"/>
      <c r="K5" s="57"/>
      <c r="L5" s="88"/>
      <c r="M5" s="62"/>
      <c r="N5" s="57"/>
      <c r="O5" s="88"/>
      <c r="P5" s="62"/>
      <c r="Q5" s="57"/>
      <c r="R5" s="88"/>
      <c r="S5" s="62"/>
      <c r="T5" s="47"/>
      <c r="U5" s="39"/>
      <c r="V5" s="39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22"/>
      <c r="AT5" s="10"/>
      <c r="AU5" s="11"/>
    </row>
    <row r="6" spans="1:49" s="2" customFormat="1" ht="17.25" customHeight="1" x14ac:dyDescent="0.25">
      <c r="A6" s="29"/>
      <c r="B6" s="201" t="s">
        <v>328</v>
      </c>
      <c r="C6" s="202"/>
      <c r="D6" s="63">
        <f>-13*0.99</f>
        <v>-12.87</v>
      </c>
      <c r="E6" s="64"/>
      <c r="F6" s="64"/>
      <c r="G6" s="64"/>
      <c r="H6" s="64"/>
      <c r="I6" s="64"/>
      <c r="J6" s="64"/>
      <c r="K6" s="57"/>
      <c r="L6" s="88"/>
      <c r="M6" s="62"/>
      <c r="N6" s="57"/>
      <c r="O6" s="88"/>
      <c r="P6" s="62"/>
      <c r="Q6" s="57"/>
      <c r="R6" s="88"/>
      <c r="S6" s="62"/>
      <c r="T6" s="47"/>
      <c r="U6" s="39"/>
      <c r="V6" s="39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22"/>
      <c r="AT6" s="10"/>
      <c r="AU6" s="11"/>
    </row>
    <row r="7" spans="1:49" s="4" customFormat="1" ht="17.25" customHeight="1" thickBot="1" x14ac:dyDescent="0.3">
      <c r="A7" s="24"/>
      <c r="B7" s="246"/>
      <c r="C7" s="246"/>
      <c r="D7" s="81"/>
      <c r="E7" s="81"/>
      <c r="F7" s="81"/>
      <c r="G7" s="81"/>
      <c r="H7" s="81"/>
      <c r="I7" s="81"/>
      <c r="J7" s="81"/>
      <c r="K7" s="59"/>
      <c r="L7" s="90"/>
      <c r="M7" s="136"/>
      <c r="N7" s="59"/>
      <c r="O7" s="90"/>
      <c r="P7" s="136"/>
      <c r="Q7" s="59"/>
      <c r="R7" s="90"/>
      <c r="S7" s="136"/>
      <c r="T7" s="39"/>
      <c r="U7" s="39"/>
      <c r="V7" s="39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22"/>
      <c r="AR7" s="43"/>
      <c r="AS7" s="12" t="e">
        <f>#REF!</f>
        <v>#REF!</v>
      </c>
      <c r="AW7" s="2"/>
    </row>
    <row r="8" spans="1:49" s="4" customFormat="1" ht="17.25" customHeight="1" x14ac:dyDescent="0.25">
      <c r="A8" s="23"/>
      <c r="B8" s="212" t="s">
        <v>94</v>
      </c>
      <c r="C8" s="212"/>
      <c r="D8" s="66"/>
      <c r="E8" s="66"/>
      <c r="F8" s="117"/>
      <c r="G8" s="117"/>
      <c r="H8" s="66"/>
      <c r="I8" s="66"/>
      <c r="J8" s="66">
        <f>-M8</f>
        <v>6818.13</v>
      </c>
      <c r="K8" s="58">
        <v>-1067</v>
      </c>
      <c r="L8" s="89">
        <v>6.39</v>
      </c>
      <c r="M8" s="73">
        <f>K8*L8</f>
        <v>-6818.13</v>
      </c>
      <c r="N8" s="58"/>
      <c r="O8" s="89"/>
      <c r="P8" s="73"/>
      <c r="Q8" s="58"/>
      <c r="R8" s="89"/>
      <c r="S8" s="73"/>
      <c r="T8" s="39"/>
      <c r="U8" s="39"/>
      <c r="V8" s="8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35"/>
      <c r="AS8" s="12" t="e">
        <f>#REF!</f>
        <v>#REF!</v>
      </c>
    </row>
    <row r="9" spans="1:49" s="4" customFormat="1" ht="17.25" customHeight="1" x14ac:dyDescent="0.25">
      <c r="A9" s="23"/>
      <c r="B9" s="201" t="s">
        <v>95</v>
      </c>
      <c r="C9" s="203"/>
      <c r="D9" s="64"/>
      <c r="E9" s="64"/>
      <c r="F9" s="117"/>
      <c r="G9" s="117"/>
      <c r="H9" s="64"/>
      <c r="I9" s="64"/>
      <c r="J9" s="64">
        <f>-P9</f>
        <v>5814.3799999999992</v>
      </c>
      <c r="K9" s="57"/>
      <c r="L9" s="88"/>
      <c r="M9" s="62"/>
      <c r="N9" s="57">
        <v>-1391</v>
      </c>
      <c r="O9" s="88">
        <v>4.18</v>
      </c>
      <c r="P9" s="62">
        <f>N9*O9</f>
        <v>-5814.3799999999992</v>
      </c>
      <c r="Q9" s="57"/>
      <c r="R9" s="88"/>
      <c r="S9" s="62"/>
      <c r="T9" s="39"/>
      <c r="U9" s="39"/>
      <c r="V9" s="8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35"/>
      <c r="AS9" s="12" t="e">
        <f>#REF!</f>
        <v>#REF!</v>
      </c>
    </row>
    <row r="10" spans="1:49" s="4" customFormat="1" ht="17.25" customHeight="1" x14ac:dyDescent="0.25">
      <c r="A10" s="23"/>
      <c r="B10" s="201" t="s">
        <v>97</v>
      </c>
      <c r="C10" s="203"/>
      <c r="D10" s="64"/>
      <c r="E10" s="64"/>
      <c r="F10" s="64"/>
      <c r="G10" s="64"/>
      <c r="H10" s="64">
        <f>-J10-I10</f>
        <v>4727.8399999999983</v>
      </c>
      <c r="I10" s="64">
        <v>7904.67</v>
      </c>
      <c r="J10" s="64">
        <f>-SUM(J8:J9)</f>
        <v>-12632.509999999998</v>
      </c>
      <c r="K10" s="57"/>
      <c r="L10" s="88"/>
      <c r="M10" s="62"/>
      <c r="N10" s="57"/>
      <c r="O10" s="88"/>
      <c r="P10" s="62"/>
      <c r="Q10" s="57"/>
      <c r="R10" s="88"/>
      <c r="S10" s="62"/>
      <c r="T10" s="39"/>
      <c r="U10" s="39"/>
      <c r="V10" s="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22"/>
      <c r="AR10" s="43">
        <f>A2</f>
        <v>0</v>
      </c>
      <c r="AS10" s="12" t="e">
        <f>#REF!</f>
        <v>#REF!</v>
      </c>
      <c r="AW10" s="2"/>
    </row>
    <row r="11" spans="1:49" s="4" customFormat="1" ht="17.25" customHeight="1" x14ac:dyDescent="0.25">
      <c r="A11" s="23"/>
      <c r="B11" s="201" t="s">
        <v>100</v>
      </c>
      <c r="C11" s="203"/>
      <c r="D11" s="64"/>
      <c r="E11" s="64"/>
      <c r="F11" s="64"/>
      <c r="G11" s="64"/>
      <c r="H11" s="64"/>
      <c r="I11" s="64"/>
      <c r="J11" s="64"/>
      <c r="K11" s="57">
        <v>-44</v>
      </c>
      <c r="L11" s="88"/>
      <c r="M11" s="62">
        <f>(K14*M2/K2)-M2-M8</f>
        <v>1100.2657986852892</v>
      </c>
      <c r="N11" s="57">
        <v>-88</v>
      </c>
      <c r="O11" s="88"/>
      <c r="P11" s="62">
        <f>(N14*((P2)/(N2))-P2-P9)</f>
        <v>431.68624865253241</v>
      </c>
      <c r="Q11" s="57"/>
      <c r="R11" s="88"/>
      <c r="S11" s="62"/>
      <c r="T11" s="39"/>
      <c r="U11" s="39"/>
      <c r="V11" s="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22"/>
      <c r="AR11" s="43"/>
      <c r="AS11" s="12" t="e">
        <f>#REF!</f>
        <v>#REF!</v>
      </c>
      <c r="AW11" s="2"/>
    </row>
    <row r="12" spans="1:49" s="4" customFormat="1" ht="17.25" customHeight="1" x14ac:dyDescent="0.25">
      <c r="A12" s="23"/>
      <c r="B12" s="201"/>
      <c r="C12" s="203"/>
      <c r="D12" s="64"/>
      <c r="E12" s="64"/>
      <c r="F12" s="64"/>
      <c r="G12" s="64"/>
      <c r="H12" s="64"/>
      <c r="I12" s="64"/>
      <c r="J12" s="64"/>
      <c r="K12" s="57"/>
      <c r="L12" s="88"/>
      <c r="M12" s="62"/>
      <c r="N12" s="57"/>
      <c r="O12" s="88"/>
      <c r="P12" s="62"/>
      <c r="Q12" s="57"/>
      <c r="R12" s="88"/>
      <c r="S12" s="62"/>
      <c r="T12" s="39"/>
      <c r="U12" s="39"/>
      <c r="V12" s="39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22"/>
      <c r="AR12" s="43">
        <f>A3</f>
        <v>46113</v>
      </c>
      <c r="AS12" s="12" t="e">
        <f>#REF!</f>
        <v>#REF!</v>
      </c>
      <c r="AW12" s="2"/>
    </row>
    <row r="13" spans="1:49" s="2" customFormat="1" ht="17.25" customHeight="1" thickBot="1" x14ac:dyDescent="0.3">
      <c r="A13" s="56"/>
      <c r="B13" s="101" t="s">
        <v>102</v>
      </c>
      <c r="C13" s="102">
        <f>D14+E14+F14+G14+H14+I14+J14+M14+P14</f>
        <v>117368.42954000011</v>
      </c>
      <c r="D13" s="85"/>
      <c r="E13" s="85"/>
      <c r="F13" s="85"/>
      <c r="G13" s="85"/>
      <c r="H13" s="85"/>
      <c r="I13" s="85"/>
      <c r="J13" s="85"/>
      <c r="K13" s="97"/>
      <c r="L13" s="98"/>
      <c r="M13" s="99">
        <f>K13*L13</f>
        <v>0</v>
      </c>
      <c r="N13" s="97"/>
      <c r="O13" s="98"/>
      <c r="P13" s="99">
        <f>N13*O13</f>
        <v>0</v>
      </c>
      <c r="Q13" s="97"/>
      <c r="R13" s="98"/>
      <c r="S13" s="99">
        <f>Q13*R13</f>
        <v>0</v>
      </c>
      <c r="T13" s="51"/>
      <c r="U13" s="51"/>
      <c r="V13" s="51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42">
        <f>SUM($T2:AQ13)</f>
        <v>-487087.82890000002</v>
      </c>
      <c r="AT13" s="33"/>
      <c r="AU13" s="27"/>
      <c r="AV13" s="2" t="s">
        <v>5</v>
      </c>
    </row>
    <row r="14" spans="1:49" s="2" customFormat="1" ht="17.25" customHeight="1" thickTop="1" thickBot="1" x14ac:dyDescent="0.3">
      <c r="A14" s="103"/>
      <c r="B14" s="104" t="s">
        <v>103</v>
      </c>
      <c r="C14" s="105">
        <f>AR14</f>
        <v>-369719.39935999992</v>
      </c>
      <c r="D14" s="106">
        <f t="shared" ref="D14:K14" si="0">SUM(D2:D13)</f>
        <v>21972.197040000061</v>
      </c>
      <c r="E14" s="107">
        <f t="shared" si="0"/>
        <v>-43287.790000000008</v>
      </c>
      <c r="F14" s="107">
        <f t="shared" si="0"/>
        <v>0.65000000000145519</v>
      </c>
      <c r="G14" s="107">
        <f t="shared" si="0"/>
        <v>0</v>
      </c>
      <c r="H14" s="107">
        <f t="shared" si="0"/>
        <v>69810.132500000051</v>
      </c>
      <c r="I14" s="107">
        <f t="shared" si="0"/>
        <v>7211.27</v>
      </c>
      <c r="J14" s="107">
        <f t="shared" si="0"/>
        <v>0</v>
      </c>
      <c r="K14" s="108">
        <f t="shared" si="0"/>
        <v>11059</v>
      </c>
      <c r="L14" s="109">
        <f>M14/K14</f>
        <v>5.146592820327335</v>
      </c>
      <c r="M14" s="107">
        <f>ROUND(SUM(M2:M13),2)</f>
        <v>56916.17</v>
      </c>
      <c r="N14" s="108">
        <f>SUM(N2:N13)</f>
        <v>1304</v>
      </c>
      <c r="O14" s="109">
        <f>P14/N14</f>
        <v>3.6394171779141105</v>
      </c>
      <c r="P14" s="107">
        <f>ROUND(SUM(P2:P13),2)</f>
        <v>4745.8</v>
      </c>
      <c r="Q14" s="108">
        <f>SUM(Q2:Q13)</f>
        <v>214</v>
      </c>
      <c r="R14" s="109">
        <f>S14/Q14</f>
        <v>6.099485981308411</v>
      </c>
      <c r="S14" s="107">
        <f>ROUND(SUM(S2:S13),2)</f>
        <v>1305.29</v>
      </c>
      <c r="T14" s="110">
        <f t="shared" ref="T14:AK14" si="1">SUM(T2:T13)</f>
        <v>-537317.12890000001</v>
      </c>
      <c r="U14" s="107">
        <f t="shared" si="1"/>
        <v>50229.299999999996</v>
      </c>
      <c r="V14" s="107">
        <f t="shared" si="1"/>
        <v>0</v>
      </c>
      <c r="W14" s="107">
        <f t="shared" si="1"/>
        <v>0</v>
      </c>
      <c r="X14" s="107">
        <f t="shared" si="1"/>
        <v>0</v>
      </c>
      <c r="Y14" s="107">
        <f t="shared" si="1"/>
        <v>0</v>
      </c>
      <c r="Z14" s="107">
        <f t="shared" si="1"/>
        <v>0</v>
      </c>
      <c r="AA14" s="107">
        <f t="shared" si="1"/>
        <v>0</v>
      </c>
      <c r="AB14" s="107">
        <f t="shared" si="1"/>
        <v>0</v>
      </c>
      <c r="AC14" s="107">
        <f t="shared" si="1"/>
        <v>0</v>
      </c>
      <c r="AD14" s="107">
        <f t="shared" si="1"/>
        <v>0</v>
      </c>
      <c r="AE14" s="107">
        <f t="shared" si="1"/>
        <v>0</v>
      </c>
      <c r="AF14" s="107">
        <f t="shared" si="1"/>
        <v>0</v>
      </c>
      <c r="AG14" s="107">
        <f t="shared" si="1"/>
        <v>0</v>
      </c>
      <c r="AH14" s="107">
        <f t="shared" si="1"/>
        <v>0</v>
      </c>
      <c r="AI14" s="107">
        <f t="shared" si="1"/>
        <v>0</v>
      </c>
      <c r="AJ14" s="107">
        <f t="shared" si="1"/>
        <v>0</v>
      </c>
      <c r="AK14" s="107">
        <f t="shared" si="1"/>
        <v>0</v>
      </c>
      <c r="AL14" s="107"/>
      <c r="AM14" s="107">
        <f>SUM(AM2:AM13)</f>
        <v>0</v>
      </c>
      <c r="AN14" s="107">
        <f>SUM(AN2:AN13)</f>
        <v>0</v>
      </c>
      <c r="AO14" s="107">
        <f>SUM(AO2:AO13)</f>
        <v>0</v>
      </c>
      <c r="AP14" s="107">
        <f>SUM(AP2:AP13)</f>
        <v>0</v>
      </c>
      <c r="AQ14" s="107">
        <f>SUM(AQ2:AQ13)</f>
        <v>0</v>
      </c>
      <c r="AR14" s="111">
        <f>D14+E14+F14+G14+H14+I14+J14+M14+P14+SUM(T14:AQ14)</f>
        <v>-369719.39935999992</v>
      </c>
      <c r="AS14" s="4"/>
      <c r="AT14" s="5"/>
      <c r="AU14" s="5"/>
      <c r="AV14" s="2" t="s">
        <v>6</v>
      </c>
    </row>
    <row r="15" spans="1:49" s="4" customFormat="1" ht="17.25" customHeight="1" thickTop="1" x14ac:dyDescent="0.25">
      <c r="A15" s="23">
        <f>A3+1</f>
        <v>46114</v>
      </c>
      <c r="B15" s="201" t="s">
        <v>64</v>
      </c>
      <c r="C15" s="202"/>
      <c r="D15" s="65">
        <v>7034.51</v>
      </c>
      <c r="E15" s="64"/>
      <c r="F15" s="64"/>
      <c r="G15" s="64"/>
      <c r="H15" s="64"/>
      <c r="I15" s="64">
        <f>-D15</f>
        <v>-7034.51</v>
      </c>
      <c r="J15" s="66"/>
      <c r="K15" s="18"/>
      <c r="L15" s="91"/>
      <c r="M15" s="66"/>
      <c r="N15" s="18"/>
      <c r="O15" s="91"/>
      <c r="P15" s="66"/>
      <c r="Q15" s="18"/>
      <c r="R15" s="91"/>
      <c r="S15" s="66"/>
      <c r="T15" s="46"/>
      <c r="U15" s="46"/>
      <c r="V15" s="45"/>
      <c r="W15" s="18"/>
      <c r="X15" s="18"/>
      <c r="Y15" s="18"/>
      <c r="Z15" s="18"/>
      <c r="AA15" s="18"/>
      <c r="AB15" s="14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7"/>
      <c r="AR15" s="13"/>
      <c r="AS15" s="12" t="e">
        <f>#REF!</f>
        <v>#REF!</v>
      </c>
    </row>
    <row r="16" spans="1:49" s="4" customFormat="1" ht="17.25" customHeight="1" x14ac:dyDescent="0.25">
      <c r="A16" s="23"/>
      <c r="B16" s="201" t="s">
        <v>96</v>
      </c>
      <c r="C16" s="202"/>
      <c r="D16" s="65"/>
      <c r="E16" s="64"/>
      <c r="F16" s="64"/>
      <c r="G16" s="64"/>
      <c r="H16" s="64"/>
      <c r="I16" s="64">
        <f>-I14-I15</f>
        <v>-176.76000000000022</v>
      </c>
      <c r="J16" s="66"/>
      <c r="K16" s="18"/>
      <c r="L16" s="91"/>
      <c r="M16" s="66"/>
      <c r="N16" s="18"/>
      <c r="O16" s="91"/>
      <c r="P16" s="66"/>
      <c r="Q16" s="18"/>
      <c r="R16" s="91"/>
      <c r="S16" s="66"/>
      <c r="T16" s="46"/>
      <c r="U16" s="46"/>
      <c r="V16" s="45"/>
      <c r="W16" s="18"/>
      <c r="X16" s="18"/>
      <c r="Y16" s="18"/>
      <c r="Z16" s="18"/>
      <c r="AA16" s="18"/>
      <c r="AB16" s="14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7"/>
      <c r="AR16" s="13"/>
      <c r="AS16" s="12" t="e">
        <f>#REF!</f>
        <v>#REF!</v>
      </c>
    </row>
    <row r="17" spans="1:49" s="4" customFormat="1" ht="17.25" customHeight="1" x14ac:dyDescent="0.25">
      <c r="A17" s="23"/>
      <c r="B17" s="201" t="s">
        <v>327</v>
      </c>
      <c r="C17" s="202"/>
      <c r="D17" s="63">
        <f>172+50+50+100+50+100+50+100+50+51.6+80+100</f>
        <v>953.6</v>
      </c>
      <c r="E17" s="64"/>
      <c r="F17" s="64"/>
      <c r="G17" s="64"/>
      <c r="H17" s="64"/>
      <c r="I17" s="64">
        <f>-D17</f>
        <v>-953.6</v>
      </c>
      <c r="J17" s="66"/>
      <c r="K17" s="18"/>
      <c r="L17" s="91"/>
      <c r="M17" s="66"/>
      <c r="N17" s="18"/>
      <c r="O17" s="91"/>
      <c r="P17" s="66"/>
      <c r="Q17" s="18"/>
      <c r="R17" s="91"/>
      <c r="S17" s="66"/>
      <c r="T17" s="46"/>
      <c r="U17" s="46"/>
      <c r="V17" s="45"/>
      <c r="W17" s="18"/>
      <c r="X17" s="18"/>
      <c r="Y17" s="18"/>
      <c r="Z17" s="18"/>
      <c r="AA17" s="18"/>
      <c r="AB17" s="14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7"/>
      <c r="AR17" s="13"/>
      <c r="AS17" s="12" t="e">
        <f>#REF!</f>
        <v>#REF!</v>
      </c>
    </row>
    <row r="18" spans="1:49" s="4" customFormat="1" ht="17.25" customHeight="1" x14ac:dyDescent="0.25">
      <c r="A18" s="23"/>
      <c r="B18" s="201" t="s">
        <v>328</v>
      </c>
      <c r="C18" s="202"/>
      <c r="D18" s="63">
        <f>-11*0.99-1.38</f>
        <v>-12.27</v>
      </c>
      <c r="E18" s="64"/>
      <c r="F18" s="64"/>
      <c r="G18" s="64"/>
      <c r="H18" s="64"/>
      <c r="I18" s="64"/>
      <c r="J18" s="66"/>
      <c r="K18" s="18"/>
      <c r="L18" s="91"/>
      <c r="M18" s="66"/>
      <c r="N18" s="18"/>
      <c r="O18" s="91"/>
      <c r="P18" s="66"/>
      <c r="Q18" s="18"/>
      <c r="R18" s="91"/>
      <c r="S18" s="66"/>
      <c r="T18" s="46"/>
      <c r="U18" s="46"/>
      <c r="V18" s="45"/>
      <c r="W18" s="18"/>
      <c r="X18" s="18"/>
      <c r="Y18" s="18"/>
      <c r="Z18" s="18"/>
      <c r="AA18" s="18"/>
      <c r="AB18" s="14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7"/>
      <c r="AR18" s="13"/>
      <c r="AS18" s="12" t="e">
        <f>#REF!</f>
        <v>#REF!</v>
      </c>
    </row>
    <row r="19" spans="1:49" s="4" customFormat="1" ht="17.25" customHeight="1" x14ac:dyDescent="0.25">
      <c r="A19" s="23"/>
      <c r="B19" s="201" t="s">
        <v>76</v>
      </c>
      <c r="C19" s="202"/>
      <c r="D19" s="63">
        <v>28395</v>
      </c>
      <c r="E19" s="64"/>
      <c r="F19" s="64">
        <f>-D19</f>
        <v>-28395</v>
      </c>
      <c r="G19" s="64"/>
      <c r="H19" s="64"/>
      <c r="I19" s="64"/>
      <c r="J19" s="64"/>
      <c r="K19" s="16"/>
      <c r="L19" s="92"/>
      <c r="M19" s="64"/>
      <c r="N19" s="16"/>
      <c r="O19" s="92"/>
      <c r="P19" s="64"/>
      <c r="Q19" s="16"/>
      <c r="R19" s="92"/>
      <c r="S19" s="64"/>
      <c r="T19" s="40"/>
      <c r="U19" s="46"/>
      <c r="V19" s="39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22"/>
      <c r="AS19" s="30"/>
    </row>
    <row r="20" spans="1:49" s="4" customFormat="1" ht="17.25" customHeight="1" x14ac:dyDescent="0.25">
      <c r="A20" s="23"/>
      <c r="B20" s="201" t="s">
        <v>13</v>
      </c>
      <c r="C20" s="203"/>
      <c r="D20" s="63"/>
      <c r="E20" s="64">
        <f>70+100+15+70+50+50+20+34+70+15+50+179+50+50+30+50+30+21+100+20+327+100+1130+1935+120+928+1168+752+1380+60</f>
        <v>8974</v>
      </c>
      <c r="F20" s="64"/>
      <c r="G20" s="64"/>
      <c r="H20" s="64">
        <f>-E20</f>
        <v>-8974</v>
      </c>
      <c r="I20" s="66"/>
      <c r="J20" s="64"/>
      <c r="K20" s="16"/>
      <c r="L20" s="92"/>
      <c r="M20" s="64"/>
      <c r="N20" s="16"/>
      <c r="O20" s="92"/>
      <c r="P20" s="64"/>
      <c r="Q20" s="16"/>
      <c r="R20" s="92"/>
      <c r="S20" s="64"/>
      <c r="T20" s="40"/>
      <c r="U20" s="46">
        <f>-D20</f>
        <v>0</v>
      </c>
      <c r="V20" s="3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22"/>
      <c r="AS20" s="30"/>
    </row>
    <row r="21" spans="1:49" s="2" customFormat="1" ht="17.25" customHeight="1" x14ac:dyDescent="0.25">
      <c r="A21" s="24"/>
      <c r="B21" s="201" t="s">
        <v>371</v>
      </c>
      <c r="C21" s="203"/>
      <c r="D21" s="63"/>
      <c r="E21" s="64">
        <v>-184.86</v>
      </c>
      <c r="F21" s="64"/>
      <c r="G21" s="64"/>
      <c r="H21" s="64"/>
      <c r="I21" s="64"/>
      <c r="J21" s="64"/>
      <c r="K21" s="16"/>
      <c r="L21" s="92"/>
      <c r="M21" s="64"/>
      <c r="N21" s="16"/>
      <c r="O21" s="92"/>
      <c r="P21" s="64"/>
      <c r="Q21" s="16"/>
      <c r="R21" s="92"/>
      <c r="S21" s="64"/>
      <c r="T21" s="39"/>
      <c r="U21" s="39"/>
      <c r="V21" s="39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22"/>
      <c r="AT21" s="10"/>
      <c r="AU21" s="11"/>
    </row>
    <row r="22" spans="1:49" s="2" customFormat="1" ht="17.25" customHeight="1" x14ac:dyDescent="0.25">
      <c r="A22" s="24"/>
      <c r="B22" s="201" t="s">
        <v>276</v>
      </c>
      <c r="C22" s="203"/>
      <c r="D22" s="63">
        <f>-4.9-4.9</f>
        <v>-9.8000000000000007</v>
      </c>
      <c r="E22" s="64"/>
      <c r="F22" s="64"/>
      <c r="G22" s="64"/>
      <c r="H22" s="64"/>
      <c r="I22" s="64"/>
      <c r="J22" s="64"/>
      <c r="K22" s="16"/>
      <c r="L22" s="92"/>
      <c r="M22" s="64"/>
      <c r="N22" s="16"/>
      <c r="O22" s="92"/>
      <c r="P22" s="64"/>
      <c r="Q22" s="16"/>
      <c r="R22" s="92"/>
      <c r="S22" s="64"/>
      <c r="T22" s="39"/>
      <c r="U22" s="39"/>
      <c r="V22" s="39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22"/>
      <c r="AT22" s="10"/>
      <c r="AU22" s="11"/>
    </row>
    <row r="23" spans="1:49" s="4" customFormat="1" ht="17.25" customHeight="1" thickBot="1" x14ac:dyDescent="0.3">
      <c r="A23" s="24"/>
      <c r="B23" s="246"/>
      <c r="C23" s="246"/>
      <c r="D23" s="81"/>
      <c r="E23" s="81"/>
      <c r="F23" s="81"/>
      <c r="G23" s="81"/>
      <c r="H23" s="81"/>
      <c r="I23" s="81"/>
      <c r="J23" s="81"/>
      <c r="K23" s="59"/>
      <c r="L23" s="90"/>
      <c r="M23" s="136"/>
      <c r="N23" s="59"/>
      <c r="O23" s="90"/>
      <c r="P23" s="136"/>
      <c r="Q23" s="59"/>
      <c r="R23" s="90"/>
      <c r="S23" s="136"/>
      <c r="T23" s="39"/>
      <c r="U23" s="39"/>
      <c r="V23" s="39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22"/>
      <c r="AR23" s="43"/>
      <c r="AS23" s="12" t="e">
        <f>#REF!</f>
        <v>#REF!</v>
      </c>
      <c r="AW23" s="2"/>
    </row>
    <row r="24" spans="1:49" s="4" customFormat="1" ht="17.25" customHeight="1" x14ac:dyDescent="0.25">
      <c r="A24" s="23"/>
      <c r="B24" s="212" t="s">
        <v>94</v>
      </c>
      <c r="C24" s="212"/>
      <c r="D24" s="66"/>
      <c r="E24" s="66"/>
      <c r="F24" s="117"/>
      <c r="G24" s="117"/>
      <c r="H24" s="66"/>
      <c r="I24" s="66"/>
      <c r="J24" s="66">
        <f>-M24</f>
        <v>8677.619999999999</v>
      </c>
      <c r="K24" s="58">
        <v>-1358</v>
      </c>
      <c r="L24" s="89">
        <v>6.39</v>
      </c>
      <c r="M24" s="73">
        <f>K24*L24</f>
        <v>-8677.619999999999</v>
      </c>
      <c r="N24" s="58"/>
      <c r="O24" s="89"/>
      <c r="P24" s="73"/>
      <c r="Q24" s="58"/>
      <c r="R24" s="89"/>
      <c r="S24" s="73"/>
      <c r="T24" s="39"/>
      <c r="U24" s="39"/>
      <c r="V24" s="8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35"/>
      <c r="AS24" s="12" t="e">
        <f>#REF!</f>
        <v>#REF!</v>
      </c>
    </row>
    <row r="25" spans="1:49" s="4" customFormat="1" ht="17.25" customHeight="1" x14ac:dyDescent="0.25">
      <c r="A25" s="24"/>
      <c r="B25" s="207" t="s">
        <v>95</v>
      </c>
      <c r="C25" s="207"/>
      <c r="D25" s="64"/>
      <c r="E25" s="64"/>
      <c r="F25" s="117"/>
      <c r="G25" s="117"/>
      <c r="H25" s="64"/>
      <c r="I25" s="64"/>
      <c r="J25" s="64">
        <f>-P25</f>
        <v>8669.32</v>
      </c>
      <c r="K25" s="57"/>
      <c r="L25" s="88"/>
      <c r="M25" s="62"/>
      <c r="N25" s="57">
        <v>-2074</v>
      </c>
      <c r="O25" s="88">
        <v>4.18</v>
      </c>
      <c r="P25" s="62">
        <f>N25*O25</f>
        <v>-8669.32</v>
      </c>
      <c r="Q25" s="57"/>
      <c r="R25" s="88"/>
      <c r="S25" s="62"/>
      <c r="T25" s="39"/>
      <c r="U25" s="39"/>
      <c r="V25" s="8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35"/>
      <c r="AS25" s="12" t="e">
        <f>#REF!</f>
        <v>#REF!</v>
      </c>
    </row>
    <row r="26" spans="1:49" s="4" customFormat="1" ht="17.25" customHeight="1" x14ac:dyDescent="0.25">
      <c r="A26" s="24"/>
      <c r="B26" s="207" t="s">
        <v>97</v>
      </c>
      <c r="C26" s="207"/>
      <c r="D26" s="64"/>
      <c r="E26" s="64"/>
      <c r="F26" s="64"/>
      <c r="G26" s="64"/>
      <c r="H26" s="64">
        <f>-J26-I26</f>
        <v>6899.1899999999987</v>
      </c>
      <c r="I26" s="64">
        <v>10447.75</v>
      </c>
      <c r="J26" s="64">
        <f>-SUM(J24:J25)</f>
        <v>-17346.939999999999</v>
      </c>
      <c r="K26" s="57"/>
      <c r="L26" s="88"/>
      <c r="M26" s="62"/>
      <c r="N26" s="57"/>
      <c r="O26" s="88"/>
      <c r="P26" s="62"/>
      <c r="Q26" s="57"/>
      <c r="R26" s="88"/>
      <c r="S26" s="62"/>
      <c r="T26" s="39"/>
      <c r="U26" s="39"/>
      <c r="V26" s="39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22"/>
      <c r="AR26" s="43"/>
      <c r="AS26" s="12" t="e">
        <f>#REF!</f>
        <v>#REF!</v>
      </c>
      <c r="AW26" s="2"/>
    </row>
    <row r="27" spans="1:49" s="4" customFormat="1" ht="17.25" customHeight="1" x14ac:dyDescent="0.25">
      <c r="A27" s="24"/>
      <c r="B27" s="207" t="s">
        <v>100</v>
      </c>
      <c r="C27" s="207"/>
      <c r="D27" s="64"/>
      <c r="E27" s="64"/>
      <c r="F27" s="64"/>
      <c r="G27" s="64"/>
      <c r="H27" s="64"/>
      <c r="I27" s="64"/>
      <c r="J27" s="64"/>
      <c r="K27" s="57">
        <v>-25</v>
      </c>
      <c r="L27" s="88"/>
      <c r="M27" s="62">
        <f>(K30*(M14)/(K14))-M14-M24</f>
        <v>1559.8821294872942</v>
      </c>
      <c r="N27" s="57">
        <v>226</v>
      </c>
      <c r="O27" s="88"/>
      <c r="P27" s="62">
        <f>(N30*(P14)/(N14))-P14-P25</f>
        <v>1943.6770552147236</v>
      </c>
      <c r="Q27" s="57"/>
      <c r="R27" s="88"/>
      <c r="S27" s="62"/>
      <c r="T27" s="39"/>
      <c r="U27" s="39"/>
      <c r="V27" s="39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22"/>
      <c r="AR27" s="43"/>
      <c r="AS27" s="12" t="e">
        <f>#REF!</f>
        <v>#REF!</v>
      </c>
      <c r="AW27" s="2"/>
    </row>
    <row r="28" spans="1:49" s="4" customFormat="1" ht="17.25" customHeight="1" x14ac:dyDescent="0.25">
      <c r="A28" s="24"/>
      <c r="B28" s="201"/>
      <c r="C28" s="202"/>
      <c r="D28" s="64"/>
      <c r="E28" s="64"/>
      <c r="F28" s="117"/>
      <c r="G28" s="117"/>
      <c r="H28" s="64"/>
      <c r="I28" s="64"/>
      <c r="J28" s="64"/>
      <c r="K28" s="16"/>
      <c r="L28" s="92"/>
      <c r="M28" s="64"/>
      <c r="N28" s="16"/>
      <c r="O28" s="92"/>
      <c r="P28" s="64"/>
      <c r="Q28" s="16"/>
      <c r="R28" s="92"/>
      <c r="S28" s="64"/>
      <c r="T28" s="47"/>
      <c r="U28" s="39"/>
      <c r="V28" s="8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43">
        <f>A15</f>
        <v>46114</v>
      </c>
      <c r="AS28" s="12" t="e">
        <f>#REF!</f>
        <v>#REF!</v>
      </c>
    </row>
    <row r="29" spans="1:49" s="4" customFormat="1" ht="17.25" customHeight="1" thickBot="1" x14ac:dyDescent="0.3">
      <c r="A29" s="32"/>
      <c r="B29" s="101" t="s">
        <v>102</v>
      </c>
      <c r="C29" s="102">
        <f>D30+E30+F30+G30+H30+I30+J30+M30+P30</f>
        <v>120488.29954000009</v>
      </c>
      <c r="D29" s="96"/>
      <c r="E29" s="85"/>
      <c r="F29" s="120"/>
      <c r="G29" s="120"/>
      <c r="H29" s="85"/>
      <c r="I29" s="85"/>
      <c r="J29" s="85"/>
      <c r="K29" s="28"/>
      <c r="L29" s="112"/>
      <c r="M29" s="85"/>
      <c r="N29" s="28"/>
      <c r="O29" s="112"/>
      <c r="P29" s="85"/>
      <c r="Q29" s="28"/>
      <c r="R29" s="112"/>
      <c r="S29" s="85"/>
      <c r="T29" s="113"/>
      <c r="U29" s="51"/>
      <c r="V29" s="87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42">
        <f>SUM($T14:AQ29)</f>
        <v>-487087.82890000002</v>
      </c>
      <c r="AS29" s="2"/>
      <c r="AT29" s="33"/>
      <c r="AU29" s="27"/>
      <c r="AV29" s="2" t="s">
        <v>5</v>
      </c>
    </row>
    <row r="30" spans="1:49" s="2" customFormat="1" ht="17.25" customHeight="1" thickTop="1" thickBot="1" x14ac:dyDescent="0.3">
      <c r="A30" s="103"/>
      <c r="B30" s="104" t="s">
        <v>103</v>
      </c>
      <c r="C30" s="105">
        <f>AR30</f>
        <v>-366599.52935999993</v>
      </c>
      <c r="D30" s="106">
        <f t="shared" ref="D30:K30" si="2">SUM(D14:D29)</f>
        <v>58333.237040000051</v>
      </c>
      <c r="E30" s="107">
        <f t="shared" si="2"/>
        <v>-34498.650000000009</v>
      </c>
      <c r="F30" s="107">
        <f t="shared" si="2"/>
        <v>-28394.35</v>
      </c>
      <c r="G30" s="107">
        <f t="shared" si="2"/>
        <v>0</v>
      </c>
      <c r="H30" s="107">
        <f t="shared" si="2"/>
        <v>67735.322500000053</v>
      </c>
      <c r="I30" s="107">
        <f t="shared" si="2"/>
        <v>9494.15</v>
      </c>
      <c r="J30" s="107">
        <f t="shared" si="2"/>
        <v>0</v>
      </c>
      <c r="K30" s="108">
        <f t="shared" si="2"/>
        <v>9676</v>
      </c>
      <c r="L30" s="109">
        <f>M30/K30</f>
        <v>5.1465926002480362</v>
      </c>
      <c r="M30" s="107">
        <f>ROUND(SUM(M14:M29),2)</f>
        <v>49798.43</v>
      </c>
      <c r="N30" s="108">
        <f>SUM(N14:N29)</f>
        <v>-544</v>
      </c>
      <c r="O30" s="114">
        <f>P30/N30</f>
        <v>3.6394117647058821</v>
      </c>
      <c r="P30" s="107">
        <f>ROUND(SUM(P14:P29),2)</f>
        <v>-1979.84</v>
      </c>
      <c r="Q30" s="108">
        <f>SUM(Q14:Q29)</f>
        <v>214</v>
      </c>
      <c r="R30" s="114">
        <f>S30/Q30</f>
        <v>6.099485981308411</v>
      </c>
      <c r="S30" s="107">
        <f>ROUND(SUM(S14:S29),2)</f>
        <v>1305.29</v>
      </c>
      <c r="T30" s="115">
        <f t="shared" ref="T30:AQ30" si="3">SUM(T14:T29)</f>
        <v>-537317.12890000001</v>
      </c>
      <c r="U30" s="107">
        <f t="shared" si="3"/>
        <v>50229.299999999996</v>
      </c>
      <c r="V30" s="107">
        <f t="shared" si="3"/>
        <v>0</v>
      </c>
      <c r="W30" s="107">
        <f t="shared" si="3"/>
        <v>0</v>
      </c>
      <c r="X30" s="107">
        <f t="shared" si="3"/>
        <v>0</v>
      </c>
      <c r="Y30" s="107">
        <f t="shared" si="3"/>
        <v>0</v>
      </c>
      <c r="Z30" s="107">
        <f t="shared" si="3"/>
        <v>0</v>
      </c>
      <c r="AA30" s="107">
        <f t="shared" si="3"/>
        <v>0</v>
      </c>
      <c r="AB30" s="107">
        <f t="shared" si="3"/>
        <v>0</v>
      </c>
      <c r="AC30" s="107">
        <f t="shared" si="3"/>
        <v>0</v>
      </c>
      <c r="AD30" s="107">
        <f t="shared" si="3"/>
        <v>0</v>
      </c>
      <c r="AE30" s="107">
        <f t="shared" si="3"/>
        <v>0</v>
      </c>
      <c r="AF30" s="107">
        <f t="shared" si="3"/>
        <v>0</v>
      </c>
      <c r="AG30" s="107">
        <f t="shared" si="3"/>
        <v>0</v>
      </c>
      <c r="AH30" s="107">
        <f t="shared" si="3"/>
        <v>0</v>
      </c>
      <c r="AI30" s="107">
        <f t="shared" si="3"/>
        <v>0</v>
      </c>
      <c r="AJ30" s="107">
        <f t="shared" si="3"/>
        <v>0</v>
      </c>
      <c r="AK30" s="107">
        <f t="shared" si="3"/>
        <v>0</v>
      </c>
      <c r="AL30" s="107">
        <f t="shared" si="3"/>
        <v>0</v>
      </c>
      <c r="AM30" s="107">
        <f t="shared" si="3"/>
        <v>0</v>
      </c>
      <c r="AN30" s="107">
        <f t="shared" si="3"/>
        <v>0</v>
      </c>
      <c r="AO30" s="107">
        <f t="shared" si="3"/>
        <v>0</v>
      </c>
      <c r="AP30" s="107">
        <f t="shared" si="3"/>
        <v>0</v>
      </c>
      <c r="AQ30" s="107">
        <f t="shared" si="3"/>
        <v>0</v>
      </c>
      <c r="AR30" s="111">
        <f>D30+E30+F30+G30+H30+I30+J30+M30+P30+SUM(T30:AQ30)</f>
        <v>-366599.52935999993</v>
      </c>
      <c r="AS30" s="4"/>
      <c r="AT30" s="5"/>
      <c r="AU30" s="5"/>
      <c r="AV30" s="2" t="s">
        <v>6</v>
      </c>
    </row>
    <row r="31" spans="1:49" s="2" customFormat="1" ht="17.25" customHeight="1" thickTop="1" x14ac:dyDescent="0.25">
      <c r="A31" s="23">
        <f>A15+1</f>
        <v>46115</v>
      </c>
      <c r="B31" s="210" t="s">
        <v>64</v>
      </c>
      <c r="C31" s="203"/>
      <c r="D31" s="63">
        <v>9494.15</v>
      </c>
      <c r="E31" s="66"/>
      <c r="F31" s="66"/>
      <c r="G31" s="66"/>
      <c r="H31" s="66"/>
      <c r="I31" s="66">
        <f>-D31</f>
        <v>-9494.15</v>
      </c>
      <c r="J31" s="66"/>
      <c r="K31" s="18"/>
      <c r="L31" s="91"/>
      <c r="M31" s="66"/>
      <c r="N31" s="18"/>
      <c r="O31" s="91"/>
      <c r="P31" s="66"/>
      <c r="Q31" s="18"/>
      <c r="R31" s="91"/>
      <c r="S31" s="66"/>
      <c r="T31" s="46"/>
      <c r="U31" s="46"/>
      <c r="V31" s="45"/>
      <c r="W31" s="18"/>
      <c r="X31" s="18"/>
      <c r="Y31" s="18"/>
      <c r="Z31" s="18"/>
      <c r="AA31" s="18"/>
      <c r="AB31" s="14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7"/>
      <c r="AR31" s="13"/>
      <c r="AT31" s="10"/>
      <c r="AU31" s="27"/>
    </row>
    <row r="32" spans="1:49" s="4" customFormat="1" ht="17.25" customHeight="1" x14ac:dyDescent="0.25">
      <c r="A32" s="23"/>
      <c r="B32" s="201" t="s">
        <v>96</v>
      </c>
      <c r="C32" s="202"/>
      <c r="D32" s="63"/>
      <c r="E32" s="64"/>
      <c r="F32" s="64"/>
      <c r="G32" s="64"/>
      <c r="H32" s="64"/>
      <c r="I32" s="64">
        <f>-I30-I31</f>
        <v>0</v>
      </c>
      <c r="J32" s="64"/>
      <c r="K32" s="16"/>
      <c r="L32" s="92"/>
      <c r="M32" s="64"/>
      <c r="N32" s="16"/>
      <c r="O32" s="92"/>
      <c r="P32" s="64"/>
      <c r="Q32" s="16"/>
      <c r="R32" s="92"/>
      <c r="S32" s="64"/>
      <c r="T32" s="40"/>
      <c r="U32" s="46"/>
      <c r="V32" s="39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22"/>
      <c r="AS32" s="30"/>
    </row>
    <row r="33" spans="1:49" s="2" customFormat="1" ht="17.25" customHeight="1" x14ac:dyDescent="0.25">
      <c r="A33" s="29"/>
      <c r="B33" s="201" t="s">
        <v>327</v>
      </c>
      <c r="C33" s="202"/>
      <c r="D33" s="63">
        <f>50+15+9+30+20+50+40+30+20+31+20+50+100+25+13.48</f>
        <v>503.48</v>
      </c>
      <c r="E33" s="64"/>
      <c r="F33" s="64"/>
      <c r="G33" s="64"/>
      <c r="H33" s="64"/>
      <c r="I33" s="64">
        <f>-D33</f>
        <v>-503.48</v>
      </c>
      <c r="J33" s="64"/>
      <c r="K33" s="57"/>
      <c r="L33" s="88"/>
      <c r="M33" s="62"/>
      <c r="N33" s="57"/>
      <c r="O33" s="88"/>
      <c r="P33" s="62"/>
      <c r="Q33" s="57"/>
      <c r="R33" s="88"/>
      <c r="S33" s="62"/>
      <c r="T33" s="47"/>
      <c r="U33" s="39"/>
      <c r="V33" s="39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22"/>
      <c r="AT33" s="10"/>
      <c r="AU33" s="11"/>
    </row>
    <row r="34" spans="1:49" s="2" customFormat="1" ht="17.25" customHeight="1" x14ac:dyDescent="0.25">
      <c r="A34" s="29"/>
      <c r="B34" s="201" t="s">
        <v>328</v>
      </c>
      <c r="C34" s="202"/>
      <c r="D34" s="63">
        <f>-15*0.99</f>
        <v>-14.85</v>
      </c>
      <c r="E34" s="64"/>
      <c r="F34" s="64"/>
      <c r="G34" s="64"/>
      <c r="H34" s="64"/>
      <c r="I34" s="64"/>
      <c r="J34" s="64"/>
      <c r="K34" s="57"/>
      <c r="L34" s="88"/>
      <c r="M34" s="62"/>
      <c r="N34" s="57"/>
      <c r="O34" s="88"/>
      <c r="P34" s="62"/>
      <c r="Q34" s="57"/>
      <c r="R34" s="88"/>
      <c r="S34" s="62"/>
      <c r="T34" s="47"/>
      <c r="U34" s="39"/>
      <c r="V34" s="39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22"/>
      <c r="AT34" s="10"/>
      <c r="AU34" s="11"/>
    </row>
    <row r="35" spans="1:49" s="4" customFormat="1" ht="17.25" customHeight="1" x14ac:dyDescent="0.25">
      <c r="A35" s="23"/>
      <c r="B35" s="205" t="s">
        <v>336</v>
      </c>
      <c r="C35" s="206"/>
      <c r="D35" s="63">
        <v>-25300</v>
      </c>
      <c r="E35" s="64"/>
      <c r="F35" s="64"/>
      <c r="G35" s="64"/>
      <c r="H35" s="64"/>
      <c r="I35" s="66"/>
      <c r="J35" s="64"/>
      <c r="K35" s="16"/>
      <c r="L35" s="92"/>
      <c r="M35" s="64"/>
      <c r="N35" s="16"/>
      <c r="O35" s="92"/>
      <c r="P35" s="64"/>
      <c r="Q35" s="16"/>
      <c r="R35" s="92"/>
      <c r="S35" s="64"/>
      <c r="T35" s="40">
        <f>-D35</f>
        <v>25300</v>
      </c>
      <c r="U35" s="46"/>
      <c r="V35" s="39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22"/>
      <c r="AS35" s="30"/>
    </row>
    <row r="36" spans="1:49" s="2" customFormat="1" ht="17.25" customHeight="1" x14ac:dyDescent="0.25">
      <c r="A36" s="24"/>
      <c r="B36" s="201" t="s">
        <v>276</v>
      </c>
      <c r="C36" s="203"/>
      <c r="D36" s="63">
        <v>-4.9000000000000004</v>
      </c>
      <c r="E36" s="64"/>
      <c r="F36" s="64"/>
      <c r="G36" s="64"/>
      <c r="H36" s="64"/>
      <c r="I36" s="64"/>
      <c r="J36" s="64"/>
      <c r="K36" s="16"/>
      <c r="L36" s="92"/>
      <c r="M36" s="64"/>
      <c r="N36" s="16"/>
      <c r="O36" s="92"/>
      <c r="P36" s="64"/>
      <c r="Q36" s="16"/>
      <c r="R36" s="92"/>
      <c r="S36" s="64"/>
      <c r="T36" s="39"/>
      <c r="U36" s="39"/>
      <c r="V36" s="39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22"/>
      <c r="AT36" s="10"/>
      <c r="AU36" s="11"/>
    </row>
    <row r="37" spans="1:49" s="4" customFormat="1" ht="17.25" customHeight="1" x14ac:dyDescent="0.25">
      <c r="A37" s="23"/>
      <c r="B37" s="201" t="s">
        <v>13</v>
      </c>
      <c r="C37" s="203"/>
      <c r="D37" s="63"/>
      <c r="E37" s="64">
        <f>125+100+70+60+50+80+70</f>
        <v>555</v>
      </c>
      <c r="F37" s="64"/>
      <c r="G37" s="64"/>
      <c r="H37" s="64">
        <f>-E37</f>
        <v>-555</v>
      </c>
      <c r="I37" s="66"/>
      <c r="J37" s="64"/>
      <c r="K37" s="16"/>
      <c r="L37" s="92"/>
      <c r="M37" s="64"/>
      <c r="N37" s="16"/>
      <c r="O37" s="92"/>
      <c r="P37" s="64"/>
      <c r="Q37" s="16"/>
      <c r="R37" s="92"/>
      <c r="S37" s="64"/>
      <c r="T37" s="40"/>
      <c r="U37" s="46">
        <f>-D37</f>
        <v>0</v>
      </c>
      <c r="V37" s="39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22"/>
      <c r="AS37" s="30"/>
    </row>
    <row r="38" spans="1:49" s="2" customFormat="1" ht="17.25" customHeight="1" x14ac:dyDescent="0.25">
      <c r="A38" s="24"/>
      <c r="B38" s="201" t="s">
        <v>372</v>
      </c>
      <c r="C38" s="203"/>
      <c r="D38" s="63"/>
      <c r="E38" s="64">
        <v>-76</v>
      </c>
      <c r="F38" s="64"/>
      <c r="G38" s="64"/>
      <c r="H38" s="64"/>
      <c r="I38" s="64"/>
      <c r="J38" s="64"/>
      <c r="K38" s="16"/>
      <c r="L38" s="92"/>
      <c r="M38" s="64"/>
      <c r="N38" s="16"/>
      <c r="O38" s="92"/>
      <c r="P38" s="64"/>
      <c r="Q38" s="16"/>
      <c r="R38" s="92"/>
      <c r="S38" s="64"/>
      <c r="T38" s="39"/>
      <c r="U38" s="39"/>
      <c r="V38" s="39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22"/>
      <c r="AT38" s="10"/>
      <c r="AU38" s="11"/>
    </row>
    <row r="39" spans="1:49" s="2" customFormat="1" ht="17.25" customHeight="1" x14ac:dyDescent="0.25">
      <c r="A39" s="24"/>
      <c r="B39" s="201" t="s">
        <v>176</v>
      </c>
      <c r="C39" s="203"/>
      <c r="D39" s="119"/>
      <c r="E39" s="64">
        <v>-268.83999999999997</v>
      </c>
      <c r="F39" s="64"/>
      <c r="G39" s="64"/>
      <c r="H39" s="64"/>
      <c r="I39" s="64"/>
      <c r="J39" s="64"/>
      <c r="K39" s="16"/>
      <c r="L39" s="92"/>
      <c r="M39" s="64"/>
      <c r="N39" s="16"/>
      <c r="O39" s="92"/>
      <c r="P39" s="64"/>
      <c r="Q39" s="16"/>
      <c r="R39" s="92"/>
      <c r="S39" s="64"/>
      <c r="T39" s="39"/>
      <c r="U39" s="39"/>
      <c r="V39" s="39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22"/>
      <c r="AT39" s="10"/>
      <c r="AU39" s="11"/>
    </row>
    <row r="40" spans="1:49" s="2" customFormat="1" ht="17.25" customHeight="1" x14ac:dyDescent="0.25">
      <c r="A40" s="29"/>
      <c r="B40" s="205" t="s">
        <v>263</v>
      </c>
      <c r="C40" s="250"/>
      <c r="D40" s="63"/>
      <c r="E40" s="64">
        <v>-24700</v>
      </c>
      <c r="F40" s="64"/>
      <c r="G40" s="64"/>
      <c r="H40" s="64"/>
      <c r="I40" s="64"/>
      <c r="J40" s="64"/>
      <c r="K40" s="57"/>
      <c r="L40" s="88"/>
      <c r="M40" s="62"/>
      <c r="N40" s="57"/>
      <c r="O40" s="88"/>
      <c r="P40" s="62"/>
      <c r="Q40" s="57"/>
      <c r="R40" s="88"/>
      <c r="S40" s="62"/>
      <c r="T40" s="47">
        <f>-E40</f>
        <v>24700</v>
      </c>
      <c r="U40" s="39"/>
      <c r="V40" s="39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22"/>
      <c r="AT40" s="10"/>
      <c r="AU40" s="11"/>
    </row>
    <row r="41" spans="1:49" s="4" customFormat="1" ht="17.25" customHeight="1" thickBot="1" x14ac:dyDescent="0.25">
      <c r="A41" s="23"/>
      <c r="B41" s="216"/>
      <c r="C41" s="242"/>
      <c r="D41" s="83"/>
      <c r="E41" s="81"/>
      <c r="F41" s="81"/>
      <c r="G41" s="81"/>
      <c r="H41" s="81"/>
      <c r="I41" s="81"/>
      <c r="J41" s="81"/>
      <c r="K41" s="37"/>
      <c r="L41" s="93"/>
      <c r="M41" s="81"/>
      <c r="N41" s="37"/>
      <c r="O41" s="93"/>
      <c r="P41" s="81"/>
      <c r="Q41" s="37"/>
      <c r="R41" s="93"/>
      <c r="S41" s="81"/>
      <c r="T41" s="46"/>
      <c r="U41" s="46"/>
      <c r="V41" s="39"/>
      <c r="W41" s="16"/>
      <c r="X41" s="16"/>
      <c r="Y41" s="16"/>
      <c r="Z41" s="16"/>
      <c r="AA41" s="16"/>
      <c r="AB41" s="19"/>
      <c r="AC41" s="16"/>
      <c r="AD41" s="16"/>
      <c r="AE41" s="16"/>
      <c r="AF41" s="16"/>
      <c r="AG41" s="16"/>
      <c r="AH41" s="16"/>
      <c r="AI41" s="16"/>
      <c r="AJ41" s="16"/>
      <c r="AK41" s="16"/>
      <c r="AL41" s="44"/>
      <c r="AM41" s="16"/>
      <c r="AN41" s="16"/>
      <c r="AO41" s="16"/>
      <c r="AP41" s="16"/>
      <c r="AQ41" s="16"/>
      <c r="AR41" s="44"/>
    </row>
    <row r="42" spans="1:49" s="4" customFormat="1" ht="17.25" customHeight="1" x14ac:dyDescent="0.25">
      <c r="A42" s="23"/>
      <c r="B42" s="210" t="s">
        <v>94</v>
      </c>
      <c r="C42" s="203"/>
      <c r="D42" s="66"/>
      <c r="E42" s="66"/>
      <c r="F42" s="117"/>
      <c r="G42" s="117"/>
      <c r="H42" s="66"/>
      <c r="I42" s="66"/>
      <c r="J42" s="66">
        <f>-M42</f>
        <v>5028.9299999999994</v>
      </c>
      <c r="K42" s="58">
        <v>-787</v>
      </c>
      <c r="L42" s="89">
        <v>6.39</v>
      </c>
      <c r="M42" s="73">
        <f>K42*L42</f>
        <v>-5028.9299999999994</v>
      </c>
      <c r="N42" s="58"/>
      <c r="O42" s="89"/>
      <c r="P42" s="73"/>
      <c r="Q42" s="58"/>
      <c r="R42" s="89"/>
      <c r="S42" s="73"/>
      <c r="T42" s="39"/>
      <c r="U42" s="39"/>
      <c r="V42" s="8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35"/>
      <c r="AS42" s="12" t="e">
        <f>#REF!</f>
        <v>#REF!</v>
      </c>
    </row>
    <row r="43" spans="1:49" s="4" customFormat="1" ht="17.25" customHeight="1" x14ac:dyDescent="0.25">
      <c r="A43" s="23"/>
      <c r="B43" s="201" t="s">
        <v>95</v>
      </c>
      <c r="C43" s="202"/>
      <c r="D43" s="64"/>
      <c r="E43" s="64"/>
      <c r="F43" s="117"/>
      <c r="G43" s="117"/>
      <c r="H43" s="64"/>
      <c r="I43" s="64"/>
      <c r="J43" s="64">
        <f>-P43</f>
        <v>6299.2599999999993</v>
      </c>
      <c r="K43" s="57"/>
      <c r="L43" s="88"/>
      <c r="M43" s="62"/>
      <c r="N43" s="57">
        <v>-1507</v>
      </c>
      <c r="O43" s="88">
        <v>4.18</v>
      </c>
      <c r="P43" s="62">
        <f>N43*O43</f>
        <v>-6299.2599999999993</v>
      </c>
      <c r="Q43" s="57"/>
      <c r="R43" s="88"/>
      <c r="S43" s="62"/>
      <c r="T43" s="39"/>
      <c r="U43" s="39"/>
      <c r="V43" s="8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35"/>
      <c r="AS43" s="12" t="e">
        <f>#REF!</f>
        <v>#REF!</v>
      </c>
    </row>
    <row r="44" spans="1:49" s="4" customFormat="1" ht="17.25" customHeight="1" x14ac:dyDescent="0.25">
      <c r="A44" s="23"/>
      <c r="B44" s="201" t="s">
        <v>97</v>
      </c>
      <c r="C44" s="203"/>
      <c r="D44" s="64"/>
      <c r="E44" s="64"/>
      <c r="F44" s="64"/>
      <c r="G44" s="64"/>
      <c r="H44" s="64">
        <f>-J44-I44</f>
        <v>1207.6299999999992</v>
      </c>
      <c r="I44" s="64">
        <v>10120.56</v>
      </c>
      <c r="J44" s="64">
        <f>-SUM(J42:J43)</f>
        <v>-11328.189999999999</v>
      </c>
      <c r="K44" s="57"/>
      <c r="L44" s="88"/>
      <c r="M44" s="62"/>
      <c r="N44" s="57"/>
      <c r="O44" s="88"/>
      <c r="P44" s="62"/>
      <c r="Q44" s="57"/>
      <c r="R44" s="88"/>
      <c r="S44" s="62"/>
      <c r="T44" s="39"/>
      <c r="U44" s="39"/>
      <c r="V44" s="39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22"/>
      <c r="AR44" s="43">
        <f>A20</f>
        <v>0</v>
      </c>
      <c r="AS44" s="12" t="e">
        <f>#REF!</f>
        <v>#REF!</v>
      </c>
      <c r="AW44" s="2"/>
    </row>
    <row r="45" spans="1:49" s="4" customFormat="1" ht="17.25" customHeight="1" x14ac:dyDescent="0.25">
      <c r="A45" s="23"/>
      <c r="B45" s="201" t="s">
        <v>93</v>
      </c>
      <c r="C45" s="202"/>
      <c r="D45" s="64"/>
      <c r="E45" s="64"/>
      <c r="F45" s="64"/>
      <c r="G45" s="64"/>
      <c r="H45" s="64"/>
      <c r="I45" s="64"/>
      <c r="J45" s="64"/>
      <c r="K45" s="57">
        <v>10</v>
      </c>
      <c r="L45" s="88"/>
      <c r="M45" s="62">
        <f>(K48*((M30)/(K30)))-M30-M42</f>
        <v>1030.0275496072709</v>
      </c>
      <c r="N45" s="57">
        <v>-103</v>
      </c>
      <c r="O45" s="88"/>
      <c r="P45" s="62">
        <f>(N48*((P30)/(N30)))-P30-P43</f>
        <v>439.80705882352959</v>
      </c>
      <c r="Q45" s="57"/>
      <c r="R45" s="88"/>
      <c r="S45" s="62"/>
      <c r="T45" s="39"/>
      <c r="U45" s="39"/>
      <c r="V45" s="39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22"/>
      <c r="AR45" s="43">
        <f>A19</f>
        <v>0</v>
      </c>
      <c r="AS45" s="12" t="e">
        <f>#REF!</f>
        <v>#REF!</v>
      </c>
      <c r="AW45" s="2"/>
    </row>
    <row r="46" spans="1:49" s="4" customFormat="1" ht="17.25" customHeight="1" x14ac:dyDescent="0.2">
      <c r="A46" s="23"/>
      <c r="B46" s="201"/>
      <c r="C46" s="202"/>
      <c r="D46" s="63"/>
      <c r="E46" s="64"/>
      <c r="F46" s="64"/>
      <c r="G46" s="64"/>
      <c r="H46" s="64"/>
      <c r="I46" s="64"/>
      <c r="J46" s="64"/>
      <c r="K46" s="16"/>
      <c r="L46" s="92"/>
      <c r="M46" s="64"/>
      <c r="N46" s="16"/>
      <c r="O46" s="92"/>
      <c r="P46" s="64"/>
      <c r="Q46" s="16"/>
      <c r="R46" s="92"/>
      <c r="S46" s="64"/>
      <c r="T46" s="46"/>
      <c r="U46" s="46"/>
      <c r="V46" s="39"/>
      <c r="W46" s="16"/>
      <c r="X46" s="16"/>
      <c r="Y46" s="16"/>
      <c r="Z46" s="16"/>
      <c r="AA46" s="16"/>
      <c r="AB46" s="19"/>
      <c r="AC46" s="16"/>
      <c r="AD46" s="16"/>
      <c r="AE46" s="16"/>
      <c r="AF46" s="16"/>
      <c r="AG46" s="16"/>
      <c r="AH46" s="16"/>
      <c r="AI46" s="16"/>
      <c r="AJ46" s="16"/>
      <c r="AK46" s="16"/>
      <c r="AL46" s="44"/>
      <c r="AM46" s="16"/>
      <c r="AN46" s="16"/>
      <c r="AO46" s="16"/>
      <c r="AP46" s="16"/>
      <c r="AQ46" s="16"/>
      <c r="AR46" s="44"/>
    </row>
    <row r="47" spans="1:49" s="2" customFormat="1" ht="17.25" customHeight="1" thickBot="1" x14ac:dyDescent="0.3">
      <c r="A47" s="32"/>
      <c r="B47" s="101" t="s">
        <v>102</v>
      </c>
      <c r="C47" s="102">
        <f>D48+E48+F48+G48+H48+I48+J48+M48+P48</f>
        <v>71593.549540000095</v>
      </c>
      <c r="D47" s="96"/>
      <c r="E47" s="85"/>
      <c r="F47" s="85"/>
      <c r="G47" s="85"/>
      <c r="H47" s="85"/>
      <c r="I47" s="85"/>
      <c r="J47" s="85"/>
      <c r="K47" s="28"/>
      <c r="L47" s="112"/>
      <c r="M47" s="85"/>
      <c r="N47" s="28"/>
      <c r="O47" s="112"/>
      <c r="P47" s="85"/>
      <c r="Q47" s="28"/>
      <c r="R47" s="112"/>
      <c r="S47" s="85"/>
      <c r="T47" s="113"/>
      <c r="U47" s="51"/>
      <c r="V47" s="51"/>
      <c r="W47" s="28"/>
      <c r="X47" s="28"/>
      <c r="Y47" s="28"/>
      <c r="Z47" s="3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100"/>
      <c r="AR47" s="42">
        <f>SUM($T30:AQ47)</f>
        <v>-437087.82890000002</v>
      </c>
      <c r="AT47" s="33"/>
      <c r="AU47" s="27"/>
      <c r="AV47" s="2" t="s">
        <v>5</v>
      </c>
    </row>
    <row r="48" spans="1:49" s="2" customFormat="1" ht="17.25" customHeight="1" thickTop="1" thickBot="1" x14ac:dyDescent="0.3">
      <c r="A48" s="103"/>
      <c r="B48" s="104" t="s">
        <v>103</v>
      </c>
      <c r="C48" s="105">
        <f>AR48</f>
        <v>-365494.27935999993</v>
      </c>
      <c r="D48" s="106">
        <f t="shared" ref="D48:K48" si="4">SUM(D30:D47)</f>
        <v>43011.117040000034</v>
      </c>
      <c r="E48" s="107">
        <f t="shared" si="4"/>
        <v>-58988.490000000005</v>
      </c>
      <c r="F48" s="107">
        <f t="shared" si="4"/>
        <v>-28394.35</v>
      </c>
      <c r="G48" s="107">
        <f t="shared" si="4"/>
        <v>0</v>
      </c>
      <c r="H48" s="107">
        <f t="shared" si="4"/>
        <v>68387.952500000058</v>
      </c>
      <c r="I48" s="107">
        <f t="shared" si="4"/>
        <v>9617.08</v>
      </c>
      <c r="J48" s="107">
        <f t="shared" si="4"/>
        <v>0</v>
      </c>
      <c r="K48" s="108">
        <f t="shared" si="4"/>
        <v>8899</v>
      </c>
      <c r="L48" s="109">
        <f>M48/K48</f>
        <v>5.146592875604</v>
      </c>
      <c r="M48" s="107">
        <f>ROUND(SUM(M30:M47),2)</f>
        <v>45799.53</v>
      </c>
      <c r="N48" s="108">
        <f>SUM(N30:N47)</f>
        <v>-2154</v>
      </c>
      <c r="O48" s="109">
        <f>P48/N48</f>
        <v>3.639410399257196</v>
      </c>
      <c r="P48" s="107">
        <f>ROUND(SUM(P30:P47),2)</f>
        <v>-7839.29</v>
      </c>
      <c r="Q48" s="108">
        <f>SUM(Q30:Q47)</f>
        <v>214</v>
      </c>
      <c r="R48" s="109">
        <f>S48/Q48</f>
        <v>6.099485981308411</v>
      </c>
      <c r="S48" s="107">
        <f>ROUND(SUM(S30:S47),2)</f>
        <v>1305.29</v>
      </c>
      <c r="T48" s="115">
        <f t="shared" ref="T48:AQ48" si="5">SUM(T30:T47)</f>
        <v>-487317.12890000001</v>
      </c>
      <c r="U48" s="107">
        <f t="shared" si="5"/>
        <v>50229.299999999996</v>
      </c>
      <c r="V48" s="107">
        <f t="shared" si="5"/>
        <v>0</v>
      </c>
      <c r="W48" s="107">
        <f t="shared" si="5"/>
        <v>0</v>
      </c>
      <c r="X48" s="107">
        <f t="shared" si="5"/>
        <v>0</v>
      </c>
      <c r="Y48" s="107">
        <f t="shared" si="5"/>
        <v>0</v>
      </c>
      <c r="Z48" s="107">
        <f t="shared" si="5"/>
        <v>0</v>
      </c>
      <c r="AA48" s="107">
        <f t="shared" si="5"/>
        <v>0</v>
      </c>
      <c r="AB48" s="107">
        <f t="shared" si="5"/>
        <v>0</v>
      </c>
      <c r="AC48" s="107">
        <f t="shared" si="5"/>
        <v>0</v>
      </c>
      <c r="AD48" s="107">
        <f t="shared" si="5"/>
        <v>0</v>
      </c>
      <c r="AE48" s="107">
        <f t="shared" si="5"/>
        <v>0</v>
      </c>
      <c r="AF48" s="107">
        <f t="shared" si="5"/>
        <v>0</v>
      </c>
      <c r="AG48" s="107">
        <f t="shared" si="5"/>
        <v>0</v>
      </c>
      <c r="AH48" s="107">
        <f t="shared" si="5"/>
        <v>0</v>
      </c>
      <c r="AI48" s="107">
        <f t="shared" si="5"/>
        <v>0</v>
      </c>
      <c r="AJ48" s="107">
        <f t="shared" si="5"/>
        <v>0</v>
      </c>
      <c r="AK48" s="107">
        <f t="shared" si="5"/>
        <v>0</v>
      </c>
      <c r="AL48" s="107">
        <f t="shared" si="5"/>
        <v>0</v>
      </c>
      <c r="AM48" s="107">
        <f t="shared" si="5"/>
        <v>0</v>
      </c>
      <c r="AN48" s="107">
        <f t="shared" si="5"/>
        <v>0</v>
      </c>
      <c r="AO48" s="107">
        <f t="shared" si="5"/>
        <v>0</v>
      </c>
      <c r="AP48" s="107">
        <f t="shared" si="5"/>
        <v>0</v>
      </c>
      <c r="AQ48" s="107">
        <f t="shared" si="5"/>
        <v>0</v>
      </c>
      <c r="AR48" s="111">
        <f>D48+E48+F48+G48+H48+I48+J48+M48+P48+SUM(T48:AQ48)</f>
        <v>-365494.27935999993</v>
      </c>
      <c r="AS48" s="4"/>
      <c r="AT48" s="5"/>
      <c r="AU48" s="5"/>
      <c r="AV48" s="2" t="s">
        <v>6</v>
      </c>
    </row>
    <row r="49" spans="1:49" s="2" customFormat="1" ht="17.25" customHeight="1" thickTop="1" x14ac:dyDescent="0.25">
      <c r="A49" s="23">
        <f>A31+1</f>
        <v>46116</v>
      </c>
      <c r="B49" s="201" t="s">
        <v>64</v>
      </c>
      <c r="C49" s="203"/>
      <c r="D49" s="63">
        <v>9382.3700000000008</v>
      </c>
      <c r="E49" s="64"/>
      <c r="F49" s="64"/>
      <c r="G49" s="64"/>
      <c r="H49" s="64"/>
      <c r="I49" s="64">
        <f>-D49</f>
        <v>-9382.3700000000008</v>
      </c>
      <c r="J49" s="66"/>
      <c r="K49" s="18"/>
      <c r="L49" s="91"/>
      <c r="M49" s="66"/>
      <c r="N49" s="18"/>
      <c r="O49" s="91"/>
      <c r="P49" s="66"/>
      <c r="Q49" s="18"/>
      <c r="R49" s="91"/>
      <c r="S49" s="66"/>
      <c r="T49" s="46"/>
      <c r="U49" s="46"/>
      <c r="V49" s="45"/>
      <c r="W49" s="18"/>
      <c r="X49" s="18"/>
      <c r="Y49" s="18"/>
      <c r="Z49" s="18"/>
      <c r="AA49" s="18"/>
      <c r="AB49" s="14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7"/>
      <c r="AR49" s="31"/>
      <c r="AT49" s="10"/>
      <c r="AU49" s="27"/>
    </row>
    <row r="50" spans="1:49" s="2" customFormat="1" ht="17.25" customHeight="1" x14ac:dyDescent="0.25">
      <c r="A50" s="24"/>
      <c r="B50" s="201" t="s">
        <v>96</v>
      </c>
      <c r="C50" s="202"/>
      <c r="D50" s="63"/>
      <c r="E50" s="64"/>
      <c r="F50" s="64"/>
      <c r="G50" s="64"/>
      <c r="H50" s="64"/>
      <c r="I50" s="64">
        <f>-I48-I49</f>
        <v>-234.70999999999913</v>
      </c>
      <c r="J50" s="64"/>
      <c r="K50" s="16"/>
      <c r="L50" s="92"/>
      <c r="M50" s="64"/>
      <c r="N50" s="16"/>
      <c r="O50" s="92"/>
      <c r="P50" s="64"/>
      <c r="Q50" s="16"/>
      <c r="R50" s="92"/>
      <c r="S50" s="64"/>
      <c r="T50" s="46"/>
      <c r="U50" s="40"/>
      <c r="V50" s="39"/>
      <c r="W50" s="16"/>
      <c r="X50" s="16"/>
      <c r="Y50" s="16"/>
      <c r="Z50" s="16"/>
      <c r="AA50" s="16"/>
      <c r="AB50" s="19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22"/>
      <c r="AT50" s="10"/>
      <c r="AU50" s="11"/>
    </row>
    <row r="51" spans="1:49" s="2" customFormat="1" ht="17.25" customHeight="1" x14ac:dyDescent="0.25">
      <c r="A51" s="29"/>
      <c r="B51" s="201" t="s">
        <v>327</v>
      </c>
      <c r="C51" s="202"/>
      <c r="D51" s="63">
        <f>30+30+54+30+50+30+178.5+13.5+50+25+130.5+22+20</f>
        <v>663.5</v>
      </c>
      <c r="E51" s="64"/>
      <c r="F51" s="64"/>
      <c r="G51" s="64"/>
      <c r="H51" s="64"/>
      <c r="I51" s="64">
        <f>-D51</f>
        <v>-663.5</v>
      </c>
      <c r="J51" s="64"/>
      <c r="K51" s="57"/>
      <c r="L51" s="88"/>
      <c r="M51" s="62"/>
      <c r="N51" s="57"/>
      <c r="O51" s="88"/>
      <c r="P51" s="62"/>
      <c r="Q51" s="57"/>
      <c r="R51" s="88"/>
      <c r="S51" s="62"/>
      <c r="T51" s="47"/>
      <c r="U51" s="39"/>
      <c r="V51" s="39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22"/>
      <c r="AT51" s="10"/>
      <c r="AU51" s="11"/>
    </row>
    <row r="52" spans="1:49" s="2" customFormat="1" ht="17.25" customHeight="1" x14ac:dyDescent="0.25">
      <c r="A52" s="29"/>
      <c r="B52" s="201" t="s">
        <v>328</v>
      </c>
      <c r="C52" s="202"/>
      <c r="D52" s="63">
        <f>-11*0.99-1.43-1.04</f>
        <v>-13.36</v>
      </c>
      <c r="E52" s="64"/>
      <c r="F52" s="64"/>
      <c r="G52" s="64"/>
      <c r="H52" s="64"/>
      <c r="I52" s="64"/>
      <c r="J52" s="64"/>
      <c r="K52" s="57"/>
      <c r="L52" s="88"/>
      <c r="M52" s="62"/>
      <c r="N52" s="57"/>
      <c r="O52" s="88"/>
      <c r="P52" s="62"/>
      <c r="Q52" s="57"/>
      <c r="R52" s="88"/>
      <c r="S52" s="62"/>
      <c r="T52" s="47"/>
      <c r="U52" s="39"/>
      <c r="V52" s="39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22"/>
      <c r="AT52" s="10"/>
      <c r="AU52" s="11"/>
    </row>
    <row r="53" spans="1:49" s="2" customFormat="1" ht="17.25" customHeight="1" x14ac:dyDescent="0.25">
      <c r="A53" s="29"/>
      <c r="B53" s="201" t="s">
        <v>70</v>
      </c>
      <c r="C53" s="202"/>
      <c r="D53" s="63">
        <v>-291.95</v>
      </c>
      <c r="E53" s="64"/>
      <c r="F53" s="64"/>
      <c r="G53" s="64"/>
      <c r="H53" s="64"/>
      <c r="I53" s="64"/>
      <c r="J53" s="64"/>
      <c r="K53" s="57"/>
      <c r="L53" s="88"/>
      <c r="M53" s="62"/>
      <c r="N53" s="57"/>
      <c r="O53" s="88"/>
      <c r="P53" s="62"/>
      <c r="Q53" s="57"/>
      <c r="R53" s="88"/>
      <c r="S53" s="62"/>
      <c r="T53" s="47"/>
      <c r="U53" s="39"/>
      <c r="V53" s="39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22"/>
      <c r="AT53" s="10"/>
      <c r="AU53" s="11"/>
    </row>
    <row r="54" spans="1:49" s="4" customFormat="1" ht="17.25" customHeight="1" x14ac:dyDescent="0.25">
      <c r="A54" s="23"/>
      <c r="B54" s="201" t="s">
        <v>13</v>
      </c>
      <c r="C54" s="203"/>
      <c r="D54" s="63"/>
      <c r="E54" s="64">
        <f>100+100+17.94+50+15+60+51+1085+1147+1268+1310</f>
        <v>5203.9400000000005</v>
      </c>
      <c r="F54" s="64"/>
      <c r="G54" s="64"/>
      <c r="H54" s="64">
        <f>-E54</f>
        <v>-5203.9400000000005</v>
      </c>
      <c r="I54" s="66"/>
      <c r="J54" s="64"/>
      <c r="K54" s="16"/>
      <c r="L54" s="92"/>
      <c r="M54" s="64"/>
      <c r="N54" s="16"/>
      <c r="O54" s="92"/>
      <c r="P54" s="64"/>
      <c r="Q54" s="16"/>
      <c r="R54" s="92"/>
      <c r="S54" s="64"/>
      <c r="T54" s="40"/>
      <c r="U54" s="46">
        <f>-D54</f>
        <v>0</v>
      </c>
      <c r="V54" s="39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22"/>
      <c r="AS54" s="30"/>
    </row>
    <row r="55" spans="1:49" s="4" customFormat="1" ht="17.25" customHeight="1" thickBot="1" x14ac:dyDescent="0.25">
      <c r="A55" s="23"/>
      <c r="B55" s="216"/>
      <c r="C55" s="242"/>
      <c r="D55" s="83"/>
      <c r="E55" s="81"/>
      <c r="F55" s="81"/>
      <c r="G55" s="81"/>
      <c r="H55" s="81"/>
      <c r="I55" s="81"/>
      <c r="J55" s="81"/>
      <c r="K55" s="37"/>
      <c r="L55" s="93"/>
      <c r="M55" s="81"/>
      <c r="N55" s="37"/>
      <c r="O55" s="93"/>
      <c r="P55" s="81"/>
      <c r="Q55" s="37"/>
      <c r="R55" s="93"/>
      <c r="S55" s="81"/>
      <c r="T55" s="46"/>
      <c r="U55" s="46"/>
      <c r="V55" s="39"/>
      <c r="W55" s="16"/>
      <c r="X55" s="16"/>
      <c r="Y55" s="16"/>
      <c r="Z55" s="16"/>
      <c r="AA55" s="16"/>
      <c r="AB55" s="19"/>
      <c r="AC55" s="16"/>
      <c r="AD55" s="16"/>
      <c r="AE55" s="16"/>
      <c r="AF55" s="16"/>
      <c r="AG55" s="16"/>
      <c r="AH55" s="16"/>
      <c r="AI55" s="16"/>
      <c r="AJ55" s="16"/>
      <c r="AK55" s="16"/>
      <c r="AL55" s="44"/>
      <c r="AM55" s="16"/>
      <c r="AN55" s="16"/>
      <c r="AO55" s="16"/>
      <c r="AP55" s="16"/>
      <c r="AQ55" s="16"/>
      <c r="AR55" s="44"/>
    </row>
    <row r="56" spans="1:49" s="4" customFormat="1" ht="17.25" customHeight="1" x14ac:dyDescent="0.25">
      <c r="A56" s="23"/>
      <c r="B56" s="210" t="s">
        <v>94</v>
      </c>
      <c r="C56" s="203"/>
      <c r="D56" s="66"/>
      <c r="E56" s="66"/>
      <c r="F56" s="117"/>
      <c r="G56" s="117"/>
      <c r="H56" s="66"/>
      <c r="I56" s="66"/>
      <c r="J56" s="66">
        <f>-M56</f>
        <v>6965.0999999999995</v>
      </c>
      <c r="K56" s="58">
        <v>-1090</v>
      </c>
      <c r="L56" s="89">
        <v>6.39</v>
      </c>
      <c r="M56" s="73">
        <f>K56*L56</f>
        <v>-6965.0999999999995</v>
      </c>
      <c r="N56" s="58"/>
      <c r="O56" s="89"/>
      <c r="P56" s="73"/>
      <c r="Q56" s="58"/>
      <c r="R56" s="89"/>
      <c r="S56" s="73"/>
      <c r="T56" s="39"/>
      <c r="U56" s="39"/>
      <c r="V56" s="8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35"/>
      <c r="AS56" s="12" t="e">
        <f>#REF!</f>
        <v>#REF!</v>
      </c>
    </row>
    <row r="57" spans="1:49" s="4" customFormat="1" ht="17.25" customHeight="1" x14ac:dyDescent="0.25">
      <c r="A57" s="23"/>
      <c r="B57" s="201" t="s">
        <v>95</v>
      </c>
      <c r="C57" s="202"/>
      <c r="D57" s="64"/>
      <c r="E57" s="64"/>
      <c r="F57" s="117"/>
      <c r="G57" s="117"/>
      <c r="H57" s="64"/>
      <c r="I57" s="64"/>
      <c r="J57" s="64">
        <f>-P57</f>
        <v>6357.78</v>
      </c>
      <c r="K57" s="57"/>
      <c r="L57" s="88"/>
      <c r="M57" s="62"/>
      <c r="N57" s="57">
        <v>-1521</v>
      </c>
      <c r="O57" s="88">
        <v>4.18</v>
      </c>
      <c r="P57" s="62">
        <f>N57*O57</f>
        <v>-6357.78</v>
      </c>
      <c r="Q57" s="57"/>
      <c r="R57" s="88"/>
      <c r="S57" s="62"/>
      <c r="T57" s="39"/>
      <c r="U57" s="39"/>
      <c r="V57" s="8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35"/>
      <c r="AS57" s="12" t="e">
        <f>#REF!</f>
        <v>#REF!</v>
      </c>
    </row>
    <row r="58" spans="1:49" s="4" customFormat="1" ht="17.25" customHeight="1" x14ac:dyDescent="0.25">
      <c r="A58" s="23"/>
      <c r="B58" s="201" t="s">
        <v>97</v>
      </c>
      <c r="C58" s="203"/>
      <c r="D58" s="64"/>
      <c r="E58" s="64"/>
      <c r="F58" s="64"/>
      <c r="G58" s="64"/>
      <c r="H58" s="64">
        <f>-J58-I58</f>
        <v>3139.75</v>
      </c>
      <c r="I58" s="64">
        <v>10183.129999999999</v>
      </c>
      <c r="J58" s="64">
        <f>-SUM(J56:J57)</f>
        <v>-13322.88</v>
      </c>
      <c r="K58" s="57"/>
      <c r="L58" s="88"/>
      <c r="M58" s="62"/>
      <c r="N58" s="57"/>
      <c r="O58" s="88"/>
      <c r="P58" s="62"/>
      <c r="Q58" s="57"/>
      <c r="R58" s="88"/>
      <c r="S58" s="62"/>
      <c r="T58" s="39"/>
      <c r="U58" s="39"/>
      <c r="V58" s="39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22"/>
      <c r="AR58" s="43"/>
      <c r="AS58" s="12" t="e">
        <f>#REF!</f>
        <v>#REF!</v>
      </c>
      <c r="AW58" s="2"/>
    </row>
    <row r="59" spans="1:49" s="4" customFormat="1" ht="17.25" customHeight="1" x14ac:dyDescent="0.25">
      <c r="A59" s="23"/>
      <c r="B59" s="201" t="s">
        <v>93</v>
      </c>
      <c r="C59" s="202"/>
      <c r="D59" s="64"/>
      <c r="E59" s="64"/>
      <c r="F59" s="64"/>
      <c r="G59" s="64"/>
      <c r="H59" s="64"/>
      <c r="I59" s="64"/>
      <c r="J59" s="64"/>
      <c r="K59" s="57">
        <v>32</v>
      </c>
      <c r="L59" s="88"/>
      <c r="M59" s="62">
        <f>(K62*((M48)/(K48)))-M48-M56</f>
        <v>1520.004737610966</v>
      </c>
      <c r="N59" s="57">
        <v>-14</v>
      </c>
      <c r="O59" s="88"/>
      <c r="P59" s="62">
        <f>(N62*((P48)/(N48)))-P48-P57</f>
        <v>771.28503714020371</v>
      </c>
      <c r="Q59" s="57"/>
      <c r="R59" s="88"/>
      <c r="S59" s="62"/>
      <c r="T59" s="39"/>
      <c r="U59" s="39"/>
      <c r="V59" s="39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22"/>
      <c r="AR59" s="43">
        <f>A30</f>
        <v>0</v>
      </c>
      <c r="AS59" s="12" t="e">
        <f>#REF!</f>
        <v>#REF!</v>
      </c>
      <c r="AW59" s="2"/>
    </row>
    <row r="60" spans="1:49" s="2" customFormat="1" ht="17.25" customHeight="1" x14ac:dyDescent="0.2">
      <c r="A60" s="24"/>
      <c r="B60" s="201"/>
      <c r="C60" s="204"/>
      <c r="D60" s="63"/>
      <c r="E60" s="64"/>
      <c r="F60" s="64"/>
      <c r="G60" s="64"/>
      <c r="H60" s="64"/>
      <c r="I60" s="64"/>
      <c r="J60" s="64"/>
      <c r="K60" s="16"/>
      <c r="L60" s="92"/>
      <c r="M60" s="64"/>
      <c r="N60" s="16"/>
      <c r="O60" s="92"/>
      <c r="P60" s="64"/>
      <c r="Q60" s="16"/>
      <c r="R60" s="92"/>
      <c r="S60" s="64"/>
      <c r="T60" s="46"/>
      <c r="U60" s="46"/>
      <c r="V60" s="39"/>
      <c r="W60" s="16"/>
      <c r="X60" s="16"/>
      <c r="Y60" s="16"/>
      <c r="Z60" s="16"/>
      <c r="AA60" s="16"/>
      <c r="AB60" s="19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43">
        <f>A49</f>
        <v>46116</v>
      </c>
      <c r="AT60" s="10"/>
      <c r="AU60" s="11"/>
    </row>
    <row r="61" spans="1:49" s="2" customFormat="1" ht="17.25" customHeight="1" thickBot="1" x14ac:dyDescent="0.3">
      <c r="A61" s="56"/>
      <c r="B61" s="101" t="s">
        <v>102</v>
      </c>
      <c r="C61" s="102">
        <f>D62+E62+F62+G62+H62+I62+J62+M62+P62</f>
        <v>73344.819540000084</v>
      </c>
      <c r="D61" s="84"/>
      <c r="E61" s="85"/>
      <c r="F61" s="85"/>
      <c r="G61" s="85"/>
      <c r="H61" s="85"/>
      <c r="I61" s="85"/>
      <c r="J61" s="85"/>
      <c r="K61" s="28"/>
      <c r="L61" s="112"/>
      <c r="M61" s="85"/>
      <c r="N61" s="28"/>
      <c r="O61" s="112"/>
      <c r="P61" s="85"/>
      <c r="Q61" s="28"/>
      <c r="R61" s="112"/>
      <c r="S61" s="85"/>
      <c r="T61" s="48"/>
      <c r="U61" s="48"/>
      <c r="V61" s="51"/>
      <c r="W61" s="28"/>
      <c r="X61" s="28"/>
      <c r="Y61" s="28"/>
      <c r="Z61" s="28"/>
      <c r="AA61" s="28"/>
      <c r="AB61" s="36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42">
        <f>SUM($T48:AQ61)</f>
        <v>-437087.82890000002</v>
      </c>
      <c r="AT61" s="10"/>
      <c r="AU61" s="11"/>
      <c r="AV61" s="2" t="s">
        <v>5</v>
      </c>
    </row>
    <row r="62" spans="1:49" s="2" customFormat="1" ht="17.25" customHeight="1" thickTop="1" thickBot="1" x14ac:dyDescent="0.3">
      <c r="A62" s="103"/>
      <c r="B62" s="104" t="s">
        <v>103</v>
      </c>
      <c r="C62" s="105">
        <f>AR62</f>
        <v>-363743.00935999991</v>
      </c>
      <c r="D62" s="106">
        <f t="shared" ref="D62:K62" si="6">SUM(D48:D61)</f>
        <v>52751.677040000039</v>
      </c>
      <c r="E62" s="107">
        <f t="shared" si="6"/>
        <v>-53784.55</v>
      </c>
      <c r="F62" s="107">
        <f t="shared" si="6"/>
        <v>-28394.35</v>
      </c>
      <c r="G62" s="107">
        <f t="shared" si="6"/>
        <v>0</v>
      </c>
      <c r="H62" s="107">
        <f t="shared" si="6"/>
        <v>66323.762500000055</v>
      </c>
      <c r="I62" s="107">
        <f t="shared" si="6"/>
        <v>9519.6299999999992</v>
      </c>
      <c r="J62" s="107">
        <f t="shared" si="6"/>
        <v>0</v>
      </c>
      <c r="K62" s="108">
        <f t="shared" si="6"/>
        <v>7841</v>
      </c>
      <c r="L62" s="109">
        <f>M62/K62</f>
        <v>5.1465922713939545</v>
      </c>
      <c r="M62" s="107">
        <f>ROUND(SUM(M48:M61),2)</f>
        <v>40354.43</v>
      </c>
      <c r="N62" s="108">
        <f>SUM(N48:N61)</f>
        <v>-3689</v>
      </c>
      <c r="O62" s="109">
        <f>P62/N62</f>
        <v>3.6394090539441586</v>
      </c>
      <c r="P62" s="107">
        <f>ROUND(SUM(P48:P61),2)</f>
        <v>-13425.78</v>
      </c>
      <c r="Q62" s="108">
        <f>SUM(Q48:Q61)</f>
        <v>214</v>
      </c>
      <c r="R62" s="109">
        <f>S62/Q62</f>
        <v>6.099485981308411</v>
      </c>
      <c r="S62" s="107">
        <f>ROUND(SUM(S48:S61),2)</f>
        <v>1305.29</v>
      </c>
      <c r="T62" s="110">
        <f t="shared" ref="T62:AQ62" si="7">SUM(T48:T61)</f>
        <v>-487317.12890000001</v>
      </c>
      <c r="U62" s="107">
        <f t="shared" si="7"/>
        <v>50229.299999999996</v>
      </c>
      <c r="V62" s="107">
        <f t="shared" si="7"/>
        <v>0</v>
      </c>
      <c r="W62" s="107">
        <f t="shared" si="7"/>
        <v>0</v>
      </c>
      <c r="X62" s="107">
        <f t="shared" si="7"/>
        <v>0</v>
      </c>
      <c r="Y62" s="107">
        <f t="shared" si="7"/>
        <v>0</v>
      </c>
      <c r="Z62" s="107">
        <f t="shared" si="7"/>
        <v>0</v>
      </c>
      <c r="AA62" s="107">
        <f t="shared" si="7"/>
        <v>0</v>
      </c>
      <c r="AB62" s="107">
        <f t="shared" si="7"/>
        <v>0</v>
      </c>
      <c r="AC62" s="107">
        <f t="shared" si="7"/>
        <v>0</v>
      </c>
      <c r="AD62" s="107">
        <f t="shared" si="7"/>
        <v>0</v>
      </c>
      <c r="AE62" s="107">
        <f t="shared" si="7"/>
        <v>0</v>
      </c>
      <c r="AF62" s="107">
        <f t="shared" si="7"/>
        <v>0</v>
      </c>
      <c r="AG62" s="107">
        <f t="shared" si="7"/>
        <v>0</v>
      </c>
      <c r="AH62" s="107">
        <f t="shared" si="7"/>
        <v>0</v>
      </c>
      <c r="AI62" s="107">
        <f t="shared" si="7"/>
        <v>0</v>
      </c>
      <c r="AJ62" s="107">
        <f t="shared" si="7"/>
        <v>0</v>
      </c>
      <c r="AK62" s="107">
        <f t="shared" si="7"/>
        <v>0</v>
      </c>
      <c r="AL62" s="107">
        <f t="shared" si="7"/>
        <v>0</v>
      </c>
      <c r="AM62" s="107">
        <f t="shared" si="7"/>
        <v>0</v>
      </c>
      <c r="AN62" s="107">
        <f t="shared" si="7"/>
        <v>0</v>
      </c>
      <c r="AO62" s="107">
        <f t="shared" si="7"/>
        <v>0</v>
      </c>
      <c r="AP62" s="107">
        <f t="shared" si="7"/>
        <v>0</v>
      </c>
      <c r="AQ62" s="107">
        <f t="shared" si="7"/>
        <v>0</v>
      </c>
      <c r="AR62" s="111">
        <f>D62+E62+F62+G62+H62+I62+J62+M62+P62+SUM(T62:AQ62)</f>
        <v>-363743.00935999991</v>
      </c>
      <c r="AS62" s="4"/>
      <c r="AT62" s="5"/>
      <c r="AU62" s="5"/>
      <c r="AV62" s="2" t="s">
        <v>6</v>
      </c>
    </row>
    <row r="63" spans="1:49" s="2" customFormat="1" ht="17.25" customHeight="1" thickTop="1" x14ac:dyDescent="0.25">
      <c r="A63" s="23">
        <f>A49+1</f>
        <v>46117</v>
      </c>
      <c r="B63" s="201" t="s">
        <v>64</v>
      </c>
      <c r="C63" s="203"/>
      <c r="D63" s="63">
        <v>9295.4</v>
      </c>
      <c r="E63" s="64"/>
      <c r="F63" s="74"/>
      <c r="G63" s="74"/>
      <c r="H63" s="64"/>
      <c r="I63" s="64">
        <f>-D63</f>
        <v>-9295.4</v>
      </c>
      <c r="J63" s="66"/>
      <c r="K63" s="18"/>
      <c r="L63" s="91"/>
      <c r="M63" s="66"/>
      <c r="N63" s="18"/>
      <c r="O63" s="91"/>
      <c r="P63" s="66"/>
      <c r="Q63" s="18"/>
      <c r="R63" s="91"/>
      <c r="S63" s="66"/>
      <c r="T63" s="46"/>
      <c r="U63" s="46"/>
      <c r="V63" s="45"/>
      <c r="W63" s="18"/>
      <c r="X63" s="18"/>
      <c r="Y63" s="18"/>
      <c r="Z63" s="18"/>
      <c r="AA63" s="18"/>
      <c r="AB63" s="14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7"/>
      <c r="AR63" s="31"/>
      <c r="AT63" s="10"/>
      <c r="AU63" s="27"/>
    </row>
    <row r="64" spans="1:49" s="2" customFormat="1" ht="17.25" customHeight="1" x14ac:dyDescent="0.25">
      <c r="A64" s="24"/>
      <c r="B64" s="201" t="s">
        <v>96</v>
      </c>
      <c r="C64" s="202"/>
      <c r="D64" s="63"/>
      <c r="E64" s="64"/>
      <c r="F64" s="64"/>
      <c r="G64" s="64"/>
      <c r="H64" s="64"/>
      <c r="I64" s="64">
        <f>-I62-I63</f>
        <v>-224.22999999999956</v>
      </c>
      <c r="J64" s="64"/>
      <c r="K64" s="16"/>
      <c r="L64" s="92"/>
      <c r="M64" s="64"/>
      <c r="N64" s="16"/>
      <c r="O64" s="92"/>
      <c r="P64" s="64"/>
      <c r="Q64" s="16"/>
      <c r="R64" s="92"/>
      <c r="S64" s="64"/>
      <c r="T64" s="46"/>
      <c r="U64" s="40"/>
      <c r="V64" s="39"/>
      <c r="W64" s="16"/>
      <c r="X64" s="16"/>
      <c r="Y64" s="16"/>
      <c r="Z64" s="16"/>
      <c r="AA64" s="16"/>
      <c r="AB64" s="19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22"/>
      <c r="AT64" s="10"/>
      <c r="AU64" s="11"/>
    </row>
    <row r="65" spans="1:49" s="2" customFormat="1" ht="17.25" customHeight="1" x14ac:dyDescent="0.25">
      <c r="A65" s="29"/>
      <c r="B65" s="201" t="s">
        <v>327</v>
      </c>
      <c r="C65" s="202"/>
      <c r="D65" s="63">
        <f>150+15+15+25+20+100+50+30+50+197+40</f>
        <v>692</v>
      </c>
      <c r="E65" s="64"/>
      <c r="F65" s="64"/>
      <c r="G65" s="64"/>
      <c r="H65" s="64"/>
      <c r="I65" s="64">
        <f>-D65</f>
        <v>-692</v>
      </c>
      <c r="J65" s="64"/>
      <c r="K65" s="57"/>
      <c r="L65" s="88"/>
      <c r="M65" s="62"/>
      <c r="N65" s="57"/>
      <c r="O65" s="88"/>
      <c r="P65" s="62"/>
      <c r="Q65" s="57"/>
      <c r="R65" s="88"/>
      <c r="S65" s="62"/>
      <c r="T65" s="47"/>
      <c r="U65" s="39"/>
      <c r="V65" s="39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22"/>
      <c r="AT65" s="10"/>
      <c r="AU65" s="11"/>
    </row>
    <row r="66" spans="1:49" s="2" customFormat="1" ht="17.25" customHeight="1" x14ac:dyDescent="0.25">
      <c r="A66" s="29"/>
      <c r="B66" s="201" t="s">
        <v>328</v>
      </c>
      <c r="C66" s="202"/>
      <c r="D66" s="63">
        <f>-9*0.99-1.2-1.58</f>
        <v>-11.69</v>
      </c>
      <c r="E66" s="64"/>
      <c r="F66" s="64"/>
      <c r="G66" s="64"/>
      <c r="H66" s="64"/>
      <c r="I66" s="64"/>
      <c r="J66" s="64"/>
      <c r="K66" s="57"/>
      <c r="L66" s="88"/>
      <c r="M66" s="62"/>
      <c r="N66" s="57"/>
      <c r="O66" s="88"/>
      <c r="P66" s="62"/>
      <c r="Q66" s="57"/>
      <c r="R66" s="88"/>
      <c r="S66" s="62"/>
      <c r="T66" s="47"/>
      <c r="U66" s="39"/>
      <c r="V66" s="39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22"/>
      <c r="AT66" s="10"/>
      <c r="AU66" s="11"/>
    </row>
    <row r="67" spans="1:49" s="4" customFormat="1" ht="17.25" customHeight="1" x14ac:dyDescent="0.25">
      <c r="A67" s="23"/>
      <c r="B67" s="201" t="s">
        <v>13</v>
      </c>
      <c r="C67" s="203"/>
      <c r="D67" s="63"/>
      <c r="E67" s="64">
        <f>100+30+15+20+55.29+2714.2+30+100+20+40+20+15+50+1677+1505+75</f>
        <v>6466.49</v>
      </c>
      <c r="F67" s="64"/>
      <c r="G67" s="64"/>
      <c r="H67" s="64">
        <f>-E67</f>
        <v>-6466.49</v>
      </c>
      <c r="I67" s="66"/>
      <c r="J67" s="64"/>
      <c r="K67" s="16"/>
      <c r="L67" s="92"/>
      <c r="M67" s="64"/>
      <c r="N67" s="16"/>
      <c r="O67" s="92"/>
      <c r="P67" s="64"/>
      <c r="Q67" s="16"/>
      <c r="R67" s="92"/>
      <c r="S67" s="64"/>
      <c r="T67" s="40"/>
      <c r="U67" s="46">
        <f>-D67</f>
        <v>0</v>
      </c>
      <c r="V67" s="39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22"/>
      <c r="AS67" s="30"/>
    </row>
    <row r="68" spans="1:49" s="2" customFormat="1" ht="17.25" customHeight="1" x14ac:dyDescent="0.25">
      <c r="A68" s="29"/>
      <c r="B68" s="205" t="s">
        <v>362</v>
      </c>
      <c r="C68" s="250"/>
      <c r="D68" s="63"/>
      <c r="E68" s="64">
        <f>-1141.12-5-50-700-20.7-20-20-50-100-170-30-50-50-25-50-732.87</f>
        <v>-3214.6899999999996</v>
      </c>
      <c r="F68" s="64"/>
      <c r="G68" s="64"/>
      <c r="H68" s="64"/>
      <c r="I68" s="64"/>
      <c r="J68" s="64"/>
      <c r="K68" s="57"/>
      <c r="L68" s="88"/>
      <c r="M68" s="62">
        <f>K68*L68</f>
        <v>0</v>
      </c>
      <c r="N68" s="57"/>
      <c r="O68" s="88"/>
      <c r="P68" s="62">
        <f>N68*O68</f>
        <v>0</v>
      </c>
      <c r="Q68" s="57"/>
      <c r="R68" s="88"/>
      <c r="S68" s="62">
        <f>Q68*R68</f>
        <v>0</v>
      </c>
      <c r="T68" s="47"/>
      <c r="U68" s="39"/>
      <c r="V68" s="39"/>
      <c r="W68" s="20">
        <f>-E68</f>
        <v>3214.6899999999996</v>
      </c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22"/>
      <c r="AT68" s="10" t="s">
        <v>4</v>
      </c>
      <c r="AU68" s="11" t="e">
        <v>#REF!</v>
      </c>
    </row>
    <row r="69" spans="1:49" s="2" customFormat="1" ht="17.25" customHeight="1" x14ac:dyDescent="0.2">
      <c r="A69" s="23"/>
      <c r="B69" s="201" t="s">
        <v>161</v>
      </c>
      <c r="C69" s="204"/>
      <c r="D69" s="63"/>
      <c r="E69" s="64"/>
      <c r="F69" s="74"/>
      <c r="G69" s="74"/>
      <c r="H69" s="64">
        <v>-791.28</v>
      </c>
      <c r="I69" s="64"/>
      <c r="J69" s="64"/>
      <c r="K69" s="16"/>
      <c r="L69" s="16"/>
      <c r="M69" s="64"/>
      <c r="N69" s="16"/>
      <c r="O69" s="16"/>
      <c r="P69" s="64"/>
      <c r="Q69" s="16"/>
      <c r="R69" s="16"/>
      <c r="S69" s="64"/>
      <c r="T69" s="46"/>
      <c r="U69" s="39"/>
      <c r="V69" s="40"/>
      <c r="W69" s="16"/>
      <c r="X69" s="16"/>
      <c r="Y69" s="16"/>
      <c r="Z69" s="16"/>
      <c r="AA69" s="16"/>
      <c r="AB69" s="19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35"/>
      <c r="AT69" s="10"/>
      <c r="AU69" s="27"/>
    </row>
    <row r="70" spans="1:49" s="2" customFormat="1" ht="17.25" customHeight="1" x14ac:dyDescent="0.2">
      <c r="A70" s="23"/>
      <c r="B70" s="201" t="s">
        <v>163</v>
      </c>
      <c r="C70" s="204"/>
      <c r="D70" s="63"/>
      <c r="E70" s="64"/>
      <c r="F70" s="74"/>
      <c r="G70" s="74"/>
      <c r="H70" s="64">
        <v>-3835</v>
      </c>
      <c r="I70" s="64"/>
      <c r="J70" s="64"/>
      <c r="K70" s="16"/>
      <c r="L70" s="16"/>
      <c r="M70" s="64"/>
      <c r="N70" s="16"/>
      <c r="O70" s="16"/>
      <c r="P70" s="64"/>
      <c r="Q70" s="16"/>
      <c r="R70" s="16"/>
      <c r="S70" s="64"/>
      <c r="T70" s="46"/>
      <c r="U70" s="39"/>
      <c r="V70" s="40"/>
      <c r="W70" s="16"/>
      <c r="X70" s="16"/>
      <c r="Y70" s="16"/>
      <c r="Z70" s="16"/>
      <c r="AA70" s="16"/>
      <c r="AB70" s="19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35"/>
      <c r="AT70" s="10"/>
      <c r="AU70" s="27"/>
    </row>
    <row r="71" spans="1:49" s="2" customFormat="1" ht="17.25" customHeight="1" thickBot="1" x14ac:dyDescent="0.25">
      <c r="A71" s="24"/>
      <c r="B71" s="216"/>
      <c r="C71" s="217"/>
      <c r="D71" s="83"/>
      <c r="E71" s="81"/>
      <c r="F71" s="81"/>
      <c r="G71" s="81"/>
      <c r="H71" s="81"/>
      <c r="I71" s="81"/>
      <c r="J71" s="81"/>
      <c r="K71" s="37"/>
      <c r="L71" s="93"/>
      <c r="M71" s="81"/>
      <c r="N71" s="37"/>
      <c r="O71" s="93"/>
      <c r="P71" s="81"/>
      <c r="Q71" s="37"/>
      <c r="R71" s="93"/>
      <c r="S71" s="81"/>
      <c r="T71" s="40"/>
      <c r="U71" s="40"/>
      <c r="V71" s="39"/>
      <c r="W71" s="16"/>
      <c r="X71" s="16"/>
      <c r="Y71" s="16"/>
      <c r="Z71" s="16"/>
      <c r="AA71" s="16"/>
      <c r="AB71" s="19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41"/>
      <c r="AT71" s="10"/>
      <c r="AU71" s="11"/>
    </row>
    <row r="72" spans="1:49" s="4" customFormat="1" ht="17.25" customHeight="1" x14ac:dyDescent="0.25">
      <c r="A72" s="23"/>
      <c r="B72" s="210" t="s">
        <v>94</v>
      </c>
      <c r="C72" s="203"/>
      <c r="D72" s="66"/>
      <c r="E72" s="66"/>
      <c r="F72" s="117"/>
      <c r="G72" s="117"/>
      <c r="H72" s="66"/>
      <c r="I72" s="66"/>
      <c r="J72" s="66">
        <f>-M72</f>
        <v>5316.48</v>
      </c>
      <c r="K72" s="58">
        <v>-832</v>
      </c>
      <c r="L72" s="89">
        <v>6.39</v>
      </c>
      <c r="M72" s="73">
        <f>K72*L72</f>
        <v>-5316.48</v>
      </c>
      <c r="N72" s="58"/>
      <c r="O72" s="89"/>
      <c r="P72" s="73"/>
      <c r="Q72" s="58"/>
      <c r="R72" s="89"/>
      <c r="S72" s="73"/>
      <c r="T72" s="39"/>
      <c r="U72" s="39"/>
      <c r="V72" s="8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35"/>
      <c r="AS72" s="12" t="e">
        <f>#REF!</f>
        <v>#REF!</v>
      </c>
    </row>
    <row r="73" spans="1:49" s="4" customFormat="1" ht="17.25" customHeight="1" x14ac:dyDescent="0.25">
      <c r="A73" s="23"/>
      <c r="B73" s="201" t="s">
        <v>95</v>
      </c>
      <c r="C73" s="202"/>
      <c r="D73" s="64"/>
      <c r="E73" s="64"/>
      <c r="F73" s="117"/>
      <c r="G73" s="117"/>
      <c r="H73" s="64"/>
      <c r="I73" s="64"/>
      <c r="J73" s="64">
        <f>-P73</f>
        <v>4610.54</v>
      </c>
      <c r="K73" s="57"/>
      <c r="L73" s="88"/>
      <c r="M73" s="62"/>
      <c r="N73" s="57">
        <v>-1103</v>
      </c>
      <c r="O73" s="88">
        <v>4.18</v>
      </c>
      <c r="P73" s="62">
        <f>N73*O73</f>
        <v>-4610.54</v>
      </c>
      <c r="Q73" s="57"/>
      <c r="R73" s="88"/>
      <c r="S73" s="62"/>
      <c r="T73" s="39"/>
      <c r="U73" s="39"/>
      <c r="V73" s="8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35"/>
      <c r="AS73" s="12" t="e">
        <f>#REF!</f>
        <v>#REF!</v>
      </c>
    </row>
    <row r="74" spans="1:49" s="4" customFormat="1" ht="17.25" customHeight="1" x14ac:dyDescent="0.25">
      <c r="A74" s="23"/>
      <c r="B74" s="201" t="s">
        <v>97</v>
      </c>
      <c r="C74" s="203"/>
      <c r="D74" s="64"/>
      <c r="E74" s="64"/>
      <c r="F74" s="64"/>
      <c r="G74" s="64"/>
      <c r="H74" s="64">
        <f>-J74-I74</f>
        <v>-256.10999999999876</v>
      </c>
      <c r="I74" s="64">
        <v>10183.129999999999</v>
      </c>
      <c r="J74" s="64">
        <f>-SUM(J72:J73)</f>
        <v>-9927.02</v>
      </c>
      <c r="K74" s="57"/>
      <c r="L74" s="88"/>
      <c r="M74" s="62"/>
      <c r="N74" s="57"/>
      <c r="O74" s="88"/>
      <c r="P74" s="62"/>
      <c r="Q74" s="57"/>
      <c r="R74" s="88"/>
      <c r="S74" s="62"/>
      <c r="T74" s="39"/>
      <c r="U74" s="39"/>
      <c r="V74" s="39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22"/>
      <c r="AR74" s="43"/>
      <c r="AS74" s="12" t="e">
        <f>#REF!</f>
        <v>#REF!</v>
      </c>
      <c r="AW74" s="2"/>
    </row>
    <row r="75" spans="1:49" s="4" customFormat="1" ht="17.25" customHeight="1" x14ac:dyDescent="0.25">
      <c r="A75" s="23"/>
      <c r="B75" s="201" t="s">
        <v>93</v>
      </c>
      <c r="C75" s="202"/>
      <c r="D75" s="64"/>
      <c r="E75" s="64"/>
      <c r="F75" s="64"/>
      <c r="G75" s="64"/>
      <c r="H75" s="64"/>
      <c r="I75" s="64"/>
      <c r="J75" s="64"/>
      <c r="K75" s="57">
        <v>-56</v>
      </c>
      <c r="L75" s="88"/>
      <c r="M75" s="62">
        <f>(K78*((M62)/(K62)))-M62-M72</f>
        <v>746.30606300216823</v>
      </c>
      <c r="N75" s="57">
        <v>23</v>
      </c>
      <c r="O75" s="88"/>
      <c r="P75" s="62">
        <f>(N78*((P62)/(N62)))-P62-P73</f>
        <v>679.97822174030898</v>
      </c>
      <c r="Q75" s="57"/>
      <c r="R75" s="88"/>
      <c r="S75" s="62"/>
      <c r="T75" s="39"/>
      <c r="U75" s="39"/>
      <c r="V75" s="39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22"/>
      <c r="AR75" s="43">
        <f>A50</f>
        <v>0</v>
      </c>
      <c r="AS75" s="12" t="e">
        <f>#REF!</f>
        <v>#REF!</v>
      </c>
      <c r="AW75" s="2"/>
    </row>
    <row r="76" spans="1:49" s="2" customFormat="1" ht="17.25" customHeight="1" x14ac:dyDescent="0.2">
      <c r="A76" s="24"/>
      <c r="B76" s="201"/>
      <c r="C76" s="204"/>
      <c r="D76" s="63"/>
      <c r="E76" s="64"/>
      <c r="F76" s="64"/>
      <c r="G76" s="64"/>
      <c r="H76" s="64"/>
      <c r="I76" s="64"/>
      <c r="J76" s="64"/>
      <c r="K76" s="16"/>
      <c r="L76" s="92"/>
      <c r="M76" s="64"/>
      <c r="N76" s="16"/>
      <c r="O76" s="92"/>
      <c r="P76" s="64"/>
      <c r="Q76" s="16"/>
      <c r="R76" s="92"/>
      <c r="S76" s="64"/>
      <c r="T76" s="46"/>
      <c r="U76" s="46"/>
      <c r="V76" s="39"/>
      <c r="W76" s="16"/>
      <c r="X76" s="16"/>
      <c r="Y76" s="16"/>
      <c r="Z76" s="16"/>
      <c r="AA76" s="16"/>
      <c r="AB76" s="19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43">
        <f>A63</f>
        <v>46117</v>
      </c>
      <c r="AT76" s="10"/>
      <c r="AU76" s="11"/>
    </row>
    <row r="77" spans="1:49" s="2" customFormat="1" ht="17.25" customHeight="1" thickBot="1" x14ac:dyDescent="0.3">
      <c r="A77" s="56"/>
      <c r="B77" s="101" t="s">
        <v>102</v>
      </c>
      <c r="C77" s="102">
        <f>D78+E78+F78+G78+H78+I78+J78+M78+P78</f>
        <v>66694.219540000093</v>
      </c>
      <c r="D77" s="84"/>
      <c r="E77" s="85"/>
      <c r="F77" s="85"/>
      <c r="G77" s="85"/>
      <c r="H77" s="85"/>
      <c r="I77" s="85"/>
      <c r="J77" s="85"/>
      <c r="K77" s="28"/>
      <c r="L77" s="112"/>
      <c r="M77" s="85"/>
      <c r="N77" s="28"/>
      <c r="O77" s="112"/>
      <c r="P77" s="85"/>
      <c r="Q77" s="28"/>
      <c r="R77" s="112"/>
      <c r="S77" s="85"/>
      <c r="T77" s="48"/>
      <c r="U77" s="48"/>
      <c r="V77" s="51"/>
      <c r="W77" s="28"/>
      <c r="X77" s="28"/>
      <c r="Y77" s="28"/>
      <c r="Z77" s="28"/>
      <c r="AA77" s="28"/>
      <c r="AB77" s="36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42">
        <f>SUM($T62:AQ77)</f>
        <v>-433873.13890000002</v>
      </c>
      <c r="AT77" s="10"/>
      <c r="AU77" s="11"/>
      <c r="AV77" s="2" t="s">
        <v>5</v>
      </c>
    </row>
    <row r="78" spans="1:49" s="2" customFormat="1" ht="17.25" customHeight="1" thickTop="1" thickBot="1" x14ac:dyDescent="0.3">
      <c r="A78" s="103"/>
      <c r="B78" s="104" t="s">
        <v>103</v>
      </c>
      <c r="C78" s="105">
        <f>AR78</f>
        <v>-367178.91935999994</v>
      </c>
      <c r="D78" s="116">
        <f t="shared" ref="D78:K78" si="8">SUM(D62:D77)</f>
        <v>62727.387040000038</v>
      </c>
      <c r="E78" s="107">
        <f t="shared" si="8"/>
        <v>-50532.750000000007</v>
      </c>
      <c r="F78" s="107">
        <f t="shared" si="8"/>
        <v>-28394.35</v>
      </c>
      <c r="G78" s="107">
        <f t="shared" si="8"/>
        <v>0</v>
      </c>
      <c r="H78" s="107">
        <f t="shared" si="8"/>
        <v>54974.882500000058</v>
      </c>
      <c r="I78" s="107">
        <f t="shared" si="8"/>
        <v>9491.1299999999992</v>
      </c>
      <c r="J78" s="107">
        <f t="shared" si="8"/>
        <v>0</v>
      </c>
      <c r="K78" s="108">
        <f t="shared" si="8"/>
        <v>6953</v>
      </c>
      <c r="L78" s="109">
        <f>M78/K78</f>
        <v>5.1465928376240475</v>
      </c>
      <c r="M78" s="107">
        <f>ROUND(SUM(M62:M77),2)</f>
        <v>35784.26</v>
      </c>
      <c r="N78" s="108">
        <f>SUM(N62:N77)</f>
        <v>-4769</v>
      </c>
      <c r="O78" s="109">
        <f>P78/N78</f>
        <v>3.6394086810652126</v>
      </c>
      <c r="P78" s="107">
        <f>ROUND(SUM(P62:P77),2)</f>
        <v>-17356.34</v>
      </c>
      <c r="Q78" s="108">
        <f>SUM(Q62:Q77)</f>
        <v>214</v>
      </c>
      <c r="R78" s="109">
        <f>S78/Q78</f>
        <v>6.099485981308411</v>
      </c>
      <c r="S78" s="107">
        <f>ROUND(SUM(S62:S77),2)</f>
        <v>1305.29</v>
      </c>
      <c r="T78" s="110">
        <f t="shared" ref="T78:AQ78" si="9">SUM(T62:T77)</f>
        <v>-487317.12890000001</v>
      </c>
      <c r="U78" s="107">
        <f t="shared" si="9"/>
        <v>50229.299999999996</v>
      </c>
      <c r="V78" s="107">
        <f t="shared" si="9"/>
        <v>0</v>
      </c>
      <c r="W78" s="107">
        <f t="shared" si="9"/>
        <v>3214.6899999999996</v>
      </c>
      <c r="X78" s="107">
        <f t="shared" si="9"/>
        <v>0</v>
      </c>
      <c r="Y78" s="107">
        <f t="shared" si="9"/>
        <v>0</v>
      </c>
      <c r="Z78" s="107">
        <f t="shared" si="9"/>
        <v>0</v>
      </c>
      <c r="AA78" s="107">
        <f t="shared" si="9"/>
        <v>0</v>
      </c>
      <c r="AB78" s="107">
        <f t="shared" si="9"/>
        <v>0</v>
      </c>
      <c r="AC78" s="107">
        <f t="shared" si="9"/>
        <v>0</v>
      </c>
      <c r="AD78" s="107">
        <f t="shared" si="9"/>
        <v>0</v>
      </c>
      <c r="AE78" s="107">
        <f t="shared" si="9"/>
        <v>0</v>
      </c>
      <c r="AF78" s="107">
        <f t="shared" si="9"/>
        <v>0</v>
      </c>
      <c r="AG78" s="107">
        <f t="shared" si="9"/>
        <v>0</v>
      </c>
      <c r="AH78" s="107">
        <f t="shared" si="9"/>
        <v>0</v>
      </c>
      <c r="AI78" s="107">
        <f t="shared" si="9"/>
        <v>0</v>
      </c>
      <c r="AJ78" s="107">
        <f t="shared" si="9"/>
        <v>0</v>
      </c>
      <c r="AK78" s="107">
        <f t="shared" si="9"/>
        <v>0</v>
      </c>
      <c r="AL78" s="107">
        <f t="shared" si="9"/>
        <v>0</v>
      </c>
      <c r="AM78" s="107">
        <f t="shared" si="9"/>
        <v>0</v>
      </c>
      <c r="AN78" s="107">
        <f t="shared" si="9"/>
        <v>0</v>
      </c>
      <c r="AO78" s="107">
        <f t="shared" si="9"/>
        <v>0</v>
      </c>
      <c r="AP78" s="107">
        <f t="shared" si="9"/>
        <v>0</v>
      </c>
      <c r="AQ78" s="107">
        <f t="shared" si="9"/>
        <v>0</v>
      </c>
      <c r="AR78" s="111">
        <f>D78+E78+F78+G78+H78+I78+J78+M78+P78+SUM(T78:AQ78)</f>
        <v>-367178.91935999994</v>
      </c>
      <c r="AS78" s="4"/>
      <c r="AT78" s="5"/>
      <c r="AU78" s="5"/>
      <c r="AV78" s="2" t="s">
        <v>6</v>
      </c>
    </row>
    <row r="79" spans="1:49" s="2" customFormat="1" ht="17.25" customHeight="1" thickTop="1" x14ac:dyDescent="0.25">
      <c r="A79" s="24">
        <f>A63+1</f>
        <v>46118</v>
      </c>
      <c r="B79" s="201" t="s">
        <v>64</v>
      </c>
      <c r="C79" s="203"/>
      <c r="D79" s="63">
        <v>8916.35</v>
      </c>
      <c r="E79" s="64"/>
      <c r="F79" s="74"/>
      <c r="G79" s="74"/>
      <c r="H79" s="64"/>
      <c r="I79" s="64">
        <f>-D79</f>
        <v>-8916.35</v>
      </c>
      <c r="J79" s="66"/>
      <c r="K79" s="18"/>
      <c r="L79" s="18"/>
      <c r="M79" s="66"/>
      <c r="N79" s="18"/>
      <c r="O79" s="18"/>
      <c r="P79" s="66"/>
      <c r="Q79" s="18"/>
      <c r="R79" s="18"/>
      <c r="S79" s="66"/>
      <c r="T79" s="46"/>
      <c r="U79" s="46"/>
      <c r="V79" s="45"/>
      <c r="W79" s="18"/>
      <c r="X79" s="18"/>
      <c r="Y79" s="18"/>
      <c r="Z79" s="18"/>
      <c r="AA79" s="18"/>
      <c r="AB79" s="14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7"/>
      <c r="AR79" s="31"/>
      <c r="AT79" s="10"/>
      <c r="AU79" s="27"/>
    </row>
    <row r="80" spans="1:49" s="2" customFormat="1" ht="17.25" customHeight="1" x14ac:dyDescent="0.25">
      <c r="A80" s="24"/>
      <c r="B80" s="201" t="s">
        <v>96</v>
      </c>
      <c r="C80" s="202"/>
      <c r="D80" s="63"/>
      <c r="E80" s="64"/>
      <c r="F80" s="64"/>
      <c r="G80" s="64"/>
      <c r="H80" s="64"/>
      <c r="I80" s="64">
        <f>-I78-I79</f>
        <v>-574.77999999999884</v>
      </c>
      <c r="J80" s="64"/>
      <c r="K80" s="16"/>
      <c r="L80" s="16"/>
      <c r="M80" s="64"/>
      <c r="N80" s="16"/>
      <c r="O80" s="16"/>
      <c r="P80" s="64"/>
      <c r="Q80" s="16"/>
      <c r="R80" s="16"/>
      <c r="S80" s="64"/>
      <c r="T80" s="46"/>
      <c r="U80" s="40"/>
      <c r="V80" s="39"/>
      <c r="W80" s="16"/>
      <c r="X80" s="16"/>
      <c r="Y80" s="16"/>
      <c r="Z80" s="16"/>
      <c r="AA80" s="16"/>
      <c r="AB80" s="19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22"/>
      <c r="AT80" s="10"/>
      <c r="AU80" s="11"/>
    </row>
    <row r="81" spans="1:49" s="2" customFormat="1" ht="17.25" customHeight="1" x14ac:dyDescent="0.25">
      <c r="A81" s="29"/>
      <c r="B81" s="201" t="s">
        <v>327</v>
      </c>
      <c r="C81" s="202"/>
      <c r="D81" s="63">
        <f>30+100+81+50+30+15+5+50+20+102+30+30+40+20+50</f>
        <v>653</v>
      </c>
      <c r="E81" s="64"/>
      <c r="F81" s="64"/>
      <c r="G81" s="64"/>
      <c r="H81" s="64"/>
      <c r="I81" s="64">
        <f>-D81</f>
        <v>-653</v>
      </c>
      <c r="J81" s="64"/>
      <c r="K81" s="57"/>
      <c r="L81" s="88"/>
      <c r="M81" s="62"/>
      <c r="N81" s="57"/>
      <c r="O81" s="88"/>
      <c r="P81" s="62"/>
      <c r="Q81" s="57"/>
      <c r="R81" s="88"/>
      <c r="S81" s="62"/>
      <c r="T81" s="47"/>
      <c r="U81" s="39"/>
      <c r="V81" s="39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22"/>
      <c r="AT81" s="10"/>
      <c r="AU81" s="11"/>
    </row>
    <row r="82" spans="1:49" s="2" customFormat="1" ht="17.25" customHeight="1" x14ac:dyDescent="0.25">
      <c r="A82" s="29"/>
      <c r="B82" s="201" t="s">
        <v>328</v>
      </c>
      <c r="C82" s="202"/>
      <c r="D82" s="63">
        <f>-15*0.99</f>
        <v>-14.85</v>
      </c>
      <c r="E82" s="64"/>
      <c r="F82" s="64"/>
      <c r="G82" s="64"/>
      <c r="H82" s="64"/>
      <c r="I82" s="64"/>
      <c r="J82" s="64"/>
      <c r="K82" s="57"/>
      <c r="L82" s="88"/>
      <c r="M82" s="62"/>
      <c r="N82" s="57"/>
      <c r="O82" s="88"/>
      <c r="P82" s="62"/>
      <c r="Q82" s="57"/>
      <c r="R82" s="88"/>
      <c r="S82" s="62"/>
      <c r="T82" s="47"/>
      <c r="U82" s="39"/>
      <c r="V82" s="39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22"/>
      <c r="AT82" s="10"/>
      <c r="AU82" s="11"/>
    </row>
    <row r="83" spans="1:49" s="2" customFormat="1" ht="17.25" customHeight="1" x14ac:dyDescent="0.25">
      <c r="A83" s="29"/>
      <c r="B83" s="205" t="s">
        <v>263</v>
      </c>
      <c r="C83" s="250"/>
      <c r="D83" s="63">
        <v>-29100</v>
      </c>
      <c r="E83" s="64"/>
      <c r="F83" s="64"/>
      <c r="G83" s="64"/>
      <c r="H83" s="64"/>
      <c r="I83" s="64"/>
      <c r="J83" s="64"/>
      <c r="K83" s="57"/>
      <c r="L83" s="88"/>
      <c r="M83" s="62"/>
      <c r="N83" s="57"/>
      <c r="O83" s="88"/>
      <c r="P83" s="62"/>
      <c r="Q83" s="57"/>
      <c r="R83" s="88"/>
      <c r="S83" s="62"/>
      <c r="T83" s="47">
        <f>-D83</f>
        <v>29100</v>
      </c>
      <c r="U83" s="39"/>
      <c r="V83" s="39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22"/>
      <c r="AT83" s="10"/>
      <c r="AU83" s="11"/>
    </row>
    <row r="84" spans="1:49" s="2" customFormat="1" ht="17.25" customHeight="1" x14ac:dyDescent="0.25">
      <c r="A84" s="29"/>
      <c r="B84" s="201" t="s">
        <v>276</v>
      </c>
      <c r="C84" s="202"/>
      <c r="D84" s="63">
        <v>-4.9000000000000004</v>
      </c>
      <c r="E84" s="64"/>
      <c r="F84" s="64"/>
      <c r="G84" s="64"/>
      <c r="H84" s="64"/>
      <c r="I84" s="64"/>
      <c r="J84" s="64"/>
      <c r="K84" s="57"/>
      <c r="L84" s="88"/>
      <c r="M84" s="62"/>
      <c r="N84" s="57"/>
      <c r="O84" s="88"/>
      <c r="P84" s="62"/>
      <c r="Q84" s="57"/>
      <c r="R84" s="88"/>
      <c r="S84" s="62"/>
      <c r="T84" s="47"/>
      <c r="U84" s="39"/>
      <c r="V84" s="39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22"/>
      <c r="AT84" s="10"/>
      <c r="AU84" s="11"/>
    </row>
    <row r="85" spans="1:49" s="4" customFormat="1" ht="17.25" customHeight="1" x14ac:dyDescent="0.25">
      <c r="A85" s="23"/>
      <c r="B85" s="201" t="s">
        <v>13</v>
      </c>
      <c r="C85" s="203"/>
      <c r="D85" s="63"/>
      <c r="E85" s="64">
        <f>20+20+100+80+8+30+50+60+1897+100+20+100+50+1126+1294.33</f>
        <v>4955.33</v>
      </c>
      <c r="F85" s="64"/>
      <c r="G85" s="64"/>
      <c r="H85" s="64">
        <f>-E85</f>
        <v>-4955.33</v>
      </c>
      <c r="I85" s="66"/>
      <c r="J85" s="64"/>
      <c r="K85" s="16"/>
      <c r="L85" s="92"/>
      <c r="M85" s="64"/>
      <c r="N85" s="16"/>
      <c r="O85" s="92"/>
      <c r="P85" s="64"/>
      <c r="Q85" s="16"/>
      <c r="R85" s="92"/>
      <c r="S85" s="64"/>
      <c r="T85" s="40"/>
      <c r="U85" s="46">
        <f>-D85</f>
        <v>0</v>
      </c>
      <c r="V85" s="39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22"/>
      <c r="AS85" s="30"/>
    </row>
    <row r="86" spans="1:49" s="2" customFormat="1" ht="17.25" customHeight="1" x14ac:dyDescent="0.25">
      <c r="A86" s="29"/>
      <c r="B86" s="205" t="s">
        <v>263</v>
      </c>
      <c r="C86" s="250"/>
      <c r="D86" s="63"/>
      <c r="E86" s="64">
        <v>-16740</v>
      </c>
      <c r="F86" s="64"/>
      <c r="G86" s="64"/>
      <c r="H86" s="64"/>
      <c r="I86" s="64"/>
      <c r="J86" s="64"/>
      <c r="K86" s="57"/>
      <c r="L86" s="88"/>
      <c r="M86" s="62"/>
      <c r="N86" s="57"/>
      <c r="O86" s="88"/>
      <c r="P86" s="62"/>
      <c r="Q86" s="57"/>
      <c r="R86" s="88"/>
      <c r="S86" s="62"/>
      <c r="T86" s="47">
        <f>-E86</f>
        <v>16740</v>
      </c>
      <c r="U86" s="39"/>
      <c r="V86" s="39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22"/>
      <c r="AT86" s="10"/>
      <c r="AU86" s="11"/>
    </row>
    <row r="87" spans="1:49" s="2" customFormat="1" ht="17.25" customHeight="1" x14ac:dyDescent="0.2">
      <c r="A87" s="23"/>
      <c r="B87" s="210" t="s">
        <v>373</v>
      </c>
      <c r="C87" s="203"/>
      <c r="D87" s="63"/>
      <c r="E87" s="66">
        <v>-230</v>
      </c>
      <c r="F87" s="64"/>
      <c r="G87" s="74"/>
      <c r="H87" s="64"/>
      <c r="I87" s="64"/>
      <c r="J87" s="64"/>
      <c r="K87" s="16"/>
      <c r="L87" s="16"/>
      <c r="M87" s="64"/>
      <c r="N87" s="16"/>
      <c r="O87" s="16"/>
      <c r="P87" s="64"/>
      <c r="Q87" s="16"/>
      <c r="R87" s="16"/>
      <c r="S87" s="64"/>
      <c r="T87" s="46"/>
      <c r="U87" s="39"/>
      <c r="V87" s="40"/>
      <c r="W87" s="16"/>
      <c r="X87" s="16"/>
      <c r="Y87" s="16"/>
      <c r="Z87" s="16"/>
      <c r="AA87" s="16"/>
      <c r="AB87" s="19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35"/>
      <c r="AT87" s="10"/>
      <c r="AU87" s="27"/>
    </row>
    <row r="88" spans="1:49" s="2" customFormat="1" ht="17.25" customHeight="1" x14ac:dyDescent="0.25">
      <c r="A88" s="24"/>
      <c r="B88" s="205" t="s">
        <v>467</v>
      </c>
      <c r="C88" s="206"/>
      <c r="D88" s="64"/>
      <c r="E88" s="64"/>
      <c r="F88" s="64"/>
      <c r="G88" s="64"/>
      <c r="H88" s="64"/>
      <c r="I88" s="64"/>
      <c r="J88" s="64"/>
      <c r="K88" s="57">
        <v>10000</v>
      </c>
      <c r="L88" s="88">
        <v>5.5965999999999996</v>
      </c>
      <c r="M88" s="62">
        <f>K88*L88</f>
        <v>55965.999999999993</v>
      </c>
      <c r="N88" s="57"/>
      <c r="O88" s="88"/>
      <c r="P88" s="62"/>
      <c r="Q88" s="57"/>
      <c r="R88" s="88"/>
      <c r="S88" s="62"/>
      <c r="T88" s="39">
        <f>-P88</f>
        <v>0</v>
      </c>
      <c r="U88" s="39"/>
      <c r="V88" s="39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22"/>
      <c r="AT88" s="10"/>
      <c r="AU88" s="11"/>
    </row>
    <row r="89" spans="1:49" s="2" customFormat="1" ht="17.25" customHeight="1" x14ac:dyDescent="0.25">
      <c r="A89" s="24"/>
      <c r="B89" s="205" t="s">
        <v>468</v>
      </c>
      <c r="C89" s="206"/>
      <c r="D89" s="64"/>
      <c r="E89" s="64"/>
      <c r="F89" s="64"/>
      <c r="G89" s="64"/>
      <c r="H89" s="64"/>
      <c r="I89" s="64"/>
      <c r="J89" s="64"/>
      <c r="K89" s="57"/>
      <c r="L89" s="88"/>
      <c r="M89" s="62"/>
      <c r="N89" s="57">
        <v>5000</v>
      </c>
      <c r="O89" s="88">
        <v>3.63</v>
      </c>
      <c r="P89" s="62">
        <f>N89*O89</f>
        <v>18150</v>
      </c>
      <c r="Q89" s="57"/>
      <c r="R89" s="88"/>
      <c r="S89" s="62"/>
      <c r="T89" s="39">
        <f>-P89</f>
        <v>-18150</v>
      </c>
      <c r="U89" s="39"/>
      <c r="V89" s="39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22"/>
      <c r="AT89" s="10"/>
      <c r="AU89" s="11"/>
    </row>
    <row r="90" spans="1:49" s="2" customFormat="1" ht="17.25" customHeight="1" thickBot="1" x14ac:dyDescent="0.25">
      <c r="A90" s="24"/>
      <c r="B90" s="216"/>
      <c r="C90" s="217"/>
      <c r="D90" s="83"/>
      <c r="E90" s="81"/>
      <c r="F90" s="81"/>
      <c r="G90" s="81"/>
      <c r="H90" s="81"/>
      <c r="I90" s="81"/>
      <c r="J90" s="81"/>
      <c r="K90" s="37"/>
      <c r="L90" s="93"/>
      <c r="M90" s="81"/>
      <c r="N90" s="37"/>
      <c r="O90" s="93"/>
      <c r="P90" s="81"/>
      <c r="Q90" s="37"/>
      <c r="R90" s="93"/>
      <c r="S90" s="81"/>
      <c r="T90" s="40"/>
      <c r="U90" s="40"/>
      <c r="V90" s="39"/>
      <c r="W90" s="16"/>
      <c r="X90" s="16"/>
      <c r="Y90" s="16"/>
      <c r="Z90" s="16"/>
      <c r="AA90" s="16"/>
      <c r="AB90" s="19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41"/>
      <c r="AT90" s="10"/>
      <c r="AU90" s="11"/>
    </row>
    <row r="91" spans="1:49" s="4" customFormat="1" ht="17.25" customHeight="1" x14ac:dyDescent="0.25">
      <c r="A91" s="23"/>
      <c r="B91" s="210" t="s">
        <v>94</v>
      </c>
      <c r="C91" s="203"/>
      <c r="D91" s="66"/>
      <c r="E91" s="66"/>
      <c r="F91" s="117"/>
      <c r="G91" s="117"/>
      <c r="H91" s="66"/>
      <c r="I91" s="66"/>
      <c r="J91" s="66">
        <f>-M91</f>
        <v>5738.2199999999993</v>
      </c>
      <c r="K91" s="58">
        <v>-898</v>
      </c>
      <c r="L91" s="89">
        <v>6.39</v>
      </c>
      <c r="M91" s="73">
        <f>K91*L91</f>
        <v>-5738.2199999999993</v>
      </c>
      <c r="N91" s="58"/>
      <c r="O91" s="89"/>
      <c r="P91" s="73"/>
      <c r="Q91" s="58"/>
      <c r="R91" s="89"/>
      <c r="S91" s="73"/>
      <c r="T91" s="39"/>
      <c r="U91" s="39"/>
      <c r="V91" s="8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35"/>
      <c r="AS91" s="12" t="e">
        <f>#REF!</f>
        <v>#REF!</v>
      </c>
    </row>
    <row r="92" spans="1:49" s="4" customFormat="1" ht="17.25" customHeight="1" x14ac:dyDescent="0.25">
      <c r="A92" s="23"/>
      <c r="B92" s="201" t="s">
        <v>95</v>
      </c>
      <c r="C92" s="202"/>
      <c r="D92" s="64"/>
      <c r="E92" s="64"/>
      <c r="F92" s="117"/>
      <c r="G92" s="117"/>
      <c r="H92" s="64"/>
      <c r="I92" s="64"/>
      <c r="J92" s="64">
        <f>-P92</f>
        <v>6391.2199999999993</v>
      </c>
      <c r="K92" s="57"/>
      <c r="L92" s="88"/>
      <c r="M92" s="62"/>
      <c r="N92" s="57">
        <v>-1529</v>
      </c>
      <c r="O92" s="88">
        <v>4.18</v>
      </c>
      <c r="P92" s="62">
        <f>N92*O92</f>
        <v>-6391.2199999999993</v>
      </c>
      <c r="Q92" s="57"/>
      <c r="R92" s="88"/>
      <c r="S92" s="62"/>
      <c r="T92" s="39"/>
      <c r="U92" s="39"/>
      <c r="V92" s="8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35"/>
      <c r="AS92" s="12" t="e">
        <f>#REF!</f>
        <v>#REF!</v>
      </c>
    </row>
    <row r="93" spans="1:49" s="4" customFormat="1" ht="17.25" customHeight="1" x14ac:dyDescent="0.25">
      <c r="A93" s="23"/>
      <c r="B93" s="201" t="s">
        <v>97</v>
      </c>
      <c r="C93" s="203"/>
      <c r="D93" s="64"/>
      <c r="E93" s="64"/>
      <c r="F93" s="64"/>
      <c r="G93" s="64"/>
      <c r="H93" s="64">
        <f>-J93-I93</f>
        <v>1599.869999999999</v>
      </c>
      <c r="I93" s="64">
        <v>10529.57</v>
      </c>
      <c r="J93" s="64">
        <f>-SUM(J91:J92)</f>
        <v>-12129.439999999999</v>
      </c>
      <c r="K93" s="57"/>
      <c r="L93" s="88"/>
      <c r="M93" s="62"/>
      <c r="N93" s="57"/>
      <c r="O93" s="88"/>
      <c r="P93" s="62"/>
      <c r="Q93" s="57"/>
      <c r="R93" s="88"/>
      <c r="S93" s="62"/>
      <c r="T93" s="39"/>
      <c r="U93" s="39"/>
      <c r="V93" s="39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22"/>
      <c r="AR93" s="43"/>
      <c r="AS93" s="12" t="e">
        <f>#REF!</f>
        <v>#REF!</v>
      </c>
      <c r="AW93" s="2"/>
    </row>
    <row r="94" spans="1:49" s="4" customFormat="1" ht="17.25" customHeight="1" x14ac:dyDescent="0.25">
      <c r="A94" s="23"/>
      <c r="B94" s="201" t="s">
        <v>93</v>
      </c>
      <c r="C94" s="202"/>
      <c r="D94" s="64"/>
      <c r="E94" s="64"/>
      <c r="F94" s="64"/>
      <c r="G94" s="64"/>
      <c r="H94" s="64"/>
      <c r="I94" s="64"/>
      <c r="J94" s="64"/>
      <c r="K94" s="57">
        <v>41</v>
      </c>
      <c r="L94" s="88"/>
      <c r="M94" s="62">
        <f>(K97*((M78+M88)/(K78+K88)))-M78-M91-M88</f>
        <v>1100.1044558485301</v>
      </c>
      <c r="N94" s="57">
        <v>-65</v>
      </c>
      <c r="O94" s="88"/>
      <c r="P94" s="62">
        <f>(N97*((P78+P89)/(N78+N89)))-P78-P92-P89</f>
        <v>914.62242424242504</v>
      </c>
      <c r="Q94" s="57"/>
      <c r="R94" s="88"/>
      <c r="S94" s="62"/>
      <c r="T94" s="39"/>
      <c r="U94" s="39"/>
      <c r="V94" s="39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22"/>
      <c r="AR94" s="43">
        <f>A67</f>
        <v>0</v>
      </c>
      <c r="AS94" s="12" t="e">
        <f>#REF!</f>
        <v>#REF!</v>
      </c>
      <c r="AW94" s="2"/>
    </row>
    <row r="95" spans="1:49" s="2" customFormat="1" ht="17.25" customHeight="1" x14ac:dyDescent="0.2">
      <c r="A95" s="24"/>
      <c r="B95" s="201"/>
      <c r="C95" s="202"/>
      <c r="D95" s="63"/>
      <c r="E95" s="64"/>
      <c r="F95" s="64"/>
      <c r="G95" s="64"/>
      <c r="H95" s="64"/>
      <c r="I95" s="64"/>
      <c r="J95" s="64"/>
      <c r="K95" s="16"/>
      <c r="L95" s="16"/>
      <c r="M95" s="64"/>
      <c r="N95" s="16"/>
      <c r="O95" s="16"/>
      <c r="P95" s="64"/>
      <c r="Q95" s="16"/>
      <c r="R95" s="16"/>
      <c r="S95" s="64"/>
      <c r="T95" s="46"/>
      <c r="U95" s="46"/>
      <c r="V95" s="39"/>
      <c r="W95" s="16"/>
      <c r="X95" s="16"/>
      <c r="Y95" s="16"/>
      <c r="Z95" s="16"/>
      <c r="AA95" s="16"/>
      <c r="AB95" s="19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43">
        <f>A79</f>
        <v>46118</v>
      </c>
      <c r="AT95" s="10"/>
      <c r="AU95" s="11"/>
    </row>
    <row r="96" spans="1:49" s="2" customFormat="1" ht="17.25" customHeight="1" thickBot="1" x14ac:dyDescent="0.3">
      <c r="A96" s="56"/>
      <c r="B96" s="101" t="s">
        <v>102</v>
      </c>
      <c r="C96" s="102">
        <f>D97+E97+F97+G97+H97+I97+J97+M97+P97</f>
        <v>96160.409540000081</v>
      </c>
      <c r="D96" s="84"/>
      <c r="E96" s="85"/>
      <c r="F96" s="85"/>
      <c r="G96" s="85"/>
      <c r="H96" s="85"/>
      <c r="I96" s="85"/>
      <c r="J96" s="85"/>
      <c r="K96" s="28"/>
      <c r="L96" s="28"/>
      <c r="M96" s="85"/>
      <c r="N96" s="28"/>
      <c r="O96" s="28"/>
      <c r="P96" s="85"/>
      <c r="Q96" s="28"/>
      <c r="R96" s="28"/>
      <c r="S96" s="85"/>
      <c r="T96" s="48"/>
      <c r="U96" s="48"/>
      <c r="V96" s="51"/>
      <c r="W96" s="28"/>
      <c r="X96" s="28"/>
      <c r="Y96" s="28"/>
      <c r="Z96" s="28"/>
      <c r="AA96" s="28"/>
      <c r="AB96" s="36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42">
        <f>SUM($T78:AQ96)</f>
        <v>-406183.13890000002</v>
      </c>
      <c r="AT96" s="10"/>
      <c r="AU96" s="11"/>
      <c r="AV96" s="2" t="s">
        <v>5</v>
      </c>
    </row>
    <row r="97" spans="1:49" s="2" customFormat="1" ht="17.25" customHeight="1" thickTop="1" thickBot="1" x14ac:dyDescent="0.3">
      <c r="A97" s="103"/>
      <c r="B97" s="104" t="s">
        <v>103</v>
      </c>
      <c r="C97" s="105">
        <f>AR97</f>
        <v>-310022.72935999994</v>
      </c>
      <c r="D97" s="107">
        <f t="shared" ref="D97:K97" si="10">SUM(D78:D96)</f>
        <v>43176.987040000029</v>
      </c>
      <c r="E97" s="107">
        <f t="shared" si="10"/>
        <v>-62547.420000000006</v>
      </c>
      <c r="F97" s="107">
        <f t="shared" si="10"/>
        <v>-28394.35</v>
      </c>
      <c r="G97" s="107">
        <f t="shared" si="10"/>
        <v>0</v>
      </c>
      <c r="H97" s="107">
        <f t="shared" si="10"/>
        <v>51619.422500000059</v>
      </c>
      <c r="I97" s="107">
        <f t="shared" si="10"/>
        <v>9876.57</v>
      </c>
      <c r="J97" s="107">
        <f t="shared" si="10"/>
        <v>0</v>
      </c>
      <c r="K97" s="108">
        <f t="shared" si="10"/>
        <v>16096</v>
      </c>
      <c r="L97" s="109">
        <f>M97/K97</f>
        <v>5.4120365308151097</v>
      </c>
      <c r="M97" s="107">
        <f>ROUND(SUM(M78:M96),2)</f>
        <v>87112.14</v>
      </c>
      <c r="N97" s="108">
        <f>SUM(N78:N96)</f>
        <v>-1363</v>
      </c>
      <c r="O97" s="109">
        <f>P97/N97</f>
        <v>3.4357593543653704</v>
      </c>
      <c r="P97" s="107">
        <f>ROUND(SUM(P78:P96),2)</f>
        <v>-4682.9399999999996</v>
      </c>
      <c r="Q97" s="108">
        <f>SUM(Q78:Q96)</f>
        <v>214</v>
      </c>
      <c r="R97" s="109">
        <f>S97/Q97</f>
        <v>6.099485981308411</v>
      </c>
      <c r="S97" s="107">
        <f>ROUND(SUM(S78:S96),2)</f>
        <v>1305.29</v>
      </c>
      <c r="T97" s="107">
        <f t="shared" ref="T97:AQ97" si="11">SUM(T78:T96)</f>
        <v>-459627.12890000001</v>
      </c>
      <c r="U97" s="107">
        <f t="shared" si="11"/>
        <v>50229.299999999996</v>
      </c>
      <c r="V97" s="107">
        <f t="shared" si="11"/>
        <v>0</v>
      </c>
      <c r="W97" s="107">
        <f t="shared" si="11"/>
        <v>3214.6899999999996</v>
      </c>
      <c r="X97" s="107">
        <f t="shared" si="11"/>
        <v>0</v>
      </c>
      <c r="Y97" s="107">
        <f t="shared" si="11"/>
        <v>0</v>
      </c>
      <c r="Z97" s="107">
        <f t="shared" si="11"/>
        <v>0</v>
      </c>
      <c r="AA97" s="107">
        <f t="shared" si="11"/>
        <v>0</v>
      </c>
      <c r="AB97" s="107">
        <f t="shared" si="11"/>
        <v>0</v>
      </c>
      <c r="AC97" s="107">
        <f t="shared" si="11"/>
        <v>0</v>
      </c>
      <c r="AD97" s="107">
        <f t="shared" si="11"/>
        <v>0</v>
      </c>
      <c r="AE97" s="107">
        <f t="shared" si="11"/>
        <v>0</v>
      </c>
      <c r="AF97" s="107">
        <f t="shared" si="11"/>
        <v>0</v>
      </c>
      <c r="AG97" s="107">
        <f t="shared" si="11"/>
        <v>0</v>
      </c>
      <c r="AH97" s="107">
        <f t="shared" si="11"/>
        <v>0</v>
      </c>
      <c r="AI97" s="107">
        <f t="shared" si="11"/>
        <v>0</v>
      </c>
      <c r="AJ97" s="107">
        <f t="shared" si="11"/>
        <v>0</v>
      </c>
      <c r="AK97" s="107">
        <f t="shared" si="11"/>
        <v>0</v>
      </c>
      <c r="AL97" s="107">
        <f t="shared" si="11"/>
        <v>0</v>
      </c>
      <c r="AM97" s="107">
        <f t="shared" si="11"/>
        <v>0</v>
      </c>
      <c r="AN97" s="107">
        <f t="shared" si="11"/>
        <v>0</v>
      </c>
      <c r="AO97" s="107">
        <f t="shared" si="11"/>
        <v>0</v>
      </c>
      <c r="AP97" s="107">
        <f t="shared" si="11"/>
        <v>0</v>
      </c>
      <c r="AQ97" s="107">
        <f t="shared" si="11"/>
        <v>0</v>
      </c>
      <c r="AR97" s="111">
        <f>D97+E97+F97+G97+H97+I97+J97+M97+P97+SUM(T97:AQ97)</f>
        <v>-310022.72935999994</v>
      </c>
      <c r="AS97" s="4"/>
      <c r="AT97" s="5"/>
      <c r="AU97" s="5"/>
      <c r="AV97" s="2" t="s">
        <v>6</v>
      </c>
    </row>
    <row r="98" spans="1:49" s="2" customFormat="1" ht="17.25" customHeight="1" thickTop="1" x14ac:dyDescent="0.25">
      <c r="A98" s="23">
        <f>A79+1</f>
        <v>46119</v>
      </c>
      <c r="B98" s="201" t="s">
        <v>64</v>
      </c>
      <c r="C98" s="203"/>
      <c r="D98" s="63">
        <v>9668.93</v>
      </c>
      <c r="E98" s="64"/>
      <c r="F98" s="74"/>
      <c r="G98" s="74"/>
      <c r="H98" s="64"/>
      <c r="I98" s="64">
        <f>-D98</f>
        <v>-9668.93</v>
      </c>
      <c r="J98" s="66"/>
      <c r="K98" s="18"/>
      <c r="L98" s="18"/>
      <c r="M98" s="66"/>
      <c r="N98" s="18"/>
      <c r="O98" s="18"/>
      <c r="P98" s="66"/>
      <c r="Q98" s="18"/>
      <c r="R98" s="18"/>
      <c r="S98" s="66"/>
      <c r="T98" s="46"/>
      <c r="U98" s="46"/>
      <c r="V98" s="45"/>
      <c r="W98" s="18"/>
      <c r="X98" s="18"/>
      <c r="Y98" s="18"/>
      <c r="Z98" s="18"/>
      <c r="AA98" s="18"/>
      <c r="AB98" s="14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7"/>
      <c r="AR98" s="31"/>
      <c r="AT98" s="10"/>
      <c r="AU98" s="27"/>
    </row>
    <row r="99" spans="1:49" s="2" customFormat="1" ht="17.25" customHeight="1" x14ac:dyDescent="0.25">
      <c r="A99" s="24"/>
      <c r="B99" s="201" t="s">
        <v>96</v>
      </c>
      <c r="C99" s="202"/>
      <c r="D99" s="63"/>
      <c r="E99" s="64"/>
      <c r="F99" s="64"/>
      <c r="G99" s="64"/>
      <c r="H99" s="64"/>
      <c r="I99" s="64">
        <f>-I97-I98</f>
        <v>-207.63999999999942</v>
      </c>
      <c r="J99" s="64"/>
      <c r="K99" s="16"/>
      <c r="L99" s="16"/>
      <c r="M99" s="64"/>
      <c r="N99" s="16"/>
      <c r="O99" s="16"/>
      <c r="P99" s="64"/>
      <c r="Q99" s="16"/>
      <c r="R99" s="16"/>
      <c r="S99" s="64"/>
      <c r="T99" s="46"/>
      <c r="U99" s="40"/>
      <c r="V99" s="39"/>
      <c r="W99" s="16"/>
      <c r="X99" s="16"/>
      <c r="Y99" s="16"/>
      <c r="Z99" s="16"/>
      <c r="AA99" s="16"/>
      <c r="AB99" s="19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22"/>
      <c r="AT99" s="10"/>
      <c r="AU99" s="11"/>
    </row>
    <row r="100" spans="1:49" s="2" customFormat="1" ht="17.25" customHeight="1" x14ac:dyDescent="0.25">
      <c r="A100" s="29"/>
      <c r="B100" s="201" t="s">
        <v>327</v>
      </c>
      <c r="C100" s="202"/>
      <c r="D100" s="63">
        <f>10+200+20+50+50+30+50+100+12+22+96.2</f>
        <v>640.20000000000005</v>
      </c>
      <c r="E100" s="64"/>
      <c r="F100" s="64"/>
      <c r="G100" s="64"/>
      <c r="H100" s="64"/>
      <c r="I100" s="64">
        <f>-D100</f>
        <v>-640.20000000000005</v>
      </c>
      <c r="J100" s="64"/>
      <c r="K100" s="57"/>
      <c r="L100" s="88"/>
      <c r="M100" s="62"/>
      <c r="N100" s="57"/>
      <c r="O100" s="88"/>
      <c r="P100" s="62"/>
      <c r="Q100" s="57"/>
      <c r="R100" s="88"/>
      <c r="S100" s="62"/>
      <c r="T100" s="47"/>
      <c r="U100" s="39"/>
      <c r="V100" s="39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22"/>
      <c r="AT100" s="10"/>
      <c r="AU100" s="11"/>
    </row>
    <row r="101" spans="1:49" s="2" customFormat="1" ht="17.25" customHeight="1" x14ac:dyDescent="0.25">
      <c r="A101" s="29"/>
      <c r="B101" s="201" t="s">
        <v>328</v>
      </c>
      <c r="C101" s="202"/>
      <c r="D101" s="63">
        <f>-10*0.99-1.6</f>
        <v>-11.5</v>
      </c>
      <c r="E101" s="64"/>
      <c r="F101" s="64"/>
      <c r="G101" s="64"/>
      <c r="H101" s="64"/>
      <c r="I101" s="64"/>
      <c r="J101" s="64"/>
      <c r="K101" s="57"/>
      <c r="L101" s="88"/>
      <c r="M101" s="62"/>
      <c r="N101" s="57"/>
      <c r="O101" s="88"/>
      <c r="P101" s="62"/>
      <c r="Q101" s="57"/>
      <c r="R101" s="88"/>
      <c r="S101" s="62"/>
      <c r="T101" s="47"/>
      <c r="U101" s="39"/>
      <c r="V101" s="39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22"/>
      <c r="AT101" s="10"/>
      <c r="AU101" s="11"/>
    </row>
    <row r="102" spans="1:49" s="2" customFormat="1" ht="17.25" customHeight="1" thickBot="1" x14ac:dyDescent="0.25">
      <c r="A102" s="24"/>
      <c r="B102" s="216"/>
      <c r="C102" s="217"/>
      <c r="D102" s="83"/>
      <c r="E102" s="81"/>
      <c r="F102" s="81"/>
      <c r="G102" s="81"/>
      <c r="H102" s="81"/>
      <c r="I102" s="81"/>
      <c r="J102" s="81"/>
      <c r="K102" s="37"/>
      <c r="L102" s="93"/>
      <c r="M102" s="81"/>
      <c r="N102" s="37"/>
      <c r="O102" s="93"/>
      <c r="P102" s="81"/>
      <c r="Q102" s="37"/>
      <c r="R102" s="93"/>
      <c r="S102" s="81"/>
      <c r="T102" s="40"/>
      <c r="U102" s="40"/>
      <c r="V102" s="39"/>
      <c r="W102" s="16"/>
      <c r="X102" s="16"/>
      <c r="Y102" s="16"/>
      <c r="Z102" s="16"/>
      <c r="AA102" s="16"/>
      <c r="AB102" s="19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41"/>
      <c r="AT102" s="10"/>
      <c r="AU102" s="11"/>
    </row>
    <row r="103" spans="1:49" s="4" customFormat="1" ht="17.25" customHeight="1" x14ac:dyDescent="0.25">
      <c r="A103" s="23"/>
      <c r="B103" s="210" t="s">
        <v>94</v>
      </c>
      <c r="C103" s="203"/>
      <c r="D103" s="66"/>
      <c r="E103" s="66"/>
      <c r="F103" s="117"/>
      <c r="G103" s="117"/>
      <c r="H103" s="66"/>
      <c r="I103" s="66"/>
      <c r="J103" s="66">
        <f>-M103</f>
        <v>7706.3399999999992</v>
      </c>
      <c r="K103" s="58">
        <v>-1206</v>
      </c>
      <c r="L103" s="89">
        <v>6.39</v>
      </c>
      <c r="M103" s="73">
        <f>K103*L103</f>
        <v>-7706.3399999999992</v>
      </c>
      <c r="N103" s="58"/>
      <c r="O103" s="89"/>
      <c r="P103" s="73"/>
      <c r="Q103" s="58"/>
      <c r="R103" s="89"/>
      <c r="S103" s="73"/>
      <c r="T103" s="39"/>
      <c r="U103" s="39"/>
      <c r="V103" s="8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35"/>
      <c r="AS103" s="12" t="e">
        <f>#REF!</f>
        <v>#REF!</v>
      </c>
    </row>
    <row r="104" spans="1:49" s="4" customFormat="1" ht="17.25" customHeight="1" x14ac:dyDescent="0.25">
      <c r="A104" s="23"/>
      <c r="B104" s="201" t="s">
        <v>95</v>
      </c>
      <c r="C104" s="202"/>
      <c r="D104" s="64"/>
      <c r="E104" s="64"/>
      <c r="F104" s="117"/>
      <c r="G104" s="117"/>
      <c r="H104" s="64"/>
      <c r="I104" s="64"/>
      <c r="J104" s="64">
        <f>-P104</f>
        <v>7657.7599999999993</v>
      </c>
      <c r="K104" s="57"/>
      <c r="L104" s="88"/>
      <c r="M104" s="62"/>
      <c r="N104" s="57">
        <v>-1832</v>
      </c>
      <c r="O104" s="88">
        <v>4.18</v>
      </c>
      <c r="P104" s="62">
        <f>N104*O104</f>
        <v>-7657.7599999999993</v>
      </c>
      <c r="Q104" s="57"/>
      <c r="R104" s="88"/>
      <c r="S104" s="62"/>
      <c r="T104" s="39"/>
      <c r="U104" s="39"/>
      <c r="V104" s="8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35"/>
      <c r="AS104" s="12" t="e">
        <f>#REF!</f>
        <v>#REF!</v>
      </c>
    </row>
    <row r="105" spans="1:49" s="4" customFormat="1" ht="17.25" customHeight="1" x14ac:dyDescent="0.25">
      <c r="A105" s="23"/>
      <c r="B105" s="201" t="s">
        <v>97</v>
      </c>
      <c r="C105" s="203"/>
      <c r="D105" s="64"/>
      <c r="E105" s="64"/>
      <c r="F105" s="64"/>
      <c r="G105" s="64"/>
      <c r="H105" s="64">
        <f>-J105-I105</f>
        <v>2954.0699999999979</v>
      </c>
      <c r="I105" s="64">
        <v>12410.03</v>
      </c>
      <c r="J105" s="64">
        <f>-SUM(J103:J104)</f>
        <v>-15364.099999999999</v>
      </c>
      <c r="K105" s="57"/>
      <c r="L105" s="88"/>
      <c r="M105" s="62"/>
      <c r="N105" s="57"/>
      <c r="O105" s="88"/>
      <c r="P105" s="62"/>
      <c r="Q105" s="57"/>
      <c r="R105" s="88"/>
      <c r="S105" s="62"/>
      <c r="T105" s="39"/>
      <c r="U105" s="39"/>
      <c r="V105" s="39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22"/>
      <c r="AR105" s="43"/>
      <c r="AS105" s="12" t="e">
        <f>#REF!</f>
        <v>#REF!</v>
      </c>
      <c r="AW105" s="2"/>
    </row>
    <row r="106" spans="1:49" s="4" customFormat="1" ht="17.25" customHeight="1" x14ac:dyDescent="0.25">
      <c r="A106" s="23"/>
      <c r="B106" s="201" t="s">
        <v>93</v>
      </c>
      <c r="C106" s="202"/>
      <c r="D106" s="64"/>
      <c r="E106" s="64"/>
      <c r="F106" s="64"/>
      <c r="G106" s="64"/>
      <c r="H106" s="64"/>
      <c r="I106" s="64"/>
      <c r="J106" s="64"/>
      <c r="K106" s="57">
        <v>-34</v>
      </c>
      <c r="L106" s="88"/>
      <c r="M106" s="62">
        <f>(K109*L97)-M97-M103</f>
        <v>995.41470178927102</v>
      </c>
      <c r="N106" s="57">
        <v>42</v>
      </c>
      <c r="O106" s="88"/>
      <c r="P106" s="62">
        <f>(N109*O97)-P97-P104</f>
        <v>1507.7507556859855</v>
      </c>
      <c r="Q106" s="57"/>
      <c r="R106" s="88"/>
      <c r="S106" s="62"/>
      <c r="T106" s="39"/>
      <c r="U106" s="39"/>
      <c r="V106" s="39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22"/>
      <c r="AR106" s="43">
        <f>A94</f>
        <v>0</v>
      </c>
      <c r="AS106" s="12" t="e">
        <f>#REF!</f>
        <v>#REF!</v>
      </c>
      <c r="AW106" s="2"/>
    </row>
    <row r="107" spans="1:49" s="2" customFormat="1" ht="17.25" customHeight="1" x14ac:dyDescent="0.2">
      <c r="A107" s="24"/>
      <c r="B107" s="201"/>
      <c r="C107" s="204"/>
      <c r="D107" s="63"/>
      <c r="E107" s="64"/>
      <c r="F107" s="64"/>
      <c r="G107" s="64"/>
      <c r="H107" s="64"/>
      <c r="I107" s="64"/>
      <c r="J107" s="64"/>
      <c r="K107" s="16"/>
      <c r="L107" s="16"/>
      <c r="M107" s="64"/>
      <c r="N107" s="16"/>
      <c r="O107" s="16"/>
      <c r="P107" s="64"/>
      <c r="Q107" s="16"/>
      <c r="R107" s="16"/>
      <c r="S107" s="64"/>
      <c r="T107" s="46"/>
      <c r="U107" s="46"/>
      <c r="V107" s="39"/>
      <c r="W107" s="16"/>
      <c r="X107" s="16"/>
      <c r="Y107" s="16"/>
      <c r="Z107" s="16"/>
      <c r="AA107" s="16"/>
      <c r="AB107" s="19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43">
        <f>A98</f>
        <v>46119</v>
      </c>
      <c r="AT107" s="10"/>
      <c r="AU107" s="11"/>
    </row>
    <row r="108" spans="1:49" s="2" customFormat="1" ht="17.25" customHeight="1" thickBot="1" x14ac:dyDescent="0.3">
      <c r="A108" s="56"/>
      <c r="B108" s="101" t="s">
        <v>102</v>
      </c>
      <c r="C108" s="102">
        <f>D109+E109+F109+G109+H109+I109+J109+M109+P109</f>
        <v>98444.429540000085</v>
      </c>
      <c r="D108" s="84"/>
      <c r="E108" s="85"/>
      <c r="F108" s="85"/>
      <c r="G108" s="85"/>
      <c r="H108" s="85"/>
      <c r="I108" s="85"/>
      <c r="J108" s="85"/>
      <c r="K108" s="28"/>
      <c r="L108" s="28"/>
      <c r="M108" s="85"/>
      <c r="N108" s="28"/>
      <c r="O108" s="28"/>
      <c r="P108" s="85"/>
      <c r="Q108" s="28"/>
      <c r="R108" s="28"/>
      <c r="S108" s="85"/>
      <c r="T108" s="48"/>
      <c r="U108" s="48"/>
      <c r="V108" s="51"/>
      <c r="W108" s="28"/>
      <c r="X108" s="28"/>
      <c r="Y108" s="28"/>
      <c r="Z108" s="28"/>
      <c r="AA108" s="28"/>
      <c r="AB108" s="36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42">
        <f>SUM($T97:AQ108)</f>
        <v>-406183.13890000002</v>
      </c>
      <c r="AT108" s="10"/>
      <c r="AU108" s="11"/>
      <c r="AV108" s="2" t="s">
        <v>5</v>
      </c>
    </row>
    <row r="109" spans="1:49" s="2" customFormat="1" ht="17.25" customHeight="1" thickTop="1" thickBot="1" x14ac:dyDescent="0.3">
      <c r="A109" s="103"/>
      <c r="B109" s="104" t="s">
        <v>103</v>
      </c>
      <c r="C109" s="105">
        <f>AR109</f>
        <v>-307738.70935999992</v>
      </c>
      <c r="D109" s="106">
        <f t="shared" ref="D109:K109" si="12">SUM(D97:D108)</f>
        <v>53474.617040000026</v>
      </c>
      <c r="E109" s="107">
        <f t="shared" si="12"/>
        <v>-62547.420000000006</v>
      </c>
      <c r="F109" s="107">
        <f t="shared" si="12"/>
        <v>-28394.35</v>
      </c>
      <c r="G109" s="107">
        <f t="shared" si="12"/>
        <v>0</v>
      </c>
      <c r="H109" s="107">
        <f t="shared" si="12"/>
        <v>54573.492500000058</v>
      </c>
      <c r="I109" s="107">
        <f t="shared" si="12"/>
        <v>11769.83</v>
      </c>
      <c r="J109" s="107">
        <f t="shared" si="12"/>
        <v>0</v>
      </c>
      <c r="K109" s="108">
        <f t="shared" si="12"/>
        <v>14856</v>
      </c>
      <c r="L109" s="109">
        <f>M109/K109</f>
        <v>5.4120362143241794</v>
      </c>
      <c r="M109" s="107">
        <f>ROUND(SUM(M97:M108),2)</f>
        <v>80401.210000000006</v>
      </c>
      <c r="N109" s="108">
        <f>SUM(N97:N108)</f>
        <v>-3153</v>
      </c>
      <c r="O109" s="109">
        <f>P109/N109</f>
        <v>3.435759594037425</v>
      </c>
      <c r="P109" s="107">
        <f>ROUND(SUM(P97:P108),2)</f>
        <v>-10832.95</v>
      </c>
      <c r="Q109" s="108">
        <f>SUM(Q97:Q108)</f>
        <v>214</v>
      </c>
      <c r="R109" s="109">
        <f>S109/Q109</f>
        <v>6.099485981308411</v>
      </c>
      <c r="S109" s="107">
        <f>ROUND(SUM(S97:S108),2)</f>
        <v>1305.29</v>
      </c>
      <c r="T109" s="110">
        <f t="shared" ref="T109:AQ109" si="13">SUM(T97:T108)</f>
        <v>-459627.12890000001</v>
      </c>
      <c r="U109" s="107">
        <f t="shared" si="13"/>
        <v>50229.299999999996</v>
      </c>
      <c r="V109" s="107">
        <f t="shared" si="13"/>
        <v>0</v>
      </c>
      <c r="W109" s="107">
        <f t="shared" si="13"/>
        <v>3214.6899999999996</v>
      </c>
      <c r="X109" s="107">
        <f t="shared" si="13"/>
        <v>0</v>
      </c>
      <c r="Y109" s="107">
        <f t="shared" si="13"/>
        <v>0</v>
      </c>
      <c r="Z109" s="107">
        <f t="shared" si="13"/>
        <v>0</v>
      </c>
      <c r="AA109" s="107">
        <f t="shared" si="13"/>
        <v>0</v>
      </c>
      <c r="AB109" s="107">
        <f t="shared" si="13"/>
        <v>0</v>
      </c>
      <c r="AC109" s="107">
        <f t="shared" si="13"/>
        <v>0</v>
      </c>
      <c r="AD109" s="107">
        <f t="shared" si="13"/>
        <v>0</v>
      </c>
      <c r="AE109" s="107">
        <f t="shared" si="13"/>
        <v>0</v>
      </c>
      <c r="AF109" s="107">
        <f t="shared" si="13"/>
        <v>0</v>
      </c>
      <c r="AG109" s="107">
        <f t="shared" si="13"/>
        <v>0</v>
      </c>
      <c r="AH109" s="107">
        <f t="shared" si="13"/>
        <v>0</v>
      </c>
      <c r="AI109" s="107">
        <f t="shared" si="13"/>
        <v>0</v>
      </c>
      <c r="AJ109" s="107">
        <f t="shared" si="13"/>
        <v>0</v>
      </c>
      <c r="AK109" s="107">
        <f t="shared" si="13"/>
        <v>0</v>
      </c>
      <c r="AL109" s="107">
        <f t="shared" si="13"/>
        <v>0</v>
      </c>
      <c r="AM109" s="107">
        <f t="shared" si="13"/>
        <v>0</v>
      </c>
      <c r="AN109" s="107">
        <f t="shared" si="13"/>
        <v>0</v>
      </c>
      <c r="AO109" s="107">
        <f t="shared" si="13"/>
        <v>0</v>
      </c>
      <c r="AP109" s="107">
        <f t="shared" si="13"/>
        <v>0</v>
      </c>
      <c r="AQ109" s="107">
        <f t="shared" si="13"/>
        <v>0</v>
      </c>
      <c r="AR109" s="111">
        <f>D109+E109+F109+G109+H109+I109+J109+M109+P109+SUM(T109:AQ109)</f>
        <v>-307738.70935999992</v>
      </c>
      <c r="AS109" s="4"/>
      <c r="AT109" s="5"/>
      <c r="AU109" s="5"/>
      <c r="AV109" s="2" t="s">
        <v>6</v>
      </c>
    </row>
    <row r="110" spans="1:49" s="2" customFormat="1" ht="17.25" customHeight="1" thickTop="1" x14ac:dyDescent="0.25">
      <c r="A110" s="23">
        <f>A98+1</f>
        <v>46120</v>
      </c>
      <c r="B110" s="201" t="s">
        <v>64</v>
      </c>
      <c r="C110" s="203"/>
      <c r="D110" s="63">
        <v>11474.35</v>
      </c>
      <c r="E110" s="64"/>
      <c r="F110" s="74"/>
      <c r="G110" s="74"/>
      <c r="H110" s="64"/>
      <c r="I110" s="64">
        <f>-D110</f>
        <v>-11474.35</v>
      </c>
      <c r="J110" s="66"/>
      <c r="K110" s="18"/>
      <c r="L110" s="18"/>
      <c r="M110" s="66"/>
      <c r="N110" s="18"/>
      <c r="O110" s="18"/>
      <c r="P110" s="66"/>
      <c r="Q110" s="18"/>
      <c r="R110" s="18"/>
      <c r="S110" s="66"/>
      <c r="T110" s="46"/>
      <c r="U110" s="46"/>
      <c r="V110" s="45"/>
      <c r="W110" s="18"/>
      <c r="X110" s="18"/>
      <c r="Y110" s="18"/>
      <c r="Z110" s="18"/>
      <c r="AA110" s="18"/>
      <c r="AB110" s="14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7"/>
      <c r="AR110" s="31"/>
      <c r="AT110" s="10"/>
      <c r="AU110" s="27"/>
    </row>
    <row r="111" spans="1:49" s="2" customFormat="1" ht="17.25" customHeight="1" x14ac:dyDescent="0.25">
      <c r="A111" s="24"/>
      <c r="B111" s="201" t="s">
        <v>96</v>
      </c>
      <c r="C111" s="202"/>
      <c r="D111" s="63"/>
      <c r="E111" s="64"/>
      <c r="F111" s="64"/>
      <c r="G111" s="64"/>
      <c r="H111" s="64"/>
      <c r="I111" s="64">
        <f>-I109-I110</f>
        <v>-295.47999999999956</v>
      </c>
      <c r="J111" s="64"/>
      <c r="K111" s="16"/>
      <c r="L111" s="16"/>
      <c r="M111" s="64"/>
      <c r="N111" s="16"/>
      <c r="O111" s="16"/>
      <c r="P111" s="64"/>
      <c r="Q111" s="16"/>
      <c r="R111" s="16"/>
      <c r="S111" s="64"/>
      <c r="T111" s="46"/>
      <c r="U111" s="40"/>
      <c r="V111" s="39"/>
      <c r="W111" s="16"/>
      <c r="X111" s="16"/>
      <c r="Y111" s="16"/>
      <c r="Z111" s="16"/>
      <c r="AA111" s="16"/>
      <c r="AB111" s="19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22"/>
      <c r="AT111" s="10"/>
      <c r="AU111" s="11"/>
    </row>
    <row r="112" spans="1:49" s="2" customFormat="1" ht="17.25" customHeight="1" x14ac:dyDescent="0.25">
      <c r="A112" s="29"/>
      <c r="B112" s="201" t="s">
        <v>327</v>
      </c>
      <c r="C112" s="202"/>
      <c r="D112" s="63">
        <f>10+29+40+50+50+12+60+20+100+50+70+40+30+30+30+20</f>
        <v>641</v>
      </c>
      <c r="E112" s="64"/>
      <c r="F112" s="64"/>
      <c r="G112" s="64"/>
      <c r="H112" s="64"/>
      <c r="I112" s="64">
        <f>-D112</f>
        <v>-641</v>
      </c>
      <c r="J112" s="64"/>
      <c r="K112" s="57"/>
      <c r="L112" s="88"/>
      <c r="M112" s="62"/>
      <c r="N112" s="57"/>
      <c r="O112" s="88"/>
      <c r="P112" s="62"/>
      <c r="Q112" s="57"/>
      <c r="R112" s="88"/>
      <c r="S112" s="62"/>
      <c r="T112" s="47"/>
      <c r="U112" s="39"/>
      <c r="V112" s="39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22"/>
      <c r="AT112" s="10"/>
      <c r="AU112" s="11"/>
    </row>
    <row r="113" spans="1:49" s="2" customFormat="1" ht="17.25" customHeight="1" x14ac:dyDescent="0.25">
      <c r="A113" s="29"/>
      <c r="B113" s="201" t="s">
        <v>328</v>
      </c>
      <c r="C113" s="202"/>
      <c r="D113" s="63">
        <f>-16*0.99</f>
        <v>-15.84</v>
      </c>
      <c r="E113" s="64"/>
      <c r="F113" s="64"/>
      <c r="G113" s="64"/>
      <c r="H113" s="64"/>
      <c r="I113" s="64"/>
      <c r="J113" s="64"/>
      <c r="K113" s="57"/>
      <c r="L113" s="88"/>
      <c r="M113" s="62"/>
      <c r="N113" s="57"/>
      <c r="O113" s="88"/>
      <c r="P113" s="62"/>
      <c r="Q113" s="57"/>
      <c r="R113" s="88"/>
      <c r="S113" s="62"/>
      <c r="T113" s="47"/>
      <c r="U113" s="39"/>
      <c r="V113" s="39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22"/>
      <c r="AT113" s="10"/>
      <c r="AU113" s="11"/>
    </row>
    <row r="114" spans="1:49" s="2" customFormat="1" ht="17.25" customHeight="1" thickBot="1" x14ac:dyDescent="0.25">
      <c r="A114" s="24"/>
      <c r="B114" s="216"/>
      <c r="C114" s="217"/>
      <c r="D114" s="83"/>
      <c r="E114" s="81"/>
      <c r="F114" s="81"/>
      <c r="G114" s="81"/>
      <c r="H114" s="81"/>
      <c r="I114" s="81"/>
      <c r="J114" s="81"/>
      <c r="K114" s="37"/>
      <c r="L114" s="93"/>
      <c r="M114" s="81"/>
      <c r="N114" s="37"/>
      <c r="O114" s="93"/>
      <c r="P114" s="81"/>
      <c r="Q114" s="37"/>
      <c r="R114" s="93"/>
      <c r="S114" s="81"/>
      <c r="T114" s="40"/>
      <c r="U114" s="40"/>
      <c r="V114" s="39"/>
      <c r="W114" s="16"/>
      <c r="X114" s="16"/>
      <c r="Y114" s="16"/>
      <c r="Z114" s="16"/>
      <c r="AA114" s="16"/>
      <c r="AB114" s="19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41"/>
      <c r="AT114" s="10"/>
      <c r="AU114" s="11"/>
    </row>
    <row r="115" spans="1:49" s="4" customFormat="1" ht="17.25" customHeight="1" x14ac:dyDescent="0.25">
      <c r="A115" s="23"/>
      <c r="B115" s="210" t="s">
        <v>94</v>
      </c>
      <c r="C115" s="203"/>
      <c r="D115" s="66"/>
      <c r="E115" s="66"/>
      <c r="F115" s="117"/>
      <c r="G115" s="117"/>
      <c r="H115" s="66"/>
      <c r="I115" s="66"/>
      <c r="J115" s="66">
        <f>-M115</f>
        <v>6377.2199999999993</v>
      </c>
      <c r="K115" s="58">
        <v>-998</v>
      </c>
      <c r="L115" s="89">
        <v>6.39</v>
      </c>
      <c r="M115" s="73">
        <f>K115*L115</f>
        <v>-6377.2199999999993</v>
      </c>
      <c r="N115" s="58"/>
      <c r="O115" s="89"/>
      <c r="P115" s="73"/>
      <c r="Q115" s="58"/>
      <c r="R115" s="89"/>
      <c r="S115" s="73"/>
      <c r="T115" s="39"/>
      <c r="U115" s="39"/>
      <c r="V115" s="8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35"/>
      <c r="AS115" s="12" t="e">
        <f>#REF!</f>
        <v>#REF!</v>
      </c>
    </row>
    <row r="116" spans="1:49" s="4" customFormat="1" ht="17.25" customHeight="1" x14ac:dyDescent="0.25">
      <c r="A116" s="23"/>
      <c r="B116" s="201" t="s">
        <v>95</v>
      </c>
      <c r="C116" s="202"/>
      <c r="D116" s="64"/>
      <c r="E116" s="64"/>
      <c r="F116" s="117"/>
      <c r="G116" s="117"/>
      <c r="H116" s="64"/>
      <c r="I116" s="64"/>
      <c r="J116" s="64">
        <f>-P116</f>
        <v>7933.6399999999994</v>
      </c>
      <c r="K116" s="57"/>
      <c r="L116" s="88"/>
      <c r="M116" s="62"/>
      <c r="N116" s="57">
        <v>-1898</v>
      </c>
      <c r="O116" s="88">
        <v>4.18</v>
      </c>
      <c r="P116" s="62">
        <f>N116*O116</f>
        <v>-7933.6399999999994</v>
      </c>
      <c r="Q116" s="57"/>
      <c r="R116" s="88"/>
      <c r="S116" s="62"/>
      <c r="T116" s="39"/>
      <c r="U116" s="39"/>
      <c r="V116" s="8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35"/>
      <c r="AS116" s="12" t="e">
        <f>#REF!</f>
        <v>#REF!</v>
      </c>
    </row>
    <row r="117" spans="1:49" s="4" customFormat="1" ht="17.25" customHeight="1" x14ac:dyDescent="0.25">
      <c r="A117" s="23"/>
      <c r="B117" s="201" t="s">
        <v>97</v>
      </c>
      <c r="C117" s="203"/>
      <c r="D117" s="64"/>
      <c r="E117" s="64"/>
      <c r="F117" s="64"/>
      <c r="G117" s="64"/>
      <c r="H117" s="64">
        <f>-J117-I117</f>
        <v>6018.7999999999993</v>
      </c>
      <c r="I117" s="64">
        <v>8292.06</v>
      </c>
      <c r="J117" s="64">
        <f>-SUM(J115:J116)</f>
        <v>-14310.859999999999</v>
      </c>
      <c r="K117" s="57"/>
      <c r="L117" s="88"/>
      <c r="M117" s="62"/>
      <c r="N117" s="57"/>
      <c r="O117" s="88"/>
      <c r="P117" s="62"/>
      <c r="Q117" s="57"/>
      <c r="R117" s="88"/>
      <c r="S117" s="62"/>
      <c r="T117" s="39"/>
      <c r="U117" s="39"/>
      <c r="V117" s="39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22"/>
      <c r="AR117" s="43"/>
      <c r="AS117" s="12" t="e">
        <f>#REF!</f>
        <v>#REF!</v>
      </c>
      <c r="AW117" s="2"/>
    </row>
    <row r="118" spans="1:49" s="4" customFormat="1" ht="17.25" customHeight="1" x14ac:dyDescent="0.25">
      <c r="A118" s="23"/>
      <c r="B118" s="201" t="s">
        <v>93</v>
      </c>
      <c r="C118" s="202"/>
      <c r="D118" s="64"/>
      <c r="E118" s="64"/>
      <c r="F118" s="64"/>
      <c r="G118" s="64"/>
      <c r="H118" s="64"/>
      <c r="I118" s="64"/>
      <c r="J118" s="64"/>
      <c r="K118" s="57">
        <v>-33</v>
      </c>
      <c r="L118" s="88"/>
      <c r="M118" s="62">
        <f>(K121*L109)-M109-M115</f>
        <v>797.4106630317674</v>
      </c>
      <c r="N118" s="57">
        <v>72</v>
      </c>
      <c r="O118" s="88"/>
      <c r="P118" s="62">
        <f>(N121*O109)-P109-P116</f>
        <v>1659.9429812876624</v>
      </c>
      <c r="Q118" s="57"/>
      <c r="R118" s="88"/>
      <c r="S118" s="62"/>
      <c r="T118" s="39"/>
      <c r="U118" s="39"/>
      <c r="V118" s="39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22"/>
      <c r="AR118" s="43">
        <f>A111</f>
        <v>0</v>
      </c>
      <c r="AS118" s="12" t="e">
        <f>#REF!</f>
        <v>#REF!</v>
      </c>
      <c r="AW118" s="2"/>
    </row>
    <row r="119" spans="1:49" s="2" customFormat="1" ht="17.25" customHeight="1" x14ac:dyDescent="0.2">
      <c r="A119" s="24"/>
      <c r="B119" s="201"/>
      <c r="C119" s="204"/>
      <c r="D119" s="63"/>
      <c r="E119" s="64"/>
      <c r="F119" s="64"/>
      <c r="G119" s="64"/>
      <c r="H119" s="64"/>
      <c r="I119" s="64"/>
      <c r="J119" s="64"/>
      <c r="K119" s="16"/>
      <c r="L119" s="16"/>
      <c r="M119" s="64"/>
      <c r="N119" s="16"/>
      <c r="O119" s="16"/>
      <c r="P119" s="64"/>
      <c r="Q119" s="16"/>
      <c r="R119" s="16"/>
      <c r="S119" s="64"/>
      <c r="T119" s="46"/>
      <c r="U119" s="46"/>
      <c r="V119" s="39"/>
      <c r="W119" s="16"/>
      <c r="X119" s="16"/>
      <c r="Y119" s="16"/>
      <c r="Z119" s="16"/>
      <c r="AA119" s="16"/>
      <c r="AB119" s="19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43">
        <f>A110</f>
        <v>46120</v>
      </c>
      <c r="AT119" s="10"/>
      <c r="AU119" s="11"/>
    </row>
    <row r="120" spans="1:49" s="2" customFormat="1" ht="17.25" customHeight="1" thickBot="1" x14ac:dyDescent="0.3">
      <c r="A120" s="56"/>
      <c r="B120" s="101" t="s">
        <v>102</v>
      </c>
      <c r="C120" s="102">
        <f>D121+E121+F121+G121+H121+I121+J121+M121+P121</f>
        <v>100590.45954000007</v>
      </c>
      <c r="D120" s="84"/>
      <c r="E120" s="85"/>
      <c r="F120" s="85"/>
      <c r="G120" s="85"/>
      <c r="H120" s="85"/>
      <c r="I120" s="85"/>
      <c r="J120" s="85"/>
      <c r="K120" s="28"/>
      <c r="L120" s="28"/>
      <c r="M120" s="85"/>
      <c r="N120" s="28"/>
      <c r="O120" s="28"/>
      <c r="P120" s="85"/>
      <c r="Q120" s="28"/>
      <c r="R120" s="28"/>
      <c r="S120" s="85"/>
      <c r="T120" s="48"/>
      <c r="U120" s="48"/>
      <c r="V120" s="51"/>
      <c r="W120" s="28"/>
      <c r="X120" s="28"/>
      <c r="Y120" s="28"/>
      <c r="Z120" s="28"/>
      <c r="AA120" s="28"/>
      <c r="AB120" s="36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42">
        <f>SUM($T109:AQ120)</f>
        <v>-406183.13890000002</v>
      </c>
      <c r="AT120" s="10"/>
      <c r="AU120" s="11"/>
      <c r="AV120" s="2" t="s">
        <v>5</v>
      </c>
    </row>
    <row r="121" spans="1:49" s="2" customFormat="1" ht="17.25" customHeight="1" thickTop="1" thickBot="1" x14ac:dyDescent="0.3">
      <c r="A121" s="103"/>
      <c r="B121" s="104" t="s">
        <v>103</v>
      </c>
      <c r="C121" s="105">
        <f>AR121</f>
        <v>-305592.67935999995</v>
      </c>
      <c r="D121" s="106">
        <f t="shared" ref="D121:K121" si="14">SUM(D109:D120)</f>
        <v>65574.127040000021</v>
      </c>
      <c r="E121" s="107">
        <f t="shared" si="14"/>
        <v>-62547.420000000006</v>
      </c>
      <c r="F121" s="107">
        <f t="shared" si="14"/>
        <v>-28394.35</v>
      </c>
      <c r="G121" s="107">
        <f t="shared" si="14"/>
        <v>0</v>
      </c>
      <c r="H121" s="107">
        <f t="shared" si="14"/>
        <v>60592.292500000054</v>
      </c>
      <c r="I121" s="107">
        <f t="shared" si="14"/>
        <v>7651.0599999999995</v>
      </c>
      <c r="J121" s="107">
        <f t="shared" si="14"/>
        <v>0</v>
      </c>
      <c r="K121" s="108">
        <f t="shared" si="14"/>
        <v>13825</v>
      </c>
      <c r="L121" s="109">
        <f>M121/K121</f>
        <v>5.4120361663652803</v>
      </c>
      <c r="M121" s="107">
        <f>ROUND(SUM(M109:M120),2)</f>
        <v>74821.399999999994</v>
      </c>
      <c r="N121" s="108">
        <f>SUM(N109:N120)</f>
        <v>-4979</v>
      </c>
      <c r="O121" s="109">
        <f>P121/N121</f>
        <v>3.4357601928098016</v>
      </c>
      <c r="P121" s="107">
        <f>ROUND(SUM(P109:P120),2)</f>
        <v>-17106.650000000001</v>
      </c>
      <c r="Q121" s="108">
        <f>SUM(Q109:Q120)</f>
        <v>214</v>
      </c>
      <c r="R121" s="109">
        <f>S121/Q121</f>
        <v>6.099485981308411</v>
      </c>
      <c r="S121" s="107">
        <f>ROUND(SUM(S109:S120),2)</f>
        <v>1305.29</v>
      </c>
      <c r="T121" s="110">
        <f t="shared" ref="T121:AQ121" si="15">SUM(T109:T120)</f>
        <v>-459627.12890000001</v>
      </c>
      <c r="U121" s="107">
        <f t="shared" si="15"/>
        <v>50229.299999999996</v>
      </c>
      <c r="V121" s="107">
        <f t="shared" si="15"/>
        <v>0</v>
      </c>
      <c r="W121" s="107">
        <f t="shared" si="15"/>
        <v>3214.6899999999996</v>
      </c>
      <c r="X121" s="107">
        <f t="shared" si="15"/>
        <v>0</v>
      </c>
      <c r="Y121" s="107">
        <f t="shared" si="15"/>
        <v>0</v>
      </c>
      <c r="Z121" s="107">
        <f t="shared" si="15"/>
        <v>0</v>
      </c>
      <c r="AA121" s="107">
        <f t="shared" si="15"/>
        <v>0</v>
      </c>
      <c r="AB121" s="107">
        <f t="shared" si="15"/>
        <v>0</v>
      </c>
      <c r="AC121" s="107">
        <f t="shared" si="15"/>
        <v>0</v>
      </c>
      <c r="AD121" s="107">
        <f t="shared" si="15"/>
        <v>0</v>
      </c>
      <c r="AE121" s="107">
        <f t="shared" si="15"/>
        <v>0</v>
      </c>
      <c r="AF121" s="107">
        <f t="shared" si="15"/>
        <v>0</v>
      </c>
      <c r="AG121" s="107">
        <f t="shared" si="15"/>
        <v>0</v>
      </c>
      <c r="AH121" s="107">
        <f t="shared" si="15"/>
        <v>0</v>
      </c>
      <c r="AI121" s="107">
        <f t="shared" si="15"/>
        <v>0</v>
      </c>
      <c r="AJ121" s="107">
        <f t="shared" si="15"/>
        <v>0</v>
      </c>
      <c r="AK121" s="107">
        <f t="shared" si="15"/>
        <v>0</v>
      </c>
      <c r="AL121" s="107">
        <f t="shared" si="15"/>
        <v>0</v>
      </c>
      <c r="AM121" s="107">
        <f t="shared" si="15"/>
        <v>0</v>
      </c>
      <c r="AN121" s="107">
        <f t="shared" si="15"/>
        <v>0</v>
      </c>
      <c r="AO121" s="107">
        <f t="shared" si="15"/>
        <v>0</v>
      </c>
      <c r="AP121" s="107">
        <f t="shared" si="15"/>
        <v>0</v>
      </c>
      <c r="AQ121" s="107">
        <f t="shared" si="15"/>
        <v>0</v>
      </c>
      <c r="AR121" s="111">
        <f>D121+E121+F121+G121+H121+I121+J121+M121+P121+SUM(T121:AQ121)</f>
        <v>-305592.67935999995</v>
      </c>
      <c r="AS121" s="4"/>
      <c r="AT121" s="5"/>
      <c r="AU121" s="5"/>
      <c r="AV121" s="2" t="s">
        <v>6</v>
      </c>
    </row>
    <row r="122" spans="1:49" s="2" customFormat="1" ht="17.25" customHeight="1" thickTop="1" x14ac:dyDescent="0.25">
      <c r="A122" s="23">
        <f>A110+1</f>
        <v>46121</v>
      </c>
      <c r="B122" s="210" t="s">
        <v>64</v>
      </c>
      <c r="C122" s="203"/>
      <c r="D122" s="63">
        <v>7475.79</v>
      </c>
      <c r="E122" s="66"/>
      <c r="F122" s="66"/>
      <c r="G122" s="66"/>
      <c r="H122" s="66"/>
      <c r="I122" s="66">
        <f>-D122</f>
        <v>-7475.79</v>
      </c>
      <c r="J122" s="66"/>
      <c r="K122" s="18"/>
      <c r="L122" s="18"/>
      <c r="M122" s="66"/>
      <c r="N122" s="18"/>
      <c r="O122" s="18"/>
      <c r="P122" s="66"/>
      <c r="Q122" s="18"/>
      <c r="R122" s="18"/>
      <c r="S122" s="66"/>
      <c r="T122" s="46"/>
      <c r="U122" s="46"/>
      <c r="V122" s="45"/>
      <c r="W122" s="18"/>
      <c r="X122" s="18"/>
      <c r="Y122" s="18"/>
      <c r="Z122" s="18"/>
      <c r="AA122" s="18"/>
      <c r="AB122" s="14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7"/>
      <c r="AR122" s="31"/>
      <c r="AT122" s="10"/>
      <c r="AU122" s="27"/>
    </row>
    <row r="123" spans="1:49" s="4" customFormat="1" ht="17.25" customHeight="1" x14ac:dyDescent="0.25">
      <c r="A123" s="23"/>
      <c r="B123" s="201" t="s">
        <v>96</v>
      </c>
      <c r="C123" s="202"/>
      <c r="D123" s="63"/>
      <c r="E123" s="64"/>
      <c r="F123" s="64"/>
      <c r="G123" s="64"/>
      <c r="H123" s="64"/>
      <c r="I123" s="64">
        <f>-I121-I122</f>
        <v>-175.26999999999953</v>
      </c>
      <c r="J123" s="64"/>
      <c r="K123" s="16"/>
      <c r="L123" s="92"/>
      <c r="M123" s="64"/>
      <c r="N123" s="16"/>
      <c r="O123" s="92"/>
      <c r="P123" s="64"/>
      <c r="Q123" s="16"/>
      <c r="R123" s="92"/>
      <c r="S123" s="64"/>
      <c r="T123" s="40"/>
      <c r="U123" s="46"/>
      <c r="V123" s="39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22"/>
      <c r="AS123" s="30"/>
    </row>
    <row r="124" spans="1:49" s="2" customFormat="1" ht="17.25" customHeight="1" x14ac:dyDescent="0.25">
      <c r="A124" s="29"/>
      <c r="B124" s="201" t="s">
        <v>327</v>
      </c>
      <c r="C124" s="202"/>
      <c r="D124" s="63">
        <f>14+30+20+60+121+245+15+50+80+20+30+30+145+135+6</f>
        <v>1001</v>
      </c>
      <c r="E124" s="64"/>
      <c r="F124" s="64"/>
      <c r="G124" s="64"/>
      <c r="H124" s="64"/>
      <c r="I124" s="64">
        <f>-D124</f>
        <v>-1001</v>
      </c>
      <c r="J124" s="64"/>
      <c r="K124" s="57"/>
      <c r="L124" s="88"/>
      <c r="M124" s="62"/>
      <c r="N124" s="57"/>
      <c r="O124" s="88"/>
      <c r="P124" s="62"/>
      <c r="Q124" s="57"/>
      <c r="R124" s="88"/>
      <c r="S124" s="62"/>
      <c r="T124" s="47"/>
      <c r="U124" s="39"/>
      <c r="V124" s="39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22"/>
      <c r="AT124" s="10"/>
      <c r="AU124" s="11"/>
    </row>
    <row r="125" spans="1:49" s="2" customFormat="1" ht="17.25" customHeight="1" x14ac:dyDescent="0.25">
      <c r="A125" s="29"/>
      <c r="B125" s="201" t="s">
        <v>328</v>
      </c>
      <c r="C125" s="202"/>
      <c r="D125" s="63">
        <f>-12*0.99-1.96-1.16-1.08</f>
        <v>-16.079999999999998</v>
      </c>
      <c r="E125" s="64"/>
      <c r="F125" s="64"/>
      <c r="G125" s="64"/>
      <c r="H125" s="64"/>
      <c r="I125" s="64"/>
      <c r="J125" s="64"/>
      <c r="K125" s="57"/>
      <c r="L125" s="88"/>
      <c r="M125" s="62"/>
      <c r="N125" s="57"/>
      <c r="O125" s="88"/>
      <c r="P125" s="62"/>
      <c r="Q125" s="57"/>
      <c r="R125" s="88"/>
      <c r="S125" s="62"/>
      <c r="T125" s="47"/>
      <c r="U125" s="39"/>
      <c r="V125" s="39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22"/>
      <c r="AT125" s="10"/>
      <c r="AU125" s="11"/>
    </row>
    <row r="126" spans="1:49" s="4" customFormat="1" ht="17.25" customHeight="1" x14ac:dyDescent="0.25">
      <c r="A126" s="23"/>
      <c r="B126" s="201" t="s">
        <v>13</v>
      </c>
      <c r="C126" s="203"/>
      <c r="D126" s="63"/>
      <c r="E126" s="64">
        <f>15+50+30+100+30+68+100+40+444+1404+100+50+20+150+83+40+32+51+330+1207+75+50+50+80+50+10</f>
        <v>4659</v>
      </c>
      <c r="F126" s="64"/>
      <c r="G126" s="64"/>
      <c r="H126" s="64">
        <f>-E126</f>
        <v>-4659</v>
      </c>
      <c r="I126" s="66"/>
      <c r="J126" s="64"/>
      <c r="K126" s="16"/>
      <c r="L126" s="92"/>
      <c r="M126" s="64"/>
      <c r="N126" s="16"/>
      <c r="O126" s="92"/>
      <c r="P126" s="64"/>
      <c r="Q126" s="16"/>
      <c r="R126" s="92"/>
      <c r="S126" s="64"/>
      <c r="T126" s="40"/>
      <c r="U126" s="46">
        <f>-D126</f>
        <v>0</v>
      </c>
      <c r="V126" s="39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22"/>
      <c r="AS126" s="30"/>
    </row>
    <row r="127" spans="1:49" s="2" customFormat="1" ht="17.25" customHeight="1" x14ac:dyDescent="0.25">
      <c r="A127" s="24"/>
      <c r="B127" s="205" t="s">
        <v>469</v>
      </c>
      <c r="C127" s="206"/>
      <c r="D127" s="64"/>
      <c r="E127" s="64"/>
      <c r="F127" s="64"/>
      <c r="G127" s="64"/>
      <c r="H127" s="64"/>
      <c r="I127" s="64"/>
      <c r="J127" s="64"/>
      <c r="K127" s="57"/>
      <c r="L127" s="88"/>
      <c r="M127" s="62"/>
      <c r="N127" s="57">
        <v>5000</v>
      </c>
      <c r="O127" s="88">
        <v>3.64</v>
      </c>
      <c r="P127" s="62">
        <f>N127*O127</f>
        <v>18200</v>
      </c>
      <c r="Q127" s="57"/>
      <c r="R127" s="88"/>
      <c r="S127" s="62"/>
      <c r="T127" s="39">
        <f>-P127</f>
        <v>-18200</v>
      </c>
      <c r="U127" s="39"/>
      <c r="V127" s="39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22"/>
      <c r="AT127" s="10"/>
      <c r="AU127" s="11"/>
    </row>
    <row r="128" spans="1:49" s="2" customFormat="1" ht="17.25" customHeight="1" thickBot="1" x14ac:dyDescent="0.25">
      <c r="A128" s="24"/>
      <c r="B128" s="216"/>
      <c r="C128" s="217"/>
      <c r="D128" s="83"/>
      <c r="E128" s="81"/>
      <c r="F128" s="81"/>
      <c r="G128" s="81"/>
      <c r="H128" s="81"/>
      <c r="I128" s="81"/>
      <c r="J128" s="81"/>
      <c r="K128" s="37"/>
      <c r="L128" s="93"/>
      <c r="M128" s="81"/>
      <c r="N128" s="37"/>
      <c r="O128" s="93"/>
      <c r="P128" s="81"/>
      <c r="Q128" s="37"/>
      <c r="R128" s="93"/>
      <c r="S128" s="81"/>
      <c r="T128" s="40"/>
      <c r="U128" s="40"/>
      <c r="V128" s="39"/>
      <c r="W128" s="16"/>
      <c r="X128" s="16"/>
      <c r="Y128" s="16"/>
      <c r="Z128" s="16"/>
      <c r="AA128" s="16"/>
      <c r="AB128" s="19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41"/>
      <c r="AT128" s="10"/>
      <c r="AU128" s="11"/>
    </row>
    <row r="129" spans="1:49" s="4" customFormat="1" ht="17.25" customHeight="1" x14ac:dyDescent="0.25">
      <c r="A129" s="23"/>
      <c r="B129" s="210" t="s">
        <v>94</v>
      </c>
      <c r="C129" s="203"/>
      <c r="D129" s="66"/>
      <c r="E129" s="66"/>
      <c r="F129" s="117"/>
      <c r="G129" s="117"/>
      <c r="H129" s="66"/>
      <c r="I129" s="66"/>
      <c r="J129" s="66">
        <f>-M129</f>
        <v>6837.2999999999993</v>
      </c>
      <c r="K129" s="58">
        <v>-1070</v>
      </c>
      <c r="L129" s="89">
        <v>6.39</v>
      </c>
      <c r="M129" s="73">
        <f>K129*L129</f>
        <v>-6837.2999999999993</v>
      </c>
      <c r="N129" s="58"/>
      <c r="O129" s="89"/>
      <c r="P129" s="73"/>
      <c r="Q129" s="58"/>
      <c r="R129" s="89"/>
      <c r="S129" s="73"/>
      <c r="T129" s="39"/>
      <c r="U129" s="39"/>
      <c r="V129" s="8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35"/>
      <c r="AS129" s="12" t="e">
        <f>#REF!</f>
        <v>#REF!</v>
      </c>
    </row>
    <row r="130" spans="1:49" s="4" customFormat="1" ht="17.25" customHeight="1" x14ac:dyDescent="0.25">
      <c r="A130" s="23"/>
      <c r="B130" s="201" t="s">
        <v>95</v>
      </c>
      <c r="C130" s="202"/>
      <c r="D130" s="64"/>
      <c r="E130" s="64"/>
      <c r="F130" s="117"/>
      <c r="G130" s="117"/>
      <c r="H130" s="64"/>
      <c r="I130" s="64"/>
      <c r="J130" s="64">
        <f>-P130</f>
        <v>6236.5599999999995</v>
      </c>
      <c r="K130" s="57"/>
      <c r="L130" s="88"/>
      <c r="M130" s="62"/>
      <c r="N130" s="57">
        <v>-1492</v>
      </c>
      <c r="O130" s="88">
        <v>4.18</v>
      </c>
      <c r="P130" s="62">
        <f>N130*O130</f>
        <v>-6236.5599999999995</v>
      </c>
      <c r="Q130" s="57"/>
      <c r="R130" s="88"/>
      <c r="S130" s="62"/>
      <c r="T130" s="39"/>
      <c r="U130" s="39"/>
      <c r="V130" s="8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35"/>
      <c r="AS130" s="12" t="e">
        <f>#REF!</f>
        <v>#REF!</v>
      </c>
    </row>
    <row r="131" spans="1:49" s="4" customFormat="1" ht="17.25" customHeight="1" x14ac:dyDescent="0.25">
      <c r="A131" s="23"/>
      <c r="B131" s="201" t="s">
        <v>97</v>
      </c>
      <c r="C131" s="203"/>
      <c r="D131" s="64"/>
      <c r="E131" s="64"/>
      <c r="F131" s="64"/>
      <c r="G131" s="64"/>
      <c r="H131" s="64">
        <f>-J131-I131</f>
        <v>1889.4999999999982</v>
      </c>
      <c r="I131" s="64">
        <v>11184.36</v>
      </c>
      <c r="J131" s="64">
        <f>-SUM(J129:J130)</f>
        <v>-13073.859999999999</v>
      </c>
      <c r="K131" s="57"/>
      <c r="L131" s="88"/>
      <c r="M131" s="62"/>
      <c r="N131" s="57"/>
      <c r="O131" s="88"/>
      <c r="P131" s="62"/>
      <c r="Q131" s="57"/>
      <c r="R131" s="88"/>
      <c r="S131" s="62"/>
      <c r="T131" s="39"/>
      <c r="U131" s="39"/>
      <c r="V131" s="39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22"/>
      <c r="AR131" s="35"/>
      <c r="AS131" s="12" t="e">
        <f>#REF!</f>
        <v>#REF!</v>
      </c>
      <c r="AW131" s="2"/>
    </row>
    <row r="132" spans="1:49" s="4" customFormat="1" ht="17.25" customHeight="1" x14ac:dyDescent="0.25">
      <c r="A132" s="23"/>
      <c r="B132" s="201" t="s">
        <v>93</v>
      </c>
      <c r="C132" s="202"/>
      <c r="D132" s="64"/>
      <c r="E132" s="64"/>
      <c r="F132" s="64"/>
      <c r="G132" s="64"/>
      <c r="H132" s="64"/>
      <c r="I132" s="64"/>
      <c r="J132" s="64"/>
      <c r="K132" s="57">
        <v>16</v>
      </c>
      <c r="L132" s="88"/>
      <c r="M132" s="62">
        <f>(K135*((M121)/(K121)))-M121-M129</f>
        <v>1133.013880651004</v>
      </c>
      <c r="N132" s="57">
        <v>-45</v>
      </c>
      <c r="O132" s="88"/>
      <c r="P132" s="62">
        <f>(N135*((P121+P127)/(N121+N127)))-P121-P130-P127</f>
        <v>-73786.247142857028</v>
      </c>
      <c r="Q132" s="57"/>
      <c r="R132" s="88"/>
      <c r="S132" s="62"/>
      <c r="T132" s="39"/>
      <c r="U132" s="39"/>
      <c r="V132" s="39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22"/>
      <c r="AR132" s="43">
        <f>A115</f>
        <v>0</v>
      </c>
      <c r="AS132" s="12" t="e">
        <f>#REF!</f>
        <v>#REF!</v>
      </c>
      <c r="AW132" s="2"/>
    </row>
    <row r="133" spans="1:49" s="2" customFormat="1" ht="17.25" customHeight="1" x14ac:dyDescent="0.2">
      <c r="A133" s="24"/>
      <c r="B133" s="201"/>
      <c r="C133" s="204"/>
      <c r="D133" s="63"/>
      <c r="E133" s="64"/>
      <c r="F133" s="64"/>
      <c r="G133" s="64"/>
      <c r="H133" s="64"/>
      <c r="I133" s="64"/>
      <c r="J133" s="64"/>
      <c r="K133" s="16"/>
      <c r="L133" s="16"/>
      <c r="M133" s="64"/>
      <c r="N133" s="16"/>
      <c r="O133" s="16"/>
      <c r="P133" s="64"/>
      <c r="Q133" s="16"/>
      <c r="R133" s="16"/>
      <c r="S133" s="64"/>
      <c r="T133" s="46"/>
      <c r="U133" s="46"/>
      <c r="V133" s="39"/>
      <c r="W133" s="16"/>
      <c r="X133" s="16"/>
      <c r="Y133" s="16"/>
      <c r="Z133" s="16"/>
      <c r="AA133" s="16"/>
      <c r="AB133" s="19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43">
        <f>A122</f>
        <v>46121</v>
      </c>
      <c r="AT133" s="10"/>
      <c r="AU133" s="11"/>
    </row>
    <row r="134" spans="1:49" s="2" customFormat="1" ht="17.25" customHeight="1" thickBot="1" x14ac:dyDescent="0.3">
      <c r="A134" s="56"/>
      <c r="B134" s="101" t="s">
        <v>102</v>
      </c>
      <c r="C134" s="102">
        <f>D135+E135+F135+G135+H135+I135+J135+M135+P135</f>
        <v>45945.869540000058</v>
      </c>
      <c r="D134" s="84"/>
      <c r="E134" s="85"/>
      <c r="F134" s="85"/>
      <c r="G134" s="85"/>
      <c r="H134" s="85"/>
      <c r="I134" s="85"/>
      <c r="J134" s="85"/>
      <c r="K134" s="28"/>
      <c r="L134" s="28"/>
      <c r="M134" s="85"/>
      <c r="N134" s="28"/>
      <c r="O134" s="28"/>
      <c r="P134" s="85"/>
      <c r="Q134" s="28"/>
      <c r="R134" s="28"/>
      <c r="S134" s="85"/>
      <c r="T134" s="48"/>
      <c r="U134" s="48"/>
      <c r="V134" s="51"/>
      <c r="W134" s="28"/>
      <c r="X134" s="28"/>
      <c r="Y134" s="28"/>
      <c r="Z134" s="28"/>
      <c r="AA134" s="28"/>
      <c r="AB134" s="36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42">
        <f>SUM($T121:AQ134)</f>
        <v>-424383.13890000002</v>
      </c>
      <c r="AT134" s="10"/>
      <c r="AU134" s="11"/>
      <c r="AV134" s="2" t="s">
        <v>5</v>
      </c>
    </row>
    <row r="135" spans="1:49" s="2" customFormat="1" ht="17.25" customHeight="1" thickTop="1" thickBot="1" x14ac:dyDescent="0.3">
      <c r="A135" s="103"/>
      <c r="B135" s="104" t="s">
        <v>103</v>
      </c>
      <c r="C135" s="105">
        <f>AR135</f>
        <v>-378437.26935999998</v>
      </c>
      <c r="D135" s="106">
        <f t="shared" ref="D135:K135" si="16">SUM(D121:D134)</f>
        <v>74034.837040000013</v>
      </c>
      <c r="E135" s="107">
        <f t="shared" si="16"/>
        <v>-57888.420000000006</v>
      </c>
      <c r="F135" s="107">
        <f t="shared" si="16"/>
        <v>-28394.35</v>
      </c>
      <c r="G135" s="107">
        <f t="shared" si="16"/>
        <v>0</v>
      </c>
      <c r="H135" s="107">
        <f t="shared" si="16"/>
        <v>57822.792500000054</v>
      </c>
      <c r="I135" s="107">
        <f t="shared" si="16"/>
        <v>10183.36</v>
      </c>
      <c r="J135" s="107">
        <f t="shared" si="16"/>
        <v>0</v>
      </c>
      <c r="K135" s="108">
        <f t="shared" si="16"/>
        <v>12771</v>
      </c>
      <c r="L135" s="109">
        <f>M135/K135</f>
        <v>5.4120358625009786</v>
      </c>
      <c r="M135" s="107">
        <f>ROUND(SUM(M121:M134),2)</f>
        <v>69117.11</v>
      </c>
      <c r="N135" s="108">
        <f>SUM(N121:N134)</f>
        <v>-1516</v>
      </c>
      <c r="O135" s="109">
        <f>P135/N135</f>
        <v>52.064287598944595</v>
      </c>
      <c r="P135" s="107">
        <f>ROUND(SUM(P121:P134),2)</f>
        <v>-78929.460000000006</v>
      </c>
      <c r="Q135" s="108">
        <f>SUM(Q121:Q134)</f>
        <v>214</v>
      </c>
      <c r="R135" s="109">
        <f>S135/Q135</f>
        <v>6.099485981308411</v>
      </c>
      <c r="S135" s="107">
        <f>ROUND(SUM(S121:S134),2)</f>
        <v>1305.29</v>
      </c>
      <c r="T135" s="110">
        <f t="shared" ref="T135:AQ135" si="17">SUM(T121:T134)</f>
        <v>-477827.12890000001</v>
      </c>
      <c r="U135" s="107">
        <f t="shared" si="17"/>
        <v>50229.299999999996</v>
      </c>
      <c r="V135" s="107">
        <f t="shared" si="17"/>
        <v>0</v>
      </c>
      <c r="W135" s="107">
        <f t="shared" si="17"/>
        <v>3214.6899999999996</v>
      </c>
      <c r="X135" s="107">
        <f t="shared" si="17"/>
        <v>0</v>
      </c>
      <c r="Y135" s="107">
        <f t="shared" si="17"/>
        <v>0</v>
      </c>
      <c r="Z135" s="107">
        <f t="shared" si="17"/>
        <v>0</v>
      </c>
      <c r="AA135" s="107">
        <f t="shared" si="17"/>
        <v>0</v>
      </c>
      <c r="AB135" s="107">
        <f t="shared" si="17"/>
        <v>0</v>
      </c>
      <c r="AC135" s="107">
        <f t="shared" si="17"/>
        <v>0</v>
      </c>
      <c r="AD135" s="107">
        <f t="shared" si="17"/>
        <v>0</v>
      </c>
      <c r="AE135" s="107">
        <f t="shared" si="17"/>
        <v>0</v>
      </c>
      <c r="AF135" s="107">
        <f t="shared" si="17"/>
        <v>0</v>
      </c>
      <c r="AG135" s="107">
        <f t="shared" si="17"/>
        <v>0</v>
      </c>
      <c r="AH135" s="107">
        <f t="shared" si="17"/>
        <v>0</v>
      </c>
      <c r="AI135" s="107">
        <f t="shared" si="17"/>
        <v>0</v>
      </c>
      <c r="AJ135" s="107">
        <f t="shared" si="17"/>
        <v>0</v>
      </c>
      <c r="AK135" s="107">
        <f t="shared" si="17"/>
        <v>0</v>
      </c>
      <c r="AL135" s="107">
        <f t="shared" si="17"/>
        <v>0</v>
      </c>
      <c r="AM135" s="107">
        <f t="shared" si="17"/>
        <v>0</v>
      </c>
      <c r="AN135" s="107">
        <f t="shared" si="17"/>
        <v>0</v>
      </c>
      <c r="AO135" s="107">
        <f t="shared" si="17"/>
        <v>0</v>
      </c>
      <c r="AP135" s="107">
        <f t="shared" si="17"/>
        <v>0</v>
      </c>
      <c r="AQ135" s="107">
        <f t="shared" si="17"/>
        <v>0</v>
      </c>
      <c r="AR135" s="111">
        <f>D135+E135+F135+G135+H135+I135+J135+M135+P135+SUM(T135:AQ135)</f>
        <v>-378437.26935999998</v>
      </c>
      <c r="AS135" s="4"/>
      <c r="AT135" s="5"/>
      <c r="AU135" s="5"/>
      <c r="AV135" s="2" t="s">
        <v>6</v>
      </c>
    </row>
    <row r="136" spans="1:49" s="2" customFormat="1" ht="17.25" customHeight="1" thickTop="1" x14ac:dyDescent="0.25">
      <c r="A136" s="23">
        <f>A122+1</f>
        <v>46122</v>
      </c>
      <c r="B136" s="210" t="s">
        <v>64</v>
      </c>
      <c r="C136" s="203"/>
      <c r="D136" s="63">
        <v>9961.7000000000007</v>
      </c>
      <c r="E136" s="66"/>
      <c r="F136" s="66"/>
      <c r="G136" s="66"/>
      <c r="H136" s="66"/>
      <c r="I136" s="66">
        <f>-D136</f>
        <v>-9961.7000000000007</v>
      </c>
      <c r="J136" s="66"/>
      <c r="K136" s="18"/>
      <c r="L136" s="18"/>
      <c r="M136" s="66"/>
      <c r="N136" s="18"/>
      <c r="O136" s="18"/>
      <c r="P136" s="66"/>
      <c r="Q136" s="18"/>
      <c r="R136" s="18"/>
      <c r="S136" s="66"/>
      <c r="T136" s="46"/>
      <c r="U136" s="46"/>
      <c r="V136" s="45"/>
      <c r="W136" s="18"/>
      <c r="X136" s="18"/>
      <c r="Y136" s="18"/>
      <c r="Z136" s="18"/>
      <c r="AA136" s="18"/>
      <c r="AB136" s="14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31"/>
      <c r="AT136" s="10"/>
      <c r="AU136" s="27"/>
    </row>
    <row r="137" spans="1:49" s="4" customFormat="1" ht="17.25" customHeight="1" x14ac:dyDescent="0.25">
      <c r="A137" s="23"/>
      <c r="B137" s="201" t="s">
        <v>96</v>
      </c>
      <c r="C137" s="202"/>
      <c r="D137" s="63"/>
      <c r="E137" s="64"/>
      <c r="F137" s="64"/>
      <c r="G137" s="64"/>
      <c r="H137" s="64"/>
      <c r="I137" s="64">
        <f>-I135-I136</f>
        <v>-221.65999999999985</v>
      </c>
      <c r="J137" s="64"/>
      <c r="K137" s="16"/>
      <c r="L137" s="92"/>
      <c r="M137" s="64"/>
      <c r="N137" s="16"/>
      <c r="O137" s="92"/>
      <c r="P137" s="64"/>
      <c r="Q137" s="16"/>
      <c r="R137" s="92"/>
      <c r="S137" s="64"/>
      <c r="T137" s="40"/>
      <c r="U137" s="46"/>
      <c r="V137" s="39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22"/>
      <c r="AS137" s="30"/>
    </row>
    <row r="138" spans="1:49" s="2" customFormat="1" ht="17.25" customHeight="1" x14ac:dyDescent="0.25">
      <c r="A138" s="29"/>
      <c r="B138" s="201" t="s">
        <v>327</v>
      </c>
      <c r="C138" s="202"/>
      <c r="D138" s="63">
        <f>279.98+25+28+100+50+50+30.8+30+10+20</f>
        <v>623.78</v>
      </c>
      <c r="E138" s="64"/>
      <c r="F138" s="64"/>
      <c r="G138" s="64"/>
      <c r="H138" s="64"/>
      <c r="I138" s="64">
        <f>-D138</f>
        <v>-623.78</v>
      </c>
      <c r="J138" s="64"/>
      <c r="K138" s="57"/>
      <c r="L138" s="88"/>
      <c r="M138" s="62"/>
      <c r="N138" s="57"/>
      <c r="O138" s="88"/>
      <c r="P138" s="62"/>
      <c r="Q138" s="57"/>
      <c r="R138" s="88"/>
      <c r="S138" s="62"/>
      <c r="T138" s="47"/>
      <c r="U138" s="39"/>
      <c r="V138" s="39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22"/>
      <c r="AT138" s="10"/>
      <c r="AU138" s="11"/>
    </row>
    <row r="139" spans="1:49" s="2" customFormat="1" ht="17.25" customHeight="1" x14ac:dyDescent="0.25">
      <c r="A139" s="29"/>
      <c r="B139" s="201" t="s">
        <v>328</v>
      </c>
      <c r="C139" s="202"/>
      <c r="D139" s="63">
        <f>-9*0.99-2.24</f>
        <v>-11.15</v>
      </c>
      <c r="E139" s="64"/>
      <c r="F139" s="64"/>
      <c r="G139" s="64"/>
      <c r="H139" s="64"/>
      <c r="I139" s="64"/>
      <c r="J139" s="64"/>
      <c r="K139" s="57"/>
      <c r="L139" s="88"/>
      <c r="M139" s="62"/>
      <c r="N139" s="57"/>
      <c r="O139" s="88"/>
      <c r="P139" s="62"/>
      <c r="Q139" s="57"/>
      <c r="R139" s="88"/>
      <c r="S139" s="62"/>
      <c r="T139" s="47"/>
      <c r="U139" s="39"/>
      <c r="V139" s="39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22"/>
      <c r="AT139" s="10"/>
      <c r="AU139" s="11"/>
    </row>
    <row r="140" spans="1:49" s="4" customFormat="1" ht="17.25" customHeight="1" x14ac:dyDescent="0.25">
      <c r="A140" s="23"/>
      <c r="B140" s="201" t="s">
        <v>13</v>
      </c>
      <c r="C140" s="203"/>
      <c r="D140" s="63"/>
      <c r="E140" s="64">
        <f>100+53.5+60+128+20+1460+1956+1657+50+50+40+900</f>
        <v>6474.5</v>
      </c>
      <c r="F140" s="64"/>
      <c r="G140" s="64"/>
      <c r="H140" s="64">
        <f>-E140</f>
        <v>-6474.5</v>
      </c>
      <c r="I140" s="66"/>
      <c r="J140" s="64"/>
      <c r="K140" s="16"/>
      <c r="L140" s="92"/>
      <c r="M140" s="64"/>
      <c r="N140" s="16"/>
      <c r="O140" s="92"/>
      <c r="P140" s="64"/>
      <c r="Q140" s="16"/>
      <c r="R140" s="92"/>
      <c r="S140" s="64"/>
      <c r="T140" s="40"/>
      <c r="U140" s="46">
        <f>-D140</f>
        <v>0</v>
      </c>
      <c r="V140" s="39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22"/>
      <c r="AS140" s="30"/>
    </row>
    <row r="141" spans="1:49" s="2" customFormat="1" ht="17.25" customHeight="1" x14ac:dyDescent="0.25">
      <c r="A141" s="24"/>
      <c r="B141" s="201" t="s">
        <v>374</v>
      </c>
      <c r="C141" s="204"/>
      <c r="D141" s="63">
        <f>-E141</f>
        <v>9900</v>
      </c>
      <c r="E141" s="64">
        <v>-9900</v>
      </c>
      <c r="F141" s="74"/>
      <c r="G141" s="74"/>
      <c r="H141" s="64"/>
      <c r="I141" s="64"/>
      <c r="J141" s="64"/>
      <c r="K141" s="16"/>
      <c r="L141" s="16"/>
      <c r="M141" s="64"/>
      <c r="N141" s="16"/>
      <c r="O141" s="16"/>
      <c r="P141" s="64"/>
      <c r="Q141" s="16"/>
      <c r="R141" s="16"/>
      <c r="S141" s="64"/>
      <c r="T141" s="46"/>
      <c r="U141" s="39"/>
      <c r="V141" s="40"/>
      <c r="W141" s="16"/>
      <c r="X141" s="16"/>
      <c r="Y141" s="16"/>
      <c r="Z141" s="16"/>
      <c r="AA141" s="16"/>
      <c r="AB141" s="19"/>
      <c r="AC141" s="16"/>
      <c r="AD141" s="16"/>
      <c r="AE141" s="16"/>
      <c r="AF141" s="16"/>
      <c r="AG141" s="16"/>
      <c r="AH141" s="16"/>
      <c r="AI141" s="16"/>
      <c r="AJ141" s="15"/>
      <c r="AK141" s="15"/>
      <c r="AL141" s="15"/>
      <c r="AM141" s="15"/>
      <c r="AN141" s="15"/>
      <c r="AO141" s="15"/>
      <c r="AP141" s="15"/>
      <c r="AQ141" s="16"/>
      <c r="AR141" s="22"/>
      <c r="AT141" s="10"/>
      <c r="AU141" s="11"/>
    </row>
    <row r="142" spans="1:49" s="2" customFormat="1" ht="17.25" customHeight="1" x14ac:dyDescent="0.25">
      <c r="A142" s="29"/>
      <c r="B142" s="201" t="s">
        <v>309</v>
      </c>
      <c r="C142" s="202"/>
      <c r="D142" s="63">
        <v>-79.2</v>
      </c>
      <c r="E142" s="64"/>
      <c r="F142" s="64"/>
      <c r="G142" s="64"/>
      <c r="H142" s="64"/>
      <c r="I142" s="64"/>
      <c r="J142" s="64"/>
      <c r="K142" s="57"/>
      <c r="L142" s="88"/>
      <c r="M142" s="62"/>
      <c r="N142" s="57"/>
      <c r="O142" s="88"/>
      <c r="P142" s="62"/>
      <c r="Q142" s="57"/>
      <c r="R142" s="88"/>
      <c r="S142" s="62"/>
      <c r="T142" s="47"/>
      <c r="U142" s="39"/>
      <c r="V142" s="39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22"/>
      <c r="AT142" s="10"/>
      <c r="AU142" s="11"/>
    </row>
    <row r="143" spans="1:49" s="2" customFormat="1" ht="17.25" customHeight="1" x14ac:dyDescent="0.2">
      <c r="A143" s="23"/>
      <c r="B143" s="201" t="s">
        <v>20</v>
      </c>
      <c r="C143" s="203"/>
      <c r="D143" s="63"/>
      <c r="E143" s="64">
        <v>-2615.4899999999998</v>
      </c>
      <c r="F143" s="74"/>
      <c r="G143" s="74"/>
      <c r="H143" s="64"/>
      <c r="I143" s="64"/>
      <c r="J143" s="64"/>
      <c r="K143" s="16"/>
      <c r="L143" s="16"/>
      <c r="M143" s="64"/>
      <c r="N143" s="16"/>
      <c r="O143" s="16"/>
      <c r="P143" s="64"/>
      <c r="Q143" s="16"/>
      <c r="R143" s="16"/>
      <c r="S143" s="64"/>
      <c r="T143" s="46"/>
      <c r="U143" s="39"/>
      <c r="V143" s="40"/>
      <c r="W143" s="16"/>
      <c r="X143" s="16"/>
      <c r="Y143" s="16"/>
      <c r="Z143" s="16"/>
      <c r="AA143" s="16"/>
      <c r="AB143" s="19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35"/>
      <c r="AT143" s="10"/>
      <c r="AU143" s="27"/>
    </row>
    <row r="144" spans="1:49" s="2" customFormat="1" ht="17.25" customHeight="1" x14ac:dyDescent="0.2">
      <c r="A144" s="23"/>
      <c r="B144" s="201" t="s">
        <v>183</v>
      </c>
      <c r="C144" s="203"/>
      <c r="D144" s="63"/>
      <c r="E144" s="64">
        <v>-188.82</v>
      </c>
      <c r="F144" s="74"/>
      <c r="G144" s="74"/>
      <c r="H144" s="64"/>
      <c r="I144" s="64"/>
      <c r="J144" s="64"/>
      <c r="K144" s="16"/>
      <c r="L144" s="16"/>
      <c r="M144" s="64"/>
      <c r="N144" s="16"/>
      <c r="O144" s="16"/>
      <c r="P144" s="64"/>
      <c r="Q144" s="16"/>
      <c r="R144" s="16"/>
      <c r="S144" s="64"/>
      <c r="T144" s="46"/>
      <c r="U144" s="39"/>
      <c r="V144" s="40"/>
      <c r="W144" s="16"/>
      <c r="X144" s="16"/>
      <c r="Y144" s="16"/>
      <c r="Z144" s="16"/>
      <c r="AA144" s="16"/>
      <c r="AB144" s="19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35"/>
      <c r="AT144" s="10"/>
      <c r="AU144" s="27"/>
    </row>
    <row r="145" spans="1:49" s="2" customFormat="1" ht="17.25" customHeight="1" x14ac:dyDescent="0.2">
      <c r="A145" s="23"/>
      <c r="B145" s="201" t="s">
        <v>259</v>
      </c>
      <c r="C145" s="203"/>
      <c r="D145" s="63"/>
      <c r="E145" s="64">
        <v>-110.28</v>
      </c>
      <c r="F145" s="74"/>
      <c r="G145" s="74"/>
      <c r="H145" s="64"/>
      <c r="I145" s="64"/>
      <c r="J145" s="64"/>
      <c r="K145" s="16"/>
      <c r="L145" s="16"/>
      <c r="M145" s="64"/>
      <c r="N145" s="16"/>
      <c r="O145" s="16"/>
      <c r="P145" s="64"/>
      <c r="Q145" s="16"/>
      <c r="R145" s="16"/>
      <c r="S145" s="64"/>
      <c r="T145" s="46"/>
      <c r="U145" s="39"/>
      <c r="V145" s="40"/>
      <c r="W145" s="16"/>
      <c r="X145" s="16"/>
      <c r="Y145" s="16"/>
      <c r="Z145" s="16"/>
      <c r="AA145" s="16"/>
      <c r="AB145" s="19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35"/>
      <c r="AT145" s="10"/>
      <c r="AU145" s="27"/>
    </row>
    <row r="146" spans="1:49" s="2" customFormat="1" ht="17.25" customHeight="1" x14ac:dyDescent="0.25">
      <c r="A146" s="24"/>
      <c r="B146" s="201" t="s">
        <v>364</v>
      </c>
      <c r="C146" s="203"/>
      <c r="D146" s="63"/>
      <c r="E146" s="64">
        <v>-695.27</v>
      </c>
      <c r="F146" s="64"/>
      <c r="G146" s="64"/>
      <c r="H146" s="64"/>
      <c r="I146" s="64"/>
      <c r="J146" s="64"/>
      <c r="K146" s="16"/>
      <c r="L146" s="16"/>
      <c r="M146" s="64"/>
      <c r="N146" s="16"/>
      <c r="O146" s="16"/>
      <c r="P146" s="64"/>
      <c r="Q146" s="16"/>
      <c r="R146" s="16"/>
      <c r="S146" s="64"/>
      <c r="T146" s="46"/>
      <c r="U146" s="40"/>
      <c r="V146" s="39"/>
      <c r="W146" s="16"/>
      <c r="X146" s="16"/>
      <c r="Y146" s="16"/>
      <c r="Z146" s="16"/>
      <c r="AA146" s="16"/>
      <c r="AB146" s="19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22"/>
      <c r="AT146" s="10"/>
      <c r="AU146" s="11"/>
    </row>
    <row r="147" spans="1:49" s="2" customFormat="1" ht="17.25" customHeight="1" x14ac:dyDescent="0.25">
      <c r="A147" s="24"/>
      <c r="B147" s="201" t="s">
        <v>16</v>
      </c>
      <c r="C147" s="203"/>
      <c r="D147" s="63"/>
      <c r="E147" s="64">
        <v>-165.44</v>
      </c>
      <c r="F147" s="64"/>
      <c r="G147" s="64"/>
      <c r="H147" s="64"/>
      <c r="I147" s="64"/>
      <c r="J147" s="64"/>
      <c r="K147" s="16"/>
      <c r="L147" s="16"/>
      <c r="M147" s="64"/>
      <c r="N147" s="16"/>
      <c r="O147" s="16"/>
      <c r="P147" s="64"/>
      <c r="Q147" s="16"/>
      <c r="R147" s="16"/>
      <c r="S147" s="64"/>
      <c r="T147" s="46"/>
      <c r="U147" s="40"/>
      <c r="V147" s="39"/>
      <c r="W147" s="16"/>
      <c r="X147" s="16"/>
      <c r="Y147" s="16"/>
      <c r="Z147" s="16"/>
      <c r="AA147" s="16"/>
      <c r="AB147" s="19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22"/>
      <c r="AT147" s="10"/>
      <c r="AU147" s="11"/>
    </row>
    <row r="148" spans="1:49" s="2" customFormat="1" ht="17.25" customHeight="1" x14ac:dyDescent="0.2">
      <c r="A148" s="23"/>
      <c r="B148" s="201" t="s">
        <v>375</v>
      </c>
      <c r="C148" s="203"/>
      <c r="D148" s="64"/>
      <c r="E148" s="64">
        <v>-420</v>
      </c>
      <c r="F148" s="134"/>
      <c r="G148" s="64"/>
      <c r="H148" s="85"/>
      <c r="I148" s="85"/>
      <c r="J148" s="85"/>
      <c r="K148" s="28"/>
      <c r="L148" s="28"/>
      <c r="M148" s="85"/>
      <c r="N148" s="28"/>
      <c r="O148" s="28"/>
      <c r="P148" s="85"/>
      <c r="Q148" s="28"/>
      <c r="R148" s="28"/>
      <c r="S148" s="85"/>
      <c r="T148" s="46"/>
      <c r="U148" s="40"/>
      <c r="V148" s="40"/>
      <c r="W148" s="16"/>
      <c r="X148" s="16"/>
      <c r="Y148" s="16"/>
      <c r="Z148" s="16"/>
      <c r="AA148" s="16"/>
      <c r="AB148" s="19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35"/>
      <c r="AT148" s="10"/>
      <c r="AU148" s="27"/>
    </row>
    <row r="149" spans="1:49" s="2" customFormat="1" ht="17.25" customHeight="1" x14ac:dyDescent="0.25">
      <c r="A149" s="24"/>
      <c r="B149" s="205" t="s">
        <v>470</v>
      </c>
      <c r="C149" s="206"/>
      <c r="D149" s="64"/>
      <c r="E149" s="64"/>
      <c r="F149" s="64"/>
      <c r="G149" s="64"/>
      <c r="H149" s="64"/>
      <c r="I149" s="64"/>
      <c r="J149" s="64"/>
      <c r="K149" s="57"/>
      <c r="L149" s="88"/>
      <c r="M149" s="62"/>
      <c r="N149" s="57">
        <v>5000</v>
      </c>
      <c r="O149" s="88">
        <v>3.64</v>
      </c>
      <c r="P149" s="62">
        <f>N149*O149</f>
        <v>18200</v>
      </c>
      <c r="Q149" s="57"/>
      <c r="R149" s="88"/>
      <c r="S149" s="62"/>
      <c r="T149" s="39">
        <f>-P149</f>
        <v>-18200</v>
      </c>
      <c r="U149" s="39"/>
      <c r="V149" s="39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22"/>
      <c r="AT149" s="10"/>
      <c r="AU149" s="11"/>
    </row>
    <row r="150" spans="1:49" s="2" customFormat="1" ht="17.25" customHeight="1" thickBot="1" x14ac:dyDescent="0.25">
      <c r="A150" s="24"/>
      <c r="B150" s="216"/>
      <c r="C150" s="217"/>
      <c r="D150" s="83"/>
      <c r="E150" s="81"/>
      <c r="F150" s="81"/>
      <c r="G150" s="81"/>
      <c r="H150" s="81"/>
      <c r="I150" s="81"/>
      <c r="J150" s="81"/>
      <c r="K150" s="37"/>
      <c r="L150" s="93"/>
      <c r="M150" s="81"/>
      <c r="N150" s="37"/>
      <c r="O150" s="93"/>
      <c r="P150" s="81"/>
      <c r="Q150" s="37"/>
      <c r="R150" s="93"/>
      <c r="S150" s="81"/>
      <c r="T150" s="40"/>
      <c r="U150" s="40"/>
      <c r="V150" s="39"/>
      <c r="W150" s="16"/>
      <c r="X150" s="16"/>
      <c r="Y150" s="16"/>
      <c r="Z150" s="16"/>
      <c r="AA150" s="16"/>
      <c r="AB150" s="19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41"/>
      <c r="AT150" s="10"/>
      <c r="AU150" s="11"/>
    </row>
    <row r="151" spans="1:49" s="4" customFormat="1" ht="17.25" customHeight="1" x14ac:dyDescent="0.25">
      <c r="A151" s="23"/>
      <c r="B151" s="210" t="s">
        <v>94</v>
      </c>
      <c r="C151" s="203"/>
      <c r="D151" s="66"/>
      <c r="E151" s="66"/>
      <c r="F151" s="117"/>
      <c r="G151" s="117"/>
      <c r="H151" s="66"/>
      <c r="I151" s="66"/>
      <c r="J151" s="66">
        <f>-M151</f>
        <v>6888.42</v>
      </c>
      <c r="K151" s="58">
        <v>-1078</v>
      </c>
      <c r="L151" s="89">
        <v>6.39</v>
      </c>
      <c r="M151" s="73">
        <f>K151*L151</f>
        <v>-6888.42</v>
      </c>
      <c r="N151" s="58"/>
      <c r="O151" s="89"/>
      <c r="P151" s="73"/>
      <c r="Q151" s="58"/>
      <c r="R151" s="89"/>
      <c r="S151" s="73"/>
      <c r="T151" s="39"/>
      <c r="U151" s="39"/>
      <c r="V151" s="8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35"/>
      <c r="AS151" s="12" t="e">
        <f>#REF!</f>
        <v>#REF!</v>
      </c>
    </row>
    <row r="152" spans="1:49" s="4" customFormat="1" ht="17.25" customHeight="1" x14ac:dyDescent="0.25">
      <c r="A152" s="23"/>
      <c r="B152" s="201" t="s">
        <v>95</v>
      </c>
      <c r="C152" s="202"/>
      <c r="D152" s="64"/>
      <c r="E152" s="64"/>
      <c r="F152" s="117"/>
      <c r="G152" s="117"/>
      <c r="H152" s="64"/>
      <c r="I152" s="64"/>
      <c r="J152" s="64">
        <f>-P152</f>
        <v>7515.6399999999994</v>
      </c>
      <c r="K152" s="57"/>
      <c r="L152" s="88"/>
      <c r="M152" s="62"/>
      <c r="N152" s="57">
        <v>-1798</v>
      </c>
      <c r="O152" s="88">
        <v>4.18</v>
      </c>
      <c r="P152" s="62">
        <f>N152*O152</f>
        <v>-7515.6399999999994</v>
      </c>
      <c r="Q152" s="57"/>
      <c r="R152" s="88"/>
      <c r="S152" s="62"/>
      <c r="T152" s="39"/>
      <c r="U152" s="39"/>
      <c r="V152" s="8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35"/>
      <c r="AS152" s="12" t="e">
        <f>#REF!</f>
        <v>#REF!</v>
      </c>
    </row>
    <row r="153" spans="1:49" s="4" customFormat="1" ht="17.25" customHeight="1" x14ac:dyDescent="0.25">
      <c r="A153" s="23"/>
      <c r="B153" s="201" t="s">
        <v>97</v>
      </c>
      <c r="C153" s="203"/>
      <c r="D153" s="64"/>
      <c r="E153" s="64"/>
      <c r="F153" s="64"/>
      <c r="G153" s="64"/>
      <c r="H153" s="64">
        <f>-J153-I153</f>
        <v>2495.6299999999992</v>
      </c>
      <c r="I153" s="64">
        <v>11908.43</v>
      </c>
      <c r="J153" s="64">
        <f>-SUM(J151:J152)</f>
        <v>-14404.06</v>
      </c>
      <c r="K153" s="57"/>
      <c r="L153" s="88"/>
      <c r="M153" s="62"/>
      <c r="N153" s="57"/>
      <c r="O153" s="88"/>
      <c r="P153" s="62"/>
      <c r="Q153" s="57"/>
      <c r="R153" s="88"/>
      <c r="S153" s="62"/>
      <c r="T153" s="39"/>
      <c r="U153" s="39"/>
      <c r="V153" s="39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22"/>
      <c r="AR153" s="43">
        <f>A118</f>
        <v>0</v>
      </c>
      <c r="AS153" s="12" t="e">
        <f>#REF!</f>
        <v>#REF!</v>
      </c>
      <c r="AW153" s="2"/>
    </row>
    <row r="154" spans="1:49" s="4" customFormat="1" ht="17.25" customHeight="1" x14ac:dyDescent="0.25">
      <c r="A154" s="23"/>
      <c r="B154" s="201" t="s">
        <v>93</v>
      </c>
      <c r="C154" s="202"/>
      <c r="D154" s="64"/>
      <c r="E154" s="64"/>
      <c r="F154" s="64"/>
      <c r="G154" s="64"/>
      <c r="H154" s="64"/>
      <c r="I154" s="64"/>
      <c r="J154" s="64"/>
      <c r="K154" s="57">
        <v>-43</v>
      </c>
      <c r="L154" s="88"/>
      <c r="M154" s="62">
        <f>(K157*L135)-M135-M151</f>
        <v>821.52779813639972</v>
      </c>
      <c r="N154" s="57">
        <v>-89</v>
      </c>
      <c r="O154" s="88"/>
      <c r="P154" s="62">
        <f>(N157*(P135+P149)/(N135+N149))-P135-P152-P149</f>
        <v>40407.859006888641</v>
      </c>
      <c r="Q154" s="57"/>
      <c r="R154" s="88"/>
      <c r="S154" s="62"/>
      <c r="T154" s="39"/>
      <c r="U154" s="39"/>
      <c r="V154" s="39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22"/>
      <c r="AR154" s="43">
        <f>A129</f>
        <v>0</v>
      </c>
      <c r="AS154" s="12" t="e">
        <f>#REF!</f>
        <v>#REF!</v>
      </c>
      <c r="AW154" s="2"/>
    </row>
    <row r="155" spans="1:49" s="2" customFormat="1" ht="17.25" customHeight="1" x14ac:dyDescent="0.2">
      <c r="A155" s="24"/>
      <c r="B155" s="201"/>
      <c r="C155" s="204"/>
      <c r="D155" s="63"/>
      <c r="E155" s="64"/>
      <c r="F155" s="64"/>
      <c r="G155" s="64"/>
      <c r="H155" s="64"/>
      <c r="I155" s="64"/>
      <c r="J155" s="64"/>
      <c r="K155" s="16"/>
      <c r="L155" s="16"/>
      <c r="M155" s="64"/>
      <c r="N155" s="16"/>
      <c r="O155" s="16"/>
      <c r="P155" s="64"/>
      <c r="Q155" s="16"/>
      <c r="R155" s="16"/>
      <c r="S155" s="64"/>
      <c r="T155" s="46"/>
      <c r="U155" s="46"/>
      <c r="V155" s="39"/>
      <c r="W155" s="16"/>
      <c r="X155" s="16"/>
      <c r="Y155" s="16"/>
      <c r="Z155" s="16"/>
      <c r="AA155" s="16"/>
      <c r="AB155" s="19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43">
        <f>A136</f>
        <v>46122</v>
      </c>
      <c r="AT155" s="10"/>
      <c r="AU155" s="11"/>
    </row>
    <row r="156" spans="1:49" s="2" customFormat="1" ht="17.25" customHeight="1" thickBot="1" x14ac:dyDescent="0.3">
      <c r="A156" s="56"/>
      <c r="B156" s="101" t="s">
        <v>102</v>
      </c>
      <c r="C156" s="102">
        <f>D157+E157+F157+G157+H157+I157+J157+M157+P157</f>
        <v>100867.94954000006</v>
      </c>
      <c r="D156" s="84"/>
      <c r="E156" s="85"/>
      <c r="F156" s="85"/>
      <c r="G156" s="85"/>
      <c r="H156" s="85"/>
      <c r="I156" s="85"/>
      <c r="J156" s="85"/>
      <c r="K156" s="28"/>
      <c r="L156" s="28"/>
      <c r="M156" s="85"/>
      <c r="N156" s="28"/>
      <c r="O156" s="28"/>
      <c r="P156" s="85"/>
      <c r="Q156" s="28"/>
      <c r="R156" s="28"/>
      <c r="S156" s="85"/>
      <c r="T156" s="48"/>
      <c r="U156" s="48"/>
      <c r="V156" s="51"/>
      <c r="W156" s="28"/>
      <c r="X156" s="28"/>
      <c r="Y156" s="28"/>
      <c r="Z156" s="28"/>
      <c r="AA156" s="28"/>
      <c r="AB156" s="36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42">
        <f>SUM($T135:AQ156)</f>
        <v>-442583.13890000002</v>
      </c>
      <c r="AT156" s="10"/>
      <c r="AU156" s="11"/>
      <c r="AV156" s="2" t="s">
        <v>5</v>
      </c>
    </row>
    <row r="157" spans="1:49" s="2" customFormat="1" ht="17.25" customHeight="1" thickTop="1" thickBot="1" x14ac:dyDescent="0.3">
      <c r="A157" s="103"/>
      <c r="B157" s="104" t="s">
        <v>103</v>
      </c>
      <c r="C157" s="105">
        <f>AR157</f>
        <v>-341715.18935999996</v>
      </c>
      <c r="D157" s="106">
        <f t="shared" ref="D157:K157" si="18">SUM(D135:D156)</f>
        <v>94429.967040000018</v>
      </c>
      <c r="E157" s="107">
        <f t="shared" si="18"/>
        <v>-65509.22</v>
      </c>
      <c r="F157" s="107">
        <f t="shared" si="18"/>
        <v>-28394.35</v>
      </c>
      <c r="G157" s="107">
        <f t="shared" si="18"/>
        <v>0</v>
      </c>
      <c r="H157" s="107">
        <f t="shared" si="18"/>
        <v>53843.922500000052</v>
      </c>
      <c r="I157" s="107">
        <f t="shared" si="18"/>
        <v>11284.65</v>
      </c>
      <c r="J157" s="107">
        <f t="shared" si="18"/>
        <v>0</v>
      </c>
      <c r="K157" s="108">
        <f t="shared" si="18"/>
        <v>11650</v>
      </c>
      <c r="L157" s="109">
        <f>M157/K157</f>
        <v>5.4120360515021462</v>
      </c>
      <c r="M157" s="107">
        <f>ROUND(SUM(M135:M156),2)</f>
        <v>63050.22</v>
      </c>
      <c r="N157" s="108">
        <f>SUM(N135:N156)</f>
        <v>1597</v>
      </c>
      <c r="O157" s="109">
        <f>P157/N157</f>
        <v>-17.430958046336883</v>
      </c>
      <c r="P157" s="107">
        <f>ROUND(SUM(P135:P156),2)</f>
        <v>-27837.24</v>
      </c>
      <c r="Q157" s="108">
        <f>SUM(Q135:Q156)</f>
        <v>214</v>
      </c>
      <c r="R157" s="109">
        <f>S157/Q157</f>
        <v>6.099485981308411</v>
      </c>
      <c r="S157" s="107">
        <f>ROUND(SUM(S135:S156),2)</f>
        <v>1305.29</v>
      </c>
      <c r="T157" s="110">
        <f t="shared" ref="T157:AQ157" si="19">SUM(T135:T156)</f>
        <v>-496027.12890000001</v>
      </c>
      <c r="U157" s="107">
        <f t="shared" si="19"/>
        <v>50229.299999999996</v>
      </c>
      <c r="V157" s="107">
        <f t="shared" si="19"/>
        <v>0</v>
      </c>
      <c r="W157" s="107">
        <f t="shared" si="19"/>
        <v>3214.6899999999996</v>
      </c>
      <c r="X157" s="107">
        <f t="shared" si="19"/>
        <v>0</v>
      </c>
      <c r="Y157" s="107">
        <f t="shared" si="19"/>
        <v>0</v>
      </c>
      <c r="Z157" s="107">
        <f t="shared" si="19"/>
        <v>0</v>
      </c>
      <c r="AA157" s="107">
        <f t="shared" si="19"/>
        <v>0</v>
      </c>
      <c r="AB157" s="107">
        <f t="shared" si="19"/>
        <v>0</v>
      </c>
      <c r="AC157" s="107">
        <f t="shared" si="19"/>
        <v>0</v>
      </c>
      <c r="AD157" s="107">
        <f t="shared" si="19"/>
        <v>0</v>
      </c>
      <c r="AE157" s="107">
        <f t="shared" si="19"/>
        <v>0</v>
      </c>
      <c r="AF157" s="107">
        <f t="shared" si="19"/>
        <v>0</v>
      </c>
      <c r="AG157" s="107">
        <f t="shared" si="19"/>
        <v>0</v>
      </c>
      <c r="AH157" s="107">
        <f t="shared" si="19"/>
        <v>0</v>
      </c>
      <c r="AI157" s="107">
        <f t="shared" si="19"/>
        <v>0</v>
      </c>
      <c r="AJ157" s="107">
        <f t="shared" si="19"/>
        <v>0</v>
      </c>
      <c r="AK157" s="107">
        <f t="shared" si="19"/>
        <v>0</v>
      </c>
      <c r="AL157" s="107">
        <f t="shared" si="19"/>
        <v>0</v>
      </c>
      <c r="AM157" s="107">
        <f t="shared" si="19"/>
        <v>0</v>
      </c>
      <c r="AN157" s="107">
        <f t="shared" si="19"/>
        <v>0</v>
      </c>
      <c r="AO157" s="107">
        <f t="shared" si="19"/>
        <v>0</v>
      </c>
      <c r="AP157" s="107">
        <f t="shared" si="19"/>
        <v>0</v>
      </c>
      <c r="AQ157" s="107">
        <f t="shared" si="19"/>
        <v>0</v>
      </c>
      <c r="AR157" s="111">
        <f>D157+E157+F157+G157+H157+I157+J157+M157+P157+SUM(T157:AQ157)</f>
        <v>-341715.18935999996</v>
      </c>
      <c r="AS157" s="4"/>
      <c r="AT157" s="5"/>
      <c r="AU157" s="5"/>
      <c r="AV157" s="2" t="s">
        <v>6</v>
      </c>
    </row>
    <row r="158" spans="1:49" s="2" customFormat="1" ht="17.25" customHeight="1" thickTop="1" x14ac:dyDescent="0.25">
      <c r="A158" s="29">
        <f>A136+1</f>
        <v>46123</v>
      </c>
      <c r="B158" s="210" t="s">
        <v>64</v>
      </c>
      <c r="C158" s="203"/>
      <c r="D158" s="63">
        <v>11027.95</v>
      </c>
      <c r="E158" s="66"/>
      <c r="F158" s="66"/>
      <c r="G158" s="66"/>
      <c r="H158" s="66"/>
      <c r="I158" s="66">
        <f>-D158</f>
        <v>-11027.95</v>
      </c>
      <c r="J158" s="66"/>
      <c r="K158" s="18"/>
      <c r="L158" s="18"/>
      <c r="M158" s="66"/>
      <c r="N158" s="18"/>
      <c r="O158" s="18"/>
      <c r="P158" s="66"/>
      <c r="Q158" s="18"/>
      <c r="R158" s="18"/>
      <c r="S158" s="66"/>
      <c r="T158" s="46"/>
      <c r="U158" s="46"/>
      <c r="V158" s="45"/>
      <c r="W158" s="18"/>
      <c r="X158" s="18"/>
      <c r="Y158" s="18"/>
      <c r="Z158" s="18"/>
      <c r="AA158" s="18"/>
      <c r="AB158" s="14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31"/>
      <c r="AT158" s="10"/>
      <c r="AU158" s="27"/>
    </row>
    <row r="159" spans="1:49" s="4" customFormat="1" ht="17.25" customHeight="1" x14ac:dyDescent="0.25">
      <c r="A159" s="29"/>
      <c r="B159" s="201" t="s">
        <v>96</v>
      </c>
      <c r="C159" s="202"/>
      <c r="D159" s="63"/>
      <c r="E159" s="64"/>
      <c r="F159" s="64"/>
      <c r="G159" s="64"/>
      <c r="H159" s="64"/>
      <c r="I159" s="64">
        <f>-I157-I158</f>
        <v>-256.69999999999891</v>
      </c>
      <c r="J159" s="64"/>
      <c r="K159" s="16"/>
      <c r="L159" s="92"/>
      <c r="M159" s="64"/>
      <c r="N159" s="16"/>
      <c r="O159" s="92"/>
      <c r="P159" s="64"/>
      <c r="Q159" s="16"/>
      <c r="R159" s="92"/>
      <c r="S159" s="64"/>
      <c r="T159" s="40"/>
      <c r="U159" s="46"/>
      <c r="V159" s="39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22"/>
      <c r="AS159" s="30"/>
    </row>
    <row r="160" spans="1:49" s="2" customFormat="1" ht="17.25" customHeight="1" x14ac:dyDescent="0.25">
      <c r="A160" s="29"/>
      <c r="B160" s="201" t="s">
        <v>327</v>
      </c>
      <c r="C160" s="202"/>
      <c r="D160" s="63">
        <f>50+3+262+20+50+70+10+222+20</f>
        <v>707</v>
      </c>
      <c r="E160" s="64"/>
      <c r="F160" s="64"/>
      <c r="G160" s="64"/>
      <c r="H160" s="64"/>
      <c r="I160" s="64">
        <f>-D160</f>
        <v>-707</v>
      </c>
      <c r="J160" s="64"/>
      <c r="K160" s="57"/>
      <c r="L160" s="88"/>
      <c r="M160" s="62"/>
      <c r="N160" s="57"/>
      <c r="O160" s="88"/>
      <c r="P160" s="62"/>
      <c r="Q160" s="57"/>
      <c r="R160" s="88"/>
      <c r="S160" s="62"/>
      <c r="T160" s="47"/>
      <c r="U160" s="39"/>
      <c r="V160" s="39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22"/>
      <c r="AT160" s="10"/>
      <c r="AU160" s="11"/>
    </row>
    <row r="161" spans="1:49" s="2" customFormat="1" ht="17.25" customHeight="1" x14ac:dyDescent="0.25">
      <c r="A161" s="29"/>
      <c r="B161" s="201" t="s">
        <v>328</v>
      </c>
      <c r="C161" s="202"/>
      <c r="D161" s="63">
        <f>-7*0.99-2.1-1.78</f>
        <v>-10.809999999999999</v>
      </c>
      <c r="E161" s="64"/>
      <c r="F161" s="64"/>
      <c r="G161" s="64"/>
      <c r="H161" s="64"/>
      <c r="I161" s="64"/>
      <c r="J161" s="64"/>
      <c r="K161" s="57"/>
      <c r="L161" s="88"/>
      <c r="M161" s="62"/>
      <c r="N161" s="57"/>
      <c r="O161" s="88"/>
      <c r="P161" s="62"/>
      <c r="Q161" s="57"/>
      <c r="R161" s="88"/>
      <c r="S161" s="62"/>
      <c r="T161" s="47"/>
      <c r="U161" s="39"/>
      <c r="V161" s="39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22"/>
      <c r="AT161" s="10"/>
      <c r="AU161" s="11"/>
    </row>
    <row r="162" spans="1:49" s="4" customFormat="1" ht="17.25" customHeight="1" x14ac:dyDescent="0.25">
      <c r="A162" s="23"/>
      <c r="B162" s="201" t="s">
        <v>13</v>
      </c>
      <c r="C162" s="203"/>
      <c r="D162" s="63"/>
      <c r="E162" s="64">
        <f>50+17+15+100+50+20+14.4+80+20+70+35+1466+765+1140+60</f>
        <v>3902.4</v>
      </c>
      <c r="F162" s="64"/>
      <c r="G162" s="64"/>
      <c r="H162" s="64">
        <f>-E162</f>
        <v>-3902.4</v>
      </c>
      <c r="I162" s="66"/>
      <c r="J162" s="64"/>
      <c r="K162" s="16"/>
      <c r="L162" s="92"/>
      <c r="M162" s="64"/>
      <c r="N162" s="16"/>
      <c r="O162" s="92"/>
      <c r="P162" s="64"/>
      <c r="Q162" s="16"/>
      <c r="R162" s="92"/>
      <c r="S162" s="64"/>
      <c r="T162" s="40"/>
      <c r="U162" s="46">
        <f>-D162</f>
        <v>0</v>
      </c>
      <c r="V162" s="39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22"/>
      <c r="AS162" s="30"/>
    </row>
    <row r="163" spans="1:49" s="4" customFormat="1" ht="17.25" customHeight="1" x14ac:dyDescent="0.25">
      <c r="A163" s="23"/>
      <c r="B163" s="205" t="s">
        <v>382</v>
      </c>
      <c r="C163" s="206"/>
      <c r="D163" s="63">
        <v>-11400</v>
      </c>
      <c r="E163" s="64"/>
      <c r="F163" s="64"/>
      <c r="G163" s="64"/>
      <c r="H163" s="64"/>
      <c r="I163" s="66"/>
      <c r="J163" s="64"/>
      <c r="K163" s="16"/>
      <c r="L163" s="92"/>
      <c r="M163" s="64"/>
      <c r="N163" s="16"/>
      <c r="O163" s="92"/>
      <c r="P163" s="64"/>
      <c r="Q163" s="16"/>
      <c r="R163" s="92"/>
      <c r="S163" s="64"/>
      <c r="T163" s="40">
        <f>-D163</f>
        <v>11400</v>
      </c>
      <c r="U163" s="46"/>
      <c r="V163" s="39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22"/>
      <c r="AS163" s="30"/>
    </row>
    <row r="164" spans="1:49" s="2" customFormat="1" ht="17.25" customHeight="1" x14ac:dyDescent="0.25">
      <c r="A164" s="29"/>
      <c r="B164" s="201" t="s">
        <v>276</v>
      </c>
      <c r="C164" s="202"/>
      <c r="D164" s="63">
        <f>-4.9-4.9</f>
        <v>-9.8000000000000007</v>
      </c>
      <c r="E164" s="64"/>
      <c r="F164" s="64"/>
      <c r="G164" s="64"/>
      <c r="H164" s="64"/>
      <c r="I164" s="64"/>
      <c r="J164" s="64"/>
      <c r="K164" s="57"/>
      <c r="L164" s="88"/>
      <c r="M164" s="62"/>
      <c r="N164" s="57"/>
      <c r="O164" s="88"/>
      <c r="P164" s="62"/>
      <c r="Q164" s="57"/>
      <c r="R164" s="88"/>
      <c r="S164" s="62"/>
      <c r="T164" s="47"/>
      <c r="U164" s="39"/>
      <c r="V164" s="39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22"/>
      <c r="AT164" s="10"/>
      <c r="AU164" s="11"/>
    </row>
    <row r="165" spans="1:49" s="2" customFormat="1" ht="17.25" customHeight="1" x14ac:dyDescent="0.25">
      <c r="A165" s="29"/>
      <c r="B165" s="201" t="s">
        <v>72</v>
      </c>
      <c r="C165" s="202"/>
      <c r="D165" s="63"/>
      <c r="E165" s="64"/>
      <c r="F165" s="64"/>
      <c r="G165" s="64"/>
      <c r="H165" s="64"/>
      <c r="I165" s="64"/>
      <c r="J165" s="64"/>
      <c r="K165" s="57"/>
      <c r="L165" s="88"/>
      <c r="M165" s="62"/>
      <c r="N165" s="57"/>
      <c r="O165" s="88"/>
      <c r="P165" s="62"/>
      <c r="Q165" s="57"/>
      <c r="R165" s="88"/>
      <c r="S165" s="62"/>
      <c r="T165" s="47"/>
      <c r="U165" s="39"/>
      <c r="V165" s="39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22"/>
      <c r="AT165" s="10" t="s">
        <v>4</v>
      </c>
      <c r="AU165" s="11" t="e">
        <v>#REF!</v>
      </c>
    </row>
    <row r="166" spans="1:49" s="2" customFormat="1" ht="17.25" customHeight="1" thickBot="1" x14ac:dyDescent="0.25">
      <c r="A166" s="24"/>
      <c r="B166" s="216"/>
      <c r="C166" s="242"/>
      <c r="D166" s="83"/>
      <c r="E166" s="81"/>
      <c r="F166" s="81"/>
      <c r="G166" s="81"/>
      <c r="H166" s="81"/>
      <c r="I166" s="81"/>
      <c r="J166" s="81"/>
      <c r="K166" s="37"/>
      <c r="L166" s="93"/>
      <c r="M166" s="81"/>
      <c r="N166" s="37"/>
      <c r="O166" s="93"/>
      <c r="P166" s="81"/>
      <c r="Q166" s="37"/>
      <c r="R166" s="93"/>
      <c r="S166" s="81"/>
      <c r="T166" s="40"/>
      <c r="U166" s="40"/>
      <c r="V166" s="39"/>
      <c r="W166" s="16"/>
      <c r="X166" s="16"/>
      <c r="Y166" s="16"/>
      <c r="Z166" s="16"/>
      <c r="AA166" s="16"/>
      <c r="AB166" s="19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41"/>
      <c r="AT166" s="10"/>
      <c r="AU166" s="11"/>
    </row>
    <row r="167" spans="1:49" s="4" customFormat="1" ht="17.25" customHeight="1" x14ac:dyDescent="0.25">
      <c r="A167" s="23"/>
      <c r="B167" s="248" t="s">
        <v>94</v>
      </c>
      <c r="C167" s="249"/>
      <c r="D167" s="66"/>
      <c r="E167" s="66"/>
      <c r="F167" s="117"/>
      <c r="G167" s="117"/>
      <c r="H167" s="66"/>
      <c r="I167" s="66"/>
      <c r="J167" s="66">
        <f>-M167</f>
        <v>7834.1399999999994</v>
      </c>
      <c r="K167" s="58">
        <v>-1226</v>
      </c>
      <c r="L167" s="89">
        <v>6.39</v>
      </c>
      <c r="M167" s="73">
        <f>K167*L167</f>
        <v>-7834.1399999999994</v>
      </c>
      <c r="N167" s="58"/>
      <c r="O167" s="89"/>
      <c r="P167" s="73"/>
      <c r="Q167" s="58"/>
      <c r="R167" s="89"/>
      <c r="S167" s="73"/>
      <c r="T167" s="39"/>
      <c r="U167" s="39"/>
      <c r="V167" s="8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35"/>
      <c r="AS167" s="12" t="e">
        <f>#REF!</f>
        <v>#REF!</v>
      </c>
    </row>
    <row r="168" spans="1:49" s="4" customFormat="1" ht="17.25" customHeight="1" x14ac:dyDescent="0.25">
      <c r="A168" s="23"/>
      <c r="B168" s="201" t="s">
        <v>95</v>
      </c>
      <c r="C168" s="202"/>
      <c r="D168" s="64"/>
      <c r="E168" s="64"/>
      <c r="F168" s="117"/>
      <c r="G168" s="117"/>
      <c r="H168" s="64"/>
      <c r="I168" s="64"/>
      <c r="J168" s="64">
        <f>-P168</f>
        <v>6508.2599999999993</v>
      </c>
      <c r="K168" s="57"/>
      <c r="L168" s="88"/>
      <c r="M168" s="62"/>
      <c r="N168" s="57">
        <v>-1557</v>
      </c>
      <c r="O168" s="88">
        <v>4.18</v>
      </c>
      <c r="P168" s="62">
        <f>N168*O168</f>
        <v>-6508.2599999999993</v>
      </c>
      <c r="Q168" s="57"/>
      <c r="R168" s="88"/>
      <c r="S168" s="62"/>
      <c r="T168" s="39"/>
      <c r="U168" s="39"/>
      <c r="V168" s="8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35"/>
      <c r="AS168" s="12" t="e">
        <f>#REF!</f>
        <v>#REF!</v>
      </c>
    </row>
    <row r="169" spans="1:49" s="4" customFormat="1" ht="17.25" customHeight="1" x14ac:dyDescent="0.25">
      <c r="A169" s="23"/>
      <c r="B169" s="201" t="s">
        <v>97</v>
      </c>
      <c r="C169" s="202"/>
      <c r="D169" s="64"/>
      <c r="E169" s="64"/>
      <c r="F169" s="64"/>
      <c r="G169" s="64"/>
      <c r="H169" s="64">
        <f>-J169-I169</f>
        <v>3826.9799999999977</v>
      </c>
      <c r="I169" s="64">
        <v>10515.42</v>
      </c>
      <c r="J169" s="64">
        <f>-SUM(J167:J168)</f>
        <v>-14342.399999999998</v>
      </c>
      <c r="K169" s="57"/>
      <c r="L169" s="88"/>
      <c r="M169" s="62"/>
      <c r="N169" s="57"/>
      <c r="O169" s="88"/>
      <c r="P169" s="62"/>
      <c r="Q169" s="57"/>
      <c r="R169" s="88"/>
      <c r="S169" s="62"/>
      <c r="T169" s="39"/>
      <c r="U169" s="39"/>
      <c r="V169" s="39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22"/>
      <c r="AR169" s="43">
        <f>A132</f>
        <v>0</v>
      </c>
      <c r="AS169" s="12" t="e">
        <f>#REF!</f>
        <v>#REF!</v>
      </c>
      <c r="AW169" s="2"/>
    </row>
    <row r="170" spans="1:49" s="4" customFormat="1" ht="17.25" customHeight="1" x14ac:dyDescent="0.25">
      <c r="A170" s="23"/>
      <c r="B170" s="201" t="s">
        <v>93</v>
      </c>
      <c r="C170" s="202"/>
      <c r="D170" s="64"/>
      <c r="E170" s="64"/>
      <c r="F170" s="64"/>
      <c r="G170" s="64"/>
      <c r="H170" s="64"/>
      <c r="I170" s="64"/>
      <c r="J170" s="64"/>
      <c r="K170" s="57">
        <v>-21</v>
      </c>
      <c r="L170" s="88"/>
      <c r="M170" s="62">
        <f>(K173*(M157)/(K157))-M157-M167</f>
        <v>1085.3310437768159</v>
      </c>
      <c r="N170" s="57">
        <v>-179</v>
      </c>
      <c r="O170" s="88"/>
      <c r="P170" s="62">
        <f>(N173*O157)-P157-P168</f>
        <v>36768.403168440826</v>
      </c>
      <c r="Q170" s="57"/>
      <c r="R170" s="88"/>
      <c r="S170" s="62"/>
      <c r="T170" s="39"/>
      <c r="U170" s="39"/>
      <c r="V170" s="39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22"/>
      <c r="AR170" s="43">
        <f>A151</f>
        <v>0</v>
      </c>
      <c r="AS170" s="12" t="e">
        <f>#REF!</f>
        <v>#REF!</v>
      </c>
      <c r="AW170" s="2"/>
    </row>
    <row r="171" spans="1:49" s="2" customFormat="1" ht="17.25" customHeight="1" x14ac:dyDescent="0.2">
      <c r="A171" s="24"/>
      <c r="B171" s="201" t="s">
        <v>110</v>
      </c>
      <c r="C171" s="204"/>
      <c r="D171" s="63"/>
      <c r="E171" s="64"/>
      <c r="F171" s="64"/>
      <c r="G171" s="64"/>
      <c r="H171" s="64"/>
      <c r="I171" s="64"/>
      <c r="J171" s="64"/>
      <c r="K171" s="16"/>
      <c r="L171" s="16"/>
      <c r="M171" s="64"/>
      <c r="N171" s="16"/>
      <c r="O171" s="16"/>
      <c r="P171" s="64"/>
      <c r="Q171" s="16"/>
      <c r="R171" s="16"/>
      <c r="S171" s="64"/>
      <c r="T171" s="46"/>
      <c r="U171" s="46">
        <f>-I171</f>
        <v>0</v>
      </c>
      <c r="V171" s="39"/>
      <c r="W171" s="16"/>
      <c r="X171" s="16"/>
      <c r="Y171" s="16"/>
      <c r="Z171" s="16"/>
      <c r="AA171" s="16"/>
      <c r="AB171" s="19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43">
        <f>A158</f>
        <v>46123</v>
      </c>
      <c r="AT171" s="10"/>
      <c r="AU171" s="11"/>
    </row>
    <row r="172" spans="1:49" s="2" customFormat="1" ht="17.25" customHeight="1" thickBot="1" x14ac:dyDescent="0.3">
      <c r="A172" s="56"/>
      <c r="B172" s="101" t="s">
        <v>102</v>
      </c>
      <c r="C172" s="102">
        <f>D173+E173+F173+G173+H173+I173+J173+M173+P173</f>
        <v>127044.36954000006</v>
      </c>
      <c r="D172" s="84"/>
      <c r="E172" s="85"/>
      <c r="F172" s="85"/>
      <c r="G172" s="85"/>
      <c r="H172" s="85"/>
      <c r="I172" s="85"/>
      <c r="J172" s="85"/>
      <c r="K172" s="28"/>
      <c r="L172" s="28"/>
      <c r="M172" s="85"/>
      <c r="N172" s="28"/>
      <c r="O172" s="28"/>
      <c r="P172" s="85"/>
      <c r="Q172" s="28"/>
      <c r="R172" s="28"/>
      <c r="S172" s="85"/>
      <c r="T172" s="48"/>
      <c r="U172" s="48"/>
      <c r="V172" s="51"/>
      <c r="W172" s="28"/>
      <c r="X172" s="28"/>
      <c r="Y172" s="28"/>
      <c r="Z172" s="28"/>
      <c r="AA172" s="28"/>
      <c r="AB172" s="36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42">
        <f>SUM($T157:AQ172)</f>
        <v>-431183.13890000002</v>
      </c>
      <c r="AT172" s="10"/>
      <c r="AU172" s="11"/>
      <c r="AV172" s="2" t="s">
        <v>5</v>
      </c>
    </row>
    <row r="173" spans="1:49" s="2" customFormat="1" ht="17.25" customHeight="1" thickTop="1" thickBot="1" x14ac:dyDescent="0.3">
      <c r="A173" s="103"/>
      <c r="B173" s="104" t="s">
        <v>103</v>
      </c>
      <c r="C173" s="105">
        <f>AR173</f>
        <v>-304138.76935999998</v>
      </c>
      <c r="D173" s="106">
        <f t="shared" ref="D173:K173" si="20">SUM(D157:D172)</f>
        <v>94744.307040000014</v>
      </c>
      <c r="E173" s="107">
        <f t="shared" si="20"/>
        <v>-61606.82</v>
      </c>
      <c r="F173" s="107">
        <f t="shared" si="20"/>
        <v>-28394.35</v>
      </c>
      <c r="G173" s="107">
        <f t="shared" si="20"/>
        <v>0</v>
      </c>
      <c r="H173" s="107">
        <f t="shared" si="20"/>
        <v>53768.502500000046</v>
      </c>
      <c r="I173" s="107">
        <f t="shared" si="20"/>
        <v>9808.42</v>
      </c>
      <c r="J173" s="107">
        <f t="shared" si="20"/>
        <v>0</v>
      </c>
      <c r="K173" s="108">
        <f t="shared" si="20"/>
        <v>10403</v>
      </c>
      <c r="L173" s="109">
        <f>M173/K173</f>
        <v>5.4120359511679323</v>
      </c>
      <c r="M173" s="107">
        <f>ROUND(SUM(M157:M172),2)</f>
        <v>56301.41</v>
      </c>
      <c r="N173" s="108">
        <f>SUM(N157:N172)</f>
        <v>-139</v>
      </c>
      <c r="O173" s="109">
        <f>P173/N173</f>
        <v>-17.430935251798562</v>
      </c>
      <c r="P173" s="107">
        <f>ROUND(SUM(P157:P172),2)</f>
        <v>2422.9</v>
      </c>
      <c r="Q173" s="108">
        <f>SUM(Q157:Q172)</f>
        <v>214</v>
      </c>
      <c r="R173" s="109">
        <f>S173/Q173</f>
        <v>6.099485981308411</v>
      </c>
      <c r="S173" s="107">
        <f>ROUND(SUM(S157:S172),2)</f>
        <v>1305.29</v>
      </c>
      <c r="T173" s="110">
        <f t="shared" ref="T173:AQ173" si="21">SUM(T157:T172)</f>
        <v>-484627.12890000001</v>
      </c>
      <c r="U173" s="107">
        <f t="shared" si="21"/>
        <v>50229.299999999996</v>
      </c>
      <c r="V173" s="107">
        <f t="shared" si="21"/>
        <v>0</v>
      </c>
      <c r="W173" s="107">
        <f t="shared" si="21"/>
        <v>3214.6899999999996</v>
      </c>
      <c r="X173" s="107">
        <f t="shared" si="21"/>
        <v>0</v>
      </c>
      <c r="Y173" s="107">
        <f t="shared" si="21"/>
        <v>0</v>
      </c>
      <c r="Z173" s="107">
        <f t="shared" si="21"/>
        <v>0</v>
      </c>
      <c r="AA173" s="107">
        <f t="shared" si="21"/>
        <v>0</v>
      </c>
      <c r="AB173" s="107">
        <f t="shared" si="21"/>
        <v>0</v>
      </c>
      <c r="AC173" s="107">
        <f t="shared" si="21"/>
        <v>0</v>
      </c>
      <c r="AD173" s="107">
        <f t="shared" si="21"/>
        <v>0</v>
      </c>
      <c r="AE173" s="107">
        <f t="shared" si="21"/>
        <v>0</v>
      </c>
      <c r="AF173" s="107">
        <f t="shared" si="21"/>
        <v>0</v>
      </c>
      <c r="AG173" s="107">
        <f t="shared" si="21"/>
        <v>0</v>
      </c>
      <c r="AH173" s="107">
        <f t="shared" si="21"/>
        <v>0</v>
      </c>
      <c r="AI173" s="107">
        <f t="shared" si="21"/>
        <v>0</v>
      </c>
      <c r="AJ173" s="107">
        <f t="shared" si="21"/>
        <v>0</v>
      </c>
      <c r="AK173" s="107">
        <f t="shared" si="21"/>
        <v>0</v>
      </c>
      <c r="AL173" s="107">
        <f t="shared" si="21"/>
        <v>0</v>
      </c>
      <c r="AM173" s="107">
        <f t="shared" si="21"/>
        <v>0</v>
      </c>
      <c r="AN173" s="107">
        <f t="shared" si="21"/>
        <v>0</v>
      </c>
      <c r="AO173" s="107">
        <f t="shared" si="21"/>
        <v>0</v>
      </c>
      <c r="AP173" s="107">
        <f t="shared" si="21"/>
        <v>0</v>
      </c>
      <c r="AQ173" s="107">
        <f t="shared" si="21"/>
        <v>0</v>
      </c>
      <c r="AR173" s="111">
        <f>D173+E173+F173+G173+H173+I173+J173+M173+P173+SUM(T173:AQ173)</f>
        <v>-304138.76935999998</v>
      </c>
      <c r="AS173" s="4"/>
      <c r="AT173" s="5"/>
      <c r="AU173" s="5"/>
      <c r="AV173" s="2" t="s">
        <v>6</v>
      </c>
    </row>
    <row r="174" spans="1:49" s="2" customFormat="1" ht="17.25" customHeight="1" thickTop="1" x14ac:dyDescent="0.25">
      <c r="A174" s="23">
        <f>A158+1</f>
        <v>46124</v>
      </c>
      <c r="B174" s="210" t="s">
        <v>64</v>
      </c>
      <c r="C174" s="203"/>
      <c r="D174" s="63">
        <v>9562.83</v>
      </c>
      <c r="E174" s="66"/>
      <c r="F174" s="66"/>
      <c r="G174" s="66"/>
      <c r="H174" s="66"/>
      <c r="I174" s="66">
        <f>-D174</f>
        <v>-9562.83</v>
      </c>
      <c r="J174" s="66"/>
      <c r="K174" s="18"/>
      <c r="L174" s="18"/>
      <c r="M174" s="66"/>
      <c r="N174" s="18"/>
      <c r="O174" s="18"/>
      <c r="P174" s="66"/>
      <c r="Q174" s="18"/>
      <c r="R174" s="18"/>
      <c r="S174" s="66"/>
      <c r="T174" s="46"/>
      <c r="U174" s="46"/>
      <c r="V174" s="45"/>
      <c r="W174" s="18"/>
      <c r="X174" s="18"/>
      <c r="Y174" s="18"/>
      <c r="Z174" s="18"/>
      <c r="AA174" s="18"/>
      <c r="AB174" s="14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31"/>
      <c r="AT174" s="10"/>
      <c r="AU174" s="27"/>
    </row>
    <row r="175" spans="1:49" s="4" customFormat="1" ht="17.25" customHeight="1" x14ac:dyDescent="0.25">
      <c r="A175" s="23"/>
      <c r="B175" s="201" t="s">
        <v>96</v>
      </c>
      <c r="C175" s="202"/>
      <c r="D175" s="63"/>
      <c r="E175" s="64"/>
      <c r="F175" s="64"/>
      <c r="G175" s="64"/>
      <c r="H175" s="64"/>
      <c r="I175" s="64">
        <f>-I173-I174</f>
        <v>-245.59000000000015</v>
      </c>
      <c r="J175" s="64"/>
      <c r="K175" s="16"/>
      <c r="L175" s="92"/>
      <c r="M175" s="64"/>
      <c r="N175" s="16"/>
      <c r="O175" s="92"/>
      <c r="P175" s="64"/>
      <c r="Q175" s="16"/>
      <c r="R175" s="92"/>
      <c r="S175" s="64"/>
      <c r="T175" s="40"/>
      <c r="U175" s="46"/>
      <c r="V175" s="39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22"/>
      <c r="AS175" s="30"/>
    </row>
    <row r="176" spans="1:49" s="2" customFormat="1" ht="17.25" customHeight="1" x14ac:dyDescent="0.25">
      <c r="A176" s="29"/>
      <c r="B176" s="201" t="s">
        <v>327</v>
      </c>
      <c r="C176" s="202"/>
      <c r="D176" s="63">
        <f>20+50+20+20+200+80+30+24+150+270+40</f>
        <v>904</v>
      </c>
      <c r="E176" s="64"/>
      <c r="F176" s="64"/>
      <c r="G176" s="64"/>
      <c r="H176" s="64"/>
      <c r="I176" s="64">
        <f>-D176</f>
        <v>-904</v>
      </c>
      <c r="J176" s="64"/>
      <c r="K176" s="57"/>
      <c r="L176" s="88"/>
      <c r="M176" s="62"/>
      <c r="N176" s="57"/>
      <c r="O176" s="88"/>
      <c r="P176" s="62"/>
      <c r="Q176" s="57"/>
      <c r="R176" s="88"/>
      <c r="S176" s="62"/>
      <c r="T176" s="47"/>
      <c r="U176" s="39"/>
      <c r="V176" s="39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22"/>
      <c r="AT176" s="10"/>
      <c r="AU176" s="11"/>
    </row>
    <row r="177" spans="1:49" s="2" customFormat="1" ht="17.25" customHeight="1" x14ac:dyDescent="0.25">
      <c r="A177" s="29"/>
      <c r="B177" s="201" t="s">
        <v>328</v>
      </c>
      <c r="C177" s="202"/>
      <c r="D177" s="63">
        <f>-8*0.99-1.6-1.2-2.16</f>
        <v>-12.879999999999999</v>
      </c>
      <c r="E177" s="64"/>
      <c r="F177" s="64"/>
      <c r="G177" s="64"/>
      <c r="H177" s="64"/>
      <c r="I177" s="64"/>
      <c r="J177" s="64"/>
      <c r="K177" s="57"/>
      <c r="L177" s="88"/>
      <c r="M177" s="62"/>
      <c r="N177" s="57"/>
      <c r="O177" s="88"/>
      <c r="P177" s="62"/>
      <c r="Q177" s="57"/>
      <c r="R177" s="88"/>
      <c r="S177" s="62"/>
      <c r="T177" s="47"/>
      <c r="U177" s="39"/>
      <c r="V177" s="39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22"/>
      <c r="AT177" s="10"/>
      <c r="AU177" s="11"/>
    </row>
    <row r="178" spans="1:49" s="2" customFormat="1" ht="17.25" customHeight="1" x14ac:dyDescent="0.25">
      <c r="A178" s="29"/>
      <c r="B178" s="201" t="s">
        <v>383</v>
      </c>
      <c r="C178" s="202"/>
      <c r="D178" s="63">
        <v>-145</v>
      </c>
      <c r="E178" s="64"/>
      <c r="F178" s="64"/>
      <c r="G178" s="64"/>
      <c r="H178" s="64"/>
      <c r="I178" s="64"/>
      <c r="J178" s="64"/>
      <c r="K178" s="57"/>
      <c r="L178" s="88"/>
      <c r="M178" s="62"/>
      <c r="N178" s="57"/>
      <c r="O178" s="88"/>
      <c r="P178" s="62"/>
      <c r="Q178" s="57"/>
      <c r="R178" s="88"/>
      <c r="S178" s="62"/>
      <c r="T178" s="47"/>
      <c r="U178" s="39"/>
      <c r="V178" s="39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22"/>
      <c r="AT178" s="10" t="s">
        <v>4</v>
      </c>
      <c r="AU178" s="11" t="e">
        <v>#REF!</v>
      </c>
    </row>
    <row r="179" spans="1:49" s="4" customFormat="1" ht="17.25" customHeight="1" x14ac:dyDescent="0.25">
      <c r="A179" s="23"/>
      <c r="B179" s="201" t="s">
        <v>13</v>
      </c>
      <c r="C179" s="203"/>
      <c r="D179" s="63"/>
      <c r="E179" s="64">
        <f>10+20+50+20+30+40+80+60+30</f>
        <v>340</v>
      </c>
      <c r="F179" s="64"/>
      <c r="G179" s="64"/>
      <c r="H179" s="64">
        <f>-E179</f>
        <v>-340</v>
      </c>
      <c r="I179" s="66"/>
      <c r="J179" s="64"/>
      <c r="K179" s="16"/>
      <c r="L179" s="92"/>
      <c r="M179" s="64"/>
      <c r="N179" s="16"/>
      <c r="O179" s="92"/>
      <c r="P179" s="64"/>
      <c r="Q179" s="16"/>
      <c r="R179" s="92"/>
      <c r="S179" s="64"/>
      <c r="T179" s="40"/>
      <c r="U179" s="46">
        <f>-D179</f>
        <v>0</v>
      </c>
      <c r="V179" s="39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22"/>
      <c r="AS179" s="30"/>
    </row>
    <row r="180" spans="1:49" s="2" customFormat="1" ht="17.25" customHeight="1" thickBot="1" x14ac:dyDescent="0.25">
      <c r="A180" s="24"/>
      <c r="B180" s="216"/>
      <c r="C180" s="217"/>
      <c r="D180" s="83"/>
      <c r="E180" s="81"/>
      <c r="F180" s="81"/>
      <c r="G180" s="81"/>
      <c r="H180" s="81"/>
      <c r="I180" s="81"/>
      <c r="J180" s="81"/>
      <c r="K180" s="37"/>
      <c r="L180" s="93"/>
      <c r="M180" s="81"/>
      <c r="N180" s="37"/>
      <c r="O180" s="93"/>
      <c r="P180" s="81"/>
      <c r="Q180" s="37"/>
      <c r="R180" s="93"/>
      <c r="S180" s="81"/>
      <c r="T180" s="40"/>
      <c r="U180" s="40"/>
      <c r="V180" s="39"/>
      <c r="W180" s="16"/>
      <c r="X180" s="16"/>
      <c r="Y180" s="16"/>
      <c r="Z180" s="16"/>
      <c r="AA180" s="16"/>
      <c r="AB180" s="19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41"/>
      <c r="AT180" s="10"/>
      <c r="AU180" s="11"/>
    </row>
    <row r="181" spans="1:49" s="4" customFormat="1" ht="17.25" customHeight="1" x14ac:dyDescent="0.25">
      <c r="A181" s="23"/>
      <c r="B181" s="210" t="s">
        <v>94</v>
      </c>
      <c r="C181" s="203"/>
      <c r="D181" s="66"/>
      <c r="E181" s="66"/>
      <c r="F181" s="117"/>
      <c r="G181" s="117"/>
      <c r="H181" s="66"/>
      <c r="I181" s="66"/>
      <c r="J181" s="66">
        <f>-M181</f>
        <v>6083.28</v>
      </c>
      <c r="K181" s="58">
        <v>-952</v>
      </c>
      <c r="L181" s="89">
        <v>6.39</v>
      </c>
      <c r="M181" s="73">
        <f>K181*L181</f>
        <v>-6083.28</v>
      </c>
      <c r="N181" s="58"/>
      <c r="O181" s="89"/>
      <c r="P181" s="73"/>
      <c r="Q181" s="58"/>
      <c r="R181" s="89"/>
      <c r="S181" s="73"/>
      <c r="T181" s="39"/>
      <c r="U181" s="39"/>
      <c r="V181" s="8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35"/>
      <c r="AS181" s="12" t="e">
        <f>#REF!</f>
        <v>#REF!</v>
      </c>
    </row>
    <row r="182" spans="1:49" s="4" customFormat="1" ht="17.25" customHeight="1" x14ac:dyDescent="0.25">
      <c r="A182" s="23"/>
      <c r="B182" s="201" t="s">
        <v>95</v>
      </c>
      <c r="C182" s="202"/>
      <c r="D182" s="64"/>
      <c r="E182" s="64"/>
      <c r="F182" s="117"/>
      <c r="G182" s="117"/>
      <c r="H182" s="64"/>
      <c r="I182" s="64"/>
      <c r="J182" s="64">
        <f>-P182</f>
        <v>4986.74</v>
      </c>
      <c r="K182" s="57"/>
      <c r="L182" s="88"/>
      <c r="M182" s="62"/>
      <c r="N182" s="57">
        <v>-1193</v>
      </c>
      <c r="O182" s="88">
        <v>4.18</v>
      </c>
      <c r="P182" s="62">
        <f>N182*O182</f>
        <v>-4986.74</v>
      </c>
      <c r="Q182" s="57"/>
      <c r="R182" s="88"/>
      <c r="S182" s="62"/>
      <c r="T182" s="39"/>
      <c r="U182" s="39"/>
      <c r="V182" s="8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35"/>
      <c r="AS182" s="12" t="e">
        <f>#REF!</f>
        <v>#REF!</v>
      </c>
    </row>
    <row r="183" spans="1:49" s="4" customFormat="1" ht="17.25" customHeight="1" x14ac:dyDescent="0.25">
      <c r="A183" s="23"/>
      <c r="B183" s="201" t="s">
        <v>97</v>
      </c>
      <c r="C183" s="203"/>
      <c r="D183" s="64"/>
      <c r="E183" s="64"/>
      <c r="F183" s="64"/>
      <c r="G183" s="64"/>
      <c r="H183" s="64">
        <f>-J183-I183</f>
        <v>2785.5400000000009</v>
      </c>
      <c r="I183" s="64">
        <v>8284.48</v>
      </c>
      <c r="J183" s="64">
        <f>-SUM(J181:J182)</f>
        <v>-11070.02</v>
      </c>
      <c r="K183" s="57"/>
      <c r="L183" s="88"/>
      <c r="M183" s="62"/>
      <c r="N183" s="57"/>
      <c r="O183" s="88"/>
      <c r="P183" s="62"/>
      <c r="Q183" s="57"/>
      <c r="R183" s="88"/>
      <c r="S183" s="62"/>
      <c r="T183" s="39"/>
      <c r="U183" s="39"/>
      <c r="V183" s="39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22"/>
      <c r="AR183" s="43">
        <f>A154</f>
        <v>0</v>
      </c>
      <c r="AS183" s="12" t="e">
        <f>#REF!</f>
        <v>#REF!</v>
      </c>
      <c r="AW183" s="2"/>
    </row>
    <row r="184" spans="1:49" s="4" customFormat="1" ht="17.25" customHeight="1" x14ac:dyDescent="0.25">
      <c r="A184" s="23"/>
      <c r="B184" s="201" t="s">
        <v>93</v>
      </c>
      <c r="C184" s="202"/>
      <c r="D184" s="64"/>
      <c r="E184" s="64"/>
      <c r="F184" s="64"/>
      <c r="G184" s="64"/>
      <c r="H184" s="64"/>
      <c r="I184" s="64"/>
      <c r="J184" s="64"/>
      <c r="K184" s="57">
        <v>29</v>
      </c>
      <c r="L184" s="88"/>
      <c r="M184" s="62">
        <f>(K187*L173)-M173-M181</f>
        <v>1087.9708170719978</v>
      </c>
      <c r="N184" s="57">
        <v>104</v>
      </c>
      <c r="O184" s="88"/>
      <c r="P184" s="62">
        <f>(N187*O173)-P173-P182</f>
        <v>23969.028489208635</v>
      </c>
      <c r="Q184" s="57"/>
      <c r="R184" s="88"/>
      <c r="S184" s="62"/>
      <c r="T184" s="39"/>
      <c r="U184" s="39"/>
      <c r="V184" s="39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22"/>
      <c r="AR184" s="43">
        <f>A167</f>
        <v>0</v>
      </c>
      <c r="AS184" s="12" t="e">
        <f>#REF!</f>
        <v>#REF!</v>
      </c>
      <c r="AW184" s="2"/>
    </row>
    <row r="185" spans="1:49" s="2" customFormat="1" ht="17.25" customHeight="1" x14ac:dyDescent="0.2">
      <c r="A185" s="24"/>
      <c r="B185" s="201"/>
      <c r="C185" s="204"/>
      <c r="D185" s="63"/>
      <c r="E185" s="64"/>
      <c r="F185" s="64"/>
      <c r="G185" s="64"/>
      <c r="H185" s="64"/>
      <c r="I185" s="64"/>
      <c r="J185" s="64"/>
      <c r="K185" s="16"/>
      <c r="L185" s="16"/>
      <c r="M185" s="64"/>
      <c r="N185" s="16"/>
      <c r="O185" s="16"/>
      <c r="P185" s="64"/>
      <c r="Q185" s="16"/>
      <c r="R185" s="16"/>
      <c r="S185" s="64"/>
      <c r="T185" s="46"/>
      <c r="U185" s="46"/>
      <c r="V185" s="39"/>
      <c r="W185" s="16"/>
      <c r="X185" s="16"/>
      <c r="Y185" s="16"/>
      <c r="Z185" s="16"/>
      <c r="AA185" s="16"/>
      <c r="AB185" s="19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43">
        <f>A174</f>
        <v>46124</v>
      </c>
      <c r="AT185" s="10"/>
      <c r="AU185" s="11"/>
    </row>
    <row r="186" spans="1:49" s="2" customFormat="1" ht="17.25" customHeight="1" thickBot="1" x14ac:dyDescent="0.3">
      <c r="A186" s="56"/>
      <c r="B186" s="101" t="s">
        <v>102</v>
      </c>
      <c r="C186" s="102">
        <f>D187+E187+F187+G187+H187+I187+J187+M187+P187</f>
        <v>151697.89954000004</v>
      </c>
      <c r="D186" s="84"/>
      <c r="E186" s="85"/>
      <c r="F186" s="85"/>
      <c r="G186" s="85"/>
      <c r="H186" s="85"/>
      <c r="I186" s="85"/>
      <c r="J186" s="85"/>
      <c r="K186" s="28"/>
      <c r="L186" s="28"/>
      <c r="M186" s="85"/>
      <c r="N186" s="28"/>
      <c r="O186" s="28"/>
      <c r="P186" s="85"/>
      <c r="Q186" s="28"/>
      <c r="R186" s="28"/>
      <c r="S186" s="85"/>
      <c r="T186" s="48"/>
      <c r="U186" s="48"/>
      <c r="V186" s="51"/>
      <c r="W186" s="28"/>
      <c r="X186" s="28"/>
      <c r="Y186" s="28"/>
      <c r="Z186" s="28"/>
      <c r="AA186" s="28"/>
      <c r="AB186" s="36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42">
        <f>SUM($T173:AQ186)</f>
        <v>-431183.13890000002</v>
      </c>
      <c r="AT186" s="10"/>
      <c r="AU186" s="11"/>
      <c r="AV186" s="2" t="s">
        <v>5</v>
      </c>
    </row>
    <row r="187" spans="1:49" s="2" customFormat="1" ht="17.25" customHeight="1" thickTop="1" thickBot="1" x14ac:dyDescent="0.3">
      <c r="A187" s="103"/>
      <c r="B187" s="104" t="s">
        <v>103</v>
      </c>
      <c r="C187" s="105">
        <f>AR187</f>
        <v>-279485.23936000001</v>
      </c>
      <c r="D187" s="106">
        <f t="shared" ref="D187:K187" si="22">SUM(D173:D186)</f>
        <v>105053.25704000001</v>
      </c>
      <c r="E187" s="107">
        <f t="shared" si="22"/>
        <v>-61266.82</v>
      </c>
      <c r="F187" s="107">
        <f t="shared" si="22"/>
        <v>-28394.35</v>
      </c>
      <c r="G187" s="107">
        <f t="shared" si="22"/>
        <v>0</v>
      </c>
      <c r="H187" s="107">
        <f t="shared" si="22"/>
        <v>56214.042500000047</v>
      </c>
      <c r="I187" s="107">
        <f t="shared" si="22"/>
        <v>7380.48</v>
      </c>
      <c r="J187" s="107">
        <f t="shared" si="22"/>
        <v>0</v>
      </c>
      <c r="K187" s="108">
        <f t="shared" si="22"/>
        <v>9480</v>
      </c>
      <c r="L187" s="109">
        <f>M187/K187</f>
        <v>5.4120358649789031</v>
      </c>
      <c r="M187" s="107">
        <f>ROUND(SUM(M173:M186),2)</f>
        <v>51306.1</v>
      </c>
      <c r="N187" s="108">
        <f>SUM(N173:N186)</f>
        <v>-1228</v>
      </c>
      <c r="O187" s="109">
        <f>P187/N187</f>
        <v>-17.430936482084689</v>
      </c>
      <c r="P187" s="107">
        <f>ROUND(SUM(P173:P186),2)</f>
        <v>21405.19</v>
      </c>
      <c r="Q187" s="108">
        <f>SUM(Q173:Q186)</f>
        <v>214</v>
      </c>
      <c r="R187" s="109">
        <f>S187/Q187</f>
        <v>6.099485981308411</v>
      </c>
      <c r="S187" s="107">
        <f>ROUND(SUM(S173:S186),2)</f>
        <v>1305.29</v>
      </c>
      <c r="T187" s="110">
        <f t="shared" ref="T187:AQ187" si="23">SUM(T173:T186)</f>
        <v>-484627.12890000001</v>
      </c>
      <c r="U187" s="107">
        <f t="shared" si="23"/>
        <v>50229.299999999996</v>
      </c>
      <c r="V187" s="107">
        <f t="shared" si="23"/>
        <v>0</v>
      </c>
      <c r="W187" s="107">
        <f t="shared" si="23"/>
        <v>3214.6899999999996</v>
      </c>
      <c r="X187" s="107">
        <f t="shared" si="23"/>
        <v>0</v>
      </c>
      <c r="Y187" s="107">
        <f t="shared" si="23"/>
        <v>0</v>
      </c>
      <c r="Z187" s="107">
        <f t="shared" si="23"/>
        <v>0</v>
      </c>
      <c r="AA187" s="107">
        <f t="shared" si="23"/>
        <v>0</v>
      </c>
      <c r="AB187" s="107">
        <f t="shared" si="23"/>
        <v>0</v>
      </c>
      <c r="AC187" s="107">
        <f t="shared" si="23"/>
        <v>0</v>
      </c>
      <c r="AD187" s="107">
        <f t="shared" si="23"/>
        <v>0</v>
      </c>
      <c r="AE187" s="107">
        <f t="shared" si="23"/>
        <v>0</v>
      </c>
      <c r="AF187" s="107">
        <f t="shared" si="23"/>
        <v>0</v>
      </c>
      <c r="AG187" s="107">
        <f t="shared" si="23"/>
        <v>0</v>
      </c>
      <c r="AH187" s="107">
        <f t="shared" si="23"/>
        <v>0</v>
      </c>
      <c r="AI187" s="107">
        <f t="shared" si="23"/>
        <v>0</v>
      </c>
      <c r="AJ187" s="107">
        <f t="shared" si="23"/>
        <v>0</v>
      </c>
      <c r="AK187" s="107">
        <f t="shared" si="23"/>
        <v>0</v>
      </c>
      <c r="AL187" s="107">
        <f t="shared" si="23"/>
        <v>0</v>
      </c>
      <c r="AM187" s="107">
        <f t="shared" si="23"/>
        <v>0</v>
      </c>
      <c r="AN187" s="107">
        <f t="shared" si="23"/>
        <v>0</v>
      </c>
      <c r="AO187" s="107">
        <f t="shared" si="23"/>
        <v>0</v>
      </c>
      <c r="AP187" s="107">
        <f t="shared" si="23"/>
        <v>0</v>
      </c>
      <c r="AQ187" s="107">
        <f t="shared" si="23"/>
        <v>0</v>
      </c>
      <c r="AR187" s="111">
        <f>D187+E187+F187+G187+H187+I187+J187+M187+P187+SUM(T187:AQ187)</f>
        <v>-279485.23936000001</v>
      </c>
      <c r="AS187" s="4"/>
      <c r="AT187" s="5"/>
      <c r="AU187" s="5"/>
      <c r="AV187" s="2" t="s">
        <v>6</v>
      </c>
    </row>
    <row r="188" spans="1:49" s="2" customFormat="1" ht="17.25" customHeight="1" thickTop="1" x14ac:dyDescent="0.25">
      <c r="A188" s="23">
        <f>A174+1</f>
        <v>46125</v>
      </c>
      <c r="B188" s="210" t="s">
        <v>64</v>
      </c>
      <c r="C188" s="203"/>
      <c r="D188" s="63">
        <v>7183.63</v>
      </c>
      <c r="E188" s="66"/>
      <c r="F188" s="66"/>
      <c r="G188" s="66"/>
      <c r="H188" s="66"/>
      <c r="I188" s="66">
        <f>-D188</f>
        <v>-7183.63</v>
      </c>
      <c r="J188" s="66"/>
      <c r="K188" s="18"/>
      <c r="L188" s="18"/>
      <c r="M188" s="66"/>
      <c r="N188" s="18"/>
      <c r="O188" s="18"/>
      <c r="P188" s="66"/>
      <c r="Q188" s="18"/>
      <c r="R188" s="18"/>
      <c r="S188" s="66"/>
      <c r="T188" s="46"/>
      <c r="U188" s="46"/>
      <c r="V188" s="45"/>
      <c r="W188" s="18"/>
      <c r="X188" s="18"/>
      <c r="Y188" s="18"/>
      <c r="Z188" s="18"/>
      <c r="AA188" s="18"/>
      <c r="AB188" s="14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31"/>
      <c r="AT188" s="10"/>
      <c r="AU188" s="27"/>
    </row>
    <row r="189" spans="1:49" s="4" customFormat="1" ht="17.25" customHeight="1" x14ac:dyDescent="0.25">
      <c r="A189" s="23"/>
      <c r="B189" s="201" t="s">
        <v>96</v>
      </c>
      <c r="C189" s="202"/>
      <c r="D189" s="63"/>
      <c r="E189" s="64"/>
      <c r="F189" s="64"/>
      <c r="G189" s="64"/>
      <c r="H189" s="64"/>
      <c r="I189" s="64">
        <f>-I187-I188</f>
        <v>-196.84999999999945</v>
      </c>
      <c r="J189" s="64"/>
      <c r="K189" s="16"/>
      <c r="L189" s="92"/>
      <c r="M189" s="64"/>
      <c r="N189" s="16"/>
      <c r="O189" s="92"/>
      <c r="P189" s="64"/>
      <c r="Q189" s="16"/>
      <c r="R189" s="92"/>
      <c r="S189" s="64"/>
      <c r="T189" s="40"/>
      <c r="U189" s="46"/>
      <c r="V189" s="39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22"/>
      <c r="AS189" s="30"/>
    </row>
    <row r="190" spans="1:49" s="2" customFormat="1" ht="17.25" customHeight="1" x14ac:dyDescent="0.25">
      <c r="A190" s="29"/>
      <c r="B190" s="201" t="s">
        <v>327</v>
      </c>
      <c r="C190" s="202"/>
      <c r="D190" s="63">
        <f>20+30+30+30+30+30+20+49.62+70+30+40+78+8+30+50+100+55+50-30</f>
        <v>720.62</v>
      </c>
      <c r="E190" s="64"/>
      <c r="F190" s="64"/>
      <c r="G190" s="64"/>
      <c r="H190" s="64"/>
      <c r="I190" s="64">
        <f>-D190</f>
        <v>-720.62</v>
      </c>
      <c r="J190" s="64"/>
      <c r="K190" s="57"/>
      <c r="L190" s="88"/>
      <c r="M190" s="62"/>
      <c r="N190" s="57"/>
      <c r="O190" s="88"/>
      <c r="P190" s="62"/>
      <c r="Q190" s="57"/>
      <c r="R190" s="88"/>
      <c r="S190" s="62"/>
      <c r="T190" s="47"/>
      <c r="U190" s="39"/>
      <c r="V190" s="39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22"/>
      <c r="AT190" s="10"/>
      <c r="AU190" s="11"/>
    </row>
    <row r="191" spans="1:49" s="2" customFormat="1" ht="17.25" customHeight="1" x14ac:dyDescent="0.25">
      <c r="A191" s="29"/>
      <c r="B191" s="201" t="s">
        <v>328</v>
      </c>
      <c r="C191" s="202"/>
      <c r="D191" s="63">
        <f>-18*0.99+0.99</f>
        <v>-16.830000000000002</v>
      </c>
      <c r="E191" s="64"/>
      <c r="F191" s="64"/>
      <c r="G191" s="64"/>
      <c r="H191" s="64"/>
      <c r="I191" s="64"/>
      <c r="J191" s="64"/>
      <c r="K191" s="57"/>
      <c r="L191" s="88"/>
      <c r="M191" s="62"/>
      <c r="N191" s="57"/>
      <c r="O191" s="88"/>
      <c r="P191" s="62"/>
      <c r="Q191" s="57"/>
      <c r="R191" s="88"/>
      <c r="S191" s="62"/>
      <c r="T191" s="47"/>
      <c r="U191" s="39"/>
      <c r="V191" s="39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22"/>
      <c r="AT191" s="10"/>
      <c r="AU191" s="11"/>
    </row>
    <row r="192" spans="1:49" s="4" customFormat="1" ht="17.25" customHeight="1" x14ac:dyDescent="0.25">
      <c r="A192" s="23"/>
      <c r="B192" s="201" t="s">
        <v>13</v>
      </c>
      <c r="C192" s="203"/>
      <c r="D192" s="63"/>
      <c r="E192" s="64">
        <f>41.75+20+50+50+27+3+954+1030+1000+443+1524+1893</f>
        <v>7035.75</v>
      </c>
      <c r="F192" s="64"/>
      <c r="G192" s="64"/>
      <c r="H192" s="64">
        <f>-E192</f>
        <v>-7035.75</v>
      </c>
      <c r="I192" s="66"/>
      <c r="J192" s="64"/>
      <c r="K192" s="16"/>
      <c r="L192" s="92"/>
      <c r="M192" s="64"/>
      <c r="N192" s="16"/>
      <c r="O192" s="92"/>
      <c r="P192" s="64"/>
      <c r="Q192" s="16"/>
      <c r="R192" s="92"/>
      <c r="S192" s="64"/>
      <c r="T192" s="40"/>
      <c r="U192" s="46">
        <f>-D192</f>
        <v>0</v>
      </c>
      <c r="V192" s="39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22"/>
      <c r="AS192" s="30"/>
    </row>
    <row r="193" spans="1:49" s="2" customFormat="1" ht="17.25" customHeight="1" x14ac:dyDescent="0.25">
      <c r="A193" s="24"/>
      <c r="B193" s="201" t="s">
        <v>376</v>
      </c>
      <c r="C193" s="203"/>
      <c r="D193" s="63"/>
      <c r="E193" s="64">
        <v>-168.3</v>
      </c>
      <c r="F193" s="64"/>
      <c r="G193" s="64"/>
      <c r="H193" s="64"/>
      <c r="I193" s="64"/>
      <c r="J193" s="64"/>
      <c r="K193" s="16"/>
      <c r="L193" s="92"/>
      <c r="M193" s="64"/>
      <c r="N193" s="16"/>
      <c r="O193" s="92"/>
      <c r="P193" s="64"/>
      <c r="Q193" s="16"/>
      <c r="R193" s="92"/>
      <c r="S193" s="64"/>
      <c r="T193" s="40"/>
      <c r="U193" s="40"/>
      <c r="V193" s="39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22"/>
      <c r="AT193" s="10"/>
      <c r="AU193" s="11"/>
    </row>
    <row r="194" spans="1:49" s="2" customFormat="1" ht="17.25" customHeight="1" thickBot="1" x14ac:dyDescent="0.25">
      <c r="A194" s="24"/>
      <c r="B194" s="216"/>
      <c r="C194" s="242"/>
      <c r="D194" s="83"/>
      <c r="E194" s="81"/>
      <c r="F194" s="81"/>
      <c r="G194" s="81"/>
      <c r="H194" s="81"/>
      <c r="I194" s="81"/>
      <c r="J194" s="81"/>
      <c r="K194" s="37"/>
      <c r="L194" s="93"/>
      <c r="M194" s="81"/>
      <c r="N194" s="37"/>
      <c r="O194" s="93"/>
      <c r="P194" s="81"/>
      <c r="Q194" s="37"/>
      <c r="R194" s="93"/>
      <c r="S194" s="81"/>
      <c r="T194" s="40"/>
      <c r="U194" s="40"/>
      <c r="V194" s="39"/>
      <c r="W194" s="16"/>
      <c r="X194" s="16"/>
      <c r="Y194" s="16"/>
      <c r="Z194" s="16"/>
      <c r="AA194" s="16"/>
      <c r="AB194" s="19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41"/>
      <c r="AT194" s="10"/>
      <c r="AU194" s="11"/>
    </row>
    <row r="195" spans="1:49" s="4" customFormat="1" ht="17.25" customHeight="1" x14ac:dyDescent="0.25">
      <c r="A195" s="23"/>
      <c r="B195" s="210" t="s">
        <v>94</v>
      </c>
      <c r="C195" s="203"/>
      <c r="D195" s="66"/>
      <c r="E195" s="66"/>
      <c r="F195" s="135"/>
      <c r="G195" s="135"/>
      <c r="H195" s="66"/>
      <c r="I195" s="66"/>
      <c r="J195" s="66">
        <f>-M195</f>
        <v>6102.45</v>
      </c>
      <c r="K195" s="58">
        <v>-955</v>
      </c>
      <c r="L195" s="89">
        <v>6.39</v>
      </c>
      <c r="M195" s="73">
        <f>K195*L195</f>
        <v>-6102.45</v>
      </c>
      <c r="N195" s="58"/>
      <c r="O195" s="89"/>
      <c r="P195" s="73"/>
      <c r="Q195" s="58"/>
      <c r="R195" s="89"/>
      <c r="S195" s="73"/>
      <c r="T195" s="39"/>
      <c r="U195" s="39"/>
      <c r="V195" s="8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35"/>
      <c r="AS195" s="12" t="e">
        <f>#REF!</f>
        <v>#REF!</v>
      </c>
    </row>
    <row r="196" spans="1:49" s="4" customFormat="1" ht="17.25" customHeight="1" x14ac:dyDescent="0.25">
      <c r="A196" s="23"/>
      <c r="B196" s="201" t="s">
        <v>95</v>
      </c>
      <c r="C196" s="202"/>
      <c r="D196" s="64"/>
      <c r="E196" s="64"/>
      <c r="F196" s="117"/>
      <c r="G196" s="117"/>
      <c r="H196" s="64"/>
      <c r="I196" s="64"/>
      <c r="J196" s="64">
        <f>-P196</f>
        <v>5885.44</v>
      </c>
      <c r="K196" s="57"/>
      <c r="L196" s="88"/>
      <c r="M196" s="62"/>
      <c r="N196" s="57">
        <v>-1408</v>
      </c>
      <c r="O196" s="88">
        <v>4.18</v>
      </c>
      <c r="P196" s="62">
        <f>N196*O196</f>
        <v>-5885.44</v>
      </c>
      <c r="Q196" s="57"/>
      <c r="R196" s="88"/>
      <c r="S196" s="62"/>
      <c r="T196" s="39"/>
      <c r="U196" s="39"/>
      <c r="V196" s="8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35"/>
      <c r="AS196" s="12" t="e">
        <f>#REF!</f>
        <v>#REF!</v>
      </c>
    </row>
    <row r="197" spans="1:49" s="4" customFormat="1" ht="17.25" customHeight="1" x14ac:dyDescent="0.25">
      <c r="A197" s="23"/>
      <c r="B197" s="201" t="s">
        <v>97</v>
      </c>
      <c r="C197" s="203"/>
      <c r="D197" s="64"/>
      <c r="E197" s="64"/>
      <c r="F197" s="64"/>
      <c r="G197" s="64"/>
      <c r="H197" s="64">
        <f>-J197-I197</f>
        <v>-1231.08</v>
      </c>
      <c r="I197" s="64">
        <v>13218.97</v>
      </c>
      <c r="J197" s="64">
        <f>-SUM(J195:J196)</f>
        <v>-11987.89</v>
      </c>
      <c r="K197" s="57"/>
      <c r="L197" s="88"/>
      <c r="M197" s="62"/>
      <c r="N197" s="57"/>
      <c r="O197" s="88"/>
      <c r="P197" s="62"/>
      <c r="Q197" s="57"/>
      <c r="R197" s="88"/>
      <c r="S197" s="62"/>
      <c r="T197" s="39"/>
      <c r="U197" s="39"/>
      <c r="V197" s="39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22"/>
      <c r="AR197" s="43">
        <f>A170</f>
        <v>0</v>
      </c>
      <c r="AS197" s="12" t="e">
        <f>#REF!</f>
        <v>#REF!</v>
      </c>
      <c r="AW197" s="2"/>
    </row>
    <row r="198" spans="1:49" s="4" customFormat="1" ht="17.25" customHeight="1" x14ac:dyDescent="0.25">
      <c r="A198" s="23"/>
      <c r="B198" s="201" t="s">
        <v>93</v>
      </c>
      <c r="C198" s="202"/>
      <c r="D198" s="64"/>
      <c r="E198" s="64"/>
      <c r="F198" s="64"/>
      <c r="G198" s="64"/>
      <c r="H198" s="64"/>
      <c r="I198" s="64"/>
      <c r="J198" s="64"/>
      <c r="K198" s="57">
        <v>39</v>
      </c>
      <c r="L198" s="88"/>
      <c r="M198" s="62">
        <f>(K201*(M187)/(K187))-M187-M195</f>
        <v>1145.0251476793228</v>
      </c>
      <c r="N198" s="57">
        <v>-30</v>
      </c>
      <c r="O198" s="88"/>
      <c r="P198" s="62">
        <f>(N201*(P187)/(N187))-P187-P196</f>
        <v>30951.126661237788</v>
      </c>
      <c r="Q198" s="57"/>
      <c r="R198" s="88"/>
      <c r="S198" s="62"/>
      <c r="T198" s="39"/>
      <c r="U198" s="39"/>
      <c r="V198" s="39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22"/>
      <c r="AR198" s="43">
        <f>A181</f>
        <v>0</v>
      </c>
      <c r="AS198" s="12" t="e">
        <f>#REF!</f>
        <v>#REF!</v>
      </c>
      <c r="AW198" s="2"/>
    </row>
    <row r="199" spans="1:49" s="2" customFormat="1" ht="17.25" customHeight="1" x14ac:dyDescent="0.2">
      <c r="A199" s="24"/>
      <c r="B199" s="201"/>
      <c r="C199" s="204"/>
      <c r="D199" s="63"/>
      <c r="E199" s="64"/>
      <c r="F199" s="64"/>
      <c r="G199" s="64"/>
      <c r="H199" s="64"/>
      <c r="I199" s="64"/>
      <c r="J199" s="64"/>
      <c r="K199" s="16"/>
      <c r="L199" s="16"/>
      <c r="M199" s="64"/>
      <c r="N199" s="16"/>
      <c r="O199" s="16"/>
      <c r="P199" s="64"/>
      <c r="Q199" s="16"/>
      <c r="R199" s="16"/>
      <c r="S199" s="64"/>
      <c r="T199" s="46"/>
      <c r="U199" s="46"/>
      <c r="V199" s="39"/>
      <c r="W199" s="16"/>
      <c r="X199" s="16"/>
      <c r="Y199" s="16"/>
      <c r="Z199" s="16"/>
      <c r="AA199" s="16"/>
      <c r="AB199" s="19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43">
        <f>A188</f>
        <v>46125</v>
      </c>
      <c r="AT199" s="10"/>
      <c r="AU199" s="11"/>
    </row>
    <row r="200" spans="1:49" s="2" customFormat="1" ht="17.25" customHeight="1" thickBot="1" x14ac:dyDescent="0.3">
      <c r="A200" s="56"/>
      <c r="B200" s="101" t="s">
        <v>102</v>
      </c>
      <c r="C200" s="102">
        <f>D201+E201+F201+G201+H201+I201+J201+M201+P201</f>
        <v>183412.07954000006</v>
      </c>
      <c r="D200" s="84"/>
      <c r="E200" s="85"/>
      <c r="F200" s="85"/>
      <c r="G200" s="85"/>
      <c r="H200" s="85"/>
      <c r="I200" s="85"/>
      <c r="J200" s="85"/>
      <c r="K200" s="28"/>
      <c r="L200" s="28"/>
      <c r="M200" s="85"/>
      <c r="N200" s="28"/>
      <c r="O200" s="28"/>
      <c r="P200" s="85"/>
      <c r="Q200" s="28"/>
      <c r="R200" s="28"/>
      <c r="S200" s="85"/>
      <c r="T200" s="48"/>
      <c r="U200" s="48"/>
      <c r="V200" s="51"/>
      <c r="W200" s="28"/>
      <c r="X200" s="28"/>
      <c r="Y200" s="28"/>
      <c r="Z200" s="28"/>
      <c r="AA200" s="28"/>
      <c r="AB200" s="36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42">
        <f>SUM($T187:AQ200)</f>
        <v>-431183.13890000002</v>
      </c>
      <c r="AT200" s="10"/>
      <c r="AU200" s="11"/>
      <c r="AV200" s="2" t="s">
        <v>5</v>
      </c>
    </row>
    <row r="201" spans="1:49" s="2" customFormat="1" ht="17.25" customHeight="1" thickTop="1" thickBot="1" x14ac:dyDescent="0.3">
      <c r="A201" s="103"/>
      <c r="B201" s="104" t="s">
        <v>103</v>
      </c>
      <c r="C201" s="105">
        <f>AR201</f>
        <v>-247771.05935999996</v>
      </c>
      <c r="D201" s="106">
        <f t="shared" ref="D201:K201" si="24">SUM(D187:D200)</f>
        <v>112940.67704000001</v>
      </c>
      <c r="E201" s="107">
        <f t="shared" si="24"/>
        <v>-54399.37</v>
      </c>
      <c r="F201" s="107">
        <f t="shared" si="24"/>
        <v>-28394.35</v>
      </c>
      <c r="G201" s="107">
        <f t="shared" si="24"/>
        <v>0</v>
      </c>
      <c r="H201" s="107">
        <f t="shared" si="24"/>
        <v>47947.212500000045</v>
      </c>
      <c r="I201" s="107">
        <f t="shared" si="24"/>
        <v>12498.349999999999</v>
      </c>
      <c r="J201" s="107">
        <f t="shared" si="24"/>
        <v>0</v>
      </c>
      <c r="K201" s="108">
        <f t="shared" si="24"/>
        <v>8564</v>
      </c>
      <c r="L201" s="109">
        <f>M201/K201</f>
        <v>5.4120364315740312</v>
      </c>
      <c r="M201" s="107">
        <f>ROUND(SUM(M187:M200),2)</f>
        <v>46348.68</v>
      </c>
      <c r="N201" s="108">
        <f>SUM(N187:N200)</f>
        <v>-2666</v>
      </c>
      <c r="O201" s="109">
        <f>P201/N201</f>
        <v>-17.430937734433609</v>
      </c>
      <c r="P201" s="107">
        <f>ROUND(SUM(P187:P200),2)</f>
        <v>46470.879999999997</v>
      </c>
      <c r="Q201" s="108">
        <f>SUM(Q187:Q200)</f>
        <v>214</v>
      </c>
      <c r="R201" s="109">
        <f>S201/Q201</f>
        <v>6.099485981308411</v>
      </c>
      <c r="S201" s="107">
        <f>ROUND(SUM(S187:S200),2)</f>
        <v>1305.29</v>
      </c>
      <c r="T201" s="110">
        <f t="shared" ref="T201:AQ201" si="25">SUM(T187:T200)</f>
        <v>-484627.12890000001</v>
      </c>
      <c r="U201" s="107">
        <f t="shared" si="25"/>
        <v>50229.299999999996</v>
      </c>
      <c r="V201" s="107">
        <f t="shared" si="25"/>
        <v>0</v>
      </c>
      <c r="W201" s="107">
        <f t="shared" si="25"/>
        <v>3214.6899999999996</v>
      </c>
      <c r="X201" s="107">
        <f t="shared" si="25"/>
        <v>0</v>
      </c>
      <c r="Y201" s="107">
        <f t="shared" si="25"/>
        <v>0</v>
      </c>
      <c r="Z201" s="107">
        <f t="shared" si="25"/>
        <v>0</v>
      </c>
      <c r="AA201" s="107">
        <f t="shared" si="25"/>
        <v>0</v>
      </c>
      <c r="AB201" s="107">
        <f t="shared" si="25"/>
        <v>0</v>
      </c>
      <c r="AC201" s="107">
        <f t="shared" si="25"/>
        <v>0</v>
      </c>
      <c r="AD201" s="107">
        <f t="shared" si="25"/>
        <v>0</v>
      </c>
      <c r="AE201" s="107">
        <f t="shared" si="25"/>
        <v>0</v>
      </c>
      <c r="AF201" s="107">
        <f t="shared" si="25"/>
        <v>0</v>
      </c>
      <c r="AG201" s="107">
        <f t="shared" si="25"/>
        <v>0</v>
      </c>
      <c r="AH201" s="107">
        <f t="shared" si="25"/>
        <v>0</v>
      </c>
      <c r="AI201" s="107">
        <f t="shared" si="25"/>
        <v>0</v>
      </c>
      <c r="AJ201" s="107">
        <f t="shared" si="25"/>
        <v>0</v>
      </c>
      <c r="AK201" s="107">
        <f t="shared" si="25"/>
        <v>0</v>
      </c>
      <c r="AL201" s="107">
        <f t="shared" si="25"/>
        <v>0</v>
      </c>
      <c r="AM201" s="107">
        <f t="shared" si="25"/>
        <v>0</v>
      </c>
      <c r="AN201" s="107">
        <f t="shared" si="25"/>
        <v>0</v>
      </c>
      <c r="AO201" s="107">
        <f t="shared" si="25"/>
        <v>0</v>
      </c>
      <c r="AP201" s="107">
        <f t="shared" si="25"/>
        <v>0</v>
      </c>
      <c r="AQ201" s="107">
        <f t="shared" si="25"/>
        <v>0</v>
      </c>
      <c r="AR201" s="111">
        <f>D201+E201+F201+G201+H201+I201+J201+M201+P201+SUM(T201:AQ201)</f>
        <v>-247771.05935999996</v>
      </c>
      <c r="AS201" s="4"/>
      <c r="AT201" s="5"/>
      <c r="AU201" s="5"/>
      <c r="AV201" s="2" t="s">
        <v>6</v>
      </c>
    </row>
    <row r="202" spans="1:49" s="2" customFormat="1" ht="17.25" customHeight="1" thickTop="1" x14ac:dyDescent="0.25">
      <c r="A202" s="23">
        <f>A188+1</f>
        <v>46126</v>
      </c>
      <c r="B202" s="210" t="s">
        <v>64</v>
      </c>
      <c r="C202" s="203"/>
      <c r="D202" s="63">
        <v>12179.13</v>
      </c>
      <c r="E202" s="66"/>
      <c r="F202" s="66"/>
      <c r="G202" s="66"/>
      <c r="H202" s="66"/>
      <c r="I202" s="66">
        <f>-D202</f>
        <v>-12179.13</v>
      </c>
      <c r="J202" s="66"/>
      <c r="K202" s="18"/>
      <c r="L202" s="18"/>
      <c r="M202" s="66"/>
      <c r="N202" s="18"/>
      <c r="O202" s="18"/>
      <c r="P202" s="66"/>
      <c r="Q202" s="18"/>
      <c r="R202" s="18"/>
      <c r="S202" s="66"/>
      <c r="T202" s="46"/>
      <c r="U202" s="46"/>
      <c r="V202" s="45"/>
      <c r="W202" s="18"/>
      <c r="X202" s="18"/>
      <c r="Y202" s="18"/>
      <c r="Z202" s="18"/>
      <c r="AA202" s="18"/>
      <c r="AB202" s="14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31"/>
      <c r="AT202" s="10"/>
      <c r="AU202" s="27"/>
    </row>
    <row r="203" spans="1:49" s="4" customFormat="1" ht="17.25" customHeight="1" x14ac:dyDescent="0.25">
      <c r="A203" s="23"/>
      <c r="B203" s="201" t="s">
        <v>96</v>
      </c>
      <c r="C203" s="202"/>
      <c r="D203" s="63"/>
      <c r="E203" s="64"/>
      <c r="F203" s="64"/>
      <c r="G203" s="64"/>
      <c r="H203" s="64"/>
      <c r="I203" s="64">
        <f>-I201-I202</f>
        <v>-319.21999999999935</v>
      </c>
      <c r="J203" s="64"/>
      <c r="K203" s="16"/>
      <c r="L203" s="92"/>
      <c r="M203" s="64"/>
      <c r="N203" s="16"/>
      <c r="O203" s="92"/>
      <c r="P203" s="64"/>
      <c r="Q203" s="16"/>
      <c r="R203" s="92"/>
      <c r="S203" s="64"/>
      <c r="T203" s="40"/>
      <c r="U203" s="46"/>
      <c r="V203" s="39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22"/>
      <c r="AS203" s="30"/>
    </row>
    <row r="204" spans="1:49" s="2" customFormat="1" ht="17.25" customHeight="1" x14ac:dyDescent="0.25">
      <c r="A204" s="29"/>
      <c r="B204" s="201" t="s">
        <v>327</v>
      </c>
      <c r="C204" s="202"/>
      <c r="D204" s="63">
        <f>35+20+70+25+10+10+10+118+190+30+24+8+20+120+70</f>
        <v>760</v>
      </c>
      <c r="E204" s="64"/>
      <c r="F204" s="64"/>
      <c r="G204" s="64"/>
      <c r="H204" s="64"/>
      <c r="I204" s="64">
        <f>-D204</f>
        <v>-760</v>
      </c>
      <c r="J204" s="64"/>
      <c r="K204" s="57"/>
      <c r="L204" s="88"/>
      <c r="M204" s="62"/>
      <c r="N204" s="57"/>
      <c r="O204" s="88"/>
      <c r="P204" s="62"/>
      <c r="Q204" s="57"/>
      <c r="R204" s="88"/>
      <c r="S204" s="62"/>
      <c r="T204" s="47"/>
      <c r="U204" s="39"/>
      <c r="V204" s="39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22"/>
      <c r="AT204" s="10"/>
      <c r="AU204" s="11"/>
    </row>
    <row r="205" spans="1:49" s="2" customFormat="1" ht="17.25" customHeight="1" x14ac:dyDescent="0.25">
      <c r="A205" s="29"/>
      <c r="B205" s="201" t="s">
        <v>328</v>
      </c>
      <c r="C205" s="202"/>
      <c r="D205" s="63">
        <f>-14*0.99-1.52</f>
        <v>-15.379999999999999</v>
      </c>
      <c r="E205" s="64"/>
      <c r="F205" s="64"/>
      <c r="G205" s="64"/>
      <c r="H205" s="64"/>
      <c r="I205" s="64"/>
      <c r="J205" s="64"/>
      <c r="K205" s="57"/>
      <c r="L205" s="88"/>
      <c r="M205" s="62"/>
      <c r="N205" s="57"/>
      <c r="O205" s="88"/>
      <c r="P205" s="62"/>
      <c r="Q205" s="57"/>
      <c r="R205" s="88"/>
      <c r="S205" s="62"/>
      <c r="T205" s="47"/>
      <c r="U205" s="39"/>
      <c r="V205" s="39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22"/>
      <c r="AT205" s="10"/>
      <c r="AU205" s="11"/>
    </row>
    <row r="206" spans="1:49" s="2" customFormat="1" ht="17.25" customHeight="1" x14ac:dyDescent="0.25">
      <c r="A206" s="24"/>
      <c r="B206" s="205" t="s">
        <v>471</v>
      </c>
      <c r="C206" s="206"/>
      <c r="D206" s="64"/>
      <c r="E206" s="64"/>
      <c r="F206" s="64"/>
      <c r="G206" s="64"/>
      <c r="H206" s="64"/>
      <c r="I206" s="64"/>
      <c r="J206" s="64"/>
      <c r="K206" s="57"/>
      <c r="L206" s="88"/>
      <c r="M206" s="62"/>
      <c r="N206" s="57">
        <v>5000</v>
      </c>
      <c r="O206" s="88">
        <v>3.54</v>
      </c>
      <c r="P206" s="62">
        <f>N206*O206</f>
        <v>17700</v>
      </c>
      <c r="Q206" s="57"/>
      <c r="R206" s="88"/>
      <c r="S206" s="62"/>
      <c r="T206" s="39">
        <f>-P206</f>
        <v>-17700</v>
      </c>
      <c r="U206" s="39"/>
      <c r="V206" s="39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22"/>
      <c r="AT206" s="10"/>
      <c r="AU206" s="11"/>
    </row>
    <row r="207" spans="1:49" s="2" customFormat="1" ht="17.25" customHeight="1" thickBot="1" x14ac:dyDescent="0.25">
      <c r="A207" s="24"/>
      <c r="B207" s="216"/>
      <c r="C207" s="217"/>
      <c r="D207" s="83"/>
      <c r="E207" s="81"/>
      <c r="F207" s="81"/>
      <c r="G207" s="81"/>
      <c r="H207" s="81"/>
      <c r="I207" s="81"/>
      <c r="J207" s="81"/>
      <c r="K207" s="37"/>
      <c r="L207" s="93"/>
      <c r="M207" s="81"/>
      <c r="N207" s="37"/>
      <c r="O207" s="93"/>
      <c r="P207" s="81"/>
      <c r="Q207" s="37"/>
      <c r="R207" s="93"/>
      <c r="S207" s="81"/>
      <c r="T207" s="40"/>
      <c r="U207" s="40"/>
      <c r="V207" s="39"/>
      <c r="W207" s="16"/>
      <c r="X207" s="16"/>
      <c r="Y207" s="16"/>
      <c r="Z207" s="16"/>
      <c r="AA207" s="16"/>
      <c r="AB207" s="19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41"/>
      <c r="AT207" s="10"/>
      <c r="AU207" s="11"/>
    </row>
    <row r="208" spans="1:49" s="4" customFormat="1" ht="17.25" customHeight="1" x14ac:dyDescent="0.25">
      <c r="A208" s="23"/>
      <c r="B208" s="210" t="s">
        <v>94</v>
      </c>
      <c r="C208" s="203"/>
      <c r="D208" s="66"/>
      <c r="E208" s="66"/>
      <c r="F208" s="117"/>
      <c r="G208" s="117"/>
      <c r="H208" s="66"/>
      <c r="I208" s="66"/>
      <c r="J208" s="66">
        <f>-M208</f>
        <v>6198.2999999999993</v>
      </c>
      <c r="K208" s="58">
        <v>-970</v>
      </c>
      <c r="L208" s="89">
        <v>6.39</v>
      </c>
      <c r="M208" s="73">
        <f>K208*L208</f>
        <v>-6198.2999999999993</v>
      </c>
      <c r="N208" s="58"/>
      <c r="O208" s="89"/>
      <c r="P208" s="73"/>
      <c r="Q208" s="58"/>
      <c r="R208" s="89"/>
      <c r="S208" s="73"/>
      <c r="T208" s="39"/>
      <c r="U208" s="39"/>
      <c r="V208" s="8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35"/>
      <c r="AS208" s="12" t="e">
        <f>#REF!</f>
        <v>#REF!</v>
      </c>
    </row>
    <row r="209" spans="1:49" s="4" customFormat="1" ht="17.25" customHeight="1" x14ac:dyDescent="0.25">
      <c r="A209" s="23"/>
      <c r="B209" s="201" t="s">
        <v>95</v>
      </c>
      <c r="C209" s="202"/>
      <c r="D209" s="64"/>
      <c r="E209" s="64"/>
      <c r="F209" s="117"/>
      <c r="G209" s="117"/>
      <c r="H209" s="64"/>
      <c r="I209" s="64"/>
      <c r="J209" s="64">
        <f>-P209</f>
        <v>6533.3399999999992</v>
      </c>
      <c r="K209" s="57"/>
      <c r="L209" s="88"/>
      <c r="M209" s="62"/>
      <c r="N209" s="57">
        <v>-1563</v>
      </c>
      <c r="O209" s="88">
        <v>4.18</v>
      </c>
      <c r="P209" s="62">
        <f>N209*O209</f>
        <v>-6533.3399999999992</v>
      </c>
      <c r="Q209" s="57"/>
      <c r="R209" s="88"/>
      <c r="S209" s="62"/>
      <c r="T209" s="39"/>
      <c r="U209" s="39"/>
      <c r="V209" s="8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35"/>
      <c r="AS209" s="12" t="e">
        <f>#REF!</f>
        <v>#REF!</v>
      </c>
    </row>
    <row r="210" spans="1:49" s="4" customFormat="1" ht="17.25" customHeight="1" x14ac:dyDescent="0.25">
      <c r="A210" s="23"/>
      <c r="B210" s="201" t="s">
        <v>97</v>
      </c>
      <c r="C210" s="203"/>
      <c r="D210" s="64"/>
      <c r="E210" s="64"/>
      <c r="F210" s="64"/>
      <c r="G210" s="64"/>
      <c r="H210" s="64">
        <f>-J210-I210</f>
        <v>2298.6800000000003</v>
      </c>
      <c r="I210" s="64">
        <v>10432.959999999999</v>
      </c>
      <c r="J210" s="64">
        <f>-SUM(J208:J209)</f>
        <v>-12731.64</v>
      </c>
      <c r="K210" s="57"/>
      <c r="L210" s="88"/>
      <c r="M210" s="62"/>
      <c r="N210" s="57"/>
      <c r="O210" s="88"/>
      <c r="P210" s="62"/>
      <c r="Q210" s="57"/>
      <c r="R210" s="88"/>
      <c r="S210" s="62"/>
      <c r="T210" s="39"/>
      <c r="U210" s="39"/>
      <c r="V210" s="39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22"/>
      <c r="AR210" s="43">
        <f>A184</f>
        <v>0</v>
      </c>
      <c r="AS210" s="12" t="e">
        <f>#REF!</f>
        <v>#REF!</v>
      </c>
      <c r="AW210" s="2"/>
    </row>
    <row r="211" spans="1:49" s="4" customFormat="1" ht="17.25" customHeight="1" x14ac:dyDescent="0.25">
      <c r="A211" s="23"/>
      <c r="B211" s="201" t="s">
        <v>93</v>
      </c>
      <c r="C211" s="202"/>
      <c r="D211" s="64"/>
      <c r="E211" s="64"/>
      <c r="F211" s="64"/>
      <c r="G211" s="64"/>
      <c r="H211" s="64"/>
      <c r="I211" s="64"/>
      <c r="J211" s="64"/>
      <c r="K211" s="57">
        <v>-34</v>
      </c>
      <c r="L211" s="88"/>
      <c r="M211" s="62">
        <f>(K214*(M201)/(K201))-M201-M208</f>
        <v>764.61542269967686</v>
      </c>
      <c r="N211" s="57">
        <v>98</v>
      </c>
      <c r="O211" s="88"/>
      <c r="P211" s="62">
        <f>(N214*(P201+P206)/(N201+N206))-P201-P209-P206</f>
        <v>-33745.297189374462</v>
      </c>
      <c r="Q211" s="57"/>
      <c r="R211" s="88"/>
      <c r="S211" s="62"/>
      <c r="T211" s="39"/>
      <c r="U211" s="39"/>
      <c r="V211" s="39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22"/>
      <c r="AR211" s="43">
        <f>A195</f>
        <v>0</v>
      </c>
      <c r="AS211" s="12" t="e">
        <f>#REF!</f>
        <v>#REF!</v>
      </c>
      <c r="AW211" s="2"/>
    </row>
    <row r="212" spans="1:49" s="2" customFormat="1" ht="17.25" customHeight="1" x14ac:dyDescent="0.2">
      <c r="A212" s="24"/>
      <c r="B212" s="201"/>
      <c r="C212" s="204"/>
      <c r="D212" s="63"/>
      <c r="E212" s="64"/>
      <c r="F212" s="64"/>
      <c r="G212" s="64"/>
      <c r="H212" s="64"/>
      <c r="I212" s="64"/>
      <c r="J212" s="64"/>
      <c r="K212" s="16"/>
      <c r="L212" s="16"/>
      <c r="M212" s="64"/>
      <c r="N212" s="16"/>
      <c r="O212" s="16"/>
      <c r="P212" s="64"/>
      <c r="Q212" s="16"/>
      <c r="R212" s="16"/>
      <c r="S212" s="64"/>
      <c r="T212" s="46"/>
      <c r="U212" s="46"/>
      <c r="V212" s="39"/>
      <c r="W212" s="16"/>
      <c r="X212" s="16"/>
      <c r="Y212" s="16"/>
      <c r="Z212" s="16"/>
      <c r="AA212" s="16"/>
      <c r="AB212" s="19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43">
        <f>A202</f>
        <v>46126</v>
      </c>
      <c r="AT212" s="10"/>
      <c r="AU212" s="11"/>
    </row>
    <row r="213" spans="1:49" s="2" customFormat="1" ht="17.25" customHeight="1" thickBot="1" x14ac:dyDescent="0.3">
      <c r="A213" s="56"/>
      <c r="B213" s="101" t="s">
        <v>102</v>
      </c>
      <c r="C213" s="102">
        <f>D214+E214+F214+G214+H214+I214+J214+M214+P214</f>
        <v>167796.79954000004</v>
      </c>
      <c r="D213" s="84"/>
      <c r="E213" s="85"/>
      <c r="F213" s="85"/>
      <c r="G213" s="85"/>
      <c r="H213" s="85"/>
      <c r="I213" s="85"/>
      <c r="J213" s="85"/>
      <c r="K213" s="28"/>
      <c r="L213" s="28"/>
      <c r="M213" s="85"/>
      <c r="N213" s="28"/>
      <c r="O213" s="28"/>
      <c r="P213" s="85"/>
      <c r="Q213" s="28"/>
      <c r="R213" s="28"/>
      <c r="S213" s="85"/>
      <c r="T213" s="48"/>
      <c r="U213" s="48"/>
      <c r="V213" s="51"/>
      <c r="W213" s="28"/>
      <c r="X213" s="28"/>
      <c r="Y213" s="28"/>
      <c r="Z213" s="28"/>
      <c r="AA213" s="28"/>
      <c r="AB213" s="36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42">
        <f>SUM($T201:AQ213)</f>
        <v>-448883.13890000002</v>
      </c>
      <c r="AT213" s="10"/>
      <c r="AU213" s="11"/>
      <c r="AV213" s="2" t="s">
        <v>5</v>
      </c>
    </row>
    <row r="214" spans="1:49" s="2" customFormat="1" ht="17.25" customHeight="1" thickTop="1" thickBot="1" x14ac:dyDescent="0.3">
      <c r="A214" s="103"/>
      <c r="B214" s="104" t="s">
        <v>103</v>
      </c>
      <c r="C214" s="105">
        <f>AR214</f>
        <v>-281086.33935999998</v>
      </c>
      <c r="D214" s="106">
        <f t="shared" ref="D214:K214" si="26">SUM(D201:D213)</f>
        <v>125864.42704000001</v>
      </c>
      <c r="E214" s="107">
        <f t="shared" si="26"/>
        <v>-54399.37</v>
      </c>
      <c r="F214" s="107">
        <f t="shared" si="26"/>
        <v>-28394.35</v>
      </c>
      <c r="G214" s="107">
        <f t="shared" si="26"/>
        <v>0</v>
      </c>
      <c r="H214" s="107">
        <f t="shared" si="26"/>
        <v>50245.892500000045</v>
      </c>
      <c r="I214" s="107">
        <f t="shared" si="26"/>
        <v>9672.9599999999991</v>
      </c>
      <c r="J214" s="107">
        <f t="shared" si="26"/>
        <v>0</v>
      </c>
      <c r="K214" s="108">
        <f t="shared" si="26"/>
        <v>7560</v>
      </c>
      <c r="L214" s="109">
        <f>M214/K214</f>
        <v>5.4120370370370372</v>
      </c>
      <c r="M214" s="107">
        <f>ROUND(SUM(M201:M213),2)</f>
        <v>40915</v>
      </c>
      <c r="N214" s="108">
        <f>SUM(N201:N213)</f>
        <v>869</v>
      </c>
      <c r="O214" s="109">
        <f>P214/N214</f>
        <v>27.493947065592636</v>
      </c>
      <c r="P214" s="107">
        <f>ROUND(SUM(P201:P213),2)</f>
        <v>23892.240000000002</v>
      </c>
      <c r="Q214" s="108">
        <f>SUM(Q201:Q213)</f>
        <v>214</v>
      </c>
      <c r="R214" s="109">
        <f>S214/Q214</f>
        <v>6.099485981308411</v>
      </c>
      <c r="S214" s="107">
        <f>ROUND(SUM(S201:S213),2)</f>
        <v>1305.29</v>
      </c>
      <c r="T214" s="110">
        <f t="shared" ref="T214:AQ214" si="27">SUM(T201:T213)</f>
        <v>-502327.12890000001</v>
      </c>
      <c r="U214" s="107">
        <f t="shared" si="27"/>
        <v>50229.299999999996</v>
      </c>
      <c r="V214" s="107">
        <f t="shared" si="27"/>
        <v>0</v>
      </c>
      <c r="W214" s="107">
        <f t="shared" si="27"/>
        <v>3214.6899999999996</v>
      </c>
      <c r="X214" s="107">
        <f t="shared" si="27"/>
        <v>0</v>
      </c>
      <c r="Y214" s="107">
        <f t="shared" si="27"/>
        <v>0</v>
      </c>
      <c r="Z214" s="107">
        <f t="shared" si="27"/>
        <v>0</v>
      </c>
      <c r="AA214" s="107">
        <f t="shared" si="27"/>
        <v>0</v>
      </c>
      <c r="AB214" s="107">
        <f t="shared" si="27"/>
        <v>0</v>
      </c>
      <c r="AC214" s="107">
        <f t="shared" si="27"/>
        <v>0</v>
      </c>
      <c r="AD214" s="107">
        <f t="shared" si="27"/>
        <v>0</v>
      </c>
      <c r="AE214" s="107">
        <f t="shared" si="27"/>
        <v>0</v>
      </c>
      <c r="AF214" s="107">
        <f t="shared" si="27"/>
        <v>0</v>
      </c>
      <c r="AG214" s="107">
        <f t="shared" si="27"/>
        <v>0</v>
      </c>
      <c r="AH214" s="107">
        <f t="shared" si="27"/>
        <v>0</v>
      </c>
      <c r="AI214" s="107">
        <f t="shared" si="27"/>
        <v>0</v>
      </c>
      <c r="AJ214" s="107">
        <f t="shared" si="27"/>
        <v>0</v>
      </c>
      <c r="AK214" s="107">
        <f t="shared" si="27"/>
        <v>0</v>
      </c>
      <c r="AL214" s="107">
        <f t="shared" si="27"/>
        <v>0</v>
      </c>
      <c r="AM214" s="107">
        <f t="shared" si="27"/>
        <v>0</v>
      </c>
      <c r="AN214" s="107">
        <f t="shared" si="27"/>
        <v>0</v>
      </c>
      <c r="AO214" s="107">
        <f t="shared" si="27"/>
        <v>0</v>
      </c>
      <c r="AP214" s="107">
        <f t="shared" si="27"/>
        <v>0</v>
      </c>
      <c r="AQ214" s="107">
        <f t="shared" si="27"/>
        <v>0</v>
      </c>
      <c r="AR214" s="111">
        <f>D214+E214+F214+G214+H214+I214+J214+M214+P214+SUM(T214:AQ214)</f>
        <v>-281086.33935999998</v>
      </c>
      <c r="AS214" s="4"/>
      <c r="AT214" s="5"/>
      <c r="AU214" s="5"/>
      <c r="AV214" s="2" t="s">
        <v>6</v>
      </c>
    </row>
    <row r="215" spans="1:49" s="2" customFormat="1" ht="17.25" customHeight="1" thickTop="1" x14ac:dyDescent="0.25">
      <c r="A215" s="23">
        <f>A202+1</f>
        <v>46127</v>
      </c>
      <c r="B215" s="210" t="s">
        <v>64</v>
      </c>
      <c r="C215" s="203"/>
      <c r="D215" s="63">
        <v>9448.7999999999993</v>
      </c>
      <c r="E215" s="66"/>
      <c r="F215" s="66"/>
      <c r="G215" s="66"/>
      <c r="H215" s="66"/>
      <c r="I215" s="66">
        <f>-D215</f>
        <v>-9448.7999999999993</v>
      </c>
      <c r="J215" s="66"/>
      <c r="K215" s="18"/>
      <c r="L215" s="18"/>
      <c r="M215" s="66"/>
      <c r="N215" s="18"/>
      <c r="O215" s="18"/>
      <c r="P215" s="66"/>
      <c r="Q215" s="18"/>
      <c r="R215" s="18"/>
      <c r="S215" s="66"/>
      <c r="T215" s="46"/>
      <c r="U215" s="46"/>
      <c r="V215" s="45"/>
      <c r="W215" s="18"/>
      <c r="X215" s="18"/>
      <c r="Y215" s="18"/>
      <c r="Z215" s="18"/>
      <c r="AA215" s="18"/>
      <c r="AB215" s="14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31"/>
      <c r="AT215" s="10"/>
      <c r="AU215" s="27"/>
    </row>
    <row r="216" spans="1:49" s="4" customFormat="1" ht="17.25" customHeight="1" x14ac:dyDescent="0.25">
      <c r="A216" s="23"/>
      <c r="B216" s="201" t="s">
        <v>96</v>
      </c>
      <c r="C216" s="202"/>
      <c r="D216" s="63"/>
      <c r="E216" s="64"/>
      <c r="F216" s="64"/>
      <c r="G216" s="64"/>
      <c r="H216" s="64"/>
      <c r="I216" s="64">
        <f>-I214-I215</f>
        <v>-224.15999999999985</v>
      </c>
      <c r="J216" s="64"/>
      <c r="K216" s="16"/>
      <c r="L216" s="92"/>
      <c r="M216" s="64"/>
      <c r="N216" s="16"/>
      <c r="O216" s="92"/>
      <c r="P216" s="64"/>
      <c r="Q216" s="16"/>
      <c r="R216" s="92"/>
      <c r="S216" s="64"/>
      <c r="T216" s="40"/>
      <c r="U216" s="46"/>
      <c r="V216" s="39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22"/>
      <c r="AS216" s="30"/>
    </row>
    <row r="217" spans="1:49" s="2" customFormat="1" ht="17.25" customHeight="1" x14ac:dyDescent="0.25">
      <c r="A217" s="29"/>
      <c r="B217" s="201" t="s">
        <v>327</v>
      </c>
      <c r="C217" s="202"/>
      <c r="D217" s="63">
        <f>55+55+40+25+29+30+5+50</f>
        <v>289</v>
      </c>
      <c r="E217" s="64"/>
      <c r="F217" s="64"/>
      <c r="G217" s="64"/>
      <c r="H217" s="64"/>
      <c r="I217" s="64">
        <f>-D217</f>
        <v>-289</v>
      </c>
      <c r="J217" s="64"/>
      <c r="K217" s="57"/>
      <c r="L217" s="88"/>
      <c r="M217" s="62"/>
      <c r="N217" s="57"/>
      <c r="O217" s="88"/>
      <c r="P217" s="62"/>
      <c r="Q217" s="57"/>
      <c r="R217" s="88"/>
      <c r="S217" s="62"/>
      <c r="T217" s="47"/>
      <c r="U217" s="39"/>
      <c r="V217" s="39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22"/>
      <c r="AT217" s="10"/>
      <c r="AU217" s="11"/>
    </row>
    <row r="218" spans="1:49" s="2" customFormat="1" ht="17.25" customHeight="1" x14ac:dyDescent="0.25">
      <c r="A218" s="29"/>
      <c r="B218" s="201" t="s">
        <v>328</v>
      </c>
      <c r="C218" s="202"/>
      <c r="D218" s="63">
        <f>-8*0.99</f>
        <v>-7.92</v>
      </c>
      <c r="E218" s="64"/>
      <c r="F218" s="64"/>
      <c r="G218" s="64"/>
      <c r="H218" s="64"/>
      <c r="I218" s="64"/>
      <c r="J218" s="64"/>
      <c r="K218" s="57"/>
      <c r="L218" s="88"/>
      <c r="M218" s="62"/>
      <c r="N218" s="57"/>
      <c r="O218" s="88"/>
      <c r="P218" s="62"/>
      <c r="Q218" s="57"/>
      <c r="R218" s="88"/>
      <c r="S218" s="62"/>
      <c r="T218" s="47"/>
      <c r="U218" s="39"/>
      <c r="V218" s="39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22"/>
      <c r="AT218" s="10"/>
      <c r="AU218" s="11"/>
    </row>
    <row r="219" spans="1:49" s="2" customFormat="1" ht="17.25" customHeight="1" thickBot="1" x14ac:dyDescent="0.25">
      <c r="A219" s="24"/>
      <c r="B219" s="216"/>
      <c r="C219" s="217"/>
      <c r="D219" s="83"/>
      <c r="E219" s="81"/>
      <c r="F219" s="81"/>
      <c r="G219" s="81"/>
      <c r="H219" s="81"/>
      <c r="I219" s="81"/>
      <c r="J219" s="81"/>
      <c r="K219" s="37"/>
      <c r="L219" s="93"/>
      <c r="M219" s="81"/>
      <c r="N219" s="37"/>
      <c r="O219" s="93"/>
      <c r="P219" s="81"/>
      <c r="Q219" s="37"/>
      <c r="R219" s="93"/>
      <c r="S219" s="81"/>
      <c r="T219" s="40"/>
      <c r="U219" s="40"/>
      <c r="V219" s="39"/>
      <c r="W219" s="16"/>
      <c r="X219" s="16"/>
      <c r="Y219" s="16"/>
      <c r="Z219" s="16"/>
      <c r="AA219" s="16"/>
      <c r="AB219" s="19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41"/>
      <c r="AT219" s="10"/>
      <c r="AU219" s="11"/>
    </row>
    <row r="220" spans="1:49" s="4" customFormat="1" ht="17.25" customHeight="1" x14ac:dyDescent="0.25">
      <c r="A220" s="23"/>
      <c r="B220" s="210" t="s">
        <v>94</v>
      </c>
      <c r="C220" s="203"/>
      <c r="D220" s="66"/>
      <c r="E220" s="66"/>
      <c r="F220" s="117"/>
      <c r="G220" s="117"/>
      <c r="H220" s="66"/>
      <c r="I220" s="66"/>
      <c r="J220" s="66">
        <f>-M220</f>
        <v>6945.9299999999994</v>
      </c>
      <c r="K220" s="58">
        <v>-1087</v>
      </c>
      <c r="L220" s="89">
        <v>6.39</v>
      </c>
      <c r="M220" s="73">
        <f>K220*L220</f>
        <v>-6945.9299999999994</v>
      </c>
      <c r="N220" s="58"/>
      <c r="O220" s="89"/>
      <c r="P220" s="73"/>
      <c r="Q220" s="58"/>
      <c r="R220" s="89"/>
      <c r="S220" s="73"/>
      <c r="T220" s="39"/>
      <c r="U220" s="39"/>
      <c r="V220" s="8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35"/>
      <c r="AS220" s="12" t="e">
        <f>#REF!</f>
        <v>#REF!</v>
      </c>
    </row>
    <row r="221" spans="1:49" s="4" customFormat="1" ht="17.25" customHeight="1" x14ac:dyDescent="0.25">
      <c r="A221" s="23"/>
      <c r="B221" s="201" t="s">
        <v>95</v>
      </c>
      <c r="C221" s="202"/>
      <c r="D221" s="64"/>
      <c r="E221" s="64"/>
      <c r="F221" s="117"/>
      <c r="G221" s="117"/>
      <c r="H221" s="64"/>
      <c r="I221" s="64"/>
      <c r="J221" s="64">
        <f>-P221</f>
        <v>5910.5199999999995</v>
      </c>
      <c r="K221" s="57"/>
      <c r="L221" s="88"/>
      <c r="M221" s="62"/>
      <c r="N221" s="57">
        <v>-1414</v>
      </c>
      <c r="O221" s="88">
        <v>4.18</v>
      </c>
      <c r="P221" s="62">
        <f>N221*O221</f>
        <v>-5910.5199999999995</v>
      </c>
      <c r="Q221" s="57"/>
      <c r="R221" s="88"/>
      <c r="S221" s="62"/>
      <c r="T221" s="39"/>
      <c r="U221" s="39"/>
      <c r="V221" s="8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35"/>
      <c r="AS221" s="12" t="e">
        <f>#REF!</f>
        <v>#REF!</v>
      </c>
    </row>
    <row r="222" spans="1:49" s="4" customFormat="1" ht="17.25" customHeight="1" x14ac:dyDescent="0.25">
      <c r="A222" s="23"/>
      <c r="B222" s="201" t="s">
        <v>97</v>
      </c>
      <c r="C222" s="203"/>
      <c r="D222" s="64"/>
      <c r="E222" s="64"/>
      <c r="F222" s="64"/>
      <c r="G222" s="64"/>
      <c r="H222" s="64">
        <f>-J222-I222</f>
        <v>5835.079999999999</v>
      </c>
      <c r="I222" s="64">
        <v>7021.37</v>
      </c>
      <c r="J222" s="64">
        <f>-SUM(J220:J221)</f>
        <v>-12856.449999999999</v>
      </c>
      <c r="K222" s="57"/>
      <c r="L222" s="88"/>
      <c r="M222" s="62"/>
      <c r="N222" s="57"/>
      <c r="O222" s="88"/>
      <c r="P222" s="62"/>
      <c r="Q222" s="57"/>
      <c r="R222" s="88"/>
      <c r="S222" s="62"/>
      <c r="T222" s="39"/>
      <c r="U222" s="39"/>
      <c r="V222" s="39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22"/>
      <c r="AR222" s="43">
        <f>A198</f>
        <v>0</v>
      </c>
      <c r="AS222" s="12" t="e">
        <f>#REF!</f>
        <v>#REF!</v>
      </c>
      <c r="AW222" s="2"/>
    </row>
    <row r="223" spans="1:49" s="4" customFormat="1" ht="17.25" customHeight="1" x14ac:dyDescent="0.25">
      <c r="A223" s="23"/>
      <c r="B223" s="201" t="s">
        <v>93</v>
      </c>
      <c r="C223" s="202"/>
      <c r="D223" s="64"/>
      <c r="E223" s="64"/>
      <c r="F223" s="64"/>
      <c r="G223" s="64"/>
      <c r="H223" s="64"/>
      <c r="I223" s="64"/>
      <c r="J223" s="64"/>
      <c r="K223" s="57">
        <v>4</v>
      </c>
      <c r="L223" s="88"/>
      <c r="M223" s="62">
        <f>(K226*(M214)/(K214))-M214-M220</f>
        <v>1084.6938888888899</v>
      </c>
      <c r="N223" s="57">
        <v>-138</v>
      </c>
      <c r="O223" s="88"/>
      <c r="P223" s="62">
        <f>(N226*(P214)/(N214))-P214-P221</f>
        <v>-36760.085845799775</v>
      </c>
      <c r="Q223" s="57"/>
      <c r="R223" s="88"/>
      <c r="S223" s="62"/>
      <c r="T223" s="39"/>
      <c r="U223" s="39"/>
      <c r="V223" s="39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22"/>
      <c r="AR223" s="43">
        <f>A208</f>
        <v>0</v>
      </c>
      <c r="AS223" s="12" t="e">
        <f>#REF!</f>
        <v>#REF!</v>
      </c>
      <c r="AW223" s="2"/>
    </row>
    <row r="224" spans="1:49" s="2" customFormat="1" ht="17.25" customHeight="1" x14ac:dyDescent="0.2">
      <c r="A224" s="24"/>
      <c r="B224" s="201"/>
      <c r="C224" s="204"/>
      <c r="D224" s="63"/>
      <c r="E224" s="64"/>
      <c r="F224" s="64"/>
      <c r="G224" s="64"/>
      <c r="H224" s="64"/>
      <c r="I224" s="64"/>
      <c r="J224" s="64"/>
      <c r="K224" s="16"/>
      <c r="L224" s="16"/>
      <c r="M224" s="64"/>
      <c r="N224" s="16"/>
      <c r="O224" s="16"/>
      <c r="P224" s="64"/>
      <c r="Q224" s="16"/>
      <c r="R224" s="16"/>
      <c r="S224" s="64"/>
      <c r="T224" s="46"/>
      <c r="U224" s="46"/>
      <c r="V224" s="39"/>
      <c r="W224" s="16"/>
      <c r="X224" s="16"/>
      <c r="Y224" s="16"/>
      <c r="Z224" s="16"/>
      <c r="AA224" s="16"/>
      <c r="AB224" s="19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43">
        <f>A215</f>
        <v>46127</v>
      </c>
      <c r="AT224" s="10"/>
      <c r="AU224" s="11"/>
    </row>
    <row r="225" spans="1:49" s="2" customFormat="1" ht="17.25" customHeight="1" thickBot="1" x14ac:dyDescent="0.3">
      <c r="A225" s="56"/>
      <c r="B225" s="101" t="s">
        <v>102</v>
      </c>
      <c r="C225" s="102">
        <f>D226+E226+F226+G226+H226+I226+J226+M226+P226</f>
        <v>131889.31954000005</v>
      </c>
      <c r="D225" s="84"/>
      <c r="E225" s="85"/>
      <c r="F225" s="85"/>
      <c r="G225" s="85"/>
      <c r="H225" s="85"/>
      <c r="I225" s="85"/>
      <c r="J225" s="85"/>
      <c r="K225" s="28"/>
      <c r="L225" s="28"/>
      <c r="M225" s="85"/>
      <c r="N225" s="28"/>
      <c r="O225" s="28"/>
      <c r="P225" s="85"/>
      <c r="Q225" s="28"/>
      <c r="R225" s="28"/>
      <c r="S225" s="85"/>
      <c r="T225" s="48"/>
      <c r="U225" s="48"/>
      <c r="V225" s="51"/>
      <c r="W225" s="28"/>
      <c r="X225" s="28"/>
      <c r="Y225" s="28"/>
      <c r="Z225" s="28"/>
      <c r="AA225" s="28"/>
      <c r="AB225" s="36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42">
        <f>SUM($T214:AQ225)</f>
        <v>-448883.13890000002</v>
      </c>
      <c r="AT225" s="10"/>
      <c r="AU225" s="11"/>
      <c r="AV225" s="2" t="s">
        <v>5</v>
      </c>
    </row>
    <row r="226" spans="1:49" s="2" customFormat="1" ht="17.25" customHeight="1" thickTop="1" thickBot="1" x14ac:dyDescent="0.3">
      <c r="A226" s="103"/>
      <c r="B226" s="104" t="s">
        <v>103</v>
      </c>
      <c r="C226" s="105">
        <f>AR226</f>
        <v>-316993.81935999996</v>
      </c>
      <c r="D226" s="106">
        <f t="shared" ref="D226:K226" si="28">SUM(D214:D225)</f>
        <v>135594.30703999999</v>
      </c>
      <c r="E226" s="107">
        <f t="shared" si="28"/>
        <v>-54399.37</v>
      </c>
      <c r="F226" s="107">
        <f t="shared" si="28"/>
        <v>-28394.35</v>
      </c>
      <c r="G226" s="107">
        <f t="shared" si="28"/>
        <v>0</v>
      </c>
      <c r="H226" s="107">
        <f t="shared" si="28"/>
        <v>56080.972500000047</v>
      </c>
      <c r="I226" s="107">
        <f t="shared" si="28"/>
        <v>6732.37</v>
      </c>
      <c r="J226" s="107">
        <f t="shared" si="28"/>
        <v>0</v>
      </c>
      <c r="K226" s="108">
        <f t="shared" si="28"/>
        <v>6477</v>
      </c>
      <c r="L226" s="109">
        <f>M226/K226</f>
        <v>5.4120364366218929</v>
      </c>
      <c r="M226" s="107">
        <f>ROUND(SUM(M214:M225),2)</f>
        <v>35053.760000000002</v>
      </c>
      <c r="N226" s="108">
        <f>SUM(N214:N225)</f>
        <v>-683</v>
      </c>
      <c r="O226" s="109">
        <f>P226/N226</f>
        <v>27.493953147877011</v>
      </c>
      <c r="P226" s="107">
        <f>ROUND(SUM(P214:P225),2)</f>
        <v>-18778.37</v>
      </c>
      <c r="Q226" s="108">
        <f>SUM(Q214:Q225)</f>
        <v>214</v>
      </c>
      <c r="R226" s="109">
        <f>S226/Q226</f>
        <v>6.099485981308411</v>
      </c>
      <c r="S226" s="107">
        <f>ROUND(SUM(S214:S225),2)</f>
        <v>1305.29</v>
      </c>
      <c r="T226" s="110">
        <f t="shared" ref="T226:AQ226" si="29">SUM(T214:T225)</f>
        <v>-502327.12890000001</v>
      </c>
      <c r="U226" s="107">
        <f t="shared" si="29"/>
        <v>50229.299999999996</v>
      </c>
      <c r="V226" s="107">
        <f t="shared" si="29"/>
        <v>0</v>
      </c>
      <c r="W226" s="107">
        <f t="shared" si="29"/>
        <v>3214.6899999999996</v>
      </c>
      <c r="X226" s="107">
        <f t="shared" si="29"/>
        <v>0</v>
      </c>
      <c r="Y226" s="107">
        <f t="shared" si="29"/>
        <v>0</v>
      </c>
      <c r="Z226" s="107">
        <f t="shared" si="29"/>
        <v>0</v>
      </c>
      <c r="AA226" s="107">
        <f t="shared" si="29"/>
        <v>0</v>
      </c>
      <c r="AB226" s="107">
        <f t="shared" si="29"/>
        <v>0</v>
      </c>
      <c r="AC226" s="107">
        <f t="shared" si="29"/>
        <v>0</v>
      </c>
      <c r="AD226" s="107">
        <f t="shared" si="29"/>
        <v>0</v>
      </c>
      <c r="AE226" s="107">
        <f t="shared" si="29"/>
        <v>0</v>
      </c>
      <c r="AF226" s="107">
        <f t="shared" si="29"/>
        <v>0</v>
      </c>
      <c r="AG226" s="107">
        <f t="shared" si="29"/>
        <v>0</v>
      </c>
      <c r="AH226" s="107">
        <f t="shared" si="29"/>
        <v>0</v>
      </c>
      <c r="AI226" s="107">
        <f t="shared" si="29"/>
        <v>0</v>
      </c>
      <c r="AJ226" s="107">
        <f t="shared" si="29"/>
        <v>0</v>
      </c>
      <c r="AK226" s="107">
        <f t="shared" si="29"/>
        <v>0</v>
      </c>
      <c r="AL226" s="107">
        <f t="shared" si="29"/>
        <v>0</v>
      </c>
      <c r="AM226" s="107">
        <f t="shared" si="29"/>
        <v>0</v>
      </c>
      <c r="AN226" s="107">
        <f t="shared" si="29"/>
        <v>0</v>
      </c>
      <c r="AO226" s="107">
        <f t="shared" si="29"/>
        <v>0</v>
      </c>
      <c r="AP226" s="107">
        <f t="shared" si="29"/>
        <v>0</v>
      </c>
      <c r="AQ226" s="107">
        <f t="shared" si="29"/>
        <v>0</v>
      </c>
      <c r="AR226" s="111">
        <f>D226+E226+F226+G226+H226+I226+J226+M226+P226+SUM(T226:AQ226)</f>
        <v>-316993.81935999996</v>
      </c>
      <c r="AS226" s="4"/>
      <c r="AT226" s="5"/>
      <c r="AU226" s="5"/>
      <c r="AV226" s="2" t="s">
        <v>6</v>
      </c>
    </row>
    <row r="227" spans="1:49" s="2" customFormat="1" ht="17.25" customHeight="1" thickTop="1" x14ac:dyDescent="0.25">
      <c r="A227" s="23">
        <f>A215+1</f>
        <v>46128</v>
      </c>
      <c r="B227" s="210" t="s">
        <v>64</v>
      </c>
      <c r="C227" s="203"/>
      <c r="D227" s="63">
        <v>6574.39</v>
      </c>
      <c r="E227" s="66"/>
      <c r="F227" s="66"/>
      <c r="G227" s="66"/>
      <c r="H227" s="66"/>
      <c r="I227" s="66">
        <f>-D227</f>
        <v>-6574.39</v>
      </c>
      <c r="J227" s="66"/>
      <c r="K227" s="18"/>
      <c r="L227" s="18"/>
      <c r="M227" s="66"/>
      <c r="N227" s="18"/>
      <c r="O227" s="18"/>
      <c r="P227" s="66"/>
      <c r="Q227" s="18"/>
      <c r="R227" s="18"/>
      <c r="S227" s="66"/>
      <c r="T227" s="46"/>
      <c r="U227" s="46"/>
      <c r="V227" s="45"/>
      <c r="W227" s="18"/>
      <c r="X227" s="18"/>
      <c r="Y227" s="18"/>
      <c r="Z227" s="18"/>
      <c r="AA227" s="18"/>
      <c r="AB227" s="14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31"/>
      <c r="AT227" s="10"/>
      <c r="AU227" s="27"/>
    </row>
    <row r="228" spans="1:49" s="4" customFormat="1" ht="17.25" customHeight="1" x14ac:dyDescent="0.25">
      <c r="A228" s="23"/>
      <c r="B228" s="201" t="s">
        <v>96</v>
      </c>
      <c r="C228" s="202"/>
      <c r="D228" s="63"/>
      <c r="E228" s="64"/>
      <c r="F228" s="64"/>
      <c r="G228" s="64"/>
      <c r="H228" s="64"/>
      <c r="I228" s="64">
        <f>-I226-I227</f>
        <v>-157.97999999999956</v>
      </c>
      <c r="J228" s="64"/>
      <c r="K228" s="16"/>
      <c r="L228" s="92"/>
      <c r="M228" s="64"/>
      <c r="N228" s="16"/>
      <c r="O228" s="92"/>
      <c r="P228" s="64"/>
      <c r="Q228" s="16"/>
      <c r="R228" s="92"/>
      <c r="S228" s="64"/>
      <c r="T228" s="40"/>
      <c r="U228" s="46"/>
      <c r="V228" s="39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22"/>
      <c r="AS228" s="30"/>
    </row>
    <row r="229" spans="1:49" s="2" customFormat="1" ht="17.25" customHeight="1" x14ac:dyDescent="0.25">
      <c r="A229" s="29"/>
      <c r="B229" s="201" t="s">
        <v>327</v>
      </c>
      <c r="C229" s="202"/>
      <c r="D229" s="63">
        <f>100+15+40+130+60+20+15+50+100+20+65.45+30</f>
        <v>645.45000000000005</v>
      </c>
      <c r="E229" s="64"/>
      <c r="F229" s="64"/>
      <c r="G229" s="64"/>
      <c r="H229" s="64"/>
      <c r="I229" s="64">
        <f>-D229</f>
        <v>-645.45000000000005</v>
      </c>
      <c r="J229" s="64"/>
      <c r="K229" s="57"/>
      <c r="L229" s="88"/>
      <c r="M229" s="62"/>
      <c r="N229" s="57"/>
      <c r="O229" s="88"/>
      <c r="P229" s="62"/>
      <c r="Q229" s="57"/>
      <c r="R229" s="88"/>
      <c r="S229" s="62"/>
      <c r="T229" s="47"/>
      <c r="U229" s="39"/>
      <c r="V229" s="39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22"/>
      <c r="AT229" s="10"/>
      <c r="AU229" s="11"/>
    </row>
    <row r="230" spans="1:49" s="2" customFormat="1" ht="17.25" customHeight="1" x14ac:dyDescent="0.25">
      <c r="A230" s="29"/>
      <c r="B230" s="201" t="s">
        <v>328</v>
      </c>
      <c r="C230" s="202"/>
      <c r="D230" s="63">
        <f>-11*0.99-1.04</f>
        <v>-11.93</v>
      </c>
      <c r="E230" s="64"/>
      <c r="F230" s="64"/>
      <c r="G230" s="64"/>
      <c r="H230" s="64"/>
      <c r="I230" s="64"/>
      <c r="J230" s="64"/>
      <c r="K230" s="57"/>
      <c r="L230" s="88"/>
      <c r="M230" s="62"/>
      <c r="N230" s="57"/>
      <c r="O230" s="88"/>
      <c r="P230" s="62"/>
      <c r="Q230" s="57"/>
      <c r="R230" s="88"/>
      <c r="S230" s="62"/>
      <c r="T230" s="47"/>
      <c r="U230" s="39"/>
      <c r="V230" s="39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22"/>
      <c r="AT230" s="10"/>
      <c r="AU230" s="11"/>
    </row>
    <row r="231" spans="1:49" s="2" customFormat="1" ht="17.25" customHeight="1" thickBot="1" x14ac:dyDescent="0.25">
      <c r="A231" s="24"/>
      <c r="B231" s="216"/>
      <c r="C231" s="217"/>
      <c r="D231" s="83"/>
      <c r="E231" s="81"/>
      <c r="F231" s="81"/>
      <c r="G231" s="81"/>
      <c r="H231" s="81"/>
      <c r="I231" s="81"/>
      <c r="J231" s="81"/>
      <c r="K231" s="37"/>
      <c r="L231" s="93"/>
      <c r="M231" s="81"/>
      <c r="N231" s="37"/>
      <c r="O231" s="93"/>
      <c r="P231" s="81"/>
      <c r="Q231" s="37"/>
      <c r="R231" s="93"/>
      <c r="S231" s="81"/>
      <c r="T231" s="40"/>
      <c r="U231" s="40"/>
      <c r="V231" s="39"/>
      <c r="W231" s="16"/>
      <c r="X231" s="16"/>
      <c r="Y231" s="16"/>
      <c r="Z231" s="16"/>
      <c r="AA231" s="16"/>
      <c r="AB231" s="19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41"/>
      <c r="AT231" s="10"/>
      <c r="AU231" s="11"/>
    </row>
    <row r="232" spans="1:49" s="4" customFormat="1" ht="17.25" customHeight="1" x14ac:dyDescent="0.25">
      <c r="A232" s="23"/>
      <c r="B232" s="210" t="s">
        <v>94</v>
      </c>
      <c r="C232" s="203"/>
      <c r="D232" s="66"/>
      <c r="E232" s="66"/>
      <c r="F232" s="117"/>
      <c r="G232" s="117"/>
      <c r="H232" s="66"/>
      <c r="I232" s="66"/>
      <c r="J232" s="66">
        <f>-M232</f>
        <v>6326.0999999999995</v>
      </c>
      <c r="K232" s="58">
        <v>-990</v>
      </c>
      <c r="L232" s="89">
        <v>6.39</v>
      </c>
      <c r="M232" s="73">
        <f>K232*L232</f>
        <v>-6326.0999999999995</v>
      </c>
      <c r="N232" s="58"/>
      <c r="O232" s="89"/>
      <c r="P232" s="73"/>
      <c r="Q232" s="58"/>
      <c r="R232" s="89"/>
      <c r="S232" s="73"/>
      <c r="T232" s="39"/>
      <c r="U232" s="39"/>
      <c r="V232" s="8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35"/>
      <c r="AS232" s="12" t="e">
        <f>#REF!</f>
        <v>#REF!</v>
      </c>
    </row>
    <row r="233" spans="1:49" s="4" customFormat="1" ht="17.25" customHeight="1" x14ac:dyDescent="0.25">
      <c r="A233" s="23"/>
      <c r="B233" s="201" t="s">
        <v>95</v>
      </c>
      <c r="C233" s="202"/>
      <c r="D233" s="64"/>
      <c r="E233" s="64"/>
      <c r="F233" s="117"/>
      <c r="G233" s="117"/>
      <c r="H233" s="64"/>
      <c r="I233" s="64"/>
      <c r="J233" s="64">
        <f>-P233</f>
        <v>6650.3799999999992</v>
      </c>
      <c r="K233" s="57"/>
      <c r="L233" s="88"/>
      <c r="M233" s="62"/>
      <c r="N233" s="57">
        <v>-1591</v>
      </c>
      <c r="O233" s="88">
        <v>4.18</v>
      </c>
      <c r="P233" s="62">
        <f>N233*O233</f>
        <v>-6650.3799999999992</v>
      </c>
      <c r="Q233" s="57"/>
      <c r="R233" s="88"/>
      <c r="S233" s="62"/>
      <c r="T233" s="39"/>
      <c r="U233" s="39"/>
      <c r="V233" s="8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35"/>
      <c r="AS233" s="12" t="e">
        <f>#REF!</f>
        <v>#REF!</v>
      </c>
    </row>
    <row r="234" spans="1:49" s="4" customFormat="1" ht="17.25" customHeight="1" x14ac:dyDescent="0.25">
      <c r="A234" s="23"/>
      <c r="B234" s="201" t="s">
        <v>97</v>
      </c>
      <c r="C234" s="203"/>
      <c r="D234" s="64"/>
      <c r="E234" s="64"/>
      <c r="F234" s="64"/>
      <c r="G234" s="64"/>
      <c r="H234" s="64">
        <f>-J234-I234</f>
        <v>4962.25</v>
      </c>
      <c r="I234" s="64">
        <v>8014.23</v>
      </c>
      <c r="J234" s="64">
        <f>-SUM(J232:J233)</f>
        <v>-12976.48</v>
      </c>
      <c r="K234" s="57"/>
      <c r="L234" s="88"/>
      <c r="M234" s="62"/>
      <c r="N234" s="57"/>
      <c r="O234" s="88"/>
      <c r="P234" s="62"/>
      <c r="Q234" s="57"/>
      <c r="R234" s="88"/>
      <c r="S234" s="62"/>
      <c r="T234" s="39"/>
      <c r="U234" s="39"/>
      <c r="V234" s="39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22"/>
      <c r="AR234" s="43">
        <f>A211</f>
        <v>0</v>
      </c>
      <c r="AS234" s="12" t="e">
        <f>#REF!</f>
        <v>#REF!</v>
      </c>
      <c r="AW234" s="2"/>
    </row>
    <row r="235" spans="1:49" s="4" customFormat="1" ht="17.25" customHeight="1" x14ac:dyDescent="0.25">
      <c r="A235" s="23"/>
      <c r="B235" s="201" t="s">
        <v>93</v>
      </c>
      <c r="C235" s="202"/>
      <c r="D235" s="64"/>
      <c r="E235" s="64"/>
      <c r="F235" s="64"/>
      <c r="G235" s="64"/>
      <c r="H235" s="64"/>
      <c r="I235" s="64"/>
      <c r="J235" s="64"/>
      <c r="K235" s="57">
        <v>25</v>
      </c>
      <c r="L235" s="88"/>
      <c r="M235" s="62">
        <f>(K238*L226)-M226-M232</f>
        <v>1103.4848386598724</v>
      </c>
      <c r="N235" s="57">
        <v>121</v>
      </c>
      <c r="O235" s="88"/>
      <c r="P235" s="62">
        <f>(N238*O226)-P226-P233</f>
        <v>-33765.731127379207</v>
      </c>
      <c r="Q235" s="57"/>
      <c r="R235" s="88"/>
      <c r="S235" s="62"/>
      <c r="T235" s="39"/>
      <c r="U235" s="39"/>
      <c r="V235" s="39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22"/>
      <c r="AR235" s="43">
        <f>A220</f>
        <v>0</v>
      </c>
      <c r="AS235" s="12" t="e">
        <f>#REF!</f>
        <v>#REF!</v>
      </c>
      <c r="AW235" s="2"/>
    </row>
    <row r="236" spans="1:49" s="2" customFormat="1" ht="17.25" customHeight="1" x14ac:dyDescent="0.2">
      <c r="A236" s="24"/>
      <c r="B236" s="201"/>
      <c r="C236" s="204"/>
      <c r="D236" s="63"/>
      <c r="E236" s="64"/>
      <c r="F236" s="64"/>
      <c r="G236" s="64"/>
      <c r="H236" s="64"/>
      <c r="I236" s="64"/>
      <c r="J236" s="64"/>
      <c r="K236" s="16"/>
      <c r="L236" s="16"/>
      <c r="M236" s="64"/>
      <c r="N236" s="16"/>
      <c r="O236" s="16"/>
      <c r="P236" s="64"/>
      <c r="Q236" s="16"/>
      <c r="R236" s="16"/>
      <c r="S236" s="64"/>
      <c r="T236" s="46"/>
      <c r="U236" s="46"/>
      <c r="V236" s="39"/>
      <c r="W236" s="16"/>
      <c r="X236" s="16"/>
      <c r="Y236" s="16"/>
      <c r="Z236" s="16"/>
      <c r="AA236" s="16"/>
      <c r="AB236" s="19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43">
        <f>A227</f>
        <v>46128</v>
      </c>
      <c r="AT236" s="10"/>
      <c r="AU236" s="11"/>
    </row>
    <row r="237" spans="1:49" s="2" customFormat="1" ht="17.25" customHeight="1" thickBot="1" x14ac:dyDescent="0.3">
      <c r="A237" s="56"/>
      <c r="B237" s="101" t="s">
        <v>102</v>
      </c>
      <c r="C237" s="102">
        <f>D238+E238+F238+G238+H238+I238+J238+M238+P238</f>
        <v>99057.159540000051</v>
      </c>
      <c r="D237" s="84"/>
      <c r="E237" s="85"/>
      <c r="F237" s="85"/>
      <c r="G237" s="85"/>
      <c r="H237" s="85"/>
      <c r="I237" s="85"/>
      <c r="J237" s="85"/>
      <c r="K237" s="28"/>
      <c r="L237" s="28"/>
      <c r="M237" s="85"/>
      <c r="N237" s="28"/>
      <c r="O237" s="28"/>
      <c r="P237" s="85"/>
      <c r="Q237" s="28"/>
      <c r="R237" s="28"/>
      <c r="S237" s="85"/>
      <c r="T237" s="48"/>
      <c r="U237" s="48"/>
      <c r="V237" s="51"/>
      <c r="W237" s="28"/>
      <c r="X237" s="28"/>
      <c r="Y237" s="28"/>
      <c r="Z237" s="28"/>
      <c r="AA237" s="28"/>
      <c r="AB237" s="36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42">
        <f>SUM($T226:AQ237)</f>
        <v>-448883.13890000002</v>
      </c>
      <c r="AT237" s="10"/>
      <c r="AU237" s="11"/>
      <c r="AV237" s="2" t="s">
        <v>5</v>
      </c>
    </row>
    <row r="238" spans="1:49" s="2" customFormat="1" ht="17.25" customHeight="1" thickTop="1" thickBot="1" x14ac:dyDescent="0.3">
      <c r="A238" s="103"/>
      <c r="B238" s="104" t="s">
        <v>103</v>
      </c>
      <c r="C238" s="105">
        <f>AR238</f>
        <v>-349825.97936</v>
      </c>
      <c r="D238" s="106">
        <f t="shared" ref="D238:K238" si="30">SUM(D226:D237)</f>
        <v>142802.21704000002</v>
      </c>
      <c r="E238" s="107">
        <f t="shared" si="30"/>
        <v>-54399.37</v>
      </c>
      <c r="F238" s="107">
        <f t="shared" si="30"/>
        <v>-28394.35</v>
      </c>
      <c r="G238" s="107">
        <f t="shared" si="30"/>
        <v>0</v>
      </c>
      <c r="H238" s="107">
        <f t="shared" si="30"/>
        <v>61043.222500000047</v>
      </c>
      <c r="I238" s="107">
        <f t="shared" si="30"/>
        <v>7368.78</v>
      </c>
      <c r="J238" s="107">
        <f t="shared" si="30"/>
        <v>0</v>
      </c>
      <c r="K238" s="108">
        <f t="shared" si="30"/>
        <v>5512</v>
      </c>
      <c r="L238" s="109">
        <f>M238/K238</f>
        <v>5.4120355587808415</v>
      </c>
      <c r="M238" s="107">
        <f>ROUND(SUM(M226:M237),2)</f>
        <v>29831.14</v>
      </c>
      <c r="N238" s="108">
        <f>SUM(N226:N237)</f>
        <v>-2153</v>
      </c>
      <c r="O238" s="109">
        <f>P238/N238</f>
        <v>27.493952624245242</v>
      </c>
      <c r="P238" s="107">
        <f>ROUND(SUM(P226:P237),2)</f>
        <v>-59194.48</v>
      </c>
      <c r="Q238" s="108">
        <f>SUM(Q226:Q237)</f>
        <v>214</v>
      </c>
      <c r="R238" s="109">
        <f>S238/Q238</f>
        <v>6.099485981308411</v>
      </c>
      <c r="S238" s="107">
        <f>ROUND(SUM(S226:S237),2)</f>
        <v>1305.29</v>
      </c>
      <c r="T238" s="110">
        <f t="shared" ref="T238:AQ238" si="31">SUM(T226:T237)</f>
        <v>-502327.12890000001</v>
      </c>
      <c r="U238" s="107">
        <f t="shared" si="31"/>
        <v>50229.299999999996</v>
      </c>
      <c r="V238" s="107">
        <f t="shared" si="31"/>
        <v>0</v>
      </c>
      <c r="W238" s="107">
        <f t="shared" si="31"/>
        <v>3214.6899999999996</v>
      </c>
      <c r="X238" s="107">
        <f t="shared" si="31"/>
        <v>0</v>
      </c>
      <c r="Y238" s="107">
        <f t="shared" si="31"/>
        <v>0</v>
      </c>
      <c r="Z238" s="107">
        <f t="shared" si="31"/>
        <v>0</v>
      </c>
      <c r="AA238" s="107">
        <f t="shared" si="31"/>
        <v>0</v>
      </c>
      <c r="AB238" s="107">
        <f t="shared" si="31"/>
        <v>0</v>
      </c>
      <c r="AC238" s="107">
        <f t="shared" si="31"/>
        <v>0</v>
      </c>
      <c r="AD238" s="107">
        <f t="shared" si="31"/>
        <v>0</v>
      </c>
      <c r="AE238" s="107">
        <f t="shared" si="31"/>
        <v>0</v>
      </c>
      <c r="AF238" s="107">
        <f t="shared" si="31"/>
        <v>0</v>
      </c>
      <c r="AG238" s="107">
        <f t="shared" si="31"/>
        <v>0</v>
      </c>
      <c r="AH238" s="107">
        <f t="shared" si="31"/>
        <v>0</v>
      </c>
      <c r="AI238" s="107">
        <f t="shared" si="31"/>
        <v>0</v>
      </c>
      <c r="AJ238" s="107">
        <f t="shared" si="31"/>
        <v>0</v>
      </c>
      <c r="AK238" s="107">
        <f t="shared" si="31"/>
        <v>0</v>
      </c>
      <c r="AL238" s="107">
        <f t="shared" si="31"/>
        <v>0</v>
      </c>
      <c r="AM238" s="107">
        <f t="shared" si="31"/>
        <v>0</v>
      </c>
      <c r="AN238" s="107">
        <f t="shared" si="31"/>
        <v>0</v>
      </c>
      <c r="AO238" s="107">
        <f t="shared" si="31"/>
        <v>0</v>
      </c>
      <c r="AP238" s="107">
        <f t="shared" si="31"/>
        <v>0</v>
      </c>
      <c r="AQ238" s="107">
        <f t="shared" si="31"/>
        <v>0</v>
      </c>
      <c r="AR238" s="111">
        <f>D238+E238+F238+G238+H238+I238+J238+M238+P238+SUM(T238:AQ238)</f>
        <v>-349825.97936</v>
      </c>
      <c r="AS238" s="4"/>
      <c r="AT238" s="5"/>
      <c r="AU238" s="5"/>
      <c r="AV238" s="2" t="s">
        <v>6</v>
      </c>
    </row>
    <row r="239" spans="1:49" s="2" customFormat="1" ht="17.25" customHeight="1" thickTop="1" x14ac:dyDescent="0.25">
      <c r="A239" s="23">
        <f>A227+1</f>
        <v>46129</v>
      </c>
      <c r="B239" s="210" t="s">
        <v>64</v>
      </c>
      <c r="C239" s="203"/>
      <c r="D239" s="63">
        <v>7192.66</v>
      </c>
      <c r="E239" s="66"/>
      <c r="F239" s="66"/>
      <c r="G239" s="66"/>
      <c r="H239" s="66"/>
      <c r="I239" s="66">
        <f>-D239</f>
        <v>-7192.66</v>
      </c>
      <c r="J239" s="66"/>
      <c r="K239" s="18"/>
      <c r="L239" s="18"/>
      <c r="M239" s="66"/>
      <c r="N239" s="18"/>
      <c r="O239" s="18"/>
      <c r="P239" s="66"/>
      <c r="Q239" s="18"/>
      <c r="R239" s="18"/>
      <c r="S239" s="66"/>
      <c r="T239" s="46"/>
      <c r="U239" s="46"/>
      <c r="V239" s="45"/>
      <c r="W239" s="18"/>
      <c r="X239" s="18"/>
      <c r="Y239" s="18"/>
      <c r="Z239" s="18"/>
      <c r="AA239" s="18"/>
      <c r="AB239" s="14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31"/>
      <c r="AT239" s="10"/>
      <c r="AU239" s="27"/>
    </row>
    <row r="240" spans="1:49" s="4" customFormat="1" ht="17.25" customHeight="1" x14ac:dyDescent="0.25">
      <c r="A240" s="23"/>
      <c r="B240" s="201" t="s">
        <v>96</v>
      </c>
      <c r="C240" s="202"/>
      <c r="D240" s="63"/>
      <c r="E240" s="64"/>
      <c r="F240" s="64"/>
      <c r="G240" s="64"/>
      <c r="H240" s="64"/>
      <c r="I240" s="64">
        <f>-I238-I239</f>
        <v>-176.11999999999989</v>
      </c>
      <c r="J240" s="64"/>
      <c r="K240" s="16"/>
      <c r="L240" s="92"/>
      <c r="M240" s="64"/>
      <c r="N240" s="16"/>
      <c r="O240" s="92"/>
      <c r="P240" s="64"/>
      <c r="Q240" s="16"/>
      <c r="R240" s="92"/>
      <c r="S240" s="64"/>
      <c r="T240" s="40"/>
      <c r="U240" s="46"/>
      <c r="V240" s="39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22"/>
      <c r="AS240" s="30"/>
    </row>
    <row r="241" spans="1:49" s="2" customFormat="1" ht="17.25" customHeight="1" x14ac:dyDescent="0.25">
      <c r="A241" s="29"/>
      <c r="B241" s="201" t="s">
        <v>327</v>
      </c>
      <c r="C241" s="202"/>
      <c r="D241" s="63">
        <f>100+50+30+100+80.05+60+63+50+30+20+50.5+213+29+56+30+20+51+20.5+20.5+3+15+50+100+30+116+25</f>
        <v>1412.55</v>
      </c>
      <c r="E241" s="64"/>
      <c r="F241" s="64"/>
      <c r="G241" s="64"/>
      <c r="H241" s="64"/>
      <c r="I241" s="64">
        <f>-D241</f>
        <v>-1412.55</v>
      </c>
      <c r="J241" s="64"/>
      <c r="K241" s="57"/>
      <c r="L241" s="88"/>
      <c r="M241" s="62"/>
      <c r="N241" s="57"/>
      <c r="O241" s="88"/>
      <c r="P241" s="62"/>
      <c r="Q241" s="57"/>
      <c r="R241" s="88"/>
      <c r="S241" s="62"/>
      <c r="T241" s="47"/>
      <c r="U241" s="39"/>
      <c r="V241" s="39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22"/>
      <c r="AT241" s="10"/>
      <c r="AU241" s="11"/>
    </row>
    <row r="242" spans="1:49" s="2" customFormat="1" ht="17.25" customHeight="1" x14ac:dyDescent="0.25">
      <c r="A242" s="29"/>
      <c r="B242" s="201" t="s">
        <v>328</v>
      </c>
      <c r="C242" s="202"/>
      <c r="D242" s="63">
        <f>-25*0.99-1.7</f>
        <v>-26.45</v>
      </c>
      <c r="E242" s="64"/>
      <c r="F242" s="64"/>
      <c r="G242" s="64"/>
      <c r="H242" s="64"/>
      <c r="I242" s="64"/>
      <c r="J242" s="64"/>
      <c r="K242" s="57"/>
      <c r="L242" s="88"/>
      <c r="M242" s="62"/>
      <c r="N242" s="57"/>
      <c r="O242" s="88"/>
      <c r="P242" s="62"/>
      <c r="Q242" s="57"/>
      <c r="R242" s="88"/>
      <c r="S242" s="62"/>
      <c r="T242" s="47"/>
      <c r="U242" s="39"/>
      <c r="V242" s="39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22"/>
      <c r="AT242" s="10"/>
      <c r="AU242" s="11"/>
    </row>
    <row r="243" spans="1:49" s="2" customFormat="1" ht="17.25" customHeight="1" x14ac:dyDescent="0.25">
      <c r="A243" s="24"/>
      <c r="B243" s="205" t="s">
        <v>472</v>
      </c>
      <c r="C243" s="206"/>
      <c r="D243" s="64"/>
      <c r="E243" s="64"/>
      <c r="F243" s="64"/>
      <c r="G243" s="64"/>
      <c r="H243" s="64"/>
      <c r="I243" s="64"/>
      <c r="J243" s="64"/>
      <c r="K243" s="57">
        <v>10000</v>
      </c>
      <c r="L243" s="88">
        <v>5.6599000000000004</v>
      </c>
      <c r="M243" s="62">
        <f>K243*L243</f>
        <v>56599.000000000007</v>
      </c>
      <c r="N243" s="57"/>
      <c r="O243" s="88"/>
      <c r="P243" s="62"/>
      <c r="Q243" s="57"/>
      <c r="R243" s="88"/>
      <c r="S243" s="62"/>
      <c r="T243" s="39">
        <f>-P243</f>
        <v>0</v>
      </c>
      <c r="U243" s="39"/>
      <c r="V243" s="39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22"/>
      <c r="AT243" s="10"/>
      <c r="AU243" s="11"/>
    </row>
    <row r="244" spans="1:49" s="2" customFormat="1" ht="17.25" customHeight="1" x14ac:dyDescent="0.25">
      <c r="A244" s="24"/>
      <c r="B244" s="205" t="s">
        <v>473</v>
      </c>
      <c r="C244" s="206"/>
      <c r="D244" s="64"/>
      <c r="E244" s="64"/>
      <c r="F244" s="64"/>
      <c r="G244" s="64"/>
      <c r="H244" s="64"/>
      <c r="I244" s="64"/>
      <c r="J244" s="64"/>
      <c r="K244" s="57"/>
      <c r="L244" s="88"/>
      <c r="M244" s="62"/>
      <c r="N244" s="57">
        <v>5000</v>
      </c>
      <c r="O244" s="88">
        <v>3.38</v>
      </c>
      <c r="P244" s="62">
        <f>N244*O244</f>
        <v>16900</v>
      </c>
      <c r="Q244" s="57"/>
      <c r="R244" s="88"/>
      <c r="S244" s="62"/>
      <c r="T244" s="39">
        <f>-P244</f>
        <v>-16900</v>
      </c>
      <c r="U244" s="39"/>
      <c r="V244" s="39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22"/>
      <c r="AT244" s="10"/>
      <c r="AU244" s="11"/>
    </row>
    <row r="245" spans="1:49" s="2" customFormat="1" ht="17.25" customHeight="1" thickBot="1" x14ac:dyDescent="0.25">
      <c r="A245" s="24"/>
      <c r="B245" s="216"/>
      <c r="C245" s="217"/>
      <c r="D245" s="83"/>
      <c r="E245" s="81"/>
      <c r="F245" s="81"/>
      <c r="G245" s="81"/>
      <c r="H245" s="81"/>
      <c r="I245" s="81"/>
      <c r="J245" s="81"/>
      <c r="K245" s="37"/>
      <c r="L245" s="93"/>
      <c r="M245" s="81"/>
      <c r="N245" s="37"/>
      <c r="O245" s="93"/>
      <c r="P245" s="81"/>
      <c r="Q245" s="37"/>
      <c r="R245" s="93"/>
      <c r="S245" s="81"/>
      <c r="T245" s="40"/>
      <c r="U245" s="40"/>
      <c r="V245" s="39"/>
      <c r="W245" s="16"/>
      <c r="X245" s="16"/>
      <c r="Y245" s="16"/>
      <c r="Z245" s="16"/>
      <c r="AA245" s="16"/>
      <c r="AB245" s="19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41"/>
      <c r="AT245" s="10"/>
      <c r="AU245" s="11"/>
    </row>
    <row r="246" spans="1:49" s="4" customFormat="1" ht="17.25" customHeight="1" x14ac:dyDescent="0.25">
      <c r="A246" s="23"/>
      <c r="B246" s="210" t="s">
        <v>94</v>
      </c>
      <c r="C246" s="203"/>
      <c r="D246" s="66"/>
      <c r="E246" s="66"/>
      <c r="F246" s="117"/>
      <c r="G246" s="117"/>
      <c r="H246" s="66"/>
      <c r="I246" s="66"/>
      <c r="J246" s="66">
        <f>-M246</f>
        <v>7821.36</v>
      </c>
      <c r="K246" s="58">
        <v>-1224</v>
      </c>
      <c r="L246" s="89">
        <v>6.39</v>
      </c>
      <c r="M246" s="73">
        <f>K246*L246</f>
        <v>-7821.36</v>
      </c>
      <c r="N246" s="58"/>
      <c r="O246" s="89"/>
      <c r="P246" s="73"/>
      <c r="Q246" s="58"/>
      <c r="R246" s="89"/>
      <c r="S246" s="73"/>
      <c r="T246" s="39"/>
      <c r="U246" s="39"/>
      <c r="V246" s="8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35"/>
      <c r="AS246" s="12" t="e">
        <f>#REF!</f>
        <v>#REF!</v>
      </c>
    </row>
    <row r="247" spans="1:49" s="4" customFormat="1" ht="17.25" customHeight="1" x14ac:dyDescent="0.25">
      <c r="A247" s="23"/>
      <c r="B247" s="201" t="s">
        <v>95</v>
      </c>
      <c r="C247" s="202"/>
      <c r="D247" s="64"/>
      <c r="E247" s="64"/>
      <c r="F247" s="117"/>
      <c r="G247" s="117"/>
      <c r="H247" s="64"/>
      <c r="I247" s="64"/>
      <c r="J247" s="64">
        <f>-P247</f>
        <v>7549.08</v>
      </c>
      <c r="K247" s="57"/>
      <c r="L247" s="88"/>
      <c r="M247" s="62"/>
      <c r="N247" s="57">
        <v>-1806</v>
      </c>
      <c r="O247" s="88">
        <v>4.18</v>
      </c>
      <c r="P247" s="62">
        <f>N247*O247</f>
        <v>-7549.08</v>
      </c>
      <c r="Q247" s="57"/>
      <c r="R247" s="88"/>
      <c r="S247" s="62"/>
      <c r="T247" s="39"/>
      <c r="U247" s="39"/>
      <c r="V247" s="8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35"/>
      <c r="AS247" s="12" t="e">
        <f>#REF!</f>
        <v>#REF!</v>
      </c>
    </row>
    <row r="248" spans="1:49" s="4" customFormat="1" ht="17.25" customHeight="1" x14ac:dyDescent="0.25">
      <c r="A248" s="23"/>
      <c r="B248" s="201" t="s">
        <v>97</v>
      </c>
      <c r="C248" s="203"/>
      <c r="D248" s="64"/>
      <c r="E248" s="64"/>
      <c r="F248" s="64"/>
      <c r="G248" s="64"/>
      <c r="H248" s="64">
        <f>-J248-I248</f>
        <v>6801.2999999999993</v>
      </c>
      <c r="I248" s="64">
        <v>8569.14</v>
      </c>
      <c r="J248" s="64">
        <f>-SUM(J246:J247)</f>
        <v>-15370.439999999999</v>
      </c>
      <c r="K248" s="57"/>
      <c r="L248" s="88"/>
      <c r="M248" s="62"/>
      <c r="N248" s="57"/>
      <c r="O248" s="88"/>
      <c r="P248" s="62"/>
      <c r="Q248" s="57"/>
      <c r="R248" s="88"/>
      <c r="S248" s="62"/>
      <c r="T248" s="39"/>
      <c r="U248" s="39"/>
      <c r="V248" s="39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22"/>
      <c r="AR248" s="43">
        <f>A223</f>
        <v>0</v>
      </c>
      <c r="AS248" s="12" t="e">
        <f>#REF!</f>
        <v>#REF!</v>
      </c>
      <c r="AW248" s="2"/>
    </row>
    <row r="249" spans="1:49" s="4" customFormat="1" ht="17.25" customHeight="1" x14ac:dyDescent="0.25">
      <c r="A249" s="23"/>
      <c r="B249" s="201" t="s">
        <v>93</v>
      </c>
      <c r="C249" s="202"/>
      <c r="D249" s="64"/>
      <c r="E249" s="64"/>
      <c r="F249" s="64"/>
      <c r="G249" s="64"/>
      <c r="H249" s="64"/>
      <c r="I249" s="64"/>
      <c r="J249" s="64"/>
      <c r="K249" s="57">
        <v>-66</v>
      </c>
      <c r="L249" s="88"/>
      <c r="M249" s="62">
        <f>(K252*(M238+M243)/(K238+K243))-M238-M246-M243</f>
        <v>633.70653171739104</v>
      </c>
      <c r="N249" s="57">
        <v>-27</v>
      </c>
      <c r="O249" s="88"/>
      <c r="P249" s="62">
        <f>(N252*(P238+P244)/(N238+N244))-P238-P247-P244</f>
        <v>34779.772602739729</v>
      </c>
      <c r="Q249" s="57"/>
      <c r="R249" s="88"/>
      <c r="S249" s="62"/>
      <c r="T249" s="39"/>
      <c r="U249" s="39"/>
      <c r="V249" s="39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22"/>
      <c r="AR249" s="43">
        <f>A232</f>
        <v>0</v>
      </c>
      <c r="AS249" s="12" t="e">
        <f>#REF!</f>
        <v>#REF!</v>
      </c>
      <c r="AW249" s="2"/>
    </row>
    <row r="250" spans="1:49" s="2" customFormat="1" ht="17.25" customHeight="1" x14ac:dyDescent="0.2">
      <c r="A250" s="24"/>
      <c r="B250" s="201"/>
      <c r="C250" s="204"/>
      <c r="D250" s="63"/>
      <c r="E250" s="64"/>
      <c r="F250" s="64"/>
      <c r="G250" s="64"/>
      <c r="H250" s="64"/>
      <c r="I250" s="64"/>
      <c r="J250" s="64"/>
      <c r="K250" s="16"/>
      <c r="L250" s="16"/>
      <c r="M250" s="64"/>
      <c r="N250" s="16"/>
      <c r="O250" s="16"/>
      <c r="P250" s="64"/>
      <c r="Q250" s="16"/>
      <c r="R250" s="16"/>
      <c r="S250" s="64"/>
      <c r="T250" s="46"/>
      <c r="U250" s="46"/>
      <c r="V250" s="39"/>
      <c r="W250" s="16"/>
      <c r="X250" s="16"/>
      <c r="Y250" s="16"/>
      <c r="Z250" s="16"/>
      <c r="AA250" s="16"/>
      <c r="AB250" s="19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43">
        <f>A239</f>
        <v>46129</v>
      </c>
      <c r="AT250" s="10"/>
      <c r="AU250" s="11"/>
    </row>
    <row r="251" spans="1:49" s="2" customFormat="1" ht="17.25" customHeight="1" thickBot="1" x14ac:dyDescent="0.3">
      <c r="A251" s="56"/>
      <c r="B251" s="101" t="s">
        <v>102</v>
      </c>
      <c r="C251" s="102">
        <f>D252+E252+F252+G252+H252+I252+J252+M252+P252</f>
        <v>207767.06954000003</v>
      </c>
      <c r="D251" s="84"/>
      <c r="E251" s="85"/>
      <c r="F251" s="85"/>
      <c r="G251" s="85"/>
      <c r="H251" s="85"/>
      <c r="I251" s="85"/>
      <c r="J251" s="85"/>
      <c r="K251" s="28"/>
      <c r="L251" s="28"/>
      <c r="M251" s="85"/>
      <c r="N251" s="28"/>
      <c r="O251" s="28"/>
      <c r="P251" s="85"/>
      <c r="Q251" s="28"/>
      <c r="R251" s="28"/>
      <c r="S251" s="85"/>
      <c r="T251" s="48"/>
      <c r="U251" s="48"/>
      <c r="V251" s="51"/>
      <c r="W251" s="28"/>
      <c r="X251" s="28"/>
      <c r="Y251" s="28"/>
      <c r="Z251" s="28"/>
      <c r="AA251" s="28"/>
      <c r="AB251" s="36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42">
        <f>SUM($T238:AQ251)</f>
        <v>-465783.13890000002</v>
      </c>
      <c r="AT251" s="10"/>
      <c r="AU251" s="11"/>
      <c r="AV251" s="2" t="s">
        <v>5</v>
      </c>
    </row>
    <row r="252" spans="1:49" s="2" customFormat="1" ht="17.25" customHeight="1" thickTop="1" thickBot="1" x14ac:dyDescent="0.3">
      <c r="A252" s="103"/>
      <c r="B252" s="104" t="s">
        <v>103</v>
      </c>
      <c r="C252" s="105">
        <f>AR252</f>
        <v>-258016.06935999999</v>
      </c>
      <c r="D252" s="106">
        <f t="shared" ref="D252:K252" si="32">SUM(D238:D251)</f>
        <v>151380.97704</v>
      </c>
      <c r="E252" s="107">
        <f t="shared" si="32"/>
        <v>-54399.37</v>
      </c>
      <c r="F252" s="107">
        <f t="shared" si="32"/>
        <v>-28394.35</v>
      </c>
      <c r="G252" s="107">
        <f t="shared" si="32"/>
        <v>0</v>
      </c>
      <c r="H252" s="107">
        <f t="shared" si="32"/>
        <v>67844.52250000005</v>
      </c>
      <c r="I252" s="107">
        <f t="shared" si="32"/>
        <v>7156.5899999999992</v>
      </c>
      <c r="J252" s="107">
        <f t="shared" si="32"/>
        <v>0</v>
      </c>
      <c r="K252" s="108">
        <f t="shared" si="32"/>
        <v>14222</v>
      </c>
      <c r="L252" s="109">
        <f>M252/K252</f>
        <v>5.5718246378849674</v>
      </c>
      <c r="M252" s="107">
        <f>ROUND(SUM(M238:M251),2)</f>
        <v>79242.490000000005</v>
      </c>
      <c r="N252" s="108">
        <f>SUM(N238:N251)</f>
        <v>1014</v>
      </c>
      <c r="O252" s="109">
        <f>P252/N252</f>
        <v>-14.855808678500987</v>
      </c>
      <c r="P252" s="107">
        <f>ROUND(SUM(P238:P251),2)</f>
        <v>-15063.79</v>
      </c>
      <c r="Q252" s="108">
        <f>SUM(Q238:Q251)</f>
        <v>214</v>
      </c>
      <c r="R252" s="109">
        <f>S252/Q252</f>
        <v>6.099485981308411</v>
      </c>
      <c r="S252" s="107">
        <f>ROUND(SUM(S238:S251),2)</f>
        <v>1305.29</v>
      </c>
      <c r="T252" s="110">
        <f t="shared" ref="T252:AQ252" si="33">SUM(T238:T251)</f>
        <v>-519227.12890000001</v>
      </c>
      <c r="U252" s="107">
        <f t="shared" si="33"/>
        <v>50229.299999999996</v>
      </c>
      <c r="V252" s="107">
        <f t="shared" si="33"/>
        <v>0</v>
      </c>
      <c r="W252" s="107">
        <f t="shared" si="33"/>
        <v>3214.6899999999996</v>
      </c>
      <c r="X252" s="107">
        <f t="shared" si="33"/>
        <v>0</v>
      </c>
      <c r="Y252" s="107">
        <f t="shared" si="33"/>
        <v>0</v>
      </c>
      <c r="Z252" s="107">
        <f t="shared" si="33"/>
        <v>0</v>
      </c>
      <c r="AA252" s="107">
        <f t="shared" si="33"/>
        <v>0</v>
      </c>
      <c r="AB252" s="107">
        <f t="shared" si="33"/>
        <v>0</v>
      </c>
      <c r="AC252" s="107">
        <f t="shared" si="33"/>
        <v>0</v>
      </c>
      <c r="AD252" s="107">
        <f t="shared" si="33"/>
        <v>0</v>
      </c>
      <c r="AE252" s="107">
        <f t="shared" si="33"/>
        <v>0</v>
      </c>
      <c r="AF252" s="107">
        <f t="shared" si="33"/>
        <v>0</v>
      </c>
      <c r="AG252" s="107">
        <f t="shared" si="33"/>
        <v>0</v>
      </c>
      <c r="AH252" s="107">
        <f t="shared" si="33"/>
        <v>0</v>
      </c>
      <c r="AI252" s="107">
        <f t="shared" si="33"/>
        <v>0</v>
      </c>
      <c r="AJ252" s="107">
        <f t="shared" si="33"/>
        <v>0</v>
      </c>
      <c r="AK252" s="107">
        <f t="shared" si="33"/>
        <v>0</v>
      </c>
      <c r="AL252" s="107">
        <f t="shared" si="33"/>
        <v>0</v>
      </c>
      <c r="AM252" s="107">
        <f t="shared" si="33"/>
        <v>0</v>
      </c>
      <c r="AN252" s="107">
        <f t="shared" si="33"/>
        <v>0</v>
      </c>
      <c r="AO252" s="107">
        <f t="shared" si="33"/>
        <v>0</v>
      </c>
      <c r="AP252" s="107">
        <f t="shared" si="33"/>
        <v>0</v>
      </c>
      <c r="AQ252" s="107">
        <f t="shared" si="33"/>
        <v>0</v>
      </c>
      <c r="AR252" s="111">
        <f>D252+E252+F252+G252+H252+I252+J252+M252+P252+SUM(T252:AQ252)</f>
        <v>-258016.06935999999</v>
      </c>
      <c r="AS252" s="4"/>
      <c r="AT252" s="5"/>
      <c r="AU252" s="5"/>
      <c r="AV252" s="2" t="s">
        <v>6</v>
      </c>
    </row>
    <row r="253" spans="1:49" s="2" customFormat="1" ht="17.25" customHeight="1" thickTop="1" x14ac:dyDescent="0.25">
      <c r="A253" s="23">
        <f>A239+1</f>
        <v>46130</v>
      </c>
      <c r="B253" s="210" t="s">
        <v>64</v>
      </c>
      <c r="C253" s="203"/>
      <c r="D253" s="63">
        <v>6980.08</v>
      </c>
      <c r="E253" s="66"/>
      <c r="F253" s="66"/>
      <c r="G253" s="66"/>
      <c r="H253" s="66"/>
      <c r="I253" s="66">
        <f>-D253</f>
        <v>-6980.08</v>
      </c>
      <c r="J253" s="66"/>
      <c r="K253" s="18"/>
      <c r="L253" s="18"/>
      <c r="M253" s="66"/>
      <c r="N253" s="18"/>
      <c r="O253" s="18"/>
      <c r="P253" s="66"/>
      <c r="Q253" s="18"/>
      <c r="R253" s="18"/>
      <c r="S253" s="66"/>
      <c r="T253" s="46"/>
      <c r="U253" s="46"/>
      <c r="V253" s="45"/>
      <c r="W253" s="18"/>
      <c r="X253" s="18"/>
      <c r="Y253" s="18"/>
      <c r="Z253" s="18"/>
      <c r="AA253" s="18"/>
      <c r="AB253" s="14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31"/>
      <c r="AT253" s="10"/>
      <c r="AU253" s="27"/>
    </row>
    <row r="254" spans="1:49" s="4" customFormat="1" ht="17.25" customHeight="1" x14ac:dyDescent="0.25">
      <c r="A254" s="23"/>
      <c r="B254" s="201" t="s">
        <v>96</v>
      </c>
      <c r="C254" s="202"/>
      <c r="D254" s="63"/>
      <c r="E254" s="64"/>
      <c r="F254" s="64"/>
      <c r="G254" s="64"/>
      <c r="H254" s="64"/>
      <c r="I254" s="64">
        <f>-I252-I253</f>
        <v>-176.50999999999931</v>
      </c>
      <c r="J254" s="64"/>
      <c r="K254" s="16"/>
      <c r="L254" s="92"/>
      <c r="M254" s="64"/>
      <c r="N254" s="16"/>
      <c r="O254" s="92"/>
      <c r="P254" s="64"/>
      <c r="Q254" s="16"/>
      <c r="R254" s="92"/>
      <c r="S254" s="64"/>
      <c r="T254" s="40"/>
      <c r="U254" s="46"/>
      <c r="V254" s="39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22"/>
      <c r="AS254" s="30"/>
    </row>
    <row r="255" spans="1:49" s="2" customFormat="1" ht="17.25" customHeight="1" x14ac:dyDescent="0.25">
      <c r="A255" s="29"/>
      <c r="B255" s="201" t="s">
        <v>327</v>
      </c>
      <c r="C255" s="202"/>
      <c r="D255" s="63">
        <f>50+20+15+60+10+63+146+20+50+30+50+10+100+30+100+55</f>
        <v>809</v>
      </c>
      <c r="E255" s="64"/>
      <c r="F255" s="64"/>
      <c r="G255" s="64"/>
      <c r="H255" s="64"/>
      <c r="I255" s="64">
        <f>-D255</f>
        <v>-809</v>
      </c>
      <c r="J255" s="64"/>
      <c r="K255" s="57"/>
      <c r="L255" s="88"/>
      <c r="M255" s="62"/>
      <c r="N255" s="57"/>
      <c r="O255" s="88"/>
      <c r="P255" s="62"/>
      <c r="Q255" s="57"/>
      <c r="R255" s="88"/>
      <c r="S255" s="62"/>
      <c r="T255" s="47"/>
      <c r="U255" s="39"/>
      <c r="V255" s="39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22"/>
      <c r="AT255" s="10"/>
      <c r="AU255" s="11"/>
    </row>
    <row r="256" spans="1:49" s="2" customFormat="1" ht="17.25" customHeight="1" x14ac:dyDescent="0.25">
      <c r="A256" s="29"/>
      <c r="B256" s="201" t="s">
        <v>328</v>
      </c>
      <c r="C256" s="202"/>
      <c r="D256" s="63">
        <f>-15*0.99-1.17</f>
        <v>-16.02</v>
      </c>
      <c r="E256" s="64"/>
      <c r="F256" s="64"/>
      <c r="G256" s="64"/>
      <c r="H256" s="64"/>
      <c r="I256" s="64"/>
      <c r="J256" s="64"/>
      <c r="K256" s="57"/>
      <c r="L256" s="88"/>
      <c r="M256" s="62"/>
      <c r="N256" s="57"/>
      <c r="O256" s="88"/>
      <c r="P256" s="62"/>
      <c r="Q256" s="57"/>
      <c r="R256" s="88"/>
      <c r="S256" s="62"/>
      <c r="T256" s="47"/>
      <c r="U256" s="39"/>
      <c r="V256" s="39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22"/>
      <c r="AT256" s="10"/>
      <c r="AU256" s="11"/>
    </row>
    <row r="257" spans="1:49" s="2" customFormat="1" ht="17.25" customHeight="1" x14ac:dyDescent="0.25">
      <c r="A257" s="29"/>
      <c r="B257" s="205" t="s">
        <v>263</v>
      </c>
      <c r="C257" s="250"/>
      <c r="D257" s="63">
        <v>-64000</v>
      </c>
      <c r="E257" s="64"/>
      <c r="F257" s="64"/>
      <c r="G257" s="64"/>
      <c r="H257" s="64"/>
      <c r="I257" s="64"/>
      <c r="J257" s="64"/>
      <c r="K257" s="57"/>
      <c r="L257" s="88"/>
      <c r="M257" s="62"/>
      <c r="N257" s="57"/>
      <c r="O257" s="88"/>
      <c r="P257" s="62"/>
      <c r="Q257" s="57"/>
      <c r="R257" s="88"/>
      <c r="S257" s="62"/>
      <c r="T257" s="47">
        <f>-D257</f>
        <v>64000</v>
      </c>
      <c r="U257" s="39"/>
      <c r="V257" s="39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22"/>
      <c r="AT257" s="10" t="s">
        <v>4</v>
      </c>
      <c r="AU257" s="11" t="e">
        <v>#REF!</v>
      </c>
    </row>
    <row r="258" spans="1:49" s="2" customFormat="1" ht="17.25" customHeight="1" x14ac:dyDescent="0.25">
      <c r="A258" s="29"/>
      <c r="B258" s="201" t="s">
        <v>276</v>
      </c>
      <c r="C258" s="202"/>
      <c r="D258" s="63">
        <v>-4.9000000000000004</v>
      </c>
      <c r="E258" s="64"/>
      <c r="F258" s="64"/>
      <c r="G258" s="64"/>
      <c r="H258" s="64"/>
      <c r="I258" s="64"/>
      <c r="J258" s="64"/>
      <c r="K258" s="57"/>
      <c r="L258" s="88"/>
      <c r="M258" s="62"/>
      <c r="N258" s="57"/>
      <c r="O258" s="88"/>
      <c r="P258" s="62"/>
      <c r="Q258" s="57"/>
      <c r="R258" s="88"/>
      <c r="S258" s="62"/>
      <c r="T258" s="47"/>
      <c r="U258" s="39"/>
      <c r="V258" s="39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22"/>
      <c r="AT258" s="10" t="s">
        <v>4</v>
      </c>
      <c r="AU258" s="11" t="e">
        <v>#REF!</v>
      </c>
    </row>
    <row r="259" spans="1:49" s="2" customFormat="1" ht="17.25" customHeight="1" x14ac:dyDescent="0.25">
      <c r="A259" s="29"/>
      <c r="B259" s="201" t="s">
        <v>384</v>
      </c>
      <c r="C259" s="202"/>
      <c r="D259" s="63">
        <v>-650</v>
      </c>
      <c r="E259" s="64"/>
      <c r="F259" s="64"/>
      <c r="G259" s="64"/>
      <c r="H259" s="64"/>
      <c r="I259" s="64"/>
      <c r="J259" s="64"/>
      <c r="K259" s="57"/>
      <c r="L259" s="88"/>
      <c r="M259" s="62"/>
      <c r="N259" s="57"/>
      <c r="O259" s="88"/>
      <c r="P259" s="62"/>
      <c r="Q259" s="57"/>
      <c r="R259" s="88"/>
      <c r="S259" s="62"/>
      <c r="T259" s="47"/>
      <c r="U259" s="39"/>
      <c r="V259" s="39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22"/>
      <c r="AT259" s="10" t="s">
        <v>4</v>
      </c>
      <c r="AU259" s="11" t="e">
        <v>#REF!</v>
      </c>
    </row>
    <row r="260" spans="1:49" s="2" customFormat="1" ht="17.25" customHeight="1" x14ac:dyDescent="0.25">
      <c r="A260" s="29"/>
      <c r="B260" s="201" t="s">
        <v>276</v>
      </c>
      <c r="C260" s="202"/>
      <c r="D260" s="63">
        <v>-4.9000000000000004</v>
      </c>
      <c r="E260" s="64"/>
      <c r="F260" s="64"/>
      <c r="G260" s="64"/>
      <c r="H260" s="64"/>
      <c r="I260" s="64"/>
      <c r="J260" s="64"/>
      <c r="K260" s="57"/>
      <c r="L260" s="88"/>
      <c r="M260" s="62"/>
      <c r="N260" s="57"/>
      <c r="O260" s="88"/>
      <c r="P260" s="62"/>
      <c r="Q260" s="57"/>
      <c r="R260" s="88"/>
      <c r="S260" s="62"/>
      <c r="T260" s="47"/>
      <c r="U260" s="39"/>
      <c r="V260" s="39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22"/>
      <c r="AT260" s="10" t="s">
        <v>4</v>
      </c>
      <c r="AU260" s="11" t="e">
        <v>#REF!</v>
      </c>
    </row>
    <row r="261" spans="1:49" s="4" customFormat="1" ht="17.25" customHeight="1" x14ac:dyDescent="0.25">
      <c r="A261" s="23"/>
      <c r="B261" s="201" t="s">
        <v>13</v>
      </c>
      <c r="C261" s="203"/>
      <c r="D261" s="63"/>
      <c r="E261" s="64">
        <f>100+100+10+100+100+26+20+5+55+80+70+45+20+40+15+100+100+50+50+25+20+100+30+1809.02+270.9+200+50+40+100+100+70+10+50+4.8+100+10</f>
        <v>4075.7200000000003</v>
      </c>
      <c r="F261" s="64"/>
      <c r="G261" s="64"/>
      <c r="H261" s="64">
        <f>-E261</f>
        <v>-4075.7200000000003</v>
      </c>
      <c r="I261" s="66"/>
      <c r="J261" s="64"/>
      <c r="K261" s="16"/>
      <c r="L261" s="92"/>
      <c r="M261" s="64"/>
      <c r="N261" s="16"/>
      <c r="O261" s="92"/>
      <c r="P261" s="64"/>
      <c r="Q261" s="16"/>
      <c r="R261" s="92"/>
      <c r="S261" s="64"/>
      <c r="T261" s="40"/>
      <c r="U261" s="46">
        <f>-D261</f>
        <v>0</v>
      </c>
      <c r="V261" s="39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22"/>
      <c r="AS261" s="30"/>
    </row>
    <row r="262" spans="1:49" s="2" customFormat="1" ht="17.25" customHeight="1" x14ac:dyDescent="0.25">
      <c r="A262" s="29"/>
      <c r="B262" s="201" t="s">
        <v>368</v>
      </c>
      <c r="C262" s="202"/>
      <c r="D262" s="63"/>
      <c r="E262" s="64">
        <v>-97.99</v>
      </c>
      <c r="F262" s="64"/>
      <c r="G262" s="64"/>
      <c r="H262" s="64"/>
      <c r="I262" s="64"/>
      <c r="J262" s="64"/>
      <c r="K262" s="57"/>
      <c r="L262" s="88"/>
      <c r="M262" s="62"/>
      <c r="N262" s="57"/>
      <c r="O262" s="88"/>
      <c r="P262" s="62"/>
      <c r="Q262" s="57"/>
      <c r="R262" s="88"/>
      <c r="S262" s="62"/>
      <c r="T262" s="47"/>
      <c r="U262" s="39"/>
      <c r="V262" s="39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22"/>
      <c r="AT262" s="10" t="s">
        <v>4</v>
      </c>
      <c r="AU262" s="11" t="e">
        <v>#REF!</v>
      </c>
    </row>
    <row r="263" spans="1:49" s="2" customFormat="1" ht="17.25" customHeight="1" x14ac:dyDescent="0.25">
      <c r="A263" s="29"/>
      <c r="B263" s="201" t="s">
        <v>33</v>
      </c>
      <c r="C263" s="202"/>
      <c r="D263" s="63"/>
      <c r="E263" s="64">
        <v>-58.17</v>
      </c>
      <c r="F263" s="64"/>
      <c r="G263" s="64"/>
      <c r="H263" s="64"/>
      <c r="I263" s="64"/>
      <c r="J263" s="64"/>
      <c r="K263" s="57"/>
      <c r="L263" s="88"/>
      <c r="M263" s="62"/>
      <c r="N263" s="57"/>
      <c r="O263" s="88"/>
      <c r="P263" s="62"/>
      <c r="Q263" s="57"/>
      <c r="R263" s="88"/>
      <c r="S263" s="62"/>
      <c r="T263" s="47"/>
      <c r="U263" s="39"/>
      <c r="V263" s="39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22"/>
      <c r="AT263" s="10" t="s">
        <v>4</v>
      </c>
      <c r="AU263" s="11" t="e">
        <v>#REF!</v>
      </c>
    </row>
    <row r="264" spans="1:49" s="2" customFormat="1" ht="17.25" customHeight="1" x14ac:dyDescent="0.25">
      <c r="A264" s="29"/>
      <c r="B264" s="205" t="s">
        <v>263</v>
      </c>
      <c r="C264" s="250"/>
      <c r="D264" s="63"/>
      <c r="E264" s="64">
        <v>-3830</v>
      </c>
      <c r="F264" s="64"/>
      <c r="G264" s="64"/>
      <c r="H264" s="64"/>
      <c r="I264" s="64"/>
      <c r="J264" s="64"/>
      <c r="K264" s="57"/>
      <c r="L264" s="88"/>
      <c r="M264" s="62"/>
      <c r="N264" s="57"/>
      <c r="O264" s="88"/>
      <c r="P264" s="62"/>
      <c r="Q264" s="57"/>
      <c r="R264" s="88"/>
      <c r="S264" s="62"/>
      <c r="T264" s="47">
        <f>-E264</f>
        <v>3830</v>
      </c>
      <c r="U264" s="39"/>
      <c r="V264" s="39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22"/>
      <c r="AT264" s="10" t="s">
        <v>4</v>
      </c>
      <c r="AU264" s="11" t="e">
        <v>#REF!</v>
      </c>
    </row>
    <row r="265" spans="1:49" s="2" customFormat="1" ht="17.25" customHeight="1" thickBot="1" x14ac:dyDescent="0.25">
      <c r="A265" s="24"/>
      <c r="B265" s="216"/>
      <c r="C265" s="217"/>
      <c r="D265" s="83"/>
      <c r="E265" s="81"/>
      <c r="F265" s="81"/>
      <c r="G265" s="81"/>
      <c r="H265" s="81"/>
      <c r="I265" s="81"/>
      <c r="J265" s="81"/>
      <c r="K265" s="37"/>
      <c r="L265" s="93"/>
      <c r="M265" s="81"/>
      <c r="N265" s="37"/>
      <c r="O265" s="93"/>
      <c r="P265" s="81"/>
      <c r="Q265" s="37"/>
      <c r="R265" s="93"/>
      <c r="S265" s="81"/>
      <c r="T265" s="40"/>
      <c r="U265" s="40"/>
      <c r="V265" s="39"/>
      <c r="W265" s="16"/>
      <c r="X265" s="16"/>
      <c r="Y265" s="16"/>
      <c r="Z265" s="16"/>
      <c r="AA265" s="16"/>
      <c r="AB265" s="19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41"/>
      <c r="AT265" s="10"/>
      <c r="AU265" s="11"/>
    </row>
    <row r="266" spans="1:49" s="4" customFormat="1" ht="17.25" customHeight="1" x14ac:dyDescent="0.25">
      <c r="A266" s="23"/>
      <c r="B266" s="210" t="s">
        <v>94</v>
      </c>
      <c r="C266" s="203"/>
      <c r="D266" s="66"/>
      <c r="E266" s="66"/>
      <c r="F266" s="117"/>
      <c r="G266" s="117"/>
      <c r="H266" s="66"/>
      <c r="I266" s="66"/>
      <c r="J266" s="66">
        <f>-M266</f>
        <v>7354.8899999999994</v>
      </c>
      <c r="K266" s="58">
        <v>-1151</v>
      </c>
      <c r="L266" s="89">
        <v>6.39</v>
      </c>
      <c r="M266" s="73">
        <f>K266*L266</f>
        <v>-7354.8899999999994</v>
      </c>
      <c r="N266" s="58"/>
      <c r="O266" s="89"/>
      <c r="P266" s="73"/>
      <c r="Q266" s="58"/>
      <c r="R266" s="89"/>
      <c r="S266" s="73"/>
      <c r="T266" s="39"/>
      <c r="U266" s="39"/>
      <c r="V266" s="8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35"/>
      <c r="AS266" s="12" t="e">
        <f>#REF!</f>
        <v>#REF!</v>
      </c>
    </row>
    <row r="267" spans="1:49" s="4" customFormat="1" ht="17.25" customHeight="1" x14ac:dyDescent="0.25">
      <c r="A267" s="23"/>
      <c r="B267" s="201" t="s">
        <v>95</v>
      </c>
      <c r="C267" s="202"/>
      <c r="D267" s="64"/>
      <c r="E267" s="64"/>
      <c r="F267" s="117"/>
      <c r="G267" s="117"/>
      <c r="H267" s="64"/>
      <c r="I267" s="64"/>
      <c r="J267" s="64">
        <f>-P267</f>
        <v>6829.92</v>
      </c>
      <c r="K267" s="57"/>
      <c r="L267" s="88"/>
      <c r="M267" s="62"/>
      <c r="N267" s="57">
        <v>-1674</v>
      </c>
      <c r="O267" s="88">
        <v>4.08</v>
      </c>
      <c r="P267" s="62">
        <f>N267*O267</f>
        <v>-6829.92</v>
      </c>
      <c r="Q267" s="57"/>
      <c r="R267" s="88"/>
      <c r="S267" s="62"/>
      <c r="T267" s="39"/>
      <c r="U267" s="39"/>
      <c r="V267" s="8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35"/>
      <c r="AS267" s="12" t="e">
        <f>#REF!</f>
        <v>#REF!</v>
      </c>
    </row>
    <row r="268" spans="1:49" s="4" customFormat="1" ht="17.25" customHeight="1" x14ac:dyDescent="0.25">
      <c r="A268" s="23"/>
      <c r="B268" s="201" t="s">
        <v>97</v>
      </c>
      <c r="C268" s="203"/>
      <c r="D268" s="64"/>
      <c r="E268" s="64"/>
      <c r="F268" s="64"/>
      <c r="G268" s="64"/>
      <c r="H268" s="64">
        <f>-J268-I268</f>
        <v>3545.76</v>
      </c>
      <c r="I268" s="64">
        <v>10639.05</v>
      </c>
      <c r="J268" s="64">
        <f>-SUM(J266:J267)</f>
        <v>-14184.81</v>
      </c>
      <c r="K268" s="57"/>
      <c r="L268" s="88"/>
      <c r="M268" s="62"/>
      <c r="N268" s="57"/>
      <c r="O268" s="88"/>
      <c r="P268" s="62"/>
      <c r="Q268" s="57"/>
      <c r="R268" s="88"/>
      <c r="S268" s="62"/>
      <c r="T268" s="39"/>
      <c r="U268" s="39"/>
      <c r="V268" s="39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22"/>
      <c r="AR268" s="43">
        <f>A235</f>
        <v>0</v>
      </c>
      <c r="AS268" s="12" t="e">
        <f>#REF!</f>
        <v>#REF!</v>
      </c>
      <c r="AW268" s="2"/>
    </row>
    <row r="269" spans="1:49" s="4" customFormat="1" ht="17.25" customHeight="1" x14ac:dyDescent="0.25">
      <c r="A269" s="23"/>
      <c r="B269" s="201" t="s">
        <v>93</v>
      </c>
      <c r="C269" s="202"/>
      <c r="D269" s="64"/>
      <c r="E269" s="64"/>
      <c r="F269" s="64"/>
      <c r="G269" s="64"/>
      <c r="H269" s="64"/>
      <c r="I269" s="64"/>
      <c r="J269" s="64"/>
      <c r="K269" s="57">
        <v>-68</v>
      </c>
      <c r="L269" s="88"/>
      <c r="M269" s="62">
        <f>(K272*L252)-M252-M266</f>
        <v>562.83576641822583</v>
      </c>
      <c r="N269" s="57">
        <v>-52</v>
      </c>
      <c r="O269" s="88"/>
      <c r="P269" s="62">
        <f>(N272*(P252)/(N252))-P252-P267</f>
        <v>32471.045779092703</v>
      </c>
      <c r="Q269" s="57"/>
      <c r="R269" s="88"/>
      <c r="S269" s="62"/>
      <c r="T269" s="39"/>
      <c r="U269" s="39"/>
      <c r="V269" s="39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22"/>
      <c r="AR269" s="43">
        <f>A246</f>
        <v>0</v>
      </c>
      <c r="AS269" s="12" t="e">
        <f>#REF!</f>
        <v>#REF!</v>
      </c>
      <c r="AW269" s="2"/>
    </row>
    <row r="270" spans="1:49" s="2" customFormat="1" ht="17.25" customHeight="1" x14ac:dyDescent="0.2">
      <c r="A270" s="24"/>
      <c r="B270" s="201"/>
      <c r="C270" s="204"/>
      <c r="D270" s="63"/>
      <c r="E270" s="64"/>
      <c r="F270" s="64"/>
      <c r="G270" s="64"/>
      <c r="H270" s="64"/>
      <c r="I270" s="64"/>
      <c r="J270" s="64"/>
      <c r="K270" s="16"/>
      <c r="L270" s="16"/>
      <c r="M270" s="64"/>
      <c r="N270" s="16"/>
      <c r="O270" s="16"/>
      <c r="P270" s="64"/>
      <c r="Q270" s="16"/>
      <c r="R270" s="16"/>
      <c r="S270" s="64"/>
      <c r="T270" s="46"/>
      <c r="U270" s="46"/>
      <c r="V270" s="39"/>
      <c r="W270" s="16"/>
      <c r="X270" s="16"/>
      <c r="Y270" s="16"/>
      <c r="Z270" s="16"/>
      <c r="AA270" s="16"/>
      <c r="AB270" s="19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43">
        <f>A253</f>
        <v>46130</v>
      </c>
      <c r="AT270" s="10"/>
      <c r="AU270" s="11"/>
    </row>
    <row r="271" spans="1:49" s="2" customFormat="1" ht="17.25" customHeight="1" thickBot="1" x14ac:dyDescent="0.3">
      <c r="A271" s="56"/>
      <c r="B271" s="101" t="s">
        <v>102</v>
      </c>
      <c r="C271" s="102">
        <f>D272+E272+F272+G272+H272+I272+J272+M272+P272</f>
        <v>171962.46954000005</v>
      </c>
      <c r="D271" s="84"/>
      <c r="E271" s="85"/>
      <c r="F271" s="85"/>
      <c r="G271" s="85"/>
      <c r="H271" s="85"/>
      <c r="I271" s="85"/>
      <c r="J271" s="85"/>
      <c r="K271" s="28"/>
      <c r="L271" s="28"/>
      <c r="M271" s="85"/>
      <c r="N271" s="28"/>
      <c r="O271" s="28"/>
      <c r="P271" s="85"/>
      <c r="Q271" s="28"/>
      <c r="R271" s="28"/>
      <c r="S271" s="85"/>
      <c r="T271" s="48"/>
      <c r="U271" s="48"/>
      <c r="V271" s="51"/>
      <c r="W271" s="28"/>
      <c r="X271" s="28"/>
      <c r="Y271" s="28"/>
      <c r="Z271" s="28"/>
      <c r="AA271" s="28"/>
      <c r="AB271" s="36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42">
        <f>SUM($T252:AQ271)</f>
        <v>-397953.13890000002</v>
      </c>
      <c r="AT271" s="10"/>
      <c r="AU271" s="11"/>
      <c r="AV271" s="2" t="s">
        <v>5</v>
      </c>
    </row>
    <row r="272" spans="1:49" s="2" customFormat="1" ht="17.25" customHeight="1" thickTop="1" thickBot="1" x14ac:dyDescent="0.3">
      <c r="A272" s="103"/>
      <c r="B272" s="104" t="s">
        <v>103</v>
      </c>
      <c r="C272" s="105">
        <f>AR272</f>
        <v>-225990.66935999997</v>
      </c>
      <c r="D272" s="106">
        <f t="shared" ref="D272:K272" si="34">SUM(D252:D271)</f>
        <v>94494.237040000007</v>
      </c>
      <c r="E272" s="107">
        <f t="shared" si="34"/>
        <v>-54309.81</v>
      </c>
      <c r="F272" s="107">
        <f t="shared" si="34"/>
        <v>-28394.35</v>
      </c>
      <c r="G272" s="107">
        <f t="shared" si="34"/>
        <v>0</v>
      </c>
      <c r="H272" s="107">
        <f t="shared" si="34"/>
        <v>67314.562500000044</v>
      </c>
      <c r="I272" s="107">
        <f t="shared" si="34"/>
        <v>9830.0499999999993</v>
      </c>
      <c r="J272" s="107">
        <f t="shared" si="34"/>
        <v>0</v>
      </c>
      <c r="K272" s="108">
        <f t="shared" si="34"/>
        <v>13003</v>
      </c>
      <c r="L272" s="109">
        <f>M272/K272</f>
        <v>5.571824963469969</v>
      </c>
      <c r="M272" s="107">
        <f>ROUND(SUM(M252:M271),2)</f>
        <v>72450.44</v>
      </c>
      <c r="N272" s="108">
        <f>SUM(N252:N271)</f>
        <v>-712</v>
      </c>
      <c r="O272" s="109">
        <f>P272/N272</f>
        <v>-14.855814606741573</v>
      </c>
      <c r="P272" s="107">
        <f>ROUND(SUM(P252:P271),2)</f>
        <v>10577.34</v>
      </c>
      <c r="Q272" s="108">
        <f>SUM(Q252:Q271)</f>
        <v>214</v>
      </c>
      <c r="R272" s="109">
        <f>S272/Q272</f>
        <v>6.099485981308411</v>
      </c>
      <c r="S272" s="107">
        <f>ROUND(SUM(S252:S271),2)</f>
        <v>1305.29</v>
      </c>
      <c r="T272" s="110">
        <f t="shared" ref="T272:AQ272" si="35">SUM(T252:T271)</f>
        <v>-451397.12890000001</v>
      </c>
      <c r="U272" s="107">
        <f t="shared" si="35"/>
        <v>50229.299999999996</v>
      </c>
      <c r="V272" s="107">
        <f t="shared" si="35"/>
        <v>0</v>
      </c>
      <c r="W272" s="107">
        <f t="shared" si="35"/>
        <v>3214.6899999999996</v>
      </c>
      <c r="X272" s="107">
        <f t="shared" si="35"/>
        <v>0</v>
      </c>
      <c r="Y272" s="107">
        <f t="shared" si="35"/>
        <v>0</v>
      </c>
      <c r="Z272" s="107">
        <f t="shared" si="35"/>
        <v>0</v>
      </c>
      <c r="AA272" s="107">
        <f t="shared" si="35"/>
        <v>0</v>
      </c>
      <c r="AB272" s="107">
        <f t="shared" si="35"/>
        <v>0</v>
      </c>
      <c r="AC272" s="107">
        <f t="shared" si="35"/>
        <v>0</v>
      </c>
      <c r="AD272" s="107">
        <f t="shared" si="35"/>
        <v>0</v>
      </c>
      <c r="AE272" s="107">
        <f t="shared" si="35"/>
        <v>0</v>
      </c>
      <c r="AF272" s="107">
        <f t="shared" si="35"/>
        <v>0</v>
      </c>
      <c r="AG272" s="107">
        <f t="shared" si="35"/>
        <v>0</v>
      </c>
      <c r="AH272" s="107">
        <f t="shared" si="35"/>
        <v>0</v>
      </c>
      <c r="AI272" s="107">
        <f t="shared" si="35"/>
        <v>0</v>
      </c>
      <c r="AJ272" s="107">
        <f t="shared" si="35"/>
        <v>0</v>
      </c>
      <c r="AK272" s="107">
        <f t="shared" si="35"/>
        <v>0</v>
      </c>
      <c r="AL272" s="107">
        <f t="shared" si="35"/>
        <v>0</v>
      </c>
      <c r="AM272" s="107">
        <f t="shared" si="35"/>
        <v>0</v>
      </c>
      <c r="AN272" s="107">
        <f t="shared" si="35"/>
        <v>0</v>
      </c>
      <c r="AO272" s="107">
        <f t="shared" si="35"/>
        <v>0</v>
      </c>
      <c r="AP272" s="107">
        <f t="shared" si="35"/>
        <v>0</v>
      </c>
      <c r="AQ272" s="107">
        <f t="shared" si="35"/>
        <v>0</v>
      </c>
      <c r="AR272" s="111">
        <f>D272+E272+F272+G272+H272+I272+J272+M272+P272+SUM(T272:AQ272)</f>
        <v>-225990.66935999997</v>
      </c>
      <c r="AS272" s="4"/>
      <c r="AT272" s="5"/>
      <c r="AU272" s="5"/>
      <c r="AV272" s="2" t="s">
        <v>6</v>
      </c>
    </row>
    <row r="273" spans="1:49" s="2" customFormat="1" ht="17.25" customHeight="1" thickTop="1" x14ac:dyDescent="0.25">
      <c r="A273" s="23">
        <f>A253+1</f>
        <v>46131</v>
      </c>
      <c r="B273" s="210" t="s">
        <v>64</v>
      </c>
      <c r="C273" s="203"/>
      <c r="D273" s="63">
        <v>9574.7199999999993</v>
      </c>
      <c r="E273" s="66"/>
      <c r="F273" s="66"/>
      <c r="G273" s="66"/>
      <c r="H273" s="66"/>
      <c r="I273" s="66">
        <f>-D273</f>
        <v>-9574.7199999999993</v>
      </c>
      <c r="J273" s="66"/>
      <c r="K273" s="18"/>
      <c r="L273" s="18"/>
      <c r="M273" s="66"/>
      <c r="N273" s="18"/>
      <c r="O273" s="18"/>
      <c r="P273" s="66"/>
      <c r="Q273" s="18"/>
      <c r="R273" s="18"/>
      <c r="S273" s="66"/>
      <c r="T273" s="46"/>
      <c r="U273" s="46"/>
      <c r="V273" s="45"/>
      <c r="W273" s="18"/>
      <c r="X273" s="18"/>
      <c r="Y273" s="18"/>
      <c r="Z273" s="18"/>
      <c r="AA273" s="18"/>
      <c r="AB273" s="14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31"/>
      <c r="AT273" s="10"/>
      <c r="AU273" s="27"/>
    </row>
    <row r="274" spans="1:49" s="4" customFormat="1" ht="17.25" customHeight="1" x14ac:dyDescent="0.25">
      <c r="A274" s="23"/>
      <c r="B274" s="201" t="s">
        <v>96</v>
      </c>
      <c r="C274" s="202"/>
      <c r="D274" s="63"/>
      <c r="E274" s="64"/>
      <c r="F274" s="64"/>
      <c r="G274" s="64"/>
      <c r="H274" s="64"/>
      <c r="I274" s="64">
        <f>-I272-I273</f>
        <v>-255.32999999999993</v>
      </c>
      <c r="J274" s="64"/>
      <c r="K274" s="16"/>
      <c r="L274" s="92"/>
      <c r="M274" s="64"/>
      <c r="N274" s="16"/>
      <c r="O274" s="92"/>
      <c r="P274" s="64"/>
      <c r="Q274" s="16"/>
      <c r="R274" s="92"/>
      <c r="S274" s="64"/>
      <c r="T274" s="40"/>
      <c r="U274" s="46"/>
      <c r="V274" s="39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22"/>
      <c r="AS274" s="30"/>
    </row>
    <row r="275" spans="1:49" s="2" customFormat="1" ht="17.25" customHeight="1" x14ac:dyDescent="0.25">
      <c r="A275" s="29"/>
      <c r="B275" s="201" t="s">
        <v>327</v>
      </c>
      <c r="C275" s="202"/>
      <c r="D275" s="63">
        <f>150+70+15+20+40+20+10+40+10+50+52+65+20+80+248</f>
        <v>890</v>
      </c>
      <c r="E275" s="64"/>
      <c r="F275" s="64"/>
      <c r="G275" s="64"/>
      <c r="H275" s="64"/>
      <c r="I275" s="64">
        <f>-D275</f>
        <v>-890</v>
      </c>
      <c r="J275" s="64"/>
      <c r="K275" s="57"/>
      <c r="L275" s="88"/>
      <c r="M275" s="62"/>
      <c r="N275" s="57"/>
      <c r="O275" s="88"/>
      <c r="P275" s="62"/>
      <c r="Q275" s="57"/>
      <c r="R275" s="88"/>
      <c r="S275" s="62"/>
      <c r="T275" s="47"/>
      <c r="U275" s="39"/>
      <c r="V275" s="39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22"/>
      <c r="AT275" s="10"/>
      <c r="AU275" s="11"/>
    </row>
    <row r="276" spans="1:49" s="2" customFormat="1" ht="17.25" customHeight="1" x14ac:dyDescent="0.25">
      <c r="A276" s="29"/>
      <c r="B276" s="201" t="s">
        <v>328</v>
      </c>
      <c r="C276" s="202"/>
      <c r="D276" s="63">
        <f>-13*0.99-1.2-1.98</f>
        <v>-16.049999999999997</v>
      </c>
      <c r="E276" s="64"/>
      <c r="F276" s="64"/>
      <c r="G276" s="64"/>
      <c r="H276" s="64"/>
      <c r="I276" s="64"/>
      <c r="J276" s="64"/>
      <c r="K276" s="57"/>
      <c r="L276" s="88"/>
      <c r="M276" s="62"/>
      <c r="N276" s="57"/>
      <c r="O276" s="88"/>
      <c r="P276" s="62"/>
      <c r="Q276" s="57"/>
      <c r="R276" s="88"/>
      <c r="S276" s="62"/>
      <c r="T276" s="47"/>
      <c r="U276" s="39"/>
      <c r="V276" s="39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22"/>
      <c r="AT276" s="10"/>
      <c r="AU276" s="11"/>
    </row>
    <row r="277" spans="1:49" s="2" customFormat="1" ht="17.25" customHeight="1" x14ac:dyDescent="0.25">
      <c r="A277" s="29"/>
      <c r="B277" s="201" t="s">
        <v>72</v>
      </c>
      <c r="C277" s="202"/>
      <c r="D277" s="63"/>
      <c r="E277" s="64"/>
      <c r="F277" s="64"/>
      <c r="G277" s="64"/>
      <c r="H277" s="64"/>
      <c r="I277" s="64"/>
      <c r="J277" s="64"/>
      <c r="K277" s="57"/>
      <c r="L277" s="88"/>
      <c r="M277" s="62"/>
      <c r="N277" s="57"/>
      <c r="O277" s="88"/>
      <c r="P277" s="62"/>
      <c r="Q277" s="57"/>
      <c r="R277" s="88"/>
      <c r="S277" s="62"/>
      <c r="T277" s="47"/>
      <c r="U277" s="39"/>
      <c r="V277" s="39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22"/>
      <c r="AT277" s="10" t="s">
        <v>4</v>
      </c>
      <c r="AU277" s="11" t="e">
        <v>#REF!</v>
      </c>
    </row>
    <row r="278" spans="1:49" s="4" customFormat="1" ht="17.25" customHeight="1" x14ac:dyDescent="0.25">
      <c r="A278" s="23"/>
      <c r="B278" s="201" t="s">
        <v>13</v>
      </c>
      <c r="C278" s="203"/>
      <c r="D278" s="63"/>
      <c r="E278" s="64">
        <f>50+60+50+9+30+20+955+1037+1000+1209+1026</f>
        <v>5446</v>
      </c>
      <c r="F278" s="64"/>
      <c r="G278" s="64"/>
      <c r="H278" s="64">
        <f>-E278</f>
        <v>-5446</v>
      </c>
      <c r="I278" s="66"/>
      <c r="J278" s="64"/>
      <c r="K278" s="16"/>
      <c r="L278" s="92"/>
      <c r="M278" s="64"/>
      <c r="N278" s="16"/>
      <c r="O278" s="92"/>
      <c r="P278" s="64"/>
      <c r="Q278" s="16"/>
      <c r="R278" s="92"/>
      <c r="S278" s="64"/>
      <c r="T278" s="40"/>
      <c r="U278" s="46">
        <f>-D278</f>
        <v>0</v>
      </c>
      <c r="V278" s="39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22"/>
      <c r="AS278" s="30"/>
    </row>
    <row r="279" spans="1:49" s="2" customFormat="1" ht="17.25" customHeight="1" thickBot="1" x14ac:dyDescent="0.25">
      <c r="A279" s="24"/>
      <c r="B279" s="216"/>
      <c r="C279" s="217"/>
      <c r="D279" s="83"/>
      <c r="E279" s="81"/>
      <c r="F279" s="81"/>
      <c r="G279" s="81"/>
      <c r="H279" s="81"/>
      <c r="I279" s="81"/>
      <c r="J279" s="81"/>
      <c r="K279" s="37"/>
      <c r="L279" s="93"/>
      <c r="M279" s="81"/>
      <c r="N279" s="37"/>
      <c r="O279" s="93"/>
      <c r="P279" s="81"/>
      <c r="Q279" s="37"/>
      <c r="R279" s="93"/>
      <c r="S279" s="81"/>
      <c r="T279" s="40"/>
      <c r="U279" s="40"/>
      <c r="V279" s="39"/>
      <c r="W279" s="16"/>
      <c r="X279" s="16"/>
      <c r="Y279" s="16"/>
      <c r="Z279" s="16"/>
      <c r="AA279" s="16"/>
      <c r="AB279" s="19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41"/>
      <c r="AT279" s="10"/>
      <c r="AU279" s="11"/>
    </row>
    <row r="280" spans="1:49" s="4" customFormat="1" ht="17.25" customHeight="1" x14ac:dyDescent="0.25">
      <c r="A280" s="23"/>
      <c r="B280" s="210" t="s">
        <v>94</v>
      </c>
      <c r="C280" s="203"/>
      <c r="D280" s="66"/>
      <c r="E280" s="66"/>
      <c r="F280" s="117"/>
      <c r="G280" s="117"/>
      <c r="H280" s="66"/>
      <c r="I280" s="66"/>
      <c r="J280" s="66">
        <f>-M280</f>
        <v>5834.07</v>
      </c>
      <c r="K280" s="58">
        <v>-913</v>
      </c>
      <c r="L280" s="89">
        <v>6.39</v>
      </c>
      <c r="M280" s="73">
        <f>K280*L280</f>
        <v>-5834.07</v>
      </c>
      <c r="N280" s="58"/>
      <c r="O280" s="89"/>
      <c r="P280" s="73"/>
      <c r="Q280" s="58"/>
      <c r="R280" s="89"/>
      <c r="S280" s="73"/>
      <c r="T280" s="39"/>
      <c r="U280" s="39"/>
      <c r="V280" s="8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35"/>
      <c r="AS280" s="12" t="e">
        <f>#REF!</f>
        <v>#REF!</v>
      </c>
    </row>
    <row r="281" spans="1:49" s="4" customFormat="1" ht="17.25" customHeight="1" x14ac:dyDescent="0.25">
      <c r="A281" s="23"/>
      <c r="B281" s="201" t="s">
        <v>95</v>
      </c>
      <c r="C281" s="202"/>
      <c r="D281" s="64"/>
      <c r="E281" s="64"/>
      <c r="F281" s="117"/>
      <c r="G281" s="117"/>
      <c r="H281" s="64"/>
      <c r="I281" s="64"/>
      <c r="J281" s="64">
        <f>-P281</f>
        <v>3149.76</v>
      </c>
      <c r="K281" s="57"/>
      <c r="L281" s="88"/>
      <c r="M281" s="62"/>
      <c r="N281" s="57">
        <v>-772</v>
      </c>
      <c r="O281" s="88">
        <v>4.08</v>
      </c>
      <c r="P281" s="62">
        <f>N281*O281</f>
        <v>-3149.76</v>
      </c>
      <c r="Q281" s="57"/>
      <c r="R281" s="88"/>
      <c r="S281" s="62"/>
      <c r="T281" s="39"/>
      <c r="U281" s="39"/>
      <c r="V281" s="8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35"/>
      <c r="AS281" s="12" t="e">
        <f>#REF!</f>
        <v>#REF!</v>
      </c>
    </row>
    <row r="282" spans="1:49" s="4" customFormat="1" ht="17.25" customHeight="1" x14ac:dyDescent="0.25">
      <c r="A282" s="23"/>
      <c r="B282" s="201" t="s">
        <v>97</v>
      </c>
      <c r="C282" s="203"/>
      <c r="D282" s="64"/>
      <c r="E282" s="64"/>
      <c r="F282" s="64"/>
      <c r="G282" s="64"/>
      <c r="H282" s="64">
        <f>-J282-I282</f>
        <v>-68.719999999999345</v>
      </c>
      <c r="I282" s="64">
        <v>9052.5499999999993</v>
      </c>
      <c r="J282" s="64">
        <f>-SUM(J280:J281)</f>
        <v>-8983.83</v>
      </c>
      <c r="K282" s="57"/>
      <c r="L282" s="88"/>
      <c r="M282" s="62"/>
      <c r="N282" s="57"/>
      <c r="O282" s="88"/>
      <c r="P282" s="62"/>
      <c r="Q282" s="57"/>
      <c r="R282" s="88"/>
      <c r="S282" s="62"/>
      <c r="T282" s="39"/>
      <c r="U282" s="39"/>
      <c r="V282" s="39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22"/>
      <c r="AR282" s="43">
        <f>A249</f>
        <v>0</v>
      </c>
      <c r="AS282" s="12" t="e">
        <f>#REF!</f>
        <v>#REF!</v>
      </c>
      <c r="AW282" s="2"/>
    </row>
    <row r="283" spans="1:49" s="4" customFormat="1" ht="17.25" customHeight="1" x14ac:dyDescent="0.25">
      <c r="A283" s="23"/>
      <c r="B283" s="201" t="s">
        <v>93</v>
      </c>
      <c r="C283" s="202"/>
      <c r="D283" s="64"/>
      <c r="E283" s="64"/>
      <c r="F283" s="64"/>
      <c r="G283" s="64"/>
      <c r="H283" s="64"/>
      <c r="I283" s="64"/>
      <c r="J283" s="64"/>
      <c r="K283" s="57">
        <v>80</v>
      </c>
      <c r="L283" s="88"/>
      <c r="M283" s="62">
        <f>(K286*(M272)/(K272))-M272-M280</f>
        <v>1192.7398054295263</v>
      </c>
      <c r="N283" s="57">
        <v>-12</v>
      </c>
      <c r="O283" s="88"/>
      <c r="P283" s="62">
        <f>(N286*(P272)/(N272))-P272-P281</f>
        <v>14796.718651685393</v>
      </c>
      <c r="Q283" s="57"/>
      <c r="R283" s="88"/>
      <c r="S283" s="62"/>
      <c r="T283" s="39"/>
      <c r="U283" s="39"/>
      <c r="V283" s="39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22"/>
      <c r="AR283" s="43">
        <f>A266</f>
        <v>0</v>
      </c>
      <c r="AS283" s="12" t="e">
        <f>#REF!</f>
        <v>#REF!</v>
      </c>
      <c r="AW283" s="2"/>
    </row>
    <row r="284" spans="1:49" s="2" customFormat="1" ht="17.25" customHeight="1" x14ac:dyDescent="0.2">
      <c r="A284" s="24"/>
      <c r="B284" s="201"/>
      <c r="C284" s="204"/>
      <c r="D284" s="63"/>
      <c r="E284" s="64"/>
      <c r="F284" s="64"/>
      <c r="G284" s="64"/>
      <c r="H284" s="64"/>
      <c r="I284" s="64"/>
      <c r="J284" s="64"/>
      <c r="K284" s="16"/>
      <c r="L284" s="16"/>
      <c r="M284" s="64"/>
      <c r="N284" s="16"/>
      <c r="O284" s="16"/>
      <c r="P284" s="64"/>
      <c r="Q284" s="16"/>
      <c r="R284" s="16"/>
      <c r="S284" s="64"/>
      <c r="T284" s="46"/>
      <c r="U284" s="46"/>
      <c r="V284" s="39"/>
      <c r="W284" s="16"/>
      <c r="X284" s="16"/>
      <c r="Y284" s="16"/>
      <c r="Z284" s="16"/>
      <c r="AA284" s="16"/>
      <c r="AB284" s="19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43">
        <f>A273</f>
        <v>46131</v>
      </c>
      <c r="AT284" s="10"/>
      <c r="AU284" s="11"/>
    </row>
    <row r="285" spans="1:49" s="2" customFormat="1" ht="17.25" customHeight="1" thickBot="1" x14ac:dyDescent="0.3">
      <c r="A285" s="56"/>
      <c r="B285" s="101" t="s">
        <v>102</v>
      </c>
      <c r="C285" s="102">
        <f>D286+E286+F286+G286+H286+I286+J286+M286+P286</f>
        <v>187680.54954000004</v>
      </c>
      <c r="D285" s="84"/>
      <c r="E285" s="85"/>
      <c r="F285" s="85"/>
      <c r="G285" s="85"/>
      <c r="H285" s="85"/>
      <c r="I285" s="85"/>
      <c r="J285" s="85"/>
      <c r="K285" s="28"/>
      <c r="L285" s="28"/>
      <c r="M285" s="85"/>
      <c r="N285" s="28"/>
      <c r="O285" s="28"/>
      <c r="P285" s="85"/>
      <c r="Q285" s="28"/>
      <c r="R285" s="28"/>
      <c r="S285" s="85"/>
      <c r="T285" s="48"/>
      <c r="U285" s="48"/>
      <c r="V285" s="51"/>
      <c r="W285" s="28"/>
      <c r="X285" s="28"/>
      <c r="Y285" s="28"/>
      <c r="Z285" s="28"/>
      <c r="AA285" s="28"/>
      <c r="AB285" s="36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42">
        <f>SUM($T272:AQ285)</f>
        <v>-397953.13890000002</v>
      </c>
      <c r="AT285" s="10"/>
      <c r="AU285" s="11"/>
      <c r="AV285" s="2" t="s">
        <v>5</v>
      </c>
    </row>
    <row r="286" spans="1:49" s="2" customFormat="1" ht="17.25" customHeight="1" thickTop="1" thickBot="1" x14ac:dyDescent="0.3">
      <c r="A286" s="103"/>
      <c r="B286" s="104" t="s">
        <v>103</v>
      </c>
      <c r="C286" s="105">
        <f>AR286</f>
        <v>-210272.58935999998</v>
      </c>
      <c r="D286" s="106">
        <f t="shared" ref="D286:K286" si="36">SUM(D272:D285)</f>
        <v>104942.90704000001</v>
      </c>
      <c r="E286" s="107">
        <f t="shared" si="36"/>
        <v>-48863.81</v>
      </c>
      <c r="F286" s="107">
        <f t="shared" si="36"/>
        <v>-28394.35</v>
      </c>
      <c r="G286" s="107">
        <f t="shared" si="36"/>
        <v>0</v>
      </c>
      <c r="H286" s="107">
        <f t="shared" si="36"/>
        <v>61799.842500000042</v>
      </c>
      <c r="I286" s="107">
        <f t="shared" si="36"/>
        <v>8162.5499999999993</v>
      </c>
      <c r="J286" s="107">
        <f t="shared" si="36"/>
        <v>0</v>
      </c>
      <c r="K286" s="108">
        <f t="shared" si="36"/>
        <v>12170</v>
      </c>
      <c r="L286" s="109">
        <f>M286/K286</f>
        <v>5.5718249794576833</v>
      </c>
      <c r="M286" s="107">
        <f>ROUND(SUM(M272:M285),2)</f>
        <v>67809.11</v>
      </c>
      <c r="N286" s="108">
        <f>SUM(N272:N285)</f>
        <v>-1496</v>
      </c>
      <c r="O286" s="109">
        <f>P286/N286</f>
        <v>-14.85581550802139</v>
      </c>
      <c r="P286" s="107">
        <f>ROUND(SUM(P272:P285),2)</f>
        <v>22224.3</v>
      </c>
      <c r="Q286" s="108">
        <f>SUM(Q272:Q285)</f>
        <v>214</v>
      </c>
      <c r="R286" s="109">
        <f>S286/Q286</f>
        <v>6.099485981308411</v>
      </c>
      <c r="S286" s="107">
        <f>ROUND(SUM(S272:S285),2)</f>
        <v>1305.29</v>
      </c>
      <c r="T286" s="110">
        <f t="shared" ref="T286:AQ286" si="37">SUM(T272:T285)</f>
        <v>-451397.12890000001</v>
      </c>
      <c r="U286" s="107">
        <f t="shared" si="37"/>
        <v>50229.299999999996</v>
      </c>
      <c r="V286" s="107">
        <f t="shared" si="37"/>
        <v>0</v>
      </c>
      <c r="W286" s="107">
        <f t="shared" si="37"/>
        <v>3214.6899999999996</v>
      </c>
      <c r="X286" s="107">
        <f t="shared" si="37"/>
        <v>0</v>
      </c>
      <c r="Y286" s="107">
        <f t="shared" si="37"/>
        <v>0</v>
      </c>
      <c r="Z286" s="107">
        <f t="shared" si="37"/>
        <v>0</v>
      </c>
      <c r="AA286" s="107">
        <f t="shared" si="37"/>
        <v>0</v>
      </c>
      <c r="AB286" s="107">
        <f t="shared" si="37"/>
        <v>0</v>
      </c>
      <c r="AC286" s="107">
        <f t="shared" si="37"/>
        <v>0</v>
      </c>
      <c r="AD286" s="107">
        <f t="shared" si="37"/>
        <v>0</v>
      </c>
      <c r="AE286" s="107">
        <f t="shared" si="37"/>
        <v>0</v>
      </c>
      <c r="AF286" s="107">
        <f t="shared" si="37"/>
        <v>0</v>
      </c>
      <c r="AG286" s="107">
        <f t="shared" si="37"/>
        <v>0</v>
      </c>
      <c r="AH286" s="107">
        <f t="shared" si="37"/>
        <v>0</v>
      </c>
      <c r="AI286" s="107">
        <f t="shared" si="37"/>
        <v>0</v>
      </c>
      <c r="AJ286" s="107">
        <f t="shared" si="37"/>
        <v>0</v>
      </c>
      <c r="AK286" s="107">
        <f t="shared" si="37"/>
        <v>0</v>
      </c>
      <c r="AL286" s="107">
        <f t="shared" si="37"/>
        <v>0</v>
      </c>
      <c r="AM286" s="107">
        <f t="shared" si="37"/>
        <v>0</v>
      </c>
      <c r="AN286" s="107">
        <f t="shared" si="37"/>
        <v>0</v>
      </c>
      <c r="AO286" s="107">
        <f t="shared" si="37"/>
        <v>0</v>
      </c>
      <c r="AP286" s="107">
        <f t="shared" si="37"/>
        <v>0</v>
      </c>
      <c r="AQ286" s="107">
        <f t="shared" si="37"/>
        <v>0</v>
      </c>
      <c r="AR286" s="111">
        <f>D286+E286+F286+G286+H286+I286+J286+M286+P286+SUM(T286:AQ286)</f>
        <v>-210272.58935999998</v>
      </c>
      <c r="AS286" s="4"/>
      <c r="AT286" s="5"/>
      <c r="AU286" s="5"/>
      <c r="AV286" s="2" t="s">
        <v>6</v>
      </c>
    </row>
    <row r="287" spans="1:49" s="2" customFormat="1" ht="17.25" customHeight="1" thickTop="1" x14ac:dyDescent="0.25">
      <c r="A287" s="23">
        <f>A273+1</f>
        <v>46132</v>
      </c>
      <c r="B287" s="210" t="s">
        <v>64</v>
      </c>
      <c r="C287" s="203"/>
      <c r="D287" s="63">
        <v>7977.74</v>
      </c>
      <c r="E287" s="66"/>
      <c r="F287" s="66"/>
      <c r="G287" s="66"/>
      <c r="H287" s="66"/>
      <c r="I287" s="66">
        <f>-D287</f>
        <v>-7977.74</v>
      </c>
      <c r="J287" s="66"/>
      <c r="K287" s="18"/>
      <c r="L287" s="18"/>
      <c r="M287" s="66"/>
      <c r="N287" s="18"/>
      <c r="O287" s="18"/>
      <c r="P287" s="66"/>
      <c r="Q287" s="18"/>
      <c r="R287" s="18"/>
      <c r="S287" s="66"/>
      <c r="T287" s="46"/>
      <c r="U287" s="46"/>
      <c r="V287" s="45"/>
      <c r="W287" s="18"/>
      <c r="X287" s="18"/>
      <c r="Y287" s="18"/>
      <c r="Z287" s="18"/>
      <c r="AA287" s="18"/>
      <c r="AB287" s="14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31"/>
      <c r="AT287" s="10"/>
      <c r="AU287" s="27"/>
    </row>
    <row r="288" spans="1:49" s="4" customFormat="1" ht="17.25" customHeight="1" x14ac:dyDescent="0.25">
      <c r="A288" s="23"/>
      <c r="B288" s="201" t="s">
        <v>96</v>
      </c>
      <c r="C288" s="202"/>
      <c r="D288" s="63"/>
      <c r="E288" s="64"/>
      <c r="F288" s="64"/>
      <c r="G288" s="64"/>
      <c r="H288" s="64"/>
      <c r="I288" s="64">
        <f>-I286-I287</f>
        <v>-184.80999999999949</v>
      </c>
      <c r="J288" s="64"/>
      <c r="K288" s="16"/>
      <c r="L288" s="92"/>
      <c r="M288" s="64"/>
      <c r="N288" s="16"/>
      <c r="O288" s="92"/>
      <c r="P288" s="64"/>
      <c r="Q288" s="16"/>
      <c r="R288" s="92"/>
      <c r="S288" s="64"/>
      <c r="T288" s="40"/>
      <c r="U288" s="46"/>
      <c r="V288" s="39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22"/>
      <c r="AS288" s="30"/>
    </row>
    <row r="289" spans="1:49" s="2" customFormat="1" ht="17.25" customHeight="1" x14ac:dyDescent="0.25">
      <c r="A289" s="29"/>
      <c r="B289" s="201" t="s">
        <v>327</v>
      </c>
      <c r="C289" s="202"/>
      <c r="D289" s="63">
        <f>100+50+20+150+50+30+30+50+10+80+20+20+39+60+80+30+30+20</f>
        <v>869</v>
      </c>
      <c r="E289" s="64"/>
      <c r="F289" s="64"/>
      <c r="G289" s="64"/>
      <c r="H289" s="64"/>
      <c r="I289" s="64">
        <f>-D289</f>
        <v>-869</v>
      </c>
      <c r="J289" s="64"/>
      <c r="K289" s="57"/>
      <c r="L289" s="88"/>
      <c r="M289" s="62"/>
      <c r="N289" s="57"/>
      <c r="O289" s="88"/>
      <c r="P289" s="62"/>
      <c r="Q289" s="57"/>
      <c r="R289" s="88"/>
      <c r="S289" s="62"/>
      <c r="T289" s="47"/>
      <c r="U289" s="39"/>
      <c r="V289" s="39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22"/>
      <c r="AT289" s="10"/>
      <c r="AU289" s="11"/>
    </row>
    <row r="290" spans="1:49" s="2" customFormat="1" ht="17.25" customHeight="1" x14ac:dyDescent="0.25">
      <c r="A290" s="29"/>
      <c r="B290" s="201" t="s">
        <v>328</v>
      </c>
      <c r="C290" s="202"/>
      <c r="D290" s="63">
        <f>-17*0.99-1.2</f>
        <v>-18.029999999999998</v>
      </c>
      <c r="E290" s="64"/>
      <c r="F290" s="64"/>
      <c r="G290" s="64"/>
      <c r="H290" s="64"/>
      <c r="I290" s="64"/>
      <c r="J290" s="64"/>
      <c r="K290" s="57"/>
      <c r="L290" s="88"/>
      <c r="M290" s="62"/>
      <c r="N290" s="57"/>
      <c r="O290" s="88"/>
      <c r="P290" s="62"/>
      <c r="Q290" s="57"/>
      <c r="R290" s="88"/>
      <c r="S290" s="62"/>
      <c r="T290" s="47"/>
      <c r="U290" s="39"/>
      <c r="V290" s="39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22"/>
      <c r="AT290" s="10"/>
      <c r="AU290" s="11"/>
    </row>
    <row r="291" spans="1:49" s="2" customFormat="1" ht="17.25" customHeight="1" x14ac:dyDescent="0.25">
      <c r="A291" s="24"/>
      <c r="B291" s="205" t="s">
        <v>263</v>
      </c>
      <c r="C291" s="206"/>
      <c r="D291" s="63">
        <v>-18500</v>
      </c>
      <c r="E291" s="64"/>
      <c r="F291" s="64"/>
      <c r="G291" s="64"/>
      <c r="H291" s="64"/>
      <c r="I291" s="64"/>
      <c r="J291" s="64"/>
      <c r="K291" s="16"/>
      <c r="L291" s="92"/>
      <c r="M291" s="64"/>
      <c r="N291" s="16"/>
      <c r="O291" s="92"/>
      <c r="P291" s="64"/>
      <c r="Q291" s="16"/>
      <c r="R291" s="92"/>
      <c r="S291" s="64"/>
      <c r="T291" s="40">
        <f>-D291</f>
        <v>18500</v>
      </c>
      <c r="U291" s="40"/>
      <c r="V291" s="39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22"/>
      <c r="AT291" s="10"/>
      <c r="AU291" s="11"/>
    </row>
    <row r="292" spans="1:49" s="2" customFormat="1" ht="17.25" customHeight="1" x14ac:dyDescent="0.25">
      <c r="A292" s="29"/>
      <c r="B292" s="201" t="s">
        <v>276</v>
      </c>
      <c r="C292" s="202"/>
      <c r="D292" s="63">
        <v>-4.9000000000000004</v>
      </c>
      <c r="E292" s="64"/>
      <c r="F292" s="64"/>
      <c r="G292" s="64"/>
      <c r="H292" s="64"/>
      <c r="I292" s="64"/>
      <c r="J292" s="64"/>
      <c r="K292" s="57"/>
      <c r="L292" s="88"/>
      <c r="M292" s="62"/>
      <c r="N292" s="57"/>
      <c r="O292" s="88"/>
      <c r="P292" s="62"/>
      <c r="Q292" s="57"/>
      <c r="R292" s="88"/>
      <c r="S292" s="62"/>
      <c r="T292" s="47"/>
      <c r="U292" s="39"/>
      <c r="V292" s="39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22"/>
      <c r="AT292" s="10"/>
      <c r="AU292" s="11"/>
    </row>
    <row r="293" spans="1:49" s="4" customFormat="1" ht="17.25" customHeight="1" x14ac:dyDescent="0.25">
      <c r="A293" s="23"/>
      <c r="B293" s="201" t="s">
        <v>13</v>
      </c>
      <c r="C293" s="203"/>
      <c r="D293" s="63"/>
      <c r="E293" s="64">
        <f>20+11.07+15+50+25+1158.28+150+70+15+14.99+544+1284+1259+894+150+717+1295+1778+946+97+10+20+30+50+75+307+240+20</f>
        <v>11245.34</v>
      </c>
      <c r="F293" s="64"/>
      <c r="G293" s="64"/>
      <c r="H293" s="64">
        <f>-E293</f>
        <v>-11245.34</v>
      </c>
      <c r="I293" s="66"/>
      <c r="J293" s="64"/>
      <c r="K293" s="16"/>
      <c r="L293" s="92"/>
      <c r="M293" s="64"/>
      <c r="N293" s="16"/>
      <c r="O293" s="92"/>
      <c r="P293" s="64"/>
      <c r="Q293" s="16"/>
      <c r="R293" s="92"/>
      <c r="S293" s="64"/>
      <c r="T293" s="40"/>
      <c r="U293" s="46">
        <f>-D293</f>
        <v>0</v>
      </c>
      <c r="V293" s="39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22"/>
      <c r="AS293" s="30"/>
    </row>
    <row r="294" spans="1:49" s="2" customFormat="1" ht="17.25" customHeight="1" x14ac:dyDescent="0.25">
      <c r="A294" s="24"/>
      <c r="B294" s="205" t="s">
        <v>263</v>
      </c>
      <c r="C294" s="206"/>
      <c r="D294" s="63"/>
      <c r="E294" s="64">
        <v>-4620</v>
      </c>
      <c r="F294" s="64"/>
      <c r="G294" s="64"/>
      <c r="H294" s="64"/>
      <c r="I294" s="64"/>
      <c r="J294" s="64"/>
      <c r="K294" s="16"/>
      <c r="L294" s="92"/>
      <c r="M294" s="64"/>
      <c r="N294" s="16"/>
      <c r="O294" s="92"/>
      <c r="P294" s="64"/>
      <c r="Q294" s="16"/>
      <c r="R294" s="92"/>
      <c r="S294" s="64"/>
      <c r="T294" s="40">
        <f>-E294</f>
        <v>4620</v>
      </c>
      <c r="U294" s="40"/>
      <c r="V294" s="39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22"/>
      <c r="AT294" s="10"/>
      <c r="AU294" s="11"/>
    </row>
    <row r="295" spans="1:49" s="2" customFormat="1" ht="17.25" customHeight="1" x14ac:dyDescent="0.2">
      <c r="A295" s="23"/>
      <c r="B295" s="201" t="s">
        <v>53</v>
      </c>
      <c r="C295" s="203"/>
      <c r="D295" s="63"/>
      <c r="E295" s="64">
        <v>-1664.69</v>
      </c>
      <c r="F295" s="74"/>
      <c r="G295" s="74"/>
      <c r="H295" s="64"/>
      <c r="I295" s="64"/>
      <c r="J295" s="64"/>
      <c r="K295" s="16"/>
      <c r="L295" s="16"/>
      <c r="M295" s="64"/>
      <c r="N295" s="16"/>
      <c r="O295" s="16"/>
      <c r="P295" s="64"/>
      <c r="Q295" s="16"/>
      <c r="R295" s="16"/>
      <c r="S295" s="64"/>
      <c r="T295" s="46"/>
      <c r="U295" s="39"/>
      <c r="V295" s="40"/>
      <c r="W295" s="16"/>
      <c r="X295" s="16"/>
      <c r="Y295" s="16"/>
      <c r="Z295" s="16"/>
      <c r="AA295" s="16"/>
      <c r="AB295" s="19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35"/>
      <c r="AT295" s="10"/>
      <c r="AU295" s="27"/>
    </row>
    <row r="296" spans="1:49" s="2" customFormat="1" ht="17.25" customHeight="1" x14ac:dyDescent="0.2">
      <c r="A296" s="23"/>
      <c r="B296" s="201" t="s">
        <v>370</v>
      </c>
      <c r="C296" s="203"/>
      <c r="D296" s="63"/>
      <c r="E296" s="64">
        <v>-224.4</v>
      </c>
      <c r="F296" s="74"/>
      <c r="G296" s="74"/>
      <c r="H296" s="64"/>
      <c r="I296" s="64"/>
      <c r="J296" s="64"/>
      <c r="K296" s="16"/>
      <c r="L296" s="16"/>
      <c r="M296" s="64"/>
      <c r="N296" s="16"/>
      <c r="O296" s="16"/>
      <c r="P296" s="64"/>
      <c r="Q296" s="16"/>
      <c r="R296" s="16"/>
      <c r="S296" s="64"/>
      <c r="T296" s="46"/>
      <c r="U296" s="39"/>
      <c r="V296" s="40"/>
      <c r="W296" s="16"/>
      <c r="X296" s="16"/>
      <c r="Y296" s="16"/>
      <c r="Z296" s="16"/>
      <c r="AA296" s="16"/>
      <c r="AB296" s="19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35"/>
      <c r="AT296" s="10"/>
      <c r="AU296" s="27"/>
    </row>
    <row r="297" spans="1:49" s="2" customFormat="1" ht="17.25" customHeight="1" x14ac:dyDescent="0.25">
      <c r="A297" s="29"/>
      <c r="B297" s="193" t="s">
        <v>377</v>
      </c>
      <c r="C297" s="194"/>
      <c r="D297" s="63"/>
      <c r="E297" s="64">
        <v>-395</v>
      </c>
      <c r="F297" s="64"/>
      <c r="G297" s="64"/>
      <c r="H297" s="64"/>
      <c r="I297" s="64"/>
      <c r="J297" s="64"/>
      <c r="K297" s="57"/>
      <c r="L297" s="88"/>
      <c r="M297" s="62"/>
      <c r="N297" s="57"/>
      <c r="O297" s="88"/>
      <c r="P297" s="62"/>
      <c r="Q297" s="57"/>
      <c r="R297" s="88"/>
      <c r="S297" s="62"/>
      <c r="T297" s="47"/>
      <c r="U297" s="39"/>
      <c r="V297" s="39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22"/>
      <c r="AT297" s="10" t="s">
        <v>4</v>
      </c>
      <c r="AU297" s="11" t="e">
        <v>#REF!</v>
      </c>
    </row>
    <row r="298" spans="1:49" s="2" customFormat="1" ht="17.25" customHeight="1" thickBot="1" x14ac:dyDescent="0.25">
      <c r="A298" s="24"/>
      <c r="B298" s="216"/>
      <c r="C298" s="217"/>
      <c r="D298" s="83"/>
      <c r="E298" s="81"/>
      <c r="F298" s="81"/>
      <c r="G298" s="81"/>
      <c r="H298" s="81"/>
      <c r="I298" s="81"/>
      <c r="J298" s="81"/>
      <c r="K298" s="37"/>
      <c r="L298" s="93"/>
      <c r="M298" s="81"/>
      <c r="N298" s="37"/>
      <c r="O298" s="93"/>
      <c r="P298" s="81"/>
      <c r="Q298" s="37"/>
      <c r="R298" s="93"/>
      <c r="S298" s="81"/>
      <c r="T298" s="40"/>
      <c r="U298" s="40"/>
      <c r="V298" s="39"/>
      <c r="W298" s="16"/>
      <c r="X298" s="16"/>
      <c r="Y298" s="16"/>
      <c r="Z298" s="16"/>
      <c r="AA298" s="16"/>
      <c r="AB298" s="19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41"/>
      <c r="AT298" s="10"/>
      <c r="AU298" s="11"/>
    </row>
    <row r="299" spans="1:49" s="4" customFormat="1" ht="17.25" customHeight="1" x14ac:dyDescent="0.25">
      <c r="A299" s="23"/>
      <c r="B299" s="210" t="s">
        <v>94</v>
      </c>
      <c r="C299" s="203"/>
      <c r="D299" s="66"/>
      <c r="E299" s="66"/>
      <c r="F299" s="117"/>
      <c r="G299" s="117"/>
      <c r="H299" s="66"/>
      <c r="I299" s="66"/>
      <c r="J299" s="66">
        <f>-M299</f>
        <v>6409.17</v>
      </c>
      <c r="K299" s="58">
        <v>-1003</v>
      </c>
      <c r="L299" s="89">
        <v>6.39</v>
      </c>
      <c r="M299" s="73">
        <f>K299*L299</f>
        <v>-6409.17</v>
      </c>
      <c r="N299" s="58"/>
      <c r="O299" s="89"/>
      <c r="P299" s="73"/>
      <c r="Q299" s="58"/>
      <c r="R299" s="89"/>
      <c r="S299" s="73"/>
      <c r="T299" s="39"/>
      <c r="U299" s="39"/>
      <c r="V299" s="8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35"/>
      <c r="AS299" s="12" t="e">
        <f>#REF!</f>
        <v>#REF!</v>
      </c>
    </row>
    <row r="300" spans="1:49" s="4" customFormat="1" ht="17.25" customHeight="1" x14ac:dyDescent="0.25">
      <c r="A300" s="23"/>
      <c r="B300" s="201" t="s">
        <v>95</v>
      </c>
      <c r="C300" s="202"/>
      <c r="D300" s="64"/>
      <c r="E300" s="64"/>
      <c r="F300" s="117"/>
      <c r="G300" s="117"/>
      <c r="H300" s="64"/>
      <c r="I300" s="64"/>
      <c r="J300" s="64">
        <f>-P300</f>
        <v>5860.36</v>
      </c>
      <c r="K300" s="57"/>
      <c r="L300" s="88"/>
      <c r="M300" s="62"/>
      <c r="N300" s="57">
        <v>-1402</v>
      </c>
      <c r="O300" s="88">
        <v>4.18</v>
      </c>
      <c r="P300" s="62">
        <f>N300*O300</f>
        <v>-5860.36</v>
      </c>
      <c r="Q300" s="57"/>
      <c r="R300" s="88"/>
      <c r="S300" s="62"/>
      <c r="T300" s="39"/>
      <c r="U300" s="39"/>
      <c r="V300" s="8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35"/>
      <c r="AS300" s="12" t="e">
        <f>#REF!</f>
        <v>#REF!</v>
      </c>
    </row>
    <row r="301" spans="1:49" s="4" customFormat="1" ht="17.25" customHeight="1" x14ac:dyDescent="0.25">
      <c r="A301" s="23"/>
      <c r="B301" s="201" t="s">
        <v>97</v>
      </c>
      <c r="C301" s="203"/>
      <c r="D301" s="64"/>
      <c r="E301" s="64"/>
      <c r="F301" s="64"/>
      <c r="G301" s="64"/>
      <c r="H301" s="64">
        <f>-J301-I301</f>
        <v>2628.5199999999986</v>
      </c>
      <c r="I301" s="64">
        <v>9641.01</v>
      </c>
      <c r="J301" s="64">
        <f>-SUM(J299:J300)</f>
        <v>-12269.529999999999</v>
      </c>
      <c r="K301" s="57"/>
      <c r="L301" s="88"/>
      <c r="M301" s="62"/>
      <c r="N301" s="57"/>
      <c r="O301" s="88"/>
      <c r="P301" s="62"/>
      <c r="Q301" s="57"/>
      <c r="R301" s="88"/>
      <c r="S301" s="62"/>
      <c r="T301" s="39"/>
      <c r="U301" s="39"/>
      <c r="V301" s="39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22"/>
      <c r="AR301" s="43">
        <f>A269</f>
        <v>0</v>
      </c>
      <c r="AS301" s="12" t="e">
        <f>#REF!</f>
        <v>#REF!</v>
      </c>
      <c r="AW301" s="2"/>
    </row>
    <row r="302" spans="1:49" s="4" customFormat="1" ht="17.25" customHeight="1" x14ac:dyDescent="0.25">
      <c r="A302" s="23"/>
      <c r="B302" s="201" t="s">
        <v>93</v>
      </c>
      <c r="C302" s="202"/>
      <c r="D302" s="64"/>
      <c r="E302" s="64"/>
      <c r="F302" s="64"/>
      <c r="G302" s="64"/>
      <c r="H302" s="64"/>
      <c r="I302" s="64"/>
      <c r="J302" s="64"/>
      <c r="K302" s="57">
        <v>-19</v>
      </c>
      <c r="L302" s="88"/>
      <c r="M302" s="62">
        <f>(K305*L286)-M286-M299</f>
        <v>714.76487099425322</v>
      </c>
      <c r="N302" s="57">
        <v>-18</v>
      </c>
      <c r="O302" s="88"/>
      <c r="P302" s="62">
        <f>(N305*(P286)/(N286))-P286-P300</f>
        <v>26955.618021390375</v>
      </c>
      <c r="Q302" s="57"/>
      <c r="R302" s="88"/>
      <c r="S302" s="62"/>
      <c r="T302" s="39"/>
      <c r="U302" s="39"/>
      <c r="V302" s="39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22"/>
      <c r="AR302" s="43">
        <f>A280</f>
        <v>0</v>
      </c>
      <c r="AS302" s="12" t="e">
        <f>#REF!</f>
        <v>#REF!</v>
      </c>
      <c r="AW302" s="2"/>
    </row>
    <row r="303" spans="1:49" s="2" customFormat="1" ht="17.25" customHeight="1" x14ac:dyDescent="0.2">
      <c r="A303" s="24"/>
      <c r="B303" s="201"/>
      <c r="C303" s="204"/>
      <c r="D303" s="63"/>
      <c r="E303" s="64"/>
      <c r="F303" s="64"/>
      <c r="G303" s="64"/>
      <c r="H303" s="64"/>
      <c r="I303" s="64"/>
      <c r="J303" s="64"/>
      <c r="K303" s="16"/>
      <c r="L303" s="16"/>
      <c r="M303" s="64"/>
      <c r="N303" s="16"/>
      <c r="O303" s="16"/>
      <c r="P303" s="64"/>
      <c r="Q303" s="16"/>
      <c r="R303" s="16"/>
      <c r="S303" s="64"/>
      <c r="T303" s="46"/>
      <c r="U303" s="46"/>
      <c r="V303" s="39"/>
      <c r="W303" s="16"/>
      <c r="X303" s="16"/>
      <c r="Y303" s="16"/>
      <c r="Z303" s="16"/>
      <c r="AA303" s="16"/>
      <c r="AB303" s="19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43">
        <f>A287</f>
        <v>46132</v>
      </c>
      <c r="AT303" s="10"/>
      <c r="AU303" s="11"/>
    </row>
    <row r="304" spans="1:49" s="2" customFormat="1" ht="17.25" customHeight="1" thickBot="1" x14ac:dyDescent="0.3">
      <c r="A304" s="56"/>
      <c r="B304" s="101" t="s">
        <v>102</v>
      </c>
      <c r="C304" s="102">
        <f>D305+E305+F305+G305+H305+I305+J305+M305+P305</f>
        <v>189739.09954000005</v>
      </c>
      <c r="D304" s="84"/>
      <c r="E304" s="85"/>
      <c r="F304" s="85"/>
      <c r="G304" s="85"/>
      <c r="H304" s="85"/>
      <c r="I304" s="85"/>
      <c r="J304" s="85"/>
      <c r="K304" s="28"/>
      <c r="L304" s="28"/>
      <c r="M304" s="85"/>
      <c r="N304" s="28"/>
      <c r="O304" s="28"/>
      <c r="P304" s="85"/>
      <c r="Q304" s="28"/>
      <c r="R304" s="28"/>
      <c r="S304" s="85"/>
      <c r="T304" s="48"/>
      <c r="U304" s="48"/>
      <c r="V304" s="51"/>
      <c r="W304" s="28"/>
      <c r="X304" s="28"/>
      <c r="Y304" s="28"/>
      <c r="Z304" s="28"/>
      <c r="AA304" s="28"/>
      <c r="AB304" s="36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42">
        <f>SUM($T286:AQ304)</f>
        <v>-374833.13890000002</v>
      </c>
      <c r="AT304" s="10"/>
      <c r="AU304" s="11"/>
      <c r="AV304" s="2" t="s">
        <v>5</v>
      </c>
    </row>
    <row r="305" spans="1:49" s="2" customFormat="1" ht="17.25" customHeight="1" thickTop="1" thickBot="1" x14ac:dyDescent="0.3">
      <c r="A305" s="103"/>
      <c r="B305" s="104" t="s">
        <v>103</v>
      </c>
      <c r="C305" s="105">
        <f>AR305</f>
        <v>-185094.03935999997</v>
      </c>
      <c r="D305" s="106">
        <f t="shared" ref="D305:K305" si="38">SUM(D286:D304)</f>
        <v>95266.717040000018</v>
      </c>
      <c r="E305" s="107">
        <f t="shared" si="38"/>
        <v>-44522.560000000005</v>
      </c>
      <c r="F305" s="107">
        <f t="shared" si="38"/>
        <v>-28394.35</v>
      </c>
      <c r="G305" s="107">
        <f t="shared" si="38"/>
        <v>0</v>
      </c>
      <c r="H305" s="107">
        <f t="shared" si="38"/>
        <v>53183.022500000043</v>
      </c>
      <c r="I305" s="107">
        <f t="shared" si="38"/>
        <v>8772.01</v>
      </c>
      <c r="J305" s="107">
        <f t="shared" si="38"/>
        <v>0</v>
      </c>
      <c r="K305" s="108">
        <f t="shared" si="38"/>
        <v>11148</v>
      </c>
      <c r="L305" s="109">
        <f>M305/K305</f>
        <v>5.5718245425188373</v>
      </c>
      <c r="M305" s="107">
        <f>ROUND(SUM(M286:M304),2)</f>
        <v>62114.7</v>
      </c>
      <c r="N305" s="108">
        <f>SUM(N286:N304)</f>
        <v>-2916</v>
      </c>
      <c r="O305" s="109">
        <f>P305/N305</f>
        <v>-14.855816186556927</v>
      </c>
      <c r="P305" s="107">
        <f>ROUND(SUM(P286:P304),2)</f>
        <v>43319.56</v>
      </c>
      <c r="Q305" s="108">
        <f>SUM(Q286:Q304)</f>
        <v>214</v>
      </c>
      <c r="R305" s="109">
        <f>S305/Q305</f>
        <v>6.099485981308411</v>
      </c>
      <c r="S305" s="107">
        <f>ROUND(SUM(S286:S304),2)</f>
        <v>1305.29</v>
      </c>
      <c r="T305" s="110">
        <f t="shared" ref="T305:AQ305" si="39">SUM(T286:T304)</f>
        <v>-428277.12890000001</v>
      </c>
      <c r="U305" s="107">
        <f t="shared" si="39"/>
        <v>50229.299999999996</v>
      </c>
      <c r="V305" s="107">
        <f t="shared" si="39"/>
        <v>0</v>
      </c>
      <c r="W305" s="107">
        <f t="shared" si="39"/>
        <v>3214.6899999999996</v>
      </c>
      <c r="X305" s="107">
        <f t="shared" si="39"/>
        <v>0</v>
      </c>
      <c r="Y305" s="107">
        <f t="shared" si="39"/>
        <v>0</v>
      </c>
      <c r="Z305" s="107">
        <f t="shared" si="39"/>
        <v>0</v>
      </c>
      <c r="AA305" s="107">
        <f t="shared" si="39"/>
        <v>0</v>
      </c>
      <c r="AB305" s="107">
        <f t="shared" si="39"/>
        <v>0</v>
      </c>
      <c r="AC305" s="107">
        <f t="shared" si="39"/>
        <v>0</v>
      </c>
      <c r="AD305" s="107">
        <f t="shared" si="39"/>
        <v>0</v>
      </c>
      <c r="AE305" s="107">
        <f t="shared" si="39"/>
        <v>0</v>
      </c>
      <c r="AF305" s="107">
        <f t="shared" si="39"/>
        <v>0</v>
      </c>
      <c r="AG305" s="107">
        <f t="shared" si="39"/>
        <v>0</v>
      </c>
      <c r="AH305" s="107">
        <f t="shared" si="39"/>
        <v>0</v>
      </c>
      <c r="AI305" s="107">
        <f t="shared" si="39"/>
        <v>0</v>
      </c>
      <c r="AJ305" s="107">
        <f t="shared" si="39"/>
        <v>0</v>
      </c>
      <c r="AK305" s="107">
        <f t="shared" si="39"/>
        <v>0</v>
      </c>
      <c r="AL305" s="107">
        <f t="shared" si="39"/>
        <v>0</v>
      </c>
      <c r="AM305" s="107">
        <f t="shared" si="39"/>
        <v>0</v>
      </c>
      <c r="AN305" s="107">
        <f t="shared" si="39"/>
        <v>0</v>
      </c>
      <c r="AO305" s="107">
        <f t="shared" si="39"/>
        <v>0</v>
      </c>
      <c r="AP305" s="107">
        <f t="shared" si="39"/>
        <v>0</v>
      </c>
      <c r="AQ305" s="107">
        <f t="shared" si="39"/>
        <v>0</v>
      </c>
      <c r="AR305" s="111">
        <f>D305+E305+F305+G305+H305+I305+J305+M305+P305+SUM(T305:AQ305)</f>
        <v>-185094.03935999997</v>
      </c>
      <c r="AS305" s="4"/>
      <c r="AT305" s="5"/>
      <c r="AU305" s="5"/>
      <c r="AV305" s="2" t="s">
        <v>6</v>
      </c>
    </row>
    <row r="306" spans="1:49" s="2" customFormat="1" ht="17.25" customHeight="1" thickTop="1" x14ac:dyDescent="0.25">
      <c r="A306" s="23">
        <f>A287+1</f>
        <v>46133</v>
      </c>
      <c r="B306" s="210" t="s">
        <v>64</v>
      </c>
      <c r="C306" s="203"/>
      <c r="D306" s="63">
        <v>8554.7000000000007</v>
      </c>
      <c r="E306" s="66"/>
      <c r="F306" s="66"/>
      <c r="G306" s="66"/>
      <c r="H306" s="66"/>
      <c r="I306" s="66">
        <f>-D306</f>
        <v>-8554.7000000000007</v>
      </c>
      <c r="J306" s="66"/>
      <c r="K306" s="18"/>
      <c r="L306" s="18"/>
      <c r="M306" s="66"/>
      <c r="N306" s="18"/>
      <c r="O306" s="18"/>
      <c r="P306" s="66"/>
      <c r="Q306" s="18"/>
      <c r="R306" s="18"/>
      <c r="S306" s="66"/>
      <c r="T306" s="46"/>
      <c r="U306" s="46"/>
      <c r="V306" s="45"/>
      <c r="W306" s="18"/>
      <c r="X306" s="18"/>
      <c r="Y306" s="18"/>
      <c r="Z306" s="18"/>
      <c r="AA306" s="18"/>
      <c r="AB306" s="14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31"/>
      <c r="AT306" s="10"/>
      <c r="AU306" s="27"/>
    </row>
    <row r="307" spans="1:49" s="4" customFormat="1" ht="17.25" customHeight="1" x14ac:dyDescent="0.25">
      <c r="A307" s="23"/>
      <c r="B307" s="201" t="s">
        <v>96</v>
      </c>
      <c r="C307" s="202"/>
      <c r="D307" s="63"/>
      <c r="E307" s="64"/>
      <c r="F307" s="64"/>
      <c r="G307" s="64"/>
      <c r="H307" s="64"/>
      <c r="I307" s="64">
        <f>-I305-I306</f>
        <v>-217.30999999999949</v>
      </c>
      <c r="J307" s="64"/>
      <c r="K307" s="16"/>
      <c r="L307" s="92"/>
      <c r="M307" s="64"/>
      <c r="N307" s="16"/>
      <c r="O307" s="92"/>
      <c r="P307" s="64"/>
      <c r="Q307" s="16"/>
      <c r="R307" s="92"/>
      <c r="S307" s="64"/>
      <c r="T307" s="40"/>
      <c r="U307" s="46"/>
      <c r="V307" s="39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22"/>
      <c r="AS307" s="30"/>
    </row>
    <row r="308" spans="1:49" s="2" customFormat="1" ht="17.25" customHeight="1" x14ac:dyDescent="0.25">
      <c r="A308" s="29"/>
      <c r="B308" s="201" t="s">
        <v>327</v>
      </c>
      <c r="C308" s="202"/>
      <c r="D308" s="63">
        <f>100+10+34+40+130+100+50+30</f>
        <v>494</v>
      </c>
      <c r="E308" s="64"/>
      <c r="F308" s="64"/>
      <c r="G308" s="64"/>
      <c r="H308" s="64"/>
      <c r="I308" s="64">
        <f>-D308</f>
        <v>-494</v>
      </c>
      <c r="J308" s="64"/>
      <c r="K308" s="57"/>
      <c r="L308" s="88"/>
      <c r="M308" s="62"/>
      <c r="N308" s="57"/>
      <c r="O308" s="88"/>
      <c r="P308" s="62"/>
      <c r="Q308" s="57"/>
      <c r="R308" s="88"/>
      <c r="S308" s="62"/>
      <c r="T308" s="47"/>
      <c r="U308" s="39"/>
      <c r="V308" s="39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22"/>
      <c r="AT308" s="10"/>
      <c r="AU308" s="11"/>
    </row>
    <row r="309" spans="1:49" s="2" customFormat="1" ht="17.25" customHeight="1" x14ac:dyDescent="0.25">
      <c r="A309" s="29"/>
      <c r="B309" s="201" t="s">
        <v>328</v>
      </c>
      <c r="C309" s="202"/>
      <c r="D309" s="63">
        <f>-7*0.99-1.04</f>
        <v>-7.97</v>
      </c>
      <c r="E309" s="64"/>
      <c r="F309" s="64"/>
      <c r="G309" s="64"/>
      <c r="H309" s="64"/>
      <c r="I309" s="64"/>
      <c r="J309" s="64"/>
      <c r="K309" s="57"/>
      <c r="L309" s="88"/>
      <c r="M309" s="62"/>
      <c r="N309" s="57"/>
      <c r="O309" s="88"/>
      <c r="P309" s="62"/>
      <c r="Q309" s="57"/>
      <c r="R309" s="88"/>
      <c r="S309" s="62"/>
      <c r="T309" s="47"/>
      <c r="U309" s="39"/>
      <c r="V309" s="39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22"/>
      <c r="AT309" s="10"/>
      <c r="AU309" s="11"/>
    </row>
    <row r="310" spans="1:49" s="2" customFormat="1" ht="17.25" customHeight="1" thickBot="1" x14ac:dyDescent="0.25">
      <c r="A310" s="24"/>
      <c r="B310" s="216"/>
      <c r="C310" s="217"/>
      <c r="D310" s="83"/>
      <c r="E310" s="81"/>
      <c r="F310" s="81"/>
      <c r="G310" s="81"/>
      <c r="H310" s="81"/>
      <c r="I310" s="81"/>
      <c r="J310" s="81"/>
      <c r="K310" s="37"/>
      <c r="L310" s="93"/>
      <c r="M310" s="81"/>
      <c r="N310" s="37"/>
      <c r="O310" s="93"/>
      <c r="P310" s="81"/>
      <c r="Q310" s="37"/>
      <c r="R310" s="93"/>
      <c r="S310" s="81"/>
      <c r="T310" s="40"/>
      <c r="U310" s="40"/>
      <c r="V310" s="39"/>
      <c r="W310" s="16"/>
      <c r="X310" s="16"/>
      <c r="Y310" s="16"/>
      <c r="Z310" s="16"/>
      <c r="AA310" s="16"/>
      <c r="AB310" s="19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41"/>
      <c r="AT310" s="10"/>
      <c r="AU310" s="11"/>
    </row>
    <row r="311" spans="1:49" s="4" customFormat="1" ht="17.25" customHeight="1" x14ac:dyDescent="0.25">
      <c r="A311" s="23"/>
      <c r="B311" s="210" t="s">
        <v>94</v>
      </c>
      <c r="C311" s="203"/>
      <c r="D311" s="66"/>
      <c r="E311" s="66"/>
      <c r="F311" s="117"/>
      <c r="G311" s="117"/>
      <c r="H311" s="66"/>
      <c r="I311" s="66"/>
      <c r="J311" s="66">
        <f>-M311</f>
        <v>5757.3899999999994</v>
      </c>
      <c r="K311" s="58">
        <v>-901</v>
      </c>
      <c r="L311" s="89">
        <v>6.39</v>
      </c>
      <c r="M311" s="73">
        <f>K311*L311</f>
        <v>-5757.3899999999994</v>
      </c>
      <c r="N311" s="58"/>
      <c r="O311" s="89"/>
      <c r="P311" s="73"/>
      <c r="Q311" s="58"/>
      <c r="R311" s="89"/>
      <c r="S311" s="73"/>
      <c r="T311" s="39"/>
      <c r="U311" s="39"/>
      <c r="V311" s="8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35"/>
      <c r="AS311" s="12" t="e">
        <f>#REF!</f>
        <v>#REF!</v>
      </c>
    </row>
    <row r="312" spans="1:49" s="4" customFormat="1" ht="17.25" customHeight="1" x14ac:dyDescent="0.25">
      <c r="A312" s="23"/>
      <c r="B312" s="201" t="s">
        <v>95</v>
      </c>
      <c r="C312" s="202"/>
      <c r="D312" s="64"/>
      <c r="E312" s="64"/>
      <c r="F312" s="117"/>
      <c r="G312" s="117"/>
      <c r="H312" s="64"/>
      <c r="I312" s="64"/>
      <c r="J312" s="64">
        <f>-P312</f>
        <v>6341.0599999999995</v>
      </c>
      <c r="K312" s="57"/>
      <c r="L312" s="88"/>
      <c r="M312" s="62"/>
      <c r="N312" s="57">
        <v>-1517</v>
      </c>
      <c r="O312" s="88">
        <v>4.18</v>
      </c>
      <c r="P312" s="62">
        <f>N312*O312</f>
        <v>-6341.0599999999995</v>
      </c>
      <c r="Q312" s="57"/>
      <c r="R312" s="88"/>
      <c r="S312" s="62"/>
      <c r="T312" s="39"/>
      <c r="U312" s="39"/>
      <c r="V312" s="8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35"/>
      <c r="AS312" s="12" t="e">
        <f>#REF!</f>
        <v>#REF!</v>
      </c>
    </row>
    <row r="313" spans="1:49" s="4" customFormat="1" ht="17.25" customHeight="1" x14ac:dyDescent="0.25">
      <c r="A313" s="23"/>
      <c r="B313" s="201" t="s">
        <v>97</v>
      </c>
      <c r="C313" s="203"/>
      <c r="D313" s="64"/>
      <c r="E313" s="64"/>
      <c r="F313" s="64"/>
      <c r="G313" s="64"/>
      <c r="H313" s="64">
        <f>-J313-I313</f>
        <v>1067.1899999999987</v>
      </c>
      <c r="I313" s="64">
        <v>11031.26</v>
      </c>
      <c r="J313" s="64">
        <f>-SUM(J311:J312)</f>
        <v>-12098.449999999999</v>
      </c>
      <c r="K313" s="57"/>
      <c r="L313" s="88"/>
      <c r="M313" s="62"/>
      <c r="N313" s="57"/>
      <c r="O313" s="88"/>
      <c r="P313" s="62"/>
      <c r="Q313" s="57"/>
      <c r="R313" s="88"/>
      <c r="S313" s="62"/>
      <c r="T313" s="39"/>
      <c r="U313" s="39"/>
      <c r="V313" s="39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22"/>
      <c r="AR313" s="43">
        <f>A283</f>
        <v>0</v>
      </c>
      <c r="AS313" s="12" t="e">
        <f>#REF!</f>
        <v>#REF!</v>
      </c>
      <c r="AW313" s="2"/>
    </row>
    <row r="314" spans="1:49" s="4" customFormat="1" ht="17.25" customHeight="1" x14ac:dyDescent="0.25">
      <c r="A314" s="23"/>
      <c r="B314" s="201" t="s">
        <v>93</v>
      </c>
      <c r="C314" s="202"/>
      <c r="D314" s="64"/>
      <c r="E314" s="64"/>
      <c r="F314" s="64"/>
      <c r="G314" s="64"/>
      <c r="H314" s="64"/>
      <c r="I314" s="64"/>
      <c r="J314" s="64"/>
      <c r="K314" s="57">
        <v>1</v>
      </c>
      <c r="L314" s="88"/>
      <c r="M314" s="62">
        <f>(K317*(M305)/(K305))-M305-M311</f>
        <v>742.7479117330513</v>
      </c>
      <c r="N314" s="57">
        <v>100</v>
      </c>
      <c r="O314" s="88"/>
      <c r="P314" s="62">
        <f>(N317*(P305)/(N305))-P305-P312</f>
        <v>27391.751536351163</v>
      </c>
      <c r="Q314" s="57"/>
      <c r="R314" s="88"/>
      <c r="S314" s="62"/>
      <c r="T314" s="39"/>
      <c r="U314" s="39"/>
      <c r="V314" s="39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22"/>
      <c r="AR314" s="43">
        <f>A299</f>
        <v>0</v>
      </c>
      <c r="AS314" s="12" t="e">
        <f>#REF!</f>
        <v>#REF!</v>
      </c>
      <c r="AW314" s="2"/>
    </row>
    <row r="315" spans="1:49" s="2" customFormat="1" ht="17.25" customHeight="1" x14ac:dyDescent="0.2">
      <c r="A315" s="24"/>
      <c r="B315" s="201"/>
      <c r="C315" s="204"/>
      <c r="D315" s="63"/>
      <c r="E315" s="64"/>
      <c r="F315" s="64"/>
      <c r="G315" s="64"/>
      <c r="H315" s="64"/>
      <c r="I315" s="64"/>
      <c r="J315" s="64"/>
      <c r="K315" s="16"/>
      <c r="L315" s="16"/>
      <c r="M315" s="64"/>
      <c r="N315" s="16"/>
      <c r="O315" s="16"/>
      <c r="P315" s="64"/>
      <c r="Q315" s="16"/>
      <c r="R315" s="16"/>
      <c r="S315" s="64"/>
      <c r="T315" s="46"/>
      <c r="U315" s="46"/>
      <c r="V315" s="39"/>
      <c r="W315" s="16"/>
      <c r="X315" s="16"/>
      <c r="Y315" s="16"/>
      <c r="Z315" s="16"/>
      <c r="AA315" s="16"/>
      <c r="AB315" s="19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43">
        <f>A297</f>
        <v>0</v>
      </c>
      <c r="AT315" s="10"/>
      <c r="AU315" s="11"/>
    </row>
    <row r="316" spans="1:49" s="2" customFormat="1" ht="17.25" customHeight="1" thickBot="1" x14ac:dyDescent="0.3">
      <c r="A316" s="56"/>
      <c r="B316" s="101" t="s">
        <v>102</v>
      </c>
      <c r="C316" s="102">
        <f>D317+E317+F317+G317+H317+I317+J317+M317+P317</f>
        <v>217648.31954000005</v>
      </c>
      <c r="D316" s="84"/>
      <c r="E316" s="85"/>
      <c r="F316" s="85"/>
      <c r="G316" s="85"/>
      <c r="H316" s="85"/>
      <c r="I316" s="85"/>
      <c r="J316" s="85"/>
      <c r="K316" s="28"/>
      <c r="L316" s="28"/>
      <c r="M316" s="85"/>
      <c r="N316" s="28"/>
      <c r="O316" s="28"/>
      <c r="P316" s="85"/>
      <c r="Q316" s="28"/>
      <c r="R316" s="28"/>
      <c r="S316" s="85"/>
      <c r="T316" s="48"/>
      <c r="U316" s="48"/>
      <c r="V316" s="51"/>
      <c r="W316" s="28"/>
      <c r="X316" s="28"/>
      <c r="Y316" s="28"/>
      <c r="Z316" s="28"/>
      <c r="AA316" s="28"/>
      <c r="AB316" s="36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42">
        <f>SUM($T305:AQ316)</f>
        <v>-374833.13890000002</v>
      </c>
      <c r="AT316" s="10"/>
      <c r="AU316" s="11"/>
      <c r="AV316" s="2" t="s">
        <v>5</v>
      </c>
    </row>
    <row r="317" spans="1:49" s="2" customFormat="1" ht="17.25" customHeight="1" thickTop="1" thickBot="1" x14ac:dyDescent="0.3">
      <c r="A317" s="103"/>
      <c r="B317" s="104" t="s">
        <v>103</v>
      </c>
      <c r="C317" s="105">
        <f>AR317</f>
        <v>-157184.81935999996</v>
      </c>
      <c r="D317" s="106">
        <f t="shared" ref="D317:K317" si="40">SUM(D305:D316)</f>
        <v>104307.44704000001</v>
      </c>
      <c r="E317" s="107">
        <f t="shared" si="40"/>
        <v>-44522.560000000005</v>
      </c>
      <c r="F317" s="107">
        <f t="shared" si="40"/>
        <v>-28394.35</v>
      </c>
      <c r="G317" s="107">
        <f t="shared" si="40"/>
        <v>0</v>
      </c>
      <c r="H317" s="107">
        <f t="shared" si="40"/>
        <v>54250.212500000038</v>
      </c>
      <c r="I317" s="107">
        <f t="shared" si="40"/>
        <v>10537.26</v>
      </c>
      <c r="J317" s="107">
        <f t="shared" si="40"/>
        <v>0</v>
      </c>
      <c r="K317" s="108">
        <f t="shared" si="40"/>
        <v>10248</v>
      </c>
      <c r="L317" s="109">
        <f>M317/K317</f>
        <v>5.5718247462919592</v>
      </c>
      <c r="M317" s="107">
        <f>ROUND(SUM(M305:M316),2)</f>
        <v>57100.06</v>
      </c>
      <c r="N317" s="108">
        <f>SUM(N305:N316)</f>
        <v>-4333</v>
      </c>
      <c r="O317" s="109">
        <f>P317/N317</f>
        <v>-14.855815831987076</v>
      </c>
      <c r="P317" s="107">
        <f>ROUND(SUM(P305:P316),2)</f>
        <v>64370.25</v>
      </c>
      <c r="Q317" s="108">
        <f>SUM(Q305:Q316)</f>
        <v>214</v>
      </c>
      <c r="R317" s="109">
        <f>S317/Q317</f>
        <v>6.099485981308411</v>
      </c>
      <c r="S317" s="107">
        <f>ROUND(SUM(S305:S316),2)</f>
        <v>1305.29</v>
      </c>
      <c r="T317" s="110">
        <f t="shared" ref="T317:AQ317" si="41">SUM(T305:T316)</f>
        <v>-428277.12890000001</v>
      </c>
      <c r="U317" s="107">
        <f t="shared" si="41"/>
        <v>50229.299999999996</v>
      </c>
      <c r="V317" s="107">
        <f t="shared" si="41"/>
        <v>0</v>
      </c>
      <c r="W317" s="107">
        <f t="shared" si="41"/>
        <v>3214.6899999999996</v>
      </c>
      <c r="X317" s="107">
        <f t="shared" si="41"/>
        <v>0</v>
      </c>
      <c r="Y317" s="107">
        <f t="shared" si="41"/>
        <v>0</v>
      </c>
      <c r="Z317" s="107">
        <f t="shared" si="41"/>
        <v>0</v>
      </c>
      <c r="AA317" s="107">
        <f t="shared" si="41"/>
        <v>0</v>
      </c>
      <c r="AB317" s="107">
        <f t="shared" si="41"/>
        <v>0</v>
      </c>
      <c r="AC317" s="107">
        <f t="shared" si="41"/>
        <v>0</v>
      </c>
      <c r="AD317" s="107">
        <f t="shared" si="41"/>
        <v>0</v>
      </c>
      <c r="AE317" s="107">
        <f t="shared" si="41"/>
        <v>0</v>
      </c>
      <c r="AF317" s="107">
        <f t="shared" si="41"/>
        <v>0</v>
      </c>
      <c r="AG317" s="107">
        <f t="shared" si="41"/>
        <v>0</v>
      </c>
      <c r="AH317" s="107">
        <f t="shared" si="41"/>
        <v>0</v>
      </c>
      <c r="AI317" s="107">
        <f t="shared" si="41"/>
        <v>0</v>
      </c>
      <c r="AJ317" s="107">
        <f t="shared" si="41"/>
        <v>0</v>
      </c>
      <c r="AK317" s="107">
        <f t="shared" si="41"/>
        <v>0</v>
      </c>
      <c r="AL317" s="107">
        <f t="shared" si="41"/>
        <v>0</v>
      </c>
      <c r="AM317" s="107">
        <f t="shared" si="41"/>
        <v>0</v>
      </c>
      <c r="AN317" s="107">
        <f t="shared" si="41"/>
        <v>0</v>
      </c>
      <c r="AO317" s="107">
        <f t="shared" si="41"/>
        <v>0</v>
      </c>
      <c r="AP317" s="107">
        <f t="shared" si="41"/>
        <v>0</v>
      </c>
      <c r="AQ317" s="107">
        <f t="shared" si="41"/>
        <v>0</v>
      </c>
      <c r="AR317" s="111">
        <f>D317+E317+F317+G317+H317+I317+J317+M317+P317+SUM(T317:AQ317)</f>
        <v>-157184.81935999996</v>
      </c>
      <c r="AS317" s="4"/>
      <c r="AT317" s="5"/>
      <c r="AU317" s="5"/>
      <c r="AV317" s="2" t="s">
        <v>6</v>
      </c>
    </row>
    <row r="318" spans="1:49" s="2" customFormat="1" ht="17.25" customHeight="1" thickTop="1" x14ac:dyDescent="0.25">
      <c r="A318" s="23">
        <f>A306+1</f>
        <v>46134</v>
      </c>
      <c r="B318" s="210" t="s">
        <v>64</v>
      </c>
      <c r="C318" s="203"/>
      <c r="D318" s="63">
        <v>10283.5</v>
      </c>
      <c r="E318" s="66"/>
      <c r="F318" s="66"/>
      <c r="G318" s="66"/>
      <c r="H318" s="66"/>
      <c r="I318" s="66">
        <f>-D318</f>
        <v>-10283.5</v>
      </c>
      <c r="J318" s="66"/>
      <c r="K318" s="18"/>
      <c r="L318" s="18"/>
      <c r="M318" s="66"/>
      <c r="N318" s="18"/>
      <c r="O318" s="18"/>
      <c r="P318" s="66"/>
      <c r="Q318" s="18"/>
      <c r="R318" s="18"/>
      <c r="S318" s="66"/>
      <c r="T318" s="46"/>
      <c r="U318" s="46"/>
      <c r="V318" s="45"/>
      <c r="W318" s="18"/>
      <c r="X318" s="18"/>
      <c r="Y318" s="18"/>
      <c r="Z318" s="18"/>
      <c r="AA318" s="18"/>
      <c r="AB318" s="14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31"/>
      <c r="AT318" s="10"/>
      <c r="AU318" s="27"/>
    </row>
    <row r="319" spans="1:49" s="4" customFormat="1" ht="17.25" customHeight="1" x14ac:dyDescent="0.25">
      <c r="A319" s="23"/>
      <c r="B319" s="201" t="s">
        <v>96</v>
      </c>
      <c r="C319" s="202"/>
      <c r="D319" s="63"/>
      <c r="E319" s="64"/>
      <c r="F319" s="64"/>
      <c r="G319" s="64"/>
      <c r="H319" s="64"/>
      <c r="I319" s="64">
        <f>-I317-I318</f>
        <v>-253.76000000000022</v>
      </c>
      <c r="J319" s="64"/>
      <c r="K319" s="16"/>
      <c r="L319" s="92"/>
      <c r="M319" s="64"/>
      <c r="N319" s="16"/>
      <c r="O319" s="92"/>
      <c r="P319" s="64"/>
      <c r="Q319" s="16"/>
      <c r="R319" s="92"/>
      <c r="S319" s="64"/>
      <c r="T319" s="40"/>
      <c r="U319" s="46"/>
      <c r="V319" s="39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22"/>
      <c r="AS319" s="30"/>
    </row>
    <row r="320" spans="1:49" s="2" customFormat="1" ht="17.25" customHeight="1" x14ac:dyDescent="0.25">
      <c r="A320" s="29"/>
      <c r="B320" s="201" t="s">
        <v>327</v>
      </c>
      <c r="C320" s="202"/>
      <c r="D320" s="63">
        <f>60+115+100+10+45+50+53+60+10+120+28+100+50+100+30</f>
        <v>931</v>
      </c>
      <c r="E320" s="64"/>
      <c r="F320" s="64"/>
      <c r="G320" s="64"/>
      <c r="H320" s="64"/>
      <c r="I320" s="64">
        <f>-D320</f>
        <v>-931</v>
      </c>
      <c r="J320" s="64"/>
      <c r="K320" s="57"/>
      <c r="L320" s="88"/>
      <c r="M320" s="62"/>
      <c r="N320" s="57"/>
      <c r="O320" s="88"/>
      <c r="P320" s="62"/>
      <c r="Q320" s="57"/>
      <c r="R320" s="88"/>
      <c r="S320" s="62"/>
      <c r="T320" s="47"/>
      <c r="U320" s="39"/>
      <c r="V320" s="39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22"/>
      <c r="AT320" s="10"/>
      <c r="AU320" s="11"/>
    </row>
    <row r="321" spans="1:49" s="2" customFormat="1" ht="17.25" customHeight="1" x14ac:dyDescent="0.25">
      <c r="A321" s="29"/>
      <c r="B321" s="201" t="s">
        <v>328</v>
      </c>
      <c r="C321" s="202"/>
      <c r="D321" s="63">
        <f>-15*0.99</f>
        <v>-14.85</v>
      </c>
      <c r="E321" s="64"/>
      <c r="F321" s="64"/>
      <c r="G321" s="64"/>
      <c r="H321" s="64"/>
      <c r="I321" s="64"/>
      <c r="J321" s="64"/>
      <c r="K321" s="57"/>
      <c r="L321" s="88"/>
      <c r="M321" s="62"/>
      <c r="N321" s="57"/>
      <c r="O321" s="88"/>
      <c r="P321" s="62"/>
      <c r="Q321" s="57"/>
      <c r="R321" s="88"/>
      <c r="S321" s="62"/>
      <c r="T321" s="47"/>
      <c r="U321" s="39"/>
      <c r="V321" s="39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22"/>
      <c r="AT321" s="10"/>
      <c r="AU321" s="11"/>
    </row>
    <row r="322" spans="1:49" s="2" customFormat="1" ht="17.25" customHeight="1" thickBot="1" x14ac:dyDescent="0.25">
      <c r="A322" s="24"/>
      <c r="B322" s="216"/>
      <c r="C322" s="217"/>
      <c r="D322" s="83"/>
      <c r="E322" s="81"/>
      <c r="F322" s="81"/>
      <c r="G322" s="81"/>
      <c r="H322" s="81"/>
      <c r="I322" s="81"/>
      <c r="J322" s="81"/>
      <c r="K322" s="37"/>
      <c r="L322" s="93"/>
      <c r="M322" s="81"/>
      <c r="N322" s="37"/>
      <c r="O322" s="93"/>
      <c r="P322" s="81"/>
      <c r="Q322" s="37"/>
      <c r="R322" s="93"/>
      <c r="S322" s="81"/>
      <c r="T322" s="40"/>
      <c r="U322" s="40"/>
      <c r="V322" s="39"/>
      <c r="W322" s="16"/>
      <c r="X322" s="16"/>
      <c r="Y322" s="16"/>
      <c r="Z322" s="16"/>
      <c r="AA322" s="16"/>
      <c r="AB322" s="19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41"/>
      <c r="AT322" s="10"/>
      <c r="AU322" s="11"/>
    </row>
    <row r="323" spans="1:49" s="4" customFormat="1" ht="17.25" customHeight="1" x14ac:dyDescent="0.25">
      <c r="A323" s="23"/>
      <c r="B323" s="210" t="s">
        <v>94</v>
      </c>
      <c r="C323" s="203"/>
      <c r="D323" s="66"/>
      <c r="E323" s="66"/>
      <c r="F323" s="117"/>
      <c r="G323" s="117"/>
      <c r="H323" s="66"/>
      <c r="I323" s="66"/>
      <c r="J323" s="66">
        <f>-M323</f>
        <v>7386.8399999999992</v>
      </c>
      <c r="K323" s="58">
        <v>-1156</v>
      </c>
      <c r="L323" s="89">
        <v>6.39</v>
      </c>
      <c r="M323" s="73">
        <f>K323*L323</f>
        <v>-7386.8399999999992</v>
      </c>
      <c r="N323" s="58"/>
      <c r="O323" s="89"/>
      <c r="P323" s="73"/>
      <c r="Q323" s="58"/>
      <c r="R323" s="89"/>
      <c r="S323" s="73"/>
      <c r="T323" s="39"/>
      <c r="U323" s="39"/>
      <c r="V323" s="8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35"/>
      <c r="AS323" s="12" t="e">
        <f>#REF!</f>
        <v>#REF!</v>
      </c>
    </row>
    <row r="324" spans="1:49" s="4" customFormat="1" ht="17.25" customHeight="1" x14ac:dyDescent="0.25">
      <c r="A324" s="23"/>
      <c r="B324" s="201" t="s">
        <v>95</v>
      </c>
      <c r="C324" s="202"/>
      <c r="D324" s="64"/>
      <c r="E324" s="64"/>
      <c r="F324" s="117"/>
      <c r="G324" s="117"/>
      <c r="H324" s="64"/>
      <c r="I324" s="64"/>
      <c r="J324" s="64">
        <f>-P324</f>
        <v>6073.54</v>
      </c>
      <c r="K324" s="57"/>
      <c r="L324" s="88"/>
      <c r="M324" s="62"/>
      <c r="N324" s="57">
        <v>-1453</v>
      </c>
      <c r="O324" s="88">
        <v>4.18</v>
      </c>
      <c r="P324" s="62">
        <f>N324*O324</f>
        <v>-6073.54</v>
      </c>
      <c r="Q324" s="57"/>
      <c r="R324" s="88"/>
      <c r="S324" s="62"/>
      <c r="T324" s="39"/>
      <c r="U324" s="39"/>
      <c r="V324" s="8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35"/>
      <c r="AS324" s="12" t="e">
        <f>#REF!</f>
        <v>#REF!</v>
      </c>
    </row>
    <row r="325" spans="1:49" s="4" customFormat="1" ht="17.25" customHeight="1" x14ac:dyDescent="0.25">
      <c r="A325" s="23"/>
      <c r="B325" s="201" t="s">
        <v>97</v>
      </c>
      <c r="C325" s="203"/>
      <c r="D325" s="64"/>
      <c r="E325" s="64"/>
      <c r="F325" s="64"/>
      <c r="G325" s="64"/>
      <c r="H325" s="64">
        <f>-J325-I325</f>
        <v>6353.8599999999988</v>
      </c>
      <c r="I325" s="64">
        <v>7106.52</v>
      </c>
      <c r="J325" s="64">
        <f>-SUM(J323:J324)</f>
        <v>-13460.38</v>
      </c>
      <c r="K325" s="57"/>
      <c r="L325" s="88"/>
      <c r="M325" s="62"/>
      <c r="N325" s="57"/>
      <c r="O325" s="88"/>
      <c r="P325" s="62"/>
      <c r="Q325" s="57"/>
      <c r="R325" s="88"/>
      <c r="S325" s="62"/>
      <c r="T325" s="39"/>
      <c r="U325" s="39"/>
      <c r="V325" s="39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22"/>
      <c r="AR325" s="43">
        <f>A302</f>
        <v>0</v>
      </c>
      <c r="AS325" s="12" t="e">
        <f>#REF!</f>
        <v>#REF!</v>
      </c>
      <c r="AW325" s="2"/>
    </row>
    <row r="326" spans="1:49" s="4" customFormat="1" ht="17.25" customHeight="1" x14ac:dyDescent="0.25">
      <c r="A326" s="23"/>
      <c r="B326" s="201" t="s">
        <v>93</v>
      </c>
      <c r="C326" s="202"/>
      <c r="D326" s="64"/>
      <c r="E326" s="64"/>
      <c r="F326" s="64"/>
      <c r="G326" s="64"/>
      <c r="H326" s="64"/>
      <c r="I326" s="64"/>
      <c r="J326" s="64"/>
      <c r="K326" s="57">
        <v>-1</v>
      </c>
      <c r="L326" s="88"/>
      <c r="M326" s="62">
        <f>(K329*L317)-M317-M323</f>
        <v>940.23876854020182</v>
      </c>
      <c r="N326" s="57">
        <v>25</v>
      </c>
      <c r="O326" s="88"/>
      <c r="P326" s="62">
        <f>(N329*O317)-P317-P324</f>
        <v>27287.645008077547</v>
      </c>
      <c r="Q326" s="57"/>
      <c r="R326" s="88"/>
      <c r="S326" s="62"/>
      <c r="T326" s="39"/>
      <c r="U326" s="39"/>
      <c r="V326" s="39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22"/>
      <c r="AR326" s="43">
        <f>A311</f>
        <v>0</v>
      </c>
      <c r="AS326" s="12" t="e">
        <f>#REF!</f>
        <v>#REF!</v>
      </c>
      <c r="AW326" s="2"/>
    </row>
    <row r="327" spans="1:49" s="2" customFormat="1" ht="17.25" customHeight="1" x14ac:dyDescent="0.2">
      <c r="A327" s="24"/>
      <c r="B327" s="201"/>
      <c r="C327" s="204"/>
      <c r="D327" s="63"/>
      <c r="E327" s="64"/>
      <c r="F327" s="64"/>
      <c r="G327" s="64"/>
      <c r="H327" s="64"/>
      <c r="I327" s="64"/>
      <c r="J327" s="64"/>
      <c r="K327" s="16"/>
      <c r="L327" s="16"/>
      <c r="M327" s="64"/>
      <c r="N327" s="16"/>
      <c r="O327" s="16"/>
      <c r="P327" s="64"/>
      <c r="Q327" s="16"/>
      <c r="R327" s="16"/>
      <c r="S327" s="64"/>
      <c r="T327" s="46"/>
      <c r="U327" s="46"/>
      <c r="V327" s="39"/>
      <c r="W327" s="16"/>
      <c r="X327" s="16"/>
      <c r="Y327" s="16"/>
      <c r="Z327" s="16"/>
      <c r="AA327" s="16"/>
      <c r="AB327" s="19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43">
        <f>A318</f>
        <v>46134</v>
      </c>
      <c r="AT327" s="10"/>
      <c r="AU327" s="11"/>
    </row>
    <row r="328" spans="1:49" s="2" customFormat="1" ht="17.25" customHeight="1" thickBot="1" x14ac:dyDescent="0.3">
      <c r="A328" s="56"/>
      <c r="B328" s="101" t="s">
        <v>102</v>
      </c>
      <c r="C328" s="102">
        <f>D329+E329+F329+G329+H329+I329+J329+M329+P329</f>
        <v>245607.59954000002</v>
      </c>
      <c r="D328" s="84"/>
      <c r="E328" s="85"/>
      <c r="F328" s="85"/>
      <c r="G328" s="85"/>
      <c r="H328" s="85"/>
      <c r="I328" s="85"/>
      <c r="J328" s="85"/>
      <c r="K328" s="28"/>
      <c r="L328" s="28"/>
      <c r="M328" s="85"/>
      <c r="N328" s="28"/>
      <c r="O328" s="28"/>
      <c r="P328" s="85"/>
      <c r="Q328" s="28"/>
      <c r="R328" s="28"/>
      <c r="S328" s="85"/>
      <c r="T328" s="48"/>
      <c r="U328" s="48"/>
      <c r="V328" s="51"/>
      <c r="W328" s="28"/>
      <c r="X328" s="28"/>
      <c r="Y328" s="28"/>
      <c r="Z328" s="28"/>
      <c r="AA328" s="28"/>
      <c r="AB328" s="36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42">
        <f>SUM($T317:AQ328)</f>
        <v>-374833.13890000002</v>
      </c>
      <c r="AT328" s="10"/>
      <c r="AU328" s="11"/>
      <c r="AV328" s="2" t="s">
        <v>5</v>
      </c>
    </row>
    <row r="329" spans="1:49" s="2" customFormat="1" ht="17.25" customHeight="1" thickTop="1" thickBot="1" x14ac:dyDescent="0.3">
      <c r="A329" s="103"/>
      <c r="B329" s="104" t="s">
        <v>103</v>
      </c>
      <c r="C329" s="105">
        <f>AR329</f>
        <v>-129225.53936</v>
      </c>
      <c r="D329" s="106">
        <f t="shared" ref="D329:K329" si="42">SUM(D317:D328)</f>
        <v>115507.09704000001</v>
      </c>
      <c r="E329" s="107">
        <f t="shared" si="42"/>
        <v>-44522.560000000005</v>
      </c>
      <c r="F329" s="107">
        <f t="shared" si="42"/>
        <v>-28394.35</v>
      </c>
      <c r="G329" s="107">
        <f t="shared" si="42"/>
        <v>0</v>
      </c>
      <c r="H329" s="107">
        <f t="shared" si="42"/>
        <v>60604.072500000038</v>
      </c>
      <c r="I329" s="107">
        <f t="shared" si="42"/>
        <v>6175.52</v>
      </c>
      <c r="J329" s="107">
        <f t="shared" si="42"/>
        <v>0</v>
      </c>
      <c r="K329" s="108">
        <f t="shared" si="42"/>
        <v>9091</v>
      </c>
      <c r="L329" s="109">
        <f>M329/K329</f>
        <v>5.5718248817511826</v>
      </c>
      <c r="M329" s="107">
        <f>ROUND(SUM(M317:M328),2)</f>
        <v>50653.46</v>
      </c>
      <c r="N329" s="108">
        <f>SUM(N317:N328)</f>
        <v>-5761</v>
      </c>
      <c r="O329" s="109">
        <f>P329/N329</f>
        <v>-14.855816698489846</v>
      </c>
      <c r="P329" s="107">
        <f>ROUND(SUM(P317:P328),2)</f>
        <v>85584.36</v>
      </c>
      <c r="Q329" s="108">
        <f>SUM(Q317:Q328)</f>
        <v>214</v>
      </c>
      <c r="R329" s="109">
        <f>S329/Q329</f>
        <v>6.099485981308411</v>
      </c>
      <c r="S329" s="107">
        <f>ROUND(SUM(S317:S328),2)</f>
        <v>1305.29</v>
      </c>
      <c r="T329" s="110">
        <f t="shared" ref="T329:AQ329" si="43">SUM(T317:T328)</f>
        <v>-428277.12890000001</v>
      </c>
      <c r="U329" s="107">
        <f t="shared" si="43"/>
        <v>50229.299999999996</v>
      </c>
      <c r="V329" s="107">
        <f t="shared" si="43"/>
        <v>0</v>
      </c>
      <c r="W329" s="107">
        <f t="shared" si="43"/>
        <v>3214.6899999999996</v>
      </c>
      <c r="X329" s="107">
        <f t="shared" si="43"/>
        <v>0</v>
      </c>
      <c r="Y329" s="107">
        <f t="shared" si="43"/>
        <v>0</v>
      </c>
      <c r="Z329" s="107">
        <f t="shared" si="43"/>
        <v>0</v>
      </c>
      <c r="AA329" s="107">
        <f t="shared" si="43"/>
        <v>0</v>
      </c>
      <c r="AB329" s="107">
        <f t="shared" si="43"/>
        <v>0</v>
      </c>
      <c r="AC329" s="107">
        <f t="shared" si="43"/>
        <v>0</v>
      </c>
      <c r="AD329" s="107">
        <f t="shared" si="43"/>
        <v>0</v>
      </c>
      <c r="AE329" s="107">
        <f t="shared" si="43"/>
        <v>0</v>
      </c>
      <c r="AF329" s="107">
        <f t="shared" si="43"/>
        <v>0</v>
      </c>
      <c r="AG329" s="107">
        <f t="shared" si="43"/>
        <v>0</v>
      </c>
      <c r="AH329" s="107">
        <f t="shared" si="43"/>
        <v>0</v>
      </c>
      <c r="AI329" s="107">
        <f t="shared" si="43"/>
        <v>0</v>
      </c>
      <c r="AJ329" s="107">
        <f t="shared" si="43"/>
        <v>0</v>
      </c>
      <c r="AK329" s="107">
        <f t="shared" si="43"/>
        <v>0</v>
      </c>
      <c r="AL329" s="107">
        <f t="shared" si="43"/>
        <v>0</v>
      </c>
      <c r="AM329" s="107">
        <f t="shared" si="43"/>
        <v>0</v>
      </c>
      <c r="AN329" s="107">
        <f t="shared" si="43"/>
        <v>0</v>
      </c>
      <c r="AO329" s="107">
        <f t="shared" si="43"/>
        <v>0</v>
      </c>
      <c r="AP329" s="107">
        <f t="shared" si="43"/>
        <v>0</v>
      </c>
      <c r="AQ329" s="107">
        <f t="shared" si="43"/>
        <v>0</v>
      </c>
      <c r="AR329" s="111">
        <f>D329+E329+F329+G329+H329+I329+J329+M329+P329+SUM(T329:AQ329)</f>
        <v>-129225.53936</v>
      </c>
      <c r="AS329" s="4"/>
      <c r="AT329" s="5"/>
      <c r="AU329" s="5"/>
      <c r="AV329" s="2" t="s">
        <v>6</v>
      </c>
    </row>
    <row r="330" spans="1:49" s="2" customFormat="1" ht="17.25" customHeight="1" thickTop="1" x14ac:dyDescent="0.25">
      <c r="A330" s="23">
        <f>A318+1</f>
        <v>46135</v>
      </c>
      <c r="B330" s="210" t="s">
        <v>64</v>
      </c>
      <c r="C330" s="203"/>
      <c r="D330" s="63">
        <v>6017.57</v>
      </c>
      <c r="E330" s="66"/>
      <c r="F330" s="66"/>
      <c r="G330" s="66"/>
      <c r="H330" s="66"/>
      <c r="I330" s="66">
        <f>-D330</f>
        <v>-6017.57</v>
      </c>
      <c r="J330" s="66"/>
      <c r="K330" s="18"/>
      <c r="L330" s="18"/>
      <c r="M330" s="66"/>
      <c r="N330" s="18"/>
      <c r="O330" s="18"/>
      <c r="P330" s="66"/>
      <c r="Q330" s="18"/>
      <c r="R330" s="18"/>
      <c r="S330" s="66"/>
      <c r="T330" s="46"/>
      <c r="U330" s="46"/>
      <c r="V330" s="45"/>
      <c r="W330" s="18"/>
      <c r="X330" s="18"/>
      <c r="Y330" s="18"/>
      <c r="Z330" s="18"/>
      <c r="AA330" s="18"/>
      <c r="AB330" s="14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31"/>
      <c r="AT330" s="10"/>
      <c r="AU330" s="27"/>
    </row>
    <row r="331" spans="1:49" s="4" customFormat="1" ht="17.25" customHeight="1" x14ac:dyDescent="0.25">
      <c r="A331" s="23"/>
      <c r="B331" s="201" t="s">
        <v>96</v>
      </c>
      <c r="C331" s="202"/>
      <c r="D331" s="63"/>
      <c r="E331" s="64"/>
      <c r="F331" s="64"/>
      <c r="G331" s="64"/>
      <c r="H331" s="64"/>
      <c r="I331" s="64">
        <f>-I329-I330</f>
        <v>-157.95000000000073</v>
      </c>
      <c r="J331" s="64"/>
      <c r="K331" s="16"/>
      <c r="L331" s="92"/>
      <c r="M331" s="64"/>
      <c r="N331" s="16"/>
      <c r="O331" s="92"/>
      <c r="P331" s="64"/>
      <c r="Q331" s="16"/>
      <c r="R331" s="92"/>
      <c r="S331" s="64"/>
      <c r="T331" s="40"/>
      <c r="U331" s="46"/>
      <c r="V331" s="39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22"/>
      <c r="AS331" s="30"/>
    </row>
    <row r="332" spans="1:49" s="2" customFormat="1" ht="17.25" customHeight="1" x14ac:dyDescent="0.25">
      <c r="A332" s="29"/>
      <c r="B332" s="201" t="s">
        <v>327</v>
      </c>
      <c r="C332" s="202"/>
      <c r="D332" s="63">
        <f>299.99+159.5+10+20+40.8+100+35+50+20+120+6+50+25+50</f>
        <v>986.29</v>
      </c>
      <c r="E332" s="64"/>
      <c r="F332" s="64"/>
      <c r="G332" s="64"/>
      <c r="H332" s="64"/>
      <c r="I332" s="64">
        <f>-D332</f>
        <v>-986.29</v>
      </c>
      <c r="J332" s="64"/>
      <c r="K332" s="57"/>
      <c r="L332" s="88"/>
      <c r="M332" s="62"/>
      <c r="N332" s="57"/>
      <c r="O332" s="88"/>
      <c r="P332" s="62"/>
      <c r="Q332" s="57"/>
      <c r="R332" s="88"/>
      <c r="S332" s="62"/>
      <c r="T332" s="47"/>
      <c r="U332" s="39"/>
      <c r="V332" s="39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22"/>
      <c r="AT332" s="10"/>
      <c r="AU332" s="11"/>
    </row>
    <row r="333" spans="1:49" s="2" customFormat="1" ht="17.25" customHeight="1" x14ac:dyDescent="0.25">
      <c r="A333" s="29"/>
      <c r="B333" s="201" t="s">
        <v>328</v>
      </c>
      <c r="C333" s="202"/>
      <c r="D333" s="63">
        <f>-12*0.99-2.4-1.28</f>
        <v>-15.559999999999999</v>
      </c>
      <c r="E333" s="64"/>
      <c r="F333" s="64"/>
      <c r="G333" s="64"/>
      <c r="H333" s="64"/>
      <c r="I333" s="64"/>
      <c r="J333" s="64"/>
      <c r="K333" s="57"/>
      <c r="L333" s="88"/>
      <c r="M333" s="62"/>
      <c r="N333" s="57"/>
      <c r="O333" s="88"/>
      <c r="P333" s="62"/>
      <c r="Q333" s="57"/>
      <c r="R333" s="88"/>
      <c r="S333" s="62"/>
      <c r="T333" s="47"/>
      <c r="U333" s="39"/>
      <c r="V333" s="39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22"/>
      <c r="AT333" s="10"/>
      <c r="AU333" s="11"/>
    </row>
    <row r="334" spans="1:49" s="4" customFormat="1" ht="17.25" customHeight="1" x14ac:dyDescent="0.25">
      <c r="A334" s="23"/>
      <c r="B334" s="201" t="s">
        <v>13</v>
      </c>
      <c r="C334" s="203"/>
      <c r="D334" s="63"/>
      <c r="E334" s="64">
        <f>20+50+50+150+50+210+30+30+60+70+100+100+35+20+100+80+50+4+30+20+30+50+1824+552+809+569+707</f>
        <v>5800</v>
      </c>
      <c r="F334" s="64"/>
      <c r="G334" s="64"/>
      <c r="H334" s="64">
        <f>-E334</f>
        <v>-5800</v>
      </c>
      <c r="I334" s="66"/>
      <c r="J334" s="64"/>
      <c r="K334" s="16"/>
      <c r="L334" s="92"/>
      <c r="M334" s="64"/>
      <c r="N334" s="16"/>
      <c r="O334" s="92"/>
      <c r="P334" s="64"/>
      <c r="Q334" s="16"/>
      <c r="R334" s="92"/>
      <c r="S334" s="64"/>
      <c r="T334" s="40"/>
      <c r="U334" s="46">
        <f>-D334</f>
        <v>0</v>
      </c>
      <c r="V334" s="39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22"/>
      <c r="AS334" s="30"/>
    </row>
    <row r="335" spans="1:49" s="2" customFormat="1" ht="17.25" customHeight="1" x14ac:dyDescent="0.25">
      <c r="A335" s="24"/>
      <c r="B335" s="205" t="s">
        <v>477</v>
      </c>
      <c r="C335" s="206"/>
      <c r="D335" s="64"/>
      <c r="E335" s="64"/>
      <c r="F335" s="64"/>
      <c r="G335" s="64"/>
      <c r="H335" s="64"/>
      <c r="I335" s="64"/>
      <c r="J335" s="64"/>
      <c r="K335" s="57"/>
      <c r="L335" s="88"/>
      <c r="M335" s="62"/>
      <c r="N335" s="57">
        <v>5000</v>
      </c>
      <c r="O335" s="88">
        <v>3.18</v>
      </c>
      <c r="P335" s="62">
        <f>N335*O335</f>
        <v>15900</v>
      </c>
      <c r="Q335" s="57"/>
      <c r="R335" s="88"/>
      <c r="S335" s="62"/>
      <c r="T335" s="39">
        <f>-P335</f>
        <v>-15900</v>
      </c>
      <c r="U335" s="39"/>
      <c r="V335" s="39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22"/>
      <c r="AT335" s="10"/>
      <c r="AU335" s="11"/>
    </row>
    <row r="336" spans="1:49" s="2" customFormat="1" ht="17.25" customHeight="1" thickBot="1" x14ac:dyDescent="0.25">
      <c r="A336" s="24"/>
      <c r="B336" s="216"/>
      <c r="C336" s="217"/>
      <c r="D336" s="83"/>
      <c r="E336" s="81"/>
      <c r="F336" s="81"/>
      <c r="G336" s="81"/>
      <c r="H336" s="81"/>
      <c r="I336" s="81"/>
      <c r="J336" s="81"/>
      <c r="K336" s="37"/>
      <c r="L336" s="93"/>
      <c r="M336" s="81"/>
      <c r="N336" s="37"/>
      <c r="O336" s="93"/>
      <c r="P336" s="81"/>
      <c r="Q336" s="37"/>
      <c r="R336" s="93"/>
      <c r="S336" s="81"/>
      <c r="T336" s="40"/>
      <c r="U336" s="40"/>
      <c r="V336" s="39"/>
      <c r="W336" s="16"/>
      <c r="X336" s="16"/>
      <c r="Y336" s="16"/>
      <c r="Z336" s="16"/>
      <c r="AA336" s="16"/>
      <c r="AB336" s="19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41"/>
      <c r="AT336" s="10"/>
      <c r="AU336" s="11"/>
    </row>
    <row r="337" spans="1:49" s="4" customFormat="1" ht="17.25" customHeight="1" x14ac:dyDescent="0.25">
      <c r="A337" s="23"/>
      <c r="B337" s="210" t="s">
        <v>94</v>
      </c>
      <c r="C337" s="203"/>
      <c r="D337" s="66"/>
      <c r="E337" s="66"/>
      <c r="F337" s="117"/>
      <c r="G337" s="117"/>
      <c r="H337" s="66"/>
      <c r="I337" s="66"/>
      <c r="J337" s="66">
        <f>-M337</f>
        <v>6594.48</v>
      </c>
      <c r="K337" s="58">
        <v>-1032</v>
      </c>
      <c r="L337" s="89">
        <v>6.39</v>
      </c>
      <c r="M337" s="73">
        <f>K337*L337</f>
        <v>-6594.48</v>
      </c>
      <c r="N337" s="58"/>
      <c r="O337" s="89"/>
      <c r="P337" s="73"/>
      <c r="Q337" s="58"/>
      <c r="R337" s="89"/>
      <c r="S337" s="73"/>
      <c r="T337" s="39"/>
      <c r="U337" s="39"/>
      <c r="V337" s="8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35"/>
      <c r="AS337" s="12" t="e">
        <f>#REF!</f>
        <v>#REF!</v>
      </c>
    </row>
    <row r="338" spans="1:49" s="4" customFormat="1" ht="17.25" customHeight="1" x14ac:dyDescent="0.25">
      <c r="A338" s="23"/>
      <c r="B338" s="201" t="s">
        <v>95</v>
      </c>
      <c r="C338" s="202"/>
      <c r="D338" s="64"/>
      <c r="E338" s="64"/>
      <c r="F338" s="117"/>
      <c r="G338" s="117"/>
      <c r="H338" s="64"/>
      <c r="I338" s="64"/>
      <c r="J338" s="64">
        <f>-P338</f>
        <v>6161.32</v>
      </c>
      <c r="K338" s="57"/>
      <c r="L338" s="88"/>
      <c r="M338" s="62"/>
      <c r="N338" s="57">
        <v>-1474</v>
      </c>
      <c r="O338" s="88">
        <v>4.18</v>
      </c>
      <c r="P338" s="62">
        <f>N338*O338</f>
        <v>-6161.32</v>
      </c>
      <c r="Q338" s="57"/>
      <c r="R338" s="88"/>
      <c r="S338" s="62"/>
      <c r="T338" s="39"/>
      <c r="U338" s="39"/>
      <c r="V338" s="8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35"/>
      <c r="AS338" s="12" t="e">
        <f>#REF!</f>
        <v>#REF!</v>
      </c>
    </row>
    <row r="339" spans="1:49" s="4" customFormat="1" ht="17.25" customHeight="1" x14ac:dyDescent="0.25">
      <c r="A339" s="23"/>
      <c r="B339" s="201" t="s">
        <v>97</v>
      </c>
      <c r="C339" s="203"/>
      <c r="D339" s="64"/>
      <c r="E339" s="64"/>
      <c r="F339" s="64"/>
      <c r="G339" s="64"/>
      <c r="H339" s="64">
        <f>-J339-I339</f>
        <v>4099.869999999999</v>
      </c>
      <c r="I339" s="64">
        <v>8655.93</v>
      </c>
      <c r="J339" s="64">
        <f>-SUM(J337:J338)</f>
        <v>-12755.8</v>
      </c>
      <c r="K339" s="57"/>
      <c r="L339" s="88"/>
      <c r="M339" s="62"/>
      <c r="N339" s="57"/>
      <c r="O339" s="88"/>
      <c r="P339" s="62"/>
      <c r="Q339" s="57"/>
      <c r="R339" s="88"/>
      <c r="S339" s="62"/>
      <c r="T339" s="39"/>
      <c r="U339" s="39"/>
      <c r="V339" s="39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22"/>
      <c r="AR339" s="43">
        <f>A314</f>
        <v>0</v>
      </c>
      <c r="AS339" s="12" t="e">
        <f>#REF!</f>
        <v>#REF!</v>
      </c>
      <c r="AW339" s="2"/>
    </row>
    <row r="340" spans="1:49" s="4" customFormat="1" ht="17.25" customHeight="1" x14ac:dyDescent="0.25">
      <c r="A340" s="23"/>
      <c r="B340" s="201" t="s">
        <v>93</v>
      </c>
      <c r="C340" s="202"/>
      <c r="D340" s="64"/>
      <c r="E340" s="64"/>
      <c r="F340" s="64"/>
      <c r="G340" s="64"/>
      <c r="H340" s="64"/>
      <c r="I340" s="64"/>
      <c r="J340" s="64"/>
      <c r="K340" s="57">
        <v>-71</v>
      </c>
      <c r="L340" s="88"/>
      <c r="M340" s="62">
        <f>(K343*(M329)/(K329))-M329-M337</f>
        <v>448.75715542844773</v>
      </c>
      <c r="N340" s="57">
        <v>-48</v>
      </c>
      <c r="O340" s="88"/>
      <c r="P340" s="62">
        <f>(N343*(P329+P335)/(N329+N335))-P329-P338-P335</f>
        <v>209130.04000000004</v>
      </c>
      <c r="Q340" s="57"/>
      <c r="R340" s="88"/>
      <c r="S340" s="62"/>
      <c r="T340" s="39"/>
      <c r="U340" s="39"/>
      <c r="V340" s="39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22"/>
      <c r="AR340" s="43">
        <f>A323</f>
        <v>0</v>
      </c>
      <c r="AS340" s="12" t="e">
        <f>#REF!</f>
        <v>#REF!</v>
      </c>
      <c r="AW340" s="2"/>
    </row>
    <row r="341" spans="1:49" s="2" customFormat="1" ht="17.25" customHeight="1" x14ac:dyDescent="0.2">
      <c r="A341" s="24"/>
      <c r="B341" s="201"/>
      <c r="C341" s="204"/>
      <c r="D341" s="63"/>
      <c r="E341" s="64"/>
      <c r="F341" s="64"/>
      <c r="G341" s="64"/>
      <c r="H341" s="64"/>
      <c r="I341" s="64"/>
      <c r="J341" s="64"/>
      <c r="K341" s="16"/>
      <c r="L341" s="16"/>
      <c r="M341" s="64"/>
      <c r="N341" s="16"/>
      <c r="O341" s="16"/>
      <c r="P341" s="64"/>
      <c r="Q341" s="16"/>
      <c r="R341" s="16"/>
      <c r="S341" s="64"/>
      <c r="T341" s="46"/>
      <c r="U341" s="46"/>
      <c r="V341" s="39"/>
      <c r="W341" s="16"/>
      <c r="X341" s="16"/>
      <c r="Y341" s="16"/>
      <c r="Z341" s="16"/>
      <c r="AA341" s="16"/>
      <c r="AB341" s="19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43">
        <f>A330</f>
        <v>46135</v>
      </c>
      <c r="AT341" s="10"/>
      <c r="AU341" s="11"/>
    </row>
    <row r="342" spans="1:49" s="2" customFormat="1" ht="17.25" customHeight="1" thickBot="1" x14ac:dyDescent="0.3">
      <c r="A342" s="56"/>
      <c r="B342" s="101" t="s">
        <v>102</v>
      </c>
      <c r="C342" s="102">
        <f>D343+E343+F343+G343+H343+I343+J343+M343+P343</f>
        <v>470912.88954</v>
      </c>
      <c r="D342" s="84"/>
      <c r="E342" s="85"/>
      <c r="F342" s="85"/>
      <c r="G342" s="85"/>
      <c r="H342" s="85"/>
      <c r="I342" s="85"/>
      <c r="J342" s="85"/>
      <c r="K342" s="28"/>
      <c r="L342" s="28"/>
      <c r="M342" s="85"/>
      <c r="N342" s="28"/>
      <c r="O342" s="28"/>
      <c r="P342" s="85"/>
      <c r="Q342" s="28"/>
      <c r="R342" s="28"/>
      <c r="S342" s="85"/>
      <c r="T342" s="48"/>
      <c r="U342" s="48"/>
      <c r="V342" s="51"/>
      <c r="W342" s="28"/>
      <c r="X342" s="28"/>
      <c r="Y342" s="28"/>
      <c r="Z342" s="28"/>
      <c r="AA342" s="28"/>
      <c r="AB342" s="36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42">
        <f>SUM($T329:AQ342)</f>
        <v>-390733.13890000002</v>
      </c>
      <c r="AT342" s="10"/>
      <c r="AU342" s="11"/>
      <c r="AV342" s="2" t="s">
        <v>5</v>
      </c>
    </row>
    <row r="343" spans="1:49" s="2" customFormat="1" ht="17.25" customHeight="1" thickTop="1" thickBot="1" x14ac:dyDescent="0.3">
      <c r="A343" s="103"/>
      <c r="B343" s="104" t="s">
        <v>103</v>
      </c>
      <c r="C343" s="105">
        <f>AR343</f>
        <v>80179.750639999984</v>
      </c>
      <c r="D343" s="106">
        <f t="shared" ref="D343:K343" si="44">SUM(D329:D342)</f>
        <v>122495.39704</v>
      </c>
      <c r="E343" s="107">
        <f t="shared" si="44"/>
        <v>-38722.560000000005</v>
      </c>
      <c r="F343" s="107">
        <f t="shared" si="44"/>
        <v>-28394.35</v>
      </c>
      <c r="G343" s="107">
        <f t="shared" si="44"/>
        <v>0</v>
      </c>
      <c r="H343" s="107">
        <f t="shared" si="44"/>
        <v>58903.942500000034</v>
      </c>
      <c r="I343" s="107">
        <f t="shared" si="44"/>
        <v>7669.64</v>
      </c>
      <c r="J343" s="107">
        <f t="shared" si="44"/>
        <v>0</v>
      </c>
      <c r="K343" s="108">
        <f t="shared" si="44"/>
        <v>7988</v>
      </c>
      <c r="L343" s="109">
        <f>M343/K343</f>
        <v>5.5718252378567845</v>
      </c>
      <c r="M343" s="107">
        <f>ROUND(SUM(M329:M342),2)</f>
        <v>44507.74</v>
      </c>
      <c r="N343" s="108">
        <f>SUM(N329:N342)</f>
        <v>-2283</v>
      </c>
      <c r="O343" s="109">
        <f>P343/N343</f>
        <v>-133.35658344283837</v>
      </c>
      <c r="P343" s="107">
        <f>ROUND(SUM(P329:P342),2)</f>
        <v>304453.08</v>
      </c>
      <c r="Q343" s="108">
        <f>SUM(Q329:Q342)</f>
        <v>214</v>
      </c>
      <c r="R343" s="109">
        <f>S343/Q343</f>
        <v>6.099485981308411</v>
      </c>
      <c r="S343" s="107">
        <f>ROUND(SUM(S329:S342),2)</f>
        <v>1305.29</v>
      </c>
      <c r="T343" s="110">
        <f t="shared" ref="T343:AQ343" si="45">SUM(T329:T342)</f>
        <v>-444177.12890000001</v>
      </c>
      <c r="U343" s="107">
        <f t="shared" si="45"/>
        <v>50229.299999999996</v>
      </c>
      <c r="V343" s="107">
        <f t="shared" si="45"/>
        <v>0</v>
      </c>
      <c r="W343" s="107">
        <f t="shared" si="45"/>
        <v>3214.6899999999996</v>
      </c>
      <c r="X343" s="107">
        <f t="shared" si="45"/>
        <v>0</v>
      </c>
      <c r="Y343" s="107">
        <f t="shared" si="45"/>
        <v>0</v>
      </c>
      <c r="Z343" s="107">
        <f t="shared" si="45"/>
        <v>0</v>
      </c>
      <c r="AA343" s="107">
        <f t="shared" si="45"/>
        <v>0</v>
      </c>
      <c r="AB343" s="107">
        <f t="shared" si="45"/>
        <v>0</v>
      </c>
      <c r="AC343" s="107">
        <f t="shared" si="45"/>
        <v>0</v>
      </c>
      <c r="AD343" s="107">
        <f t="shared" si="45"/>
        <v>0</v>
      </c>
      <c r="AE343" s="107">
        <f t="shared" si="45"/>
        <v>0</v>
      </c>
      <c r="AF343" s="107">
        <f t="shared" si="45"/>
        <v>0</v>
      </c>
      <c r="AG343" s="107">
        <f t="shared" si="45"/>
        <v>0</v>
      </c>
      <c r="AH343" s="107">
        <f t="shared" si="45"/>
        <v>0</v>
      </c>
      <c r="AI343" s="107">
        <f t="shared" si="45"/>
        <v>0</v>
      </c>
      <c r="AJ343" s="107">
        <f t="shared" si="45"/>
        <v>0</v>
      </c>
      <c r="AK343" s="107">
        <f t="shared" si="45"/>
        <v>0</v>
      </c>
      <c r="AL343" s="107">
        <f t="shared" si="45"/>
        <v>0</v>
      </c>
      <c r="AM343" s="107">
        <f t="shared" si="45"/>
        <v>0</v>
      </c>
      <c r="AN343" s="107">
        <f t="shared" si="45"/>
        <v>0</v>
      </c>
      <c r="AO343" s="107">
        <f t="shared" si="45"/>
        <v>0</v>
      </c>
      <c r="AP343" s="107">
        <f t="shared" si="45"/>
        <v>0</v>
      </c>
      <c r="AQ343" s="107">
        <f t="shared" si="45"/>
        <v>0</v>
      </c>
      <c r="AR343" s="111">
        <f>D343+E343+F343+G343+H343+I343+J343+M343+P343+SUM(T343:AQ343)</f>
        <v>80179.750639999984</v>
      </c>
      <c r="AS343" s="4"/>
      <c r="AT343" s="5"/>
      <c r="AU343" s="5"/>
      <c r="AV343" s="2" t="s">
        <v>6</v>
      </c>
    </row>
    <row r="344" spans="1:49" s="2" customFormat="1" ht="17.25" customHeight="1" thickTop="1" x14ac:dyDescent="0.25">
      <c r="A344" s="23">
        <f>A330+1</f>
        <v>46136</v>
      </c>
      <c r="B344" s="210" t="s">
        <v>64</v>
      </c>
      <c r="C344" s="203"/>
      <c r="D344" s="63">
        <v>7480.35</v>
      </c>
      <c r="E344" s="66"/>
      <c r="F344" s="66"/>
      <c r="G344" s="66"/>
      <c r="H344" s="66"/>
      <c r="I344" s="66">
        <f>-D344</f>
        <v>-7480.35</v>
      </c>
      <c r="J344" s="66"/>
      <c r="K344" s="18"/>
      <c r="L344" s="18"/>
      <c r="M344" s="66"/>
      <c r="N344" s="18"/>
      <c r="O344" s="18"/>
      <c r="P344" s="66"/>
      <c r="Q344" s="18"/>
      <c r="R344" s="18"/>
      <c r="S344" s="66"/>
      <c r="T344" s="46"/>
      <c r="U344" s="46"/>
      <c r="V344" s="45"/>
      <c r="W344" s="18"/>
      <c r="X344" s="18"/>
      <c r="Y344" s="18"/>
      <c r="Z344" s="18"/>
      <c r="AA344" s="18"/>
      <c r="AB344" s="14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31"/>
      <c r="AT344" s="10"/>
      <c r="AU344" s="27"/>
    </row>
    <row r="345" spans="1:49" s="4" customFormat="1" ht="17.25" customHeight="1" x14ac:dyDescent="0.25">
      <c r="A345" s="23"/>
      <c r="B345" s="201" t="s">
        <v>96</v>
      </c>
      <c r="C345" s="202"/>
      <c r="D345" s="63"/>
      <c r="E345" s="64"/>
      <c r="F345" s="64"/>
      <c r="G345" s="64"/>
      <c r="H345" s="64"/>
      <c r="I345" s="64">
        <f>-I343-I344</f>
        <v>-189.28999999999996</v>
      </c>
      <c r="J345" s="64"/>
      <c r="K345" s="16"/>
      <c r="L345" s="92"/>
      <c r="M345" s="64"/>
      <c r="N345" s="16"/>
      <c r="O345" s="92"/>
      <c r="P345" s="64"/>
      <c r="Q345" s="16"/>
      <c r="R345" s="92"/>
      <c r="S345" s="64"/>
      <c r="T345" s="40"/>
      <c r="U345" s="46"/>
      <c r="V345" s="39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22"/>
      <c r="AS345" s="30"/>
    </row>
    <row r="346" spans="1:49" s="2" customFormat="1" ht="17.25" customHeight="1" x14ac:dyDescent="0.25">
      <c r="A346" s="29"/>
      <c r="B346" s="201" t="s">
        <v>327</v>
      </c>
      <c r="C346" s="202"/>
      <c r="D346" s="63">
        <f>30+65+20+50+100+50+50+30+50+10+20</f>
        <v>475</v>
      </c>
      <c r="E346" s="64"/>
      <c r="F346" s="64"/>
      <c r="G346" s="64"/>
      <c r="H346" s="64"/>
      <c r="I346" s="64">
        <f>-D346</f>
        <v>-475</v>
      </c>
      <c r="J346" s="64"/>
      <c r="K346" s="57"/>
      <c r="L346" s="88"/>
      <c r="M346" s="62"/>
      <c r="N346" s="57"/>
      <c r="O346" s="88"/>
      <c r="P346" s="62"/>
      <c r="Q346" s="57"/>
      <c r="R346" s="88"/>
      <c r="S346" s="62"/>
      <c r="T346" s="47"/>
      <c r="U346" s="39"/>
      <c r="V346" s="39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22"/>
      <c r="AT346" s="10"/>
      <c r="AU346" s="11"/>
    </row>
    <row r="347" spans="1:49" s="2" customFormat="1" ht="17.25" customHeight="1" x14ac:dyDescent="0.25">
      <c r="A347" s="29"/>
      <c r="B347" s="201" t="s">
        <v>328</v>
      </c>
      <c r="C347" s="202"/>
      <c r="D347" s="63">
        <f>-11*0.99</f>
        <v>-10.89</v>
      </c>
      <c r="E347" s="64"/>
      <c r="F347" s="64"/>
      <c r="G347" s="64"/>
      <c r="H347" s="64"/>
      <c r="I347" s="64"/>
      <c r="J347" s="64"/>
      <c r="K347" s="57"/>
      <c r="L347" s="88"/>
      <c r="M347" s="62"/>
      <c r="N347" s="57"/>
      <c r="O347" s="88"/>
      <c r="P347" s="62"/>
      <c r="Q347" s="57"/>
      <c r="R347" s="88"/>
      <c r="S347" s="62"/>
      <c r="T347" s="47"/>
      <c r="U347" s="39"/>
      <c r="V347" s="39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22"/>
      <c r="AT347" s="10"/>
      <c r="AU347" s="11"/>
    </row>
    <row r="348" spans="1:49" s="4" customFormat="1" ht="17.25" customHeight="1" x14ac:dyDescent="0.25">
      <c r="A348" s="23"/>
      <c r="B348" s="201" t="s">
        <v>13</v>
      </c>
      <c r="C348" s="203"/>
      <c r="D348" s="63"/>
      <c r="E348" s="64">
        <f>100+40+100+116+50+100+20+12.9+50+90+20</f>
        <v>698.9</v>
      </c>
      <c r="F348" s="64"/>
      <c r="G348" s="64"/>
      <c r="H348" s="64">
        <f>-E348</f>
        <v>-698.9</v>
      </c>
      <c r="I348" s="66"/>
      <c r="J348" s="64"/>
      <c r="K348" s="16"/>
      <c r="L348" s="92"/>
      <c r="M348" s="64"/>
      <c r="N348" s="16"/>
      <c r="O348" s="92"/>
      <c r="P348" s="64"/>
      <c r="Q348" s="16"/>
      <c r="R348" s="92"/>
      <c r="S348" s="64"/>
      <c r="T348" s="40"/>
      <c r="U348" s="46">
        <f>-D348</f>
        <v>0</v>
      </c>
      <c r="V348" s="39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22"/>
      <c r="AS348" s="30"/>
    </row>
    <row r="349" spans="1:49" s="2" customFormat="1" ht="17.25" customHeight="1" x14ac:dyDescent="0.25">
      <c r="A349" s="29"/>
      <c r="B349" s="201" t="s">
        <v>72</v>
      </c>
      <c r="C349" s="202"/>
      <c r="D349" s="63">
        <v>-36380</v>
      </c>
      <c r="E349" s="64"/>
      <c r="F349" s="64">
        <f>-D349</f>
        <v>36380</v>
      </c>
      <c r="G349" s="64"/>
      <c r="H349" s="64"/>
      <c r="I349" s="64"/>
      <c r="J349" s="64"/>
      <c r="K349" s="57"/>
      <c r="L349" s="88"/>
      <c r="M349" s="62"/>
      <c r="N349" s="57"/>
      <c r="O349" s="88"/>
      <c r="P349" s="62"/>
      <c r="Q349" s="57"/>
      <c r="R349" s="88"/>
      <c r="S349" s="62"/>
      <c r="T349" s="47"/>
      <c r="U349" s="39"/>
      <c r="V349" s="3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22"/>
      <c r="AT349" s="10" t="s">
        <v>4</v>
      </c>
      <c r="AU349" s="11" t="e">
        <v>#REF!</v>
      </c>
    </row>
    <row r="350" spans="1:49" s="2" customFormat="1" ht="17.25" customHeight="1" x14ac:dyDescent="0.25">
      <c r="A350" s="24"/>
      <c r="B350" s="205" t="s">
        <v>476</v>
      </c>
      <c r="C350" s="206"/>
      <c r="D350" s="64"/>
      <c r="E350" s="64"/>
      <c r="F350" s="64"/>
      <c r="G350" s="64"/>
      <c r="H350" s="64"/>
      <c r="I350" s="64"/>
      <c r="J350" s="64"/>
      <c r="K350" s="57"/>
      <c r="L350" s="88"/>
      <c r="M350" s="62"/>
      <c r="N350" s="57">
        <v>5000</v>
      </c>
      <c r="O350" s="88">
        <v>3.18</v>
      </c>
      <c r="P350" s="62">
        <f>N350*O350</f>
        <v>15900</v>
      </c>
      <c r="Q350" s="57"/>
      <c r="R350" s="88"/>
      <c r="S350" s="62"/>
      <c r="T350" s="39">
        <f>-P350</f>
        <v>-15900</v>
      </c>
      <c r="U350" s="39"/>
      <c r="V350" s="39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22"/>
      <c r="AT350" s="10"/>
      <c r="AU350" s="11"/>
    </row>
    <row r="351" spans="1:49" s="2" customFormat="1" ht="17.25" customHeight="1" thickBot="1" x14ac:dyDescent="0.25">
      <c r="A351" s="24"/>
      <c r="B351" s="216"/>
      <c r="C351" s="217"/>
      <c r="D351" s="83"/>
      <c r="E351" s="81"/>
      <c r="F351" s="81"/>
      <c r="G351" s="81"/>
      <c r="H351" s="81"/>
      <c r="I351" s="81"/>
      <c r="J351" s="81"/>
      <c r="K351" s="37"/>
      <c r="L351" s="93"/>
      <c r="M351" s="81"/>
      <c r="N351" s="37"/>
      <c r="O351" s="93"/>
      <c r="P351" s="81"/>
      <c r="Q351" s="37"/>
      <c r="R351" s="93"/>
      <c r="S351" s="81"/>
      <c r="T351" s="40"/>
      <c r="U351" s="40"/>
      <c r="V351" s="39"/>
      <c r="W351" s="16"/>
      <c r="X351" s="16"/>
      <c r="Y351" s="16"/>
      <c r="Z351" s="16"/>
      <c r="AA351" s="16"/>
      <c r="AB351" s="19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41"/>
      <c r="AT351" s="10"/>
      <c r="AU351" s="11"/>
    </row>
    <row r="352" spans="1:49" s="4" customFormat="1" ht="17.25" customHeight="1" x14ac:dyDescent="0.25">
      <c r="A352" s="23"/>
      <c r="B352" s="210" t="s">
        <v>94</v>
      </c>
      <c r="C352" s="203"/>
      <c r="D352" s="66"/>
      <c r="E352" s="66"/>
      <c r="F352" s="117"/>
      <c r="G352" s="117"/>
      <c r="H352" s="66"/>
      <c r="I352" s="66"/>
      <c r="J352" s="66">
        <f>-M352</f>
        <v>7457.1299999999992</v>
      </c>
      <c r="K352" s="58">
        <v>-1167</v>
      </c>
      <c r="L352" s="89">
        <v>6.39</v>
      </c>
      <c r="M352" s="73">
        <f>K352*L352</f>
        <v>-7457.1299999999992</v>
      </c>
      <c r="N352" s="58"/>
      <c r="O352" s="89"/>
      <c r="P352" s="73"/>
      <c r="Q352" s="58"/>
      <c r="R352" s="89"/>
      <c r="S352" s="73"/>
      <c r="T352" s="39"/>
      <c r="U352" s="39"/>
      <c r="V352" s="8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35"/>
      <c r="AS352" s="12" t="e">
        <f>#REF!</f>
        <v>#REF!</v>
      </c>
    </row>
    <row r="353" spans="1:49" s="4" customFormat="1" ht="17.25" customHeight="1" x14ac:dyDescent="0.25">
      <c r="A353" s="23"/>
      <c r="B353" s="201" t="s">
        <v>95</v>
      </c>
      <c r="C353" s="202"/>
      <c r="D353" s="64"/>
      <c r="E353" s="64"/>
      <c r="F353" s="117"/>
      <c r="G353" s="117"/>
      <c r="H353" s="64"/>
      <c r="I353" s="64"/>
      <c r="J353" s="64">
        <f>-P353</f>
        <v>3686.7599999999998</v>
      </c>
      <c r="K353" s="57"/>
      <c r="L353" s="88"/>
      <c r="M353" s="62"/>
      <c r="N353" s="57">
        <v>-882</v>
      </c>
      <c r="O353" s="88">
        <v>4.18</v>
      </c>
      <c r="P353" s="62">
        <f>N353*O353</f>
        <v>-3686.7599999999998</v>
      </c>
      <c r="Q353" s="57"/>
      <c r="R353" s="88"/>
      <c r="S353" s="62"/>
      <c r="T353" s="39"/>
      <c r="U353" s="39"/>
      <c r="V353" s="8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35"/>
      <c r="AS353" s="12" t="e">
        <f>#REF!</f>
        <v>#REF!</v>
      </c>
    </row>
    <row r="354" spans="1:49" s="4" customFormat="1" ht="17.25" customHeight="1" x14ac:dyDescent="0.25">
      <c r="A354" s="23"/>
      <c r="B354" s="201" t="s">
        <v>95</v>
      </c>
      <c r="C354" s="202"/>
      <c r="D354" s="64"/>
      <c r="E354" s="64"/>
      <c r="F354" s="117"/>
      <c r="G354" s="117"/>
      <c r="H354" s="64"/>
      <c r="I354" s="64"/>
      <c r="J354" s="64">
        <f>-P354</f>
        <v>4931.6400000000003</v>
      </c>
      <c r="K354" s="57"/>
      <c r="L354" s="88"/>
      <c r="M354" s="62"/>
      <c r="N354" s="57">
        <v>-1236</v>
      </c>
      <c r="O354" s="88">
        <v>3.99</v>
      </c>
      <c r="P354" s="62">
        <f>N354*O354</f>
        <v>-4931.6400000000003</v>
      </c>
      <c r="Q354" s="57"/>
      <c r="R354" s="88"/>
      <c r="S354" s="62"/>
      <c r="T354" s="39"/>
      <c r="U354" s="39"/>
      <c r="V354" s="8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35"/>
      <c r="AS354" s="12" t="e">
        <f>#REF!</f>
        <v>#REF!</v>
      </c>
    </row>
    <row r="355" spans="1:49" s="4" customFormat="1" ht="17.25" customHeight="1" x14ac:dyDescent="0.25">
      <c r="A355" s="23"/>
      <c r="B355" s="201" t="s">
        <v>97</v>
      </c>
      <c r="C355" s="203"/>
      <c r="D355" s="64"/>
      <c r="E355" s="64"/>
      <c r="F355" s="64"/>
      <c r="G355" s="64"/>
      <c r="H355" s="64">
        <f>-J355-I355</f>
        <v>2358.7099999999991</v>
      </c>
      <c r="I355" s="64">
        <v>8785.18</v>
      </c>
      <c r="J355" s="64">
        <f>-SUM(J352:J353)</f>
        <v>-11143.89</v>
      </c>
      <c r="K355" s="57"/>
      <c r="L355" s="88"/>
      <c r="M355" s="62"/>
      <c r="N355" s="57"/>
      <c r="O355" s="88"/>
      <c r="P355" s="62"/>
      <c r="Q355" s="57"/>
      <c r="R355" s="88"/>
      <c r="S355" s="62"/>
      <c r="T355" s="39"/>
      <c r="U355" s="39"/>
      <c r="V355" s="39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22"/>
      <c r="AR355" s="43">
        <f>A326</f>
        <v>0</v>
      </c>
      <c r="AS355" s="12" t="e">
        <f>#REF!</f>
        <v>#REF!</v>
      </c>
      <c r="AW355" s="2"/>
    </row>
    <row r="356" spans="1:49" s="4" customFormat="1" ht="17.25" customHeight="1" x14ac:dyDescent="0.25">
      <c r="A356" s="23"/>
      <c r="B356" s="201" t="s">
        <v>93</v>
      </c>
      <c r="C356" s="202"/>
      <c r="D356" s="64"/>
      <c r="E356" s="64"/>
      <c r="F356" s="64"/>
      <c r="G356" s="64"/>
      <c r="H356" s="64"/>
      <c r="I356" s="64"/>
      <c r="J356" s="64"/>
      <c r="K356" s="57">
        <v>48</v>
      </c>
      <c r="L356" s="88"/>
      <c r="M356" s="62">
        <f>(K359*(M343)/(K343))-M343-M352</f>
        <v>1222.2575588382624</v>
      </c>
      <c r="N356" s="57">
        <v>-17</v>
      </c>
      <c r="O356" s="88"/>
      <c r="P356" s="62">
        <f>(N359*(P343+P350)/(N343+N350))-P343-P353-P350-P354</f>
        <v>-243112.85719543614</v>
      </c>
      <c r="Q356" s="57"/>
      <c r="R356" s="88"/>
      <c r="S356" s="62"/>
      <c r="T356" s="39"/>
      <c r="U356" s="39"/>
      <c r="V356" s="39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22"/>
      <c r="AR356" s="43">
        <f>A337</f>
        <v>0</v>
      </c>
      <c r="AS356" s="12" t="e">
        <f>#REF!</f>
        <v>#REF!</v>
      </c>
      <c r="AW356" s="2"/>
    </row>
    <row r="357" spans="1:49" s="2" customFormat="1" ht="17.25" customHeight="1" x14ac:dyDescent="0.2">
      <c r="A357" s="24"/>
      <c r="B357" s="201"/>
      <c r="C357" s="204"/>
      <c r="D357" s="63"/>
      <c r="E357" s="64"/>
      <c r="F357" s="64"/>
      <c r="G357" s="64"/>
      <c r="H357" s="64"/>
      <c r="I357" s="64"/>
      <c r="J357" s="64"/>
      <c r="K357" s="16"/>
      <c r="L357" s="16"/>
      <c r="M357" s="64"/>
      <c r="N357" s="16"/>
      <c r="O357" s="16"/>
      <c r="P357" s="64"/>
      <c r="Q357" s="16"/>
      <c r="R357" s="16"/>
      <c r="S357" s="64"/>
      <c r="T357" s="46"/>
      <c r="U357" s="46"/>
      <c r="V357" s="39"/>
      <c r="W357" s="16"/>
      <c r="X357" s="16"/>
      <c r="Y357" s="16"/>
      <c r="Z357" s="16"/>
      <c r="AA357" s="16"/>
      <c r="AB357" s="19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43">
        <f>A344</f>
        <v>46136</v>
      </c>
      <c r="AT357" s="10"/>
      <c r="AU357" s="11"/>
    </row>
    <row r="358" spans="1:49" s="2" customFormat="1" ht="17.25" customHeight="1" thickBot="1" x14ac:dyDescent="0.3">
      <c r="A358" s="56"/>
      <c r="B358" s="101" t="s">
        <v>102</v>
      </c>
      <c r="C358" s="102">
        <f>D359+E359+F359+G359+H359+I359+J359+M359+P359</f>
        <v>244722.10954000003</v>
      </c>
      <c r="D358" s="84"/>
      <c r="E358" s="85"/>
      <c r="F358" s="85"/>
      <c r="G358" s="85"/>
      <c r="H358" s="85"/>
      <c r="I358" s="85"/>
      <c r="J358" s="85"/>
      <c r="K358" s="28"/>
      <c r="L358" s="28"/>
      <c r="M358" s="85"/>
      <c r="N358" s="28"/>
      <c r="O358" s="28"/>
      <c r="P358" s="85"/>
      <c r="Q358" s="28"/>
      <c r="R358" s="28"/>
      <c r="S358" s="85"/>
      <c r="T358" s="48"/>
      <c r="U358" s="48"/>
      <c r="V358" s="51"/>
      <c r="W358" s="28"/>
      <c r="X358" s="28"/>
      <c r="Y358" s="28"/>
      <c r="Z358" s="28"/>
      <c r="AA358" s="28"/>
      <c r="AB358" s="36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42">
        <f>SUM($T343:AQ358)</f>
        <v>-406633.13890000002</v>
      </c>
      <c r="AT358" s="10"/>
      <c r="AU358" s="11"/>
      <c r="AV358" s="2" t="s">
        <v>5</v>
      </c>
    </row>
    <row r="359" spans="1:49" s="2" customFormat="1" ht="17.25" customHeight="1" thickTop="1" thickBot="1" x14ac:dyDescent="0.3">
      <c r="A359" s="103"/>
      <c r="B359" s="104" t="s">
        <v>103</v>
      </c>
      <c r="C359" s="105">
        <f>AR359</f>
        <v>-161911.02935999999</v>
      </c>
      <c r="D359" s="106">
        <f t="shared" ref="D359:K359" si="46">SUM(D343:D358)</f>
        <v>94059.857040000003</v>
      </c>
      <c r="E359" s="107">
        <f t="shared" si="46"/>
        <v>-38023.660000000003</v>
      </c>
      <c r="F359" s="107">
        <f t="shared" si="46"/>
        <v>7985.6500000000015</v>
      </c>
      <c r="G359" s="107">
        <f t="shared" si="46"/>
        <v>0</v>
      </c>
      <c r="H359" s="107">
        <f t="shared" si="46"/>
        <v>60563.752500000031</v>
      </c>
      <c r="I359" s="107">
        <f t="shared" si="46"/>
        <v>8310.18</v>
      </c>
      <c r="J359" s="107">
        <f t="shared" si="46"/>
        <v>4931.6399999999994</v>
      </c>
      <c r="K359" s="108">
        <f t="shared" si="46"/>
        <v>6869</v>
      </c>
      <c r="L359" s="109">
        <f>M359/K359</f>
        <v>5.5718255932450145</v>
      </c>
      <c r="M359" s="107">
        <f>ROUND(SUM(M343:M358),2)</f>
        <v>38272.870000000003</v>
      </c>
      <c r="N359" s="108">
        <f>SUM(N343:N358)</f>
        <v>582</v>
      </c>
      <c r="O359" s="109">
        <f>P359/N359</f>
        <v>117.90690721649486</v>
      </c>
      <c r="P359" s="107">
        <f>ROUND(SUM(P343:P358),2)</f>
        <v>68621.820000000007</v>
      </c>
      <c r="Q359" s="108">
        <f>SUM(Q343:Q358)</f>
        <v>214</v>
      </c>
      <c r="R359" s="109">
        <f>S359/Q359</f>
        <v>6.099485981308411</v>
      </c>
      <c r="S359" s="107">
        <f>ROUND(SUM(S343:S358),2)</f>
        <v>1305.29</v>
      </c>
      <c r="T359" s="110">
        <f t="shared" ref="T359:AQ359" si="47">SUM(T343:T358)</f>
        <v>-460077.12890000001</v>
      </c>
      <c r="U359" s="107">
        <f t="shared" si="47"/>
        <v>50229.299999999996</v>
      </c>
      <c r="V359" s="107">
        <f t="shared" si="47"/>
        <v>0</v>
      </c>
      <c r="W359" s="107">
        <f t="shared" si="47"/>
        <v>3214.6899999999996</v>
      </c>
      <c r="X359" s="107">
        <f t="shared" si="47"/>
        <v>0</v>
      </c>
      <c r="Y359" s="107">
        <f t="shared" si="47"/>
        <v>0</v>
      </c>
      <c r="Z359" s="107">
        <f t="shared" si="47"/>
        <v>0</v>
      </c>
      <c r="AA359" s="107">
        <f t="shared" si="47"/>
        <v>0</v>
      </c>
      <c r="AB359" s="107">
        <f t="shared" si="47"/>
        <v>0</v>
      </c>
      <c r="AC359" s="107">
        <f t="shared" si="47"/>
        <v>0</v>
      </c>
      <c r="AD359" s="107">
        <f t="shared" si="47"/>
        <v>0</v>
      </c>
      <c r="AE359" s="107">
        <f t="shared" si="47"/>
        <v>0</v>
      </c>
      <c r="AF359" s="107">
        <f t="shared" si="47"/>
        <v>0</v>
      </c>
      <c r="AG359" s="107">
        <f t="shared" si="47"/>
        <v>0</v>
      </c>
      <c r="AH359" s="107">
        <f t="shared" si="47"/>
        <v>0</v>
      </c>
      <c r="AI359" s="107">
        <f t="shared" si="47"/>
        <v>0</v>
      </c>
      <c r="AJ359" s="107">
        <f t="shared" si="47"/>
        <v>0</v>
      </c>
      <c r="AK359" s="107">
        <f t="shared" si="47"/>
        <v>0</v>
      </c>
      <c r="AL359" s="107">
        <f t="shared" si="47"/>
        <v>0</v>
      </c>
      <c r="AM359" s="107">
        <f t="shared" si="47"/>
        <v>0</v>
      </c>
      <c r="AN359" s="107">
        <f t="shared" si="47"/>
        <v>0</v>
      </c>
      <c r="AO359" s="107">
        <f t="shared" si="47"/>
        <v>0</v>
      </c>
      <c r="AP359" s="107">
        <f t="shared" si="47"/>
        <v>0</v>
      </c>
      <c r="AQ359" s="107">
        <f t="shared" si="47"/>
        <v>0</v>
      </c>
      <c r="AR359" s="111">
        <f>D359+E359+F359+G359+H359+I359+J359+M359+P359+SUM(T359:AQ359)</f>
        <v>-161911.02935999999</v>
      </c>
      <c r="AS359" s="4"/>
      <c r="AT359" s="5"/>
      <c r="AU359" s="5"/>
      <c r="AV359" s="2" t="s">
        <v>6</v>
      </c>
    </row>
    <row r="360" spans="1:49" s="2" customFormat="1" ht="17.25" customHeight="1" thickTop="1" x14ac:dyDescent="0.25">
      <c r="A360" s="23">
        <f>A344+1</f>
        <v>46137</v>
      </c>
      <c r="B360" s="210" t="s">
        <v>64</v>
      </c>
      <c r="C360" s="203"/>
      <c r="D360" s="63">
        <v>8118.2</v>
      </c>
      <c r="E360" s="66"/>
      <c r="F360" s="66"/>
      <c r="G360" s="66"/>
      <c r="H360" s="66"/>
      <c r="I360" s="66">
        <f>-D360</f>
        <v>-8118.2</v>
      </c>
      <c r="J360" s="66"/>
      <c r="K360" s="18"/>
      <c r="L360" s="18"/>
      <c r="M360" s="66"/>
      <c r="N360" s="18"/>
      <c r="O360" s="18"/>
      <c r="P360" s="66"/>
      <c r="Q360" s="18"/>
      <c r="R360" s="18"/>
      <c r="S360" s="66"/>
      <c r="T360" s="46"/>
      <c r="U360" s="46"/>
      <c r="V360" s="45"/>
      <c r="W360" s="18"/>
      <c r="X360" s="18"/>
      <c r="Y360" s="18"/>
      <c r="Z360" s="18"/>
      <c r="AA360" s="18"/>
      <c r="AB360" s="14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31"/>
      <c r="AT360" s="10"/>
      <c r="AU360" s="27"/>
    </row>
    <row r="361" spans="1:49" s="4" customFormat="1" ht="17.25" customHeight="1" x14ac:dyDescent="0.25">
      <c r="A361" s="23"/>
      <c r="B361" s="201" t="s">
        <v>96</v>
      </c>
      <c r="C361" s="202"/>
      <c r="D361" s="63"/>
      <c r="E361" s="64"/>
      <c r="F361" s="64"/>
      <c r="G361" s="64"/>
      <c r="H361" s="64"/>
      <c r="I361" s="64">
        <f>-I359-I360</f>
        <v>-191.98000000000047</v>
      </c>
      <c r="J361" s="64"/>
      <c r="K361" s="16"/>
      <c r="L361" s="92"/>
      <c r="M361" s="64"/>
      <c r="N361" s="16"/>
      <c r="O361" s="92"/>
      <c r="P361" s="64"/>
      <c r="Q361" s="16"/>
      <c r="R361" s="92"/>
      <c r="S361" s="64"/>
      <c r="T361" s="40"/>
      <c r="U361" s="46"/>
      <c r="V361" s="39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22"/>
      <c r="AS361" s="30"/>
    </row>
    <row r="362" spans="1:49" s="2" customFormat="1" ht="17.25" customHeight="1" x14ac:dyDescent="0.25">
      <c r="A362" s="29"/>
      <c r="B362" s="201" t="s">
        <v>327</v>
      </c>
      <c r="C362" s="202"/>
      <c r="D362" s="63">
        <f>30+10+50+69.5+10+20+40+15+75+10+50+35</f>
        <v>414.5</v>
      </c>
      <c r="E362" s="64"/>
      <c r="F362" s="64"/>
      <c r="G362" s="64"/>
      <c r="H362" s="64"/>
      <c r="I362" s="64">
        <f>-D362</f>
        <v>-414.5</v>
      </c>
      <c r="J362" s="64"/>
      <c r="K362" s="57"/>
      <c r="L362" s="88"/>
      <c r="M362" s="62"/>
      <c r="N362" s="57"/>
      <c r="O362" s="88"/>
      <c r="P362" s="62"/>
      <c r="Q362" s="57"/>
      <c r="R362" s="88"/>
      <c r="S362" s="62"/>
      <c r="T362" s="47"/>
      <c r="U362" s="39"/>
      <c r="V362" s="39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22"/>
      <c r="AT362" s="10"/>
      <c r="AU362" s="11"/>
    </row>
    <row r="363" spans="1:49" s="2" customFormat="1" ht="17.25" customHeight="1" x14ac:dyDescent="0.25">
      <c r="A363" s="29"/>
      <c r="B363" s="201" t="s">
        <v>328</v>
      </c>
      <c r="C363" s="202"/>
      <c r="D363" s="63">
        <f>-12*0.99</f>
        <v>-11.879999999999999</v>
      </c>
      <c r="E363" s="64"/>
      <c r="F363" s="64"/>
      <c r="G363" s="64"/>
      <c r="H363" s="64"/>
      <c r="I363" s="64"/>
      <c r="J363" s="64"/>
      <c r="K363" s="57"/>
      <c r="L363" s="88"/>
      <c r="M363" s="62"/>
      <c r="N363" s="57"/>
      <c r="O363" s="88"/>
      <c r="P363" s="62"/>
      <c r="Q363" s="57"/>
      <c r="R363" s="88"/>
      <c r="S363" s="62"/>
      <c r="T363" s="47"/>
      <c r="U363" s="39"/>
      <c r="V363" s="39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22"/>
      <c r="AT363" s="10"/>
      <c r="AU363" s="11"/>
    </row>
    <row r="364" spans="1:49" s="2" customFormat="1" ht="17.25" customHeight="1" x14ac:dyDescent="0.25">
      <c r="A364" s="29"/>
      <c r="B364" s="201" t="s">
        <v>72</v>
      </c>
      <c r="C364" s="202"/>
      <c r="D364" s="63">
        <v>36380</v>
      </c>
      <c r="E364" s="64"/>
      <c r="F364" s="64">
        <f>-D364</f>
        <v>-36380</v>
      </c>
      <c r="G364" s="64"/>
      <c r="H364" s="64"/>
      <c r="I364" s="64"/>
      <c r="J364" s="64"/>
      <c r="K364" s="57"/>
      <c r="L364" s="88"/>
      <c r="M364" s="62"/>
      <c r="N364" s="57"/>
      <c r="O364" s="88"/>
      <c r="P364" s="62"/>
      <c r="Q364" s="57"/>
      <c r="R364" s="88"/>
      <c r="S364" s="62"/>
      <c r="T364" s="47"/>
      <c r="U364" s="39"/>
      <c r="V364" s="39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22"/>
      <c r="AT364" s="10" t="s">
        <v>4</v>
      </c>
      <c r="AU364" s="11" t="e">
        <v>#REF!</v>
      </c>
    </row>
    <row r="365" spans="1:49" s="2" customFormat="1" ht="17.25" customHeight="1" x14ac:dyDescent="0.25">
      <c r="A365" s="29"/>
      <c r="B365" s="201" t="s">
        <v>276</v>
      </c>
      <c r="C365" s="202"/>
      <c r="D365" s="63">
        <f>-4.9-4.9</f>
        <v>-9.8000000000000007</v>
      </c>
      <c r="E365" s="64"/>
      <c r="F365" s="64"/>
      <c r="G365" s="64"/>
      <c r="H365" s="64"/>
      <c r="I365" s="64"/>
      <c r="J365" s="64"/>
      <c r="K365" s="57"/>
      <c r="L365" s="88"/>
      <c r="M365" s="62"/>
      <c r="N365" s="57"/>
      <c r="O365" s="88"/>
      <c r="P365" s="62"/>
      <c r="Q365" s="57"/>
      <c r="R365" s="88"/>
      <c r="S365" s="62"/>
      <c r="T365" s="47"/>
      <c r="U365" s="39"/>
      <c r="V365" s="39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22"/>
      <c r="AT365" s="10"/>
      <c r="AU365" s="11"/>
    </row>
    <row r="366" spans="1:49" s="4" customFormat="1" ht="17.25" customHeight="1" x14ac:dyDescent="0.25">
      <c r="A366" s="23"/>
      <c r="B366" s="201" t="s">
        <v>13</v>
      </c>
      <c r="C366" s="203"/>
      <c r="D366" s="63"/>
      <c r="E366" s="64">
        <f>100+14+15+40+65+20+20+50+70+10+50+1374+100+1280+10</f>
        <v>3218</v>
      </c>
      <c r="F366" s="64"/>
      <c r="G366" s="64"/>
      <c r="H366" s="64">
        <f>-E366</f>
        <v>-3218</v>
      </c>
      <c r="I366" s="66"/>
      <c r="J366" s="64"/>
      <c r="K366" s="16"/>
      <c r="L366" s="92"/>
      <c r="M366" s="64"/>
      <c r="N366" s="16"/>
      <c r="O366" s="92"/>
      <c r="P366" s="64"/>
      <c r="Q366" s="16"/>
      <c r="R366" s="92"/>
      <c r="S366" s="64"/>
      <c r="T366" s="40"/>
      <c r="U366" s="46">
        <f>-D366</f>
        <v>0</v>
      </c>
      <c r="V366" s="39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22"/>
      <c r="AS366" s="30"/>
    </row>
    <row r="367" spans="1:49" s="2" customFormat="1" ht="17.25" customHeight="1" thickBot="1" x14ac:dyDescent="0.25">
      <c r="A367" s="24"/>
      <c r="B367" s="216"/>
      <c r="C367" s="217"/>
      <c r="D367" s="83"/>
      <c r="E367" s="81"/>
      <c r="F367" s="81"/>
      <c r="G367" s="81"/>
      <c r="H367" s="81"/>
      <c r="I367" s="81"/>
      <c r="J367" s="81"/>
      <c r="K367" s="37"/>
      <c r="L367" s="93"/>
      <c r="M367" s="81"/>
      <c r="N367" s="37"/>
      <c r="O367" s="93"/>
      <c r="P367" s="81"/>
      <c r="Q367" s="37"/>
      <c r="R367" s="93"/>
      <c r="S367" s="81"/>
      <c r="T367" s="40"/>
      <c r="U367" s="40"/>
      <c r="V367" s="39"/>
      <c r="W367" s="16"/>
      <c r="X367" s="16"/>
      <c r="Y367" s="16"/>
      <c r="Z367" s="16"/>
      <c r="AA367" s="16"/>
      <c r="AB367" s="19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41"/>
      <c r="AT367" s="10"/>
      <c r="AU367" s="11"/>
    </row>
    <row r="368" spans="1:49" s="4" customFormat="1" ht="17.25" customHeight="1" x14ac:dyDescent="0.25">
      <c r="A368" s="23"/>
      <c r="B368" s="210" t="s">
        <v>94</v>
      </c>
      <c r="C368" s="203"/>
      <c r="D368" s="66"/>
      <c r="E368" s="66"/>
      <c r="F368" s="117"/>
      <c r="G368" s="117"/>
      <c r="H368" s="66"/>
      <c r="I368" s="66"/>
      <c r="J368" s="66">
        <f>-M368</f>
        <v>7144.0199999999995</v>
      </c>
      <c r="K368" s="58">
        <v>-1118</v>
      </c>
      <c r="L368" s="89">
        <v>6.39</v>
      </c>
      <c r="M368" s="73">
        <f>K368*L368</f>
        <v>-7144.0199999999995</v>
      </c>
      <c r="N368" s="58"/>
      <c r="O368" s="89"/>
      <c r="P368" s="73"/>
      <c r="Q368" s="58"/>
      <c r="R368" s="89"/>
      <c r="S368" s="73"/>
      <c r="T368" s="39"/>
      <c r="U368" s="39"/>
      <c r="V368" s="8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35"/>
      <c r="AS368" s="12" t="e">
        <f>#REF!</f>
        <v>#REF!</v>
      </c>
    </row>
    <row r="369" spans="1:49" s="4" customFormat="1" ht="17.25" customHeight="1" x14ac:dyDescent="0.25">
      <c r="A369" s="23"/>
      <c r="B369" s="201" t="s">
        <v>95</v>
      </c>
      <c r="C369" s="202"/>
      <c r="D369" s="64"/>
      <c r="E369" s="64"/>
      <c r="F369" s="117"/>
      <c r="G369" s="117"/>
      <c r="H369" s="64"/>
      <c r="I369" s="64"/>
      <c r="J369" s="64">
        <f>-P369</f>
        <v>6579.51</v>
      </c>
      <c r="K369" s="57"/>
      <c r="L369" s="88"/>
      <c r="M369" s="62"/>
      <c r="N369" s="57">
        <v>-1649</v>
      </c>
      <c r="O369" s="88">
        <v>3.99</v>
      </c>
      <c r="P369" s="62">
        <f>N369*O369</f>
        <v>-6579.51</v>
      </c>
      <c r="Q369" s="57"/>
      <c r="R369" s="88"/>
      <c r="S369" s="62"/>
      <c r="T369" s="39"/>
      <c r="U369" s="39"/>
      <c r="V369" s="8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35"/>
      <c r="AS369" s="12" t="e">
        <f>#REF!</f>
        <v>#REF!</v>
      </c>
    </row>
    <row r="370" spans="1:49" s="4" customFormat="1" ht="17.25" customHeight="1" x14ac:dyDescent="0.25">
      <c r="A370" s="23"/>
      <c r="B370" s="201" t="s">
        <v>97</v>
      </c>
      <c r="C370" s="203"/>
      <c r="D370" s="64"/>
      <c r="E370" s="64"/>
      <c r="F370" s="64"/>
      <c r="G370" s="64"/>
      <c r="H370" s="64">
        <f>-J370-I370</f>
        <v>3594.5499999999993</v>
      </c>
      <c r="I370" s="64">
        <v>10128.98</v>
      </c>
      <c r="J370" s="64">
        <f>-SUM(J368:J369)</f>
        <v>-13723.529999999999</v>
      </c>
      <c r="K370" s="57"/>
      <c r="L370" s="88"/>
      <c r="M370" s="62"/>
      <c r="N370" s="57"/>
      <c r="O370" s="88"/>
      <c r="P370" s="62"/>
      <c r="Q370" s="57"/>
      <c r="R370" s="88"/>
      <c r="S370" s="62"/>
      <c r="T370" s="39"/>
      <c r="U370" s="39"/>
      <c r="V370" s="39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22"/>
      <c r="AR370" s="43">
        <f>A340</f>
        <v>0</v>
      </c>
      <c r="AS370" s="12" t="e">
        <f>#REF!</f>
        <v>#REF!</v>
      </c>
      <c r="AW370" s="2"/>
    </row>
    <row r="371" spans="1:49" s="4" customFormat="1" ht="17.25" customHeight="1" x14ac:dyDescent="0.25">
      <c r="A371" s="23"/>
      <c r="B371" s="201" t="s">
        <v>93</v>
      </c>
      <c r="C371" s="202"/>
      <c r="D371" s="64"/>
      <c r="E371" s="64"/>
      <c r="F371" s="64"/>
      <c r="G371" s="64"/>
      <c r="H371" s="64"/>
      <c r="I371" s="64"/>
      <c r="J371" s="64"/>
      <c r="K371" s="57">
        <v>1</v>
      </c>
      <c r="L371" s="88"/>
      <c r="M371" s="62">
        <f>(K374*(M359)/(K359))-M359-M368</f>
        <v>920.29081234531895</v>
      </c>
      <c r="N371" s="57">
        <v>35</v>
      </c>
      <c r="O371" s="88"/>
      <c r="P371" s="62">
        <f>(N374*(P359)/(N359))-P359-P369</f>
        <v>-183722.23824742268</v>
      </c>
      <c r="Q371" s="57"/>
      <c r="R371" s="88"/>
      <c r="S371" s="62"/>
      <c r="T371" s="39"/>
      <c r="U371" s="39"/>
      <c r="V371" s="39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22"/>
      <c r="AR371" s="43">
        <f>A352</f>
        <v>0</v>
      </c>
      <c r="AS371" s="12" t="e">
        <f>#REF!</f>
        <v>#REF!</v>
      </c>
      <c r="AW371" s="2"/>
    </row>
    <row r="372" spans="1:49" s="2" customFormat="1" ht="17.25" customHeight="1" x14ac:dyDescent="0.2">
      <c r="A372" s="24"/>
      <c r="B372" s="201"/>
      <c r="C372" s="204"/>
      <c r="D372" s="63"/>
      <c r="E372" s="64"/>
      <c r="F372" s="64"/>
      <c r="G372" s="64"/>
      <c r="H372" s="64"/>
      <c r="I372" s="64"/>
      <c r="J372" s="64"/>
      <c r="K372" s="16"/>
      <c r="L372" s="16"/>
      <c r="M372" s="64"/>
      <c r="N372" s="16"/>
      <c r="O372" s="16"/>
      <c r="P372" s="64"/>
      <c r="Q372" s="16"/>
      <c r="R372" s="16"/>
      <c r="S372" s="64"/>
      <c r="T372" s="46"/>
      <c r="U372" s="46"/>
      <c r="V372" s="39"/>
      <c r="W372" s="16"/>
      <c r="X372" s="16"/>
      <c r="Y372" s="16"/>
      <c r="Z372" s="16"/>
      <c r="AA372" s="16"/>
      <c r="AB372" s="19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43">
        <f>A360</f>
        <v>46137</v>
      </c>
      <c r="AT372" s="10"/>
      <c r="AU372" s="11"/>
    </row>
    <row r="373" spans="1:49" s="2" customFormat="1" ht="17.25" customHeight="1" thickBot="1" x14ac:dyDescent="0.3">
      <c r="A373" s="56"/>
      <c r="B373" s="101" t="s">
        <v>102</v>
      </c>
      <c r="C373" s="102">
        <f>D374+E374+F374+G374+H374+I374+J374+M374+P374</f>
        <v>61706.499540000048</v>
      </c>
      <c r="D373" s="84"/>
      <c r="E373" s="85"/>
      <c r="F373" s="85"/>
      <c r="G373" s="85"/>
      <c r="H373" s="85"/>
      <c r="I373" s="85"/>
      <c r="J373" s="85"/>
      <c r="K373" s="28"/>
      <c r="L373" s="28"/>
      <c r="M373" s="85"/>
      <c r="N373" s="28"/>
      <c r="O373" s="28"/>
      <c r="P373" s="85"/>
      <c r="Q373" s="28"/>
      <c r="R373" s="28"/>
      <c r="S373" s="85"/>
      <c r="T373" s="48"/>
      <c r="U373" s="48"/>
      <c r="V373" s="51"/>
      <c r="W373" s="28"/>
      <c r="X373" s="28"/>
      <c r="Y373" s="28"/>
      <c r="Z373" s="28"/>
      <c r="AA373" s="28"/>
      <c r="AB373" s="36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42">
        <f>SUM($T359:AQ373)</f>
        <v>-406633.13890000002</v>
      </c>
      <c r="AT373" s="10"/>
      <c r="AU373" s="11"/>
      <c r="AV373" s="2" t="s">
        <v>5</v>
      </c>
    </row>
    <row r="374" spans="1:49" s="2" customFormat="1" ht="17.25" customHeight="1" thickTop="1" thickBot="1" x14ac:dyDescent="0.3">
      <c r="A374" s="103"/>
      <c r="B374" s="104" t="s">
        <v>103</v>
      </c>
      <c r="C374" s="105">
        <f>AR374</f>
        <v>-344926.63935999997</v>
      </c>
      <c r="D374" s="106">
        <f t="shared" ref="D374:K374" si="48">SUM(D359:D373)</f>
        <v>138950.87703999999</v>
      </c>
      <c r="E374" s="107">
        <f t="shared" si="48"/>
        <v>-34805.660000000003</v>
      </c>
      <c r="F374" s="107">
        <f t="shared" si="48"/>
        <v>-28394.35</v>
      </c>
      <c r="G374" s="107">
        <f t="shared" si="48"/>
        <v>0</v>
      </c>
      <c r="H374" s="107">
        <f t="shared" si="48"/>
        <v>60940.302500000034</v>
      </c>
      <c r="I374" s="107">
        <f t="shared" si="48"/>
        <v>9714.48</v>
      </c>
      <c r="J374" s="107">
        <f t="shared" si="48"/>
        <v>4931.6399999999994</v>
      </c>
      <c r="K374" s="108">
        <f t="shared" si="48"/>
        <v>5752</v>
      </c>
      <c r="L374" s="109">
        <f>M374/K374</f>
        <v>5.5718254520166894</v>
      </c>
      <c r="M374" s="107">
        <f>ROUND(SUM(M359:M373),2)</f>
        <v>32049.14</v>
      </c>
      <c r="N374" s="108">
        <f>SUM(N359:N373)</f>
        <v>-1032</v>
      </c>
      <c r="O374" s="109">
        <f>P374/N374</f>
        <v>117.90690891472867</v>
      </c>
      <c r="P374" s="107">
        <f>ROUND(SUM(P359:P373),2)</f>
        <v>-121679.93</v>
      </c>
      <c r="Q374" s="108">
        <f>SUM(Q359:Q373)</f>
        <v>214</v>
      </c>
      <c r="R374" s="109">
        <f>S374/Q374</f>
        <v>6.099485981308411</v>
      </c>
      <c r="S374" s="107">
        <f>ROUND(SUM(S359:S373),2)</f>
        <v>1305.29</v>
      </c>
      <c r="T374" s="110">
        <f t="shared" ref="T374:AQ374" si="49">SUM(T359:T373)</f>
        <v>-460077.12890000001</v>
      </c>
      <c r="U374" s="107">
        <f t="shared" si="49"/>
        <v>50229.299999999996</v>
      </c>
      <c r="V374" s="107">
        <f t="shared" si="49"/>
        <v>0</v>
      </c>
      <c r="W374" s="107">
        <f t="shared" si="49"/>
        <v>3214.6899999999996</v>
      </c>
      <c r="X374" s="107">
        <f t="shared" si="49"/>
        <v>0</v>
      </c>
      <c r="Y374" s="107">
        <f t="shared" si="49"/>
        <v>0</v>
      </c>
      <c r="Z374" s="107">
        <f t="shared" si="49"/>
        <v>0</v>
      </c>
      <c r="AA374" s="107">
        <f t="shared" si="49"/>
        <v>0</v>
      </c>
      <c r="AB374" s="107">
        <f t="shared" si="49"/>
        <v>0</v>
      </c>
      <c r="AC374" s="107">
        <f t="shared" si="49"/>
        <v>0</v>
      </c>
      <c r="AD374" s="107">
        <f t="shared" si="49"/>
        <v>0</v>
      </c>
      <c r="AE374" s="107">
        <f t="shared" si="49"/>
        <v>0</v>
      </c>
      <c r="AF374" s="107">
        <f t="shared" si="49"/>
        <v>0</v>
      </c>
      <c r="AG374" s="107">
        <f t="shared" si="49"/>
        <v>0</v>
      </c>
      <c r="AH374" s="107">
        <f t="shared" si="49"/>
        <v>0</v>
      </c>
      <c r="AI374" s="107">
        <f t="shared" si="49"/>
        <v>0</v>
      </c>
      <c r="AJ374" s="107">
        <f t="shared" si="49"/>
        <v>0</v>
      </c>
      <c r="AK374" s="107">
        <f t="shared" si="49"/>
        <v>0</v>
      </c>
      <c r="AL374" s="107">
        <f t="shared" si="49"/>
        <v>0</v>
      </c>
      <c r="AM374" s="107">
        <f t="shared" si="49"/>
        <v>0</v>
      </c>
      <c r="AN374" s="107">
        <f t="shared" si="49"/>
        <v>0</v>
      </c>
      <c r="AO374" s="107">
        <f t="shared" si="49"/>
        <v>0</v>
      </c>
      <c r="AP374" s="107">
        <f t="shared" si="49"/>
        <v>0</v>
      </c>
      <c r="AQ374" s="107">
        <f t="shared" si="49"/>
        <v>0</v>
      </c>
      <c r="AR374" s="111">
        <f>D374+E374+F374+G374+H374+I374+J374+M374+P374+SUM(T374:AQ374)</f>
        <v>-344926.63935999997</v>
      </c>
      <c r="AS374" s="4"/>
      <c r="AT374" s="5"/>
      <c r="AU374" s="5"/>
      <c r="AV374" s="2" t="s">
        <v>6</v>
      </c>
    </row>
    <row r="375" spans="1:49" s="2" customFormat="1" ht="17.25" customHeight="1" thickTop="1" x14ac:dyDescent="0.25">
      <c r="A375" s="23">
        <f>A360+1</f>
        <v>46138</v>
      </c>
      <c r="B375" s="210" t="s">
        <v>64</v>
      </c>
      <c r="C375" s="203"/>
      <c r="D375" s="63">
        <v>9475.5</v>
      </c>
      <c r="E375" s="66"/>
      <c r="F375" s="66"/>
      <c r="G375" s="66"/>
      <c r="H375" s="66"/>
      <c r="I375" s="66">
        <f>-D375</f>
        <v>-9475.5</v>
      </c>
      <c r="J375" s="66"/>
      <c r="K375" s="18"/>
      <c r="L375" s="18"/>
      <c r="M375" s="66"/>
      <c r="N375" s="18"/>
      <c r="O375" s="18"/>
      <c r="P375" s="66"/>
      <c r="Q375" s="18"/>
      <c r="R375" s="18"/>
      <c r="S375" s="66"/>
      <c r="T375" s="46"/>
      <c r="U375" s="46"/>
      <c r="V375" s="45"/>
      <c r="W375" s="18"/>
      <c r="X375" s="18"/>
      <c r="Y375" s="18"/>
      <c r="Z375" s="18"/>
      <c r="AA375" s="18"/>
      <c r="AB375" s="14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31"/>
      <c r="AT375" s="10"/>
      <c r="AU375" s="27"/>
    </row>
    <row r="376" spans="1:49" s="4" customFormat="1" ht="17.25" customHeight="1" x14ac:dyDescent="0.25">
      <c r="A376" s="23"/>
      <c r="B376" s="201" t="s">
        <v>96</v>
      </c>
      <c r="C376" s="202"/>
      <c r="D376" s="63"/>
      <c r="E376" s="64"/>
      <c r="F376" s="64"/>
      <c r="G376" s="64"/>
      <c r="H376" s="64"/>
      <c r="I376" s="64">
        <f>-I374-I375</f>
        <v>-238.97999999999956</v>
      </c>
      <c r="J376" s="64"/>
      <c r="K376" s="16"/>
      <c r="L376" s="92"/>
      <c r="M376" s="64"/>
      <c r="N376" s="16"/>
      <c r="O376" s="92"/>
      <c r="P376" s="64"/>
      <c r="Q376" s="16"/>
      <c r="R376" s="92"/>
      <c r="S376" s="64"/>
      <c r="T376" s="40"/>
      <c r="U376" s="46"/>
      <c r="V376" s="39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22"/>
      <c r="AS376" s="30"/>
    </row>
    <row r="377" spans="1:49" s="2" customFormat="1" ht="17.25" customHeight="1" x14ac:dyDescent="0.25">
      <c r="A377" s="29"/>
      <c r="B377" s="201" t="s">
        <v>327</v>
      </c>
      <c r="C377" s="202"/>
      <c r="D377" s="63">
        <f>150+15+160+15+100+20+100+30+20</f>
        <v>610</v>
      </c>
      <c r="E377" s="64"/>
      <c r="F377" s="64"/>
      <c r="G377" s="64"/>
      <c r="H377" s="64"/>
      <c r="I377" s="64">
        <f>-D377</f>
        <v>-610</v>
      </c>
      <c r="J377" s="64"/>
      <c r="K377" s="57"/>
      <c r="L377" s="88"/>
      <c r="M377" s="62"/>
      <c r="N377" s="57"/>
      <c r="O377" s="88"/>
      <c r="P377" s="62"/>
      <c r="Q377" s="57"/>
      <c r="R377" s="88"/>
      <c r="S377" s="62"/>
      <c r="T377" s="47"/>
      <c r="U377" s="39"/>
      <c r="V377" s="39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22"/>
      <c r="AT377" s="10"/>
      <c r="AU377" s="11"/>
    </row>
    <row r="378" spans="1:49" s="2" customFormat="1" ht="17.25" customHeight="1" x14ac:dyDescent="0.25">
      <c r="A378" s="29"/>
      <c r="B378" s="201" t="s">
        <v>328</v>
      </c>
      <c r="C378" s="202"/>
      <c r="D378" s="63">
        <f>-7*0.99-1.2-1.28</f>
        <v>-9.4099999999999984</v>
      </c>
      <c r="E378" s="64"/>
      <c r="F378" s="64"/>
      <c r="G378" s="64"/>
      <c r="H378" s="64"/>
      <c r="I378" s="64"/>
      <c r="J378" s="64"/>
      <c r="K378" s="57"/>
      <c r="L378" s="88"/>
      <c r="M378" s="62"/>
      <c r="N378" s="57"/>
      <c r="O378" s="88"/>
      <c r="P378" s="62"/>
      <c r="Q378" s="57"/>
      <c r="R378" s="88"/>
      <c r="S378" s="62"/>
      <c r="T378" s="47"/>
      <c r="U378" s="39"/>
      <c r="V378" s="39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22"/>
      <c r="AT378" s="10"/>
      <c r="AU378" s="11"/>
    </row>
    <row r="379" spans="1:49" s="4" customFormat="1" ht="17.25" customHeight="1" x14ac:dyDescent="0.25">
      <c r="A379" s="23"/>
      <c r="B379" s="201" t="s">
        <v>13</v>
      </c>
      <c r="C379" s="203"/>
      <c r="D379" s="63"/>
      <c r="E379" s="64">
        <f>80+100+100+110+50.1+34.5+15.5+30+1703.51+81+30</f>
        <v>2334.61</v>
      </c>
      <c r="F379" s="64"/>
      <c r="G379" s="64"/>
      <c r="H379" s="64">
        <f>-E379</f>
        <v>-2334.61</v>
      </c>
      <c r="I379" s="66"/>
      <c r="J379" s="64"/>
      <c r="K379" s="16"/>
      <c r="L379" s="92"/>
      <c r="M379" s="64"/>
      <c r="N379" s="16"/>
      <c r="O379" s="92"/>
      <c r="P379" s="64"/>
      <c r="Q379" s="16"/>
      <c r="R379" s="92"/>
      <c r="S379" s="64"/>
      <c r="T379" s="40"/>
      <c r="U379" s="46">
        <f>-D379</f>
        <v>0</v>
      </c>
      <c r="V379" s="39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22"/>
      <c r="AS379" s="30"/>
    </row>
    <row r="380" spans="1:49" s="2" customFormat="1" ht="17.25" customHeight="1" x14ac:dyDescent="0.25">
      <c r="A380" s="29"/>
      <c r="B380" s="205" t="s">
        <v>455</v>
      </c>
      <c r="C380" s="206"/>
      <c r="D380" s="63"/>
      <c r="E380" s="20">
        <v>-6005.09</v>
      </c>
      <c r="F380" s="64"/>
      <c r="G380" s="64"/>
      <c r="H380" s="64"/>
      <c r="I380" s="64"/>
      <c r="J380" s="64"/>
      <c r="K380" s="57"/>
      <c r="L380" s="88"/>
      <c r="M380" s="62"/>
      <c r="N380" s="57"/>
      <c r="O380" s="88"/>
      <c r="P380" s="62"/>
      <c r="Q380" s="57"/>
      <c r="R380" s="88"/>
      <c r="S380" s="62"/>
      <c r="T380" s="47"/>
      <c r="U380" s="39"/>
      <c r="V380" s="39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22"/>
      <c r="AT380" s="10" t="s">
        <v>4</v>
      </c>
      <c r="AU380" s="11" t="e">
        <v>#REF!</v>
      </c>
    </row>
    <row r="381" spans="1:49" s="2" customFormat="1" ht="17.25" customHeight="1" x14ac:dyDescent="0.25">
      <c r="A381" s="29"/>
      <c r="B381" s="201" t="s">
        <v>370</v>
      </c>
      <c r="C381" s="202"/>
      <c r="D381" s="63"/>
      <c r="E381" s="64">
        <v>-577.70000000000005</v>
      </c>
      <c r="F381" s="64"/>
      <c r="G381" s="64"/>
      <c r="H381" s="64"/>
      <c r="I381" s="64"/>
      <c r="J381" s="64"/>
      <c r="K381" s="57"/>
      <c r="L381" s="88"/>
      <c r="M381" s="62"/>
      <c r="N381" s="57"/>
      <c r="O381" s="88"/>
      <c r="P381" s="62"/>
      <c r="Q381" s="57"/>
      <c r="R381" s="88"/>
      <c r="S381" s="62"/>
      <c r="T381" s="47"/>
      <c r="U381" s="39"/>
      <c r="V381" s="39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22"/>
      <c r="AT381" s="10" t="s">
        <v>4</v>
      </c>
      <c r="AU381" s="11" t="e">
        <v>#REF!</v>
      </c>
    </row>
    <row r="382" spans="1:49" s="2" customFormat="1" ht="17.25" customHeight="1" thickBot="1" x14ac:dyDescent="0.25">
      <c r="A382" s="24"/>
      <c r="B382" s="216"/>
      <c r="C382" s="217"/>
      <c r="D382" s="83"/>
      <c r="E382" s="81"/>
      <c r="F382" s="81"/>
      <c r="G382" s="81"/>
      <c r="H382" s="81"/>
      <c r="I382" s="81"/>
      <c r="J382" s="81"/>
      <c r="K382" s="37"/>
      <c r="L382" s="93"/>
      <c r="M382" s="81"/>
      <c r="N382" s="37"/>
      <c r="O382" s="93"/>
      <c r="P382" s="81"/>
      <c r="Q382" s="37"/>
      <c r="R382" s="93"/>
      <c r="S382" s="81"/>
      <c r="T382" s="40"/>
      <c r="U382" s="40"/>
      <c r="V382" s="39"/>
      <c r="W382" s="16"/>
      <c r="X382" s="16"/>
      <c r="Y382" s="16"/>
      <c r="Z382" s="16"/>
      <c r="AA382" s="16"/>
      <c r="AB382" s="19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41"/>
      <c r="AT382" s="10"/>
      <c r="AU382" s="11"/>
    </row>
    <row r="383" spans="1:49" s="4" customFormat="1" ht="17.25" customHeight="1" x14ac:dyDescent="0.25">
      <c r="A383" s="23"/>
      <c r="B383" s="210" t="s">
        <v>94</v>
      </c>
      <c r="C383" s="203"/>
      <c r="D383" s="66"/>
      <c r="E383" s="66"/>
      <c r="F383" s="117"/>
      <c r="G383" s="117"/>
      <c r="H383" s="66"/>
      <c r="I383" s="66"/>
      <c r="J383" s="66">
        <f>-M383</f>
        <v>5968.2599999999993</v>
      </c>
      <c r="K383" s="58">
        <v>-934</v>
      </c>
      <c r="L383" s="89">
        <v>6.39</v>
      </c>
      <c r="M383" s="73">
        <f>K383*L383</f>
        <v>-5968.2599999999993</v>
      </c>
      <c r="N383" s="58"/>
      <c r="O383" s="89"/>
      <c r="P383" s="73"/>
      <c r="Q383" s="58"/>
      <c r="R383" s="89"/>
      <c r="S383" s="73"/>
      <c r="T383" s="39"/>
      <c r="U383" s="39"/>
      <c r="V383" s="8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35"/>
      <c r="AS383" s="12" t="e">
        <f>#REF!</f>
        <v>#REF!</v>
      </c>
    </row>
    <row r="384" spans="1:49" s="4" customFormat="1" ht="17.25" customHeight="1" x14ac:dyDescent="0.25">
      <c r="A384" s="23"/>
      <c r="B384" s="201" t="s">
        <v>95</v>
      </c>
      <c r="C384" s="202"/>
      <c r="D384" s="64"/>
      <c r="E384" s="64"/>
      <c r="F384" s="117"/>
      <c r="G384" s="117"/>
      <c r="H384" s="64"/>
      <c r="I384" s="64"/>
      <c r="J384" s="64">
        <f>-P384</f>
        <v>5845.35</v>
      </c>
      <c r="K384" s="57"/>
      <c r="L384" s="88"/>
      <c r="M384" s="62"/>
      <c r="N384" s="57">
        <v>-1465</v>
      </c>
      <c r="O384" s="88">
        <v>3.99</v>
      </c>
      <c r="P384" s="62">
        <f>N384*O384</f>
        <v>-5845.35</v>
      </c>
      <c r="Q384" s="57"/>
      <c r="R384" s="88"/>
      <c r="S384" s="62"/>
      <c r="T384" s="39"/>
      <c r="U384" s="39"/>
      <c r="V384" s="8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35"/>
      <c r="AS384" s="12" t="e">
        <f>#REF!</f>
        <v>#REF!</v>
      </c>
    </row>
    <row r="385" spans="1:49" s="4" customFormat="1" ht="17.25" customHeight="1" x14ac:dyDescent="0.25">
      <c r="A385" s="23"/>
      <c r="B385" s="201" t="s">
        <v>97</v>
      </c>
      <c r="C385" s="203"/>
      <c r="D385" s="64"/>
      <c r="E385" s="64"/>
      <c r="F385" s="64"/>
      <c r="G385" s="64"/>
      <c r="H385" s="64">
        <f>-J385-I385</f>
        <v>1784.8100000000013</v>
      </c>
      <c r="I385" s="64">
        <v>10028.799999999999</v>
      </c>
      <c r="J385" s="64">
        <f>-SUM(J383:J384)</f>
        <v>-11813.61</v>
      </c>
      <c r="K385" s="57"/>
      <c r="L385" s="88"/>
      <c r="M385" s="62"/>
      <c r="N385" s="57"/>
      <c r="O385" s="88"/>
      <c r="P385" s="62"/>
      <c r="Q385" s="57"/>
      <c r="R385" s="88"/>
      <c r="S385" s="62"/>
      <c r="T385" s="39"/>
      <c r="U385" s="39"/>
      <c r="V385" s="39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22"/>
      <c r="AR385" s="43"/>
      <c r="AS385" s="12" t="e">
        <f>#REF!</f>
        <v>#REF!</v>
      </c>
      <c r="AW385" s="2"/>
    </row>
    <row r="386" spans="1:49" s="4" customFormat="1" ht="17.25" customHeight="1" x14ac:dyDescent="0.25">
      <c r="A386" s="23"/>
      <c r="B386" s="201" t="s">
        <v>93</v>
      </c>
      <c r="C386" s="202"/>
      <c r="D386" s="64"/>
      <c r="E386" s="64"/>
      <c r="F386" s="64"/>
      <c r="G386" s="64"/>
      <c r="H386" s="64"/>
      <c r="I386" s="64"/>
      <c r="J386" s="64"/>
      <c r="K386" s="57">
        <v>44</v>
      </c>
      <c r="L386" s="88"/>
      <c r="M386" s="62">
        <f>(K389*L374)-M374-M383</f>
        <v>1009.3353477051432</v>
      </c>
      <c r="N386" s="57">
        <v>-42</v>
      </c>
      <c r="O386" s="88"/>
      <c r="P386" s="62">
        <f>(N389*(P374)/(N374))-P374-P384</f>
        <v>-171840.36173449611</v>
      </c>
      <c r="Q386" s="57"/>
      <c r="R386" s="88"/>
      <c r="S386" s="62"/>
      <c r="T386" s="39"/>
      <c r="U386" s="39"/>
      <c r="V386" s="39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22"/>
      <c r="AR386" s="43">
        <f>A368</f>
        <v>0</v>
      </c>
      <c r="AS386" s="12" t="e">
        <f>#REF!</f>
        <v>#REF!</v>
      </c>
      <c r="AW386" s="2"/>
    </row>
    <row r="387" spans="1:49" s="2" customFormat="1" ht="17.25" customHeight="1" x14ac:dyDescent="0.2">
      <c r="A387" s="24"/>
      <c r="B387" s="201"/>
      <c r="C387" s="204"/>
      <c r="D387" s="63"/>
      <c r="E387" s="64"/>
      <c r="F387" s="64"/>
      <c r="G387" s="64"/>
      <c r="H387" s="64"/>
      <c r="I387" s="64"/>
      <c r="J387" s="64"/>
      <c r="K387" s="16"/>
      <c r="L387" s="16"/>
      <c r="M387" s="64"/>
      <c r="N387" s="16"/>
      <c r="O387" s="16"/>
      <c r="P387" s="64"/>
      <c r="Q387" s="16"/>
      <c r="R387" s="16"/>
      <c r="S387" s="64"/>
      <c r="T387" s="46"/>
      <c r="U387" s="46"/>
      <c r="V387" s="39"/>
      <c r="W387" s="16"/>
      <c r="X387" s="16"/>
      <c r="Y387" s="16"/>
      <c r="Z387" s="16"/>
      <c r="AA387" s="16"/>
      <c r="AB387" s="19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43">
        <f>A375</f>
        <v>46138</v>
      </c>
      <c r="AT387" s="10"/>
      <c r="AU387" s="11"/>
    </row>
    <row r="388" spans="1:49" s="2" customFormat="1" ht="17.25" customHeight="1" thickBot="1" x14ac:dyDescent="0.3">
      <c r="A388" s="56"/>
      <c r="B388" s="101" t="s">
        <v>102</v>
      </c>
      <c r="C388" s="102">
        <f>D389+E389+F389+G389+H389+I389+J389+M389+P389</f>
        <v>-115955.70045999999</v>
      </c>
      <c r="D388" s="84"/>
      <c r="E388" s="85"/>
      <c r="F388" s="85"/>
      <c r="G388" s="85"/>
      <c r="H388" s="85"/>
      <c r="I388" s="85"/>
      <c r="J388" s="85"/>
      <c r="K388" s="28"/>
      <c r="L388" s="28"/>
      <c r="M388" s="85"/>
      <c r="N388" s="28"/>
      <c r="O388" s="28"/>
      <c r="P388" s="85"/>
      <c r="Q388" s="28"/>
      <c r="R388" s="28"/>
      <c r="S388" s="85"/>
      <c r="T388" s="48"/>
      <c r="U388" s="48"/>
      <c r="V388" s="51"/>
      <c r="W388" s="28"/>
      <c r="X388" s="28"/>
      <c r="Y388" s="28"/>
      <c r="Z388" s="28"/>
      <c r="AA388" s="28"/>
      <c r="AB388" s="36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42">
        <f>SUM($T374:AQ388)</f>
        <v>-406633.13890000002</v>
      </c>
      <c r="AT388" s="10"/>
      <c r="AU388" s="11"/>
      <c r="AV388" s="2" t="s">
        <v>5</v>
      </c>
    </row>
    <row r="389" spans="1:49" s="2" customFormat="1" ht="17.25" customHeight="1" thickTop="1" thickBot="1" x14ac:dyDescent="0.3">
      <c r="A389" s="103"/>
      <c r="B389" s="104" t="s">
        <v>103</v>
      </c>
      <c r="C389" s="105">
        <f>AR389</f>
        <v>-522588.83935999998</v>
      </c>
      <c r="D389" s="106">
        <f t="shared" ref="D389:K389" si="50">SUM(D374:D388)</f>
        <v>149026.96703999999</v>
      </c>
      <c r="E389" s="107">
        <f t="shared" si="50"/>
        <v>-39053.839999999997</v>
      </c>
      <c r="F389" s="107">
        <f t="shared" si="50"/>
        <v>-28394.35</v>
      </c>
      <c r="G389" s="107">
        <f t="shared" si="50"/>
        <v>0</v>
      </c>
      <c r="H389" s="107">
        <f t="shared" si="50"/>
        <v>60390.502500000031</v>
      </c>
      <c r="I389" s="107">
        <f t="shared" si="50"/>
        <v>9418.7999999999993</v>
      </c>
      <c r="J389" s="107">
        <f t="shared" si="50"/>
        <v>4931.6399999999994</v>
      </c>
      <c r="K389" s="108">
        <f t="shared" si="50"/>
        <v>4862</v>
      </c>
      <c r="L389" s="109">
        <f>M389/K389</f>
        <v>5.571826408885233</v>
      </c>
      <c r="M389" s="107">
        <f>ROUND(SUM(M374:M388),2)</f>
        <v>27090.22</v>
      </c>
      <c r="N389" s="108">
        <f>SUM(N374:N388)</f>
        <v>-2539</v>
      </c>
      <c r="O389" s="109">
        <f>P389/N389</f>
        <v>117.90690823158724</v>
      </c>
      <c r="P389" s="107">
        <f>ROUND(SUM(P374:P388),2)</f>
        <v>-299365.64</v>
      </c>
      <c r="Q389" s="108">
        <f>SUM(Q374:Q388)</f>
        <v>214</v>
      </c>
      <c r="R389" s="109">
        <f>S389/Q389</f>
        <v>6.099485981308411</v>
      </c>
      <c r="S389" s="107">
        <f>ROUND(SUM(S374:S388),2)</f>
        <v>1305.29</v>
      </c>
      <c r="T389" s="110">
        <f t="shared" ref="T389:AQ389" si="51">SUM(T374:T388)</f>
        <v>-460077.12890000001</v>
      </c>
      <c r="U389" s="107">
        <f t="shared" si="51"/>
        <v>50229.299999999996</v>
      </c>
      <c r="V389" s="107">
        <f t="shared" si="51"/>
        <v>0</v>
      </c>
      <c r="W389" s="107">
        <f t="shared" si="51"/>
        <v>3214.6899999999996</v>
      </c>
      <c r="X389" s="107">
        <f t="shared" si="51"/>
        <v>0</v>
      </c>
      <c r="Y389" s="107">
        <f t="shared" si="51"/>
        <v>0</v>
      </c>
      <c r="Z389" s="107">
        <f t="shared" si="51"/>
        <v>0</v>
      </c>
      <c r="AA389" s="107">
        <f t="shared" si="51"/>
        <v>0</v>
      </c>
      <c r="AB389" s="107">
        <f t="shared" si="51"/>
        <v>0</v>
      </c>
      <c r="AC389" s="107">
        <f t="shared" si="51"/>
        <v>0</v>
      </c>
      <c r="AD389" s="107">
        <f t="shared" si="51"/>
        <v>0</v>
      </c>
      <c r="AE389" s="107">
        <f t="shared" si="51"/>
        <v>0</v>
      </c>
      <c r="AF389" s="107">
        <f t="shared" si="51"/>
        <v>0</v>
      </c>
      <c r="AG389" s="107">
        <f t="shared" si="51"/>
        <v>0</v>
      </c>
      <c r="AH389" s="107">
        <f t="shared" si="51"/>
        <v>0</v>
      </c>
      <c r="AI389" s="107">
        <f t="shared" si="51"/>
        <v>0</v>
      </c>
      <c r="AJ389" s="107">
        <f t="shared" si="51"/>
        <v>0</v>
      </c>
      <c r="AK389" s="107">
        <f t="shared" si="51"/>
        <v>0</v>
      </c>
      <c r="AL389" s="107">
        <f t="shared" si="51"/>
        <v>0</v>
      </c>
      <c r="AM389" s="107">
        <f t="shared" si="51"/>
        <v>0</v>
      </c>
      <c r="AN389" s="107">
        <f t="shared" si="51"/>
        <v>0</v>
      </c>
      <c r="AO389" s="107">
        <f t="shared" si="51"/>
        <v>0</v>
      </c>
      <c r="AP389" s="107">
        <f t="shared" si="51"/>
        <v>0</v>
      </c>
      <c r="AQ389" s="107">
        <f t="shared" si="51"/>
        <v>0</v>
      </c>
      <c r="AR389" s="111">
        <f>D389+E389+F389+G389+H389+I389+J389+M389+P389+SUM(T389:AQ389)</f>
        <v>-522588.83935999998</v>
      </c>
      <c r="AS389" s="4"/>
      <c r="AT389" s="5"/>
      <c r="AU389" s="5"/>
      <c r="AV389" s="2" t="s">
        <v>6</v>
      </c>
    </row>
    <row r="390" spans="1:49" s="2" customFormat="1" ht="17.25" customHeight="1" thickTop="1" x14ac:dyDescent="0.25">
      <c r="A390" s="23">
        <f>A375+1</f>
        <v>46139</v>
      </c>
      <c r="B390" s="210" t="s">
        <v>64</v>
      </c>
      <c r="C390" s="203"/>
      <c r="D390" s="63">
        <v>9184.68</v>
      </c>
      <c r="E390" s="66"/>
      <c r="F390" s="66"/>
      <c r="G390" s="66"/>
      <c r="H390" s="66"/>
      <c r="I390" s="66">
        <f>-D390</f>
        <v>-9184.68</v>
      </c>
      <c r="J390" s="66"/>
      <c r="K390" s="18"/>
      <c r="L390" s="18"/>
      <c r="M390" s="66"/>
      <c r="N390" s="18"/>
      <c r="O390" s="18"/>
      <c r="P390" s="66"/>
      <c r="Q390" s="18"/>
      <c r="R390" s="18"/>
      <c r="S390" s="66"/>
      <c r="T390" s="46"/>
      <c r="U390" s="46"/>
      <c r="V390" s="45"/>
      <c r="W390" s="18"/>
      <c r="X390" s="18"/>
      <c r="Y390" s="18"/>
      <c r="Z390" s="18"/>
      <c r="AA390" s="18"/>
      <c r="AB390" s="14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31"/>
      <c r="AT390" s="10"/>
      <c r="AU390" s="27"/>
    </row>
    <row r="391" spans="1:49" s="4" customFormat="1" ht="17.25" customHeight="1" x14ac:dyDescent="0.25">
      <c r="A391" s="23"/>
      <c r="B391" s="201" t="s">
        <v>96</v>
      </c>
      <c r="C391" s="202"/>
      <c r="D391" s="63"/>
      <c r="E391" s="64"/>
      <c r="F391" s="64"/>
      <c r="G391" s="64"/>
      <c r="H391" s="64"/>
      <c r="I391" s="64">
        <f>-I389-I390</f>
        <v>-234.11999999999898</v>
      </c>
      <c r="J391" s="64"/>
      <c r="K391" s="16"/>
      <c r="L391" s="92"/>
      <c r="M391" s="64"/>
      <c r="N391" s="16"/>
      <c r="O391" s="92"/>
      <c r="P391" s="64"/>
      <c r="Q391" s="16"/>
      <c r="R391" s="92"/>
      <c r="S391" s="64"/>
      <c r="T391" s="40"/>
      <c r="U391" s="46"/>
      <c r="V391" s="39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22"/>
      <c r="AS391" s="30"/>
    </row>
    <row r="392" spans="1:49" s="2" customFormat="1" ht="17.25" customHeight="1" x14ac:dyDescent="0.25">
      <c r="A392" s="29"/>
      <c r="B392" s="201" t="s">
        <v>327</v>
      </c>
      <c r="C392" s="202"/>
      <c r="D392" s="63">
        <f>5+100+31+50+53+60+20+12+60+5+30+20+50+170+26+30+50</f>
        <v>772</v>
      </c>
      <c r="E392" s="64"/>
      <c r="F392" s="64"/>
      <c r="G392" s="64"/>
      <c r="H392" s="64"/>
      <c r="I392" s="64">
        <f>-D392</f>
        <v>-772</v>
      </c>
      <c r="J392" s="64"/>
      <c r="K392" s="57"/>
      <c r="L392" s="88"/>
      <c r="M392" s="62"/>
      <c r="N392" s="57"/>
      <c r="O392" s="88"/>
      <c r="P392" s="62"/>
      <c r="Q392" s="57"/>
      <c r="R392" s="88"/>
      <c r="S392" s="62"/>
      <c r="T392" s="47"/>
      <c r="U392" s="39"/>
      <c r="V392" s="39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22"/>
      <c r="AT392" s="10"/>
      <c r="AU392" s="11"/>
    </row>
    <row r="393" spans="1:49" s="2" customFormat="1" ht="17.25" customHeight="1" x14ac:dyDescent="0.25">
      <c r="A393" s="29"/>
      <c r="B393" s="201" t="s">
        <v>264</v>
      </c>
      <c r="C393" s="202"/>
      <c r="D393" s="63">
        <v>1299.0999999999999</v>
      </c>
      <c r="E393" s="64"/>
      <c r="F393" s="64"/>
      <c r="G393" s="64"/>
      <c r="H393" s="64">
        <f>-D393</f>
        <v>-1299.0999999999999</v>
      </c>
      <c r="I393" s="64"/>
      <c r="J393" s="64"/>
      <c r="K393" s="57"/>
      <c r="L393" s="88"/>
      <c r="M393" s="62"/>
      <c r="N393" s="57"/>
      <c r="O393" s="88"/>
      <c r="P393" s="62"/>
      <c r="Q393" s="57"/>
      <c r="R393" s="88"/>
      <c r="S393" s="62"/>
      <c r="T393" s="47"/>
      <c r="U393" s="39"/>
      <c r="V393" s="39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22"/>
      <c r="AT393" s="10"/>
      <c r="AU393" s="11"/>
    </row>
    <row r="394" spans="1:49" s="2" customFormat="1" ht="17.25" customHeight="1" x14ac:dyDescent="0.25">
      <c r="A394" s="29"/>
      <c r="B394" s="201" t="s">
        <v>328</v>
      </c>
      <c r="C394" s="202"/>
      <c r="D394" s="63">
        <f>-16*0.99-1.36-10.39</f>
        <v>-27.59</v>
      </c>
      <c r="E394" s="64"/>
      <c r="F394" s="64"/>
      <c r="G394" s="64"/>
      <c r="H394" s="64"/>
      <c r="I394" s="64"/>
      <c r="J394" s="64"/>
      <c r="K394" s="57"/>
      <c r="L394" s="88"/>
      <c r="M394" s="62"/>
      <c r="N394" s="57"/>
      <c r="O394" s="88"/>
      <c r="P394" s="62"/>
      <c r="Q394" s="57"/>
      <c r="R394" s="88"/>
      <c r="S394" s="62"/>
      <c r="T394" s="47"/>
      <c r="U394" s="39"/>
      <c r="V394" s="39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22"/>
      <c r="AT394" s="10"/>
      <c r="AU394" s="11"/>
    </row>
    <row r="395" spans="1:49" s="4" customFormat="1" ht="17.25" customHeight="1" x14ac:dyDescent="0.25">
      <c r="A395" s="23"/>
      <c r="B395" s="201" t="s">
        <v>13</v>
      </c>
      <c r="C395" s="203"/>
      <c r="D395" s="63"/>
      <c r="E395" s="64">
        <f>50+100+50+20+20+60+50+50+20+20+906+1842+300+1123+1900+362+1117</f>
        <v>7990</v>
      </c>
      <c r="F395" s="64"/>
      <c r="G395" s="64"/>
      <c r="H395" s="64">
        <f>-E395</f>
        <v>-7990</v>
      </c>
      <c r="I395" s="66"/>
      <c r="J395" s="64"/>
      <c r="K395" s="16"/>
      <c r="L395" s="92"/>
      <c r="M395" s="64"/>
      <c r="N395" s="16"/>
      <c r="O395" s="92"/>
      <c r="P395" s="64"/>
      <c r="Q395" s="16"/>
      <c r="R395" s="92"/>
      <c r="S395" s="64"/>
      <c r="T395" s="40"/>
      <c r="U395" s="46">
        <f>-D395</f>
        <v>0</v>
      </c>
      <c r="V395" s="39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22"/>
      <c r="AS395" s="30"/>
    </row>
    <row r="396" spans="1:49" s="2" customFormat="1" ht="17.25" customHeight="1" x14ac:dyDescent="0.25">
      <c r="A396" s="24"/>
      <c r="B396" s="201" t="s">
        <v>378</v>
      </c>
      <c r="C396" s="203"/>
      <c r="D396" s="63"/>
      <c r="E396" s="64">
        <v>-1362.23</v>
      </c>
      <c r="F396" s="64"/>
      <c r="G396" s="64"/>
      <c r="H396" s="64"/>
      <c r="I396" s="64"/>
      <c r="J396" s="64"/>
      <c r="K396" s="16"/>
      <c r="L396" s="92"/>
      <c r="M396" s="64"/>
      <c r="N396" s="16"/>
      <c r="O396" s="92"/>
      <c r="P396" s="64"/>
      <c r="Q396" s="16"/>
      <c r="R396" s="92"/>
      <c r="S396" s="64"/>
      <c r="T396" s="40"/>
      <c r="U396" s="40"/>
      <c r="V396" s="39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22"/>
      <c r="AT396" s="10"/>
      <c r="AU396" s="11"/>
    </row>
    <row r="397" spans="1:49" s="2" customFormat="1" ht="17.25" customHeight="1" x14ac:dyDescent="0.2">
      <c r="A397" s="23"/>
      <c r="B397" s="201" t="s">
        <v>379</v>
      </c>
      <c r="C397" s="203"/>
      <c r="D397" s="63"/>
      <c r="E397" s="64">
        <v>-42.36</v>
      </c>
      <c r="F397" s="74"/>
      <c r="G397" s="74"/>
      <c r="H397" s="64"/>
      <c r="I397" s="64"/>
      <c r="J397" s="64"/>
      <c r="K397" s="16"/>
      <c r="L397" s="16"/>
      <c r="M397" s="64"/>
      <c r="N397" s="16"/>
      <c r="O397" s="16"/>
      <c r="P397" s="64"/>
      <c r="Q397" s="16"/>
      <c r="R397" s="16"/>
      <c r="S397" s="64"/>
      <c r="T397" s="46"/>
      <c r="U397" s="39"/>
      <c r="V397" s="40"/>
      <c r="W397" s="16"/>
      <c r="X397" s="16"/>
      <c r="Y397" s="16"/>
      <c r="Z397" s="16"/>
      <c r="AA397" s="16"/>
      <c r="AB397" s="19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35"/>
      <c r="AT397" s="10"/>
      <c r="AU397" s="27"/>
    </row>
    <row r="398" spans="1:49" s="2" customFormat="1" ht="17.25" customHeight="1" x14ac:dyDescent="0.2">
      <c r="A398" s="23"/>
      <c r="B398" s="205" t="s">
        <v>380</v>
      </c>
      <c r="C398" s="250"/>
      <c r="D398" s="63"/>
      <c r="E398" s="20">
        <v>-1459.74</v>
      </c>
      <c r="F398" s="74"/>
      <c r="G398" s="74"/>
      <c r="H398" s="64"/>
      <c r="I398" s="64"/>
      <c r="J398" s="64"/>
      <c r="K398" s="16"/>
      <c r="L398" s="16"/>
      <c r="M398" s="64"/>
      <c r="N398" s="16"/>
      <c r="O398" s="16"/>
      <c r="P398" s="64"/>
      <c r="Q398" s="16"/>
      <c r="R398" s="16"/>
      <c r="S398" s="64"/>
      <c r="T398" s="46"/>
      <c r="U398" s="39"/>
      <c r="V398" s="40"/>
      <c r="W398" s="16"/>
      <c r="X398" s="16"/>
      <c r="Y398" s="16"/>
      <c r="Z398" s="16"/>
      <c r="AA398" s="16"/>
      <c r="AB398" s="19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35"/>
      <c r="AT398" s="10"/>
      <c r="AU398" s="27"/>
    </row>
    <row r="399" spans="1:49" s="2" customFormat="1" ht="17.25" customHeight="1" x14ac:dyDescent="0.2">
      <c r="A399" s="23"/>
      <c r="B399" s="201" t="s">
        <v>374</v>
      </c>
      <c r="C399" s="203"/>
      <c r="D399" s="74">
        <f>-E399</f>
        <v>30200</v>
      </c>
      <c r="E399" s="64">
        <v>-30200</v>
      </c>
      <c r="F399" s="74"/>
      <c r="G399" s="74"/>
      <c r="H399" s="64"/>
      <c r="I399" s="64"/>
      <c r="J399" s="64"/>
      <c r="K399" s="16"/>
      <c r="L399" s="16"/>
      <c r="M399" s="64"/>
      <c r="N399" s="16"/>
      <c r="O399" s="16"/>
      <c r="P399" s="64"/>
      <c r="Q399" s="16"/>
      <c r="R399" s="16"/>
      <c r="S399" s="64"/>
      <c r="T399" s="46"/>
      <c r="U399" s="39"/>
      <c r="V399" s="40"/>
      <c r="W399" s="16"/>
      <c r="X399" s="16"/>
      <c r="Y399" s="16"/>
      <c r="Z399" s="16"/>
      <c r="AA399" s="16"/>
      <c r="AB399" s="19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35"/>
      <c r="AT399" s="10"/>
      <c r="AU399" s="27"/>
    </row>
    <row r="400" spans="1:49" s="2" customFormat="1" ht="17.25" customHeight="1" x14ac:dyDescent="0.25">
      <c r="A400" s="29"/>
      <c r="B400" s="201" t="s">
        <v>309</v>
      </c>
      <c r="C400" s="202"/>
      <c r="D400" s="63">
        <v>-241.6</v>
      </c>
      <c r="E400" s="64"/>
      <c r="F400" s="64"/>
      <c r="G400" s="64"/>
      <c r="H400" s="64"/>
      <c r="I400" s="64"/>
      <c r="J400" s="64"/>
      <c r="K400" s="57"/>
      <c r="L400" s="88"/>
      <c r="M400" s="62"/>
      <c r="N400" s="57"/>
      <c r="O400" s="88"/>
      <c r="P400" s="62"/>
      <c r="Q400" s="57"/>
      <c r="R400" s="88"/>
      <c r="S400" s="62"/>
      <c r="T400" s="47"/>
      <c r="U400" s="39"/>
      <c r="V400" s="39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22"/>
      <c r="AT400" s="10" t="s">
        <v>4</v>
      </c>
      <c r="AU400" s="11" t="e">
        <v>#REF!</v>
      </c>
    </row>
    <row r="401" spans="1:49" s="2" customFormat="1" ht="17.25" customHeight="1" x14ac:dyDescent="0.25">
      <c r="A401" s="24"/>
      <c r="B401" s="205" t="s">
        <v>474</v>
      </c>
      <c r="C401" s="206"/>
      <c r="D401" s="64"/>
      <c r="E401" s="64"/>
      <c r="F401" s="64"/>
      <c r="G401" s="64"/>
      <c r="H401" s="64"/>
      <c r="I401" s="64"/>
      <c r="J401" s="64"/>
      <c r="K401" s="57">
        <v>8000</v>
      </c>
      <c r="L401" s="88">
        <v>5.4763999999999999</v>
      </c>
      <c r="M401" s="62">
        <f>K401*L401</f>
        <v>43811.199999999997</v>
      </c>
      <c r="N401" s="57"/>
      <c r="O401" s="88"/>
      <c r="P401" s="62"/>
      <c r="Q401" s="57"/>
      <c r="R401" s="88"/>
      <c r="S401" s="62"/>
      <c r="T401" s="39">
        <f>-P401</f>
        <v>0</v>
      </c>
      <c r="U401" s="39"/>
      <c r="V401" s="39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22"/>
      <c r="AT401" s="10"/>
      <c r="AU401" s="11"/>
    </row>
    <row r="402" spans="1:49" s="2" customFormat="1" ht="17.25" customHeight="1" x14ac:dyDescent="0.25">
      <c r="A402" s="24"/>
      <c r="B402" s="205" t="s">
        <v>474</v>
      </c>
      <c r="C402" s="206"/>
      <c r="D402" s="64"/>
      <c r="E402" s="64"/>
      <c r="F402" s="64"/>
      <c r="G402" s="64"/>
      <c r="H402" s="64"/>
      <c r="I402" s="64"/>
      <c r="J402" s="64"/>
      <c r="K402" s="57"/>
      <c r="L402" s="88"/>
      <c r="M402" s="62"/>
      <c r="N402" s="57"/>
      <c r="O402" s="88"/>
      <c r="P402" s="62"/>
      <c r="Q402" s="57">
        <v>2000</v>
      </c>
      <c r="R402" s="88">
        <v>6.0994999999999999</v>
      </c>
      <c r="S402" s="62">
        <f>Q402*R402</f>
        <v>12199</v>
      </c>
      <c r="T402" s="39">
        <f>-P402</f>
        <v>0</v>
      </c>
      <c r="U402" s="39"/>
      <c r="V402" s="39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22"/>
      <c r="AT402" s="10"/>
      <c r="AU402" s="11"/>
    </row>
    <row r="403" spans="1:49" s="2" customFormat="1" ht="17.25" customHeight="1" thickBot="1" x14ac:dyDescent="0.25">
      <c r="A403" s="24"/>
      <c r="B403" s="216"/>
      <c r="C403" s="217"/>
      <c r="D403" s="83"/>
      <c r="E403" s="81"/>
      <c r="F403" s="81"/>
      <c r="G403" s="81"/>
      <c r="H403" s="81"/>
      <c r="I403" s="81"/>
      <c r="J403" s="81"/>
      <c r="K403" s="37"/>
      <c r="L403" s="93"/>
      <c r="M403" s="81"/>
      <c r="N403" s="37"/>
      <c r="O403" s="93"/>
      <c r="P403" s="81"/>
      <c r="Q403" s="37"/>
      <c r="R403" s="93"/>
      <c r="S403" s="81"/>
      <c r="T403" s="40"/>
      <c r="U403" s="40"/>
      <c r="V403" s="39"/>
      <c r="W403" s="16"/>
      <c r="X403" s="16"/>
      <c r="Y403" s="16"/>
      <c r="Z403" s="16"/>
      <c r="AA403" s="16"/>
      <c r="AB403" s="19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41"/>
      <c r="AT403" s="10"/>
      <c r="AU403" s="11"/>
    </row>
    <row r="404" spans="1:49" s="4" customFormat="1" ht="17.25" customHeight="1" x14ac:dyDescent="0.25">
      <c r="A404" s="23"/>
      <c r="B404" s="210" t="s">
        <v>94</v>
      </c>
      <c r="C404" s="203"/>
      <c r="D404" s="66"/>
      <c r="E404" s="66"/>
      <c r="F404" s="117"/>
      <c r="G404" s="117"/>
      <c r="H404" s="66"/>
      <c r="I404" s="66"/>
      <c r="J404" s="66">
        <f>-M404</f>
        <v>6345.2699999999995</v>
      </c>
      <c r="K404" s="58">
        <v>-993</v>
      </c>
      <c r="L404" s="89">
        <v>6.39</v>
      </c>
      <c r="M404" s="73">
        <f>K404*L404</f>
        <v>-6345.2699999999995</v>
      </c>
      <c r="N404" s="58"/>
      <c r="O404" s="89"/>
      <c r="P404" s="73"/>
      <c r="Q404" s="58"/>
      <c r="R404" s="89"/>
      <c r="S404" s="73"/>
      <c r="T404" s="39"/>
      <c r="U404" s="39"/>
      <c r="V404" s="8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35"/>
      <c r="AS404" s="12" t="e">
        <f>#REF!</f>
        <v>#REF!</v>
      </c>
    </row>
    <row r="405" spans="1:49" s="4" customFormat="1" ht="17.25" customHeight="1" x14ac:dyDescent="0.25">
      <c r="A405" s="23"/>
      <c r="B405" s="201" t="s">
        <v>95</v>
      </c>
      <c r="C405" s="202"/>
      <c r="D405" s="64"/>
      <c r="E405" s="64"/>
      <c r="F405" s="117"/>
      <c r="G405" s="117"/>
      <c r="H405" s="64"/>
      <c r="I405" s="64"/>
      <c r="J405" s="64">
        <f>-P405</f>
        <v>5677.77</v>
      </c>
      <c r="K405" s="57"/>
      <c r="L405" s="88"/>
      <c r="M405" s="62"/>
      <c r="N405" s="57">
        <v>-1423</v>
      </c>
      <c r="O405" s="88">
        <v>3.99</v>
      </c>
      <c r="P405" s="62">
        <f>N405*O405</f>
        <v>-5677.77</v>
      </c>
      <c r="Q405" s="57"/>
      <c r="R405" s="88"/>
      <c r="S405" s="62"/>
      <c r="T405" s="39"/>
      <c r="U405" s="39"/>
      <c r="V405" s="8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35"/>
      <c r="AS405" s="12" t="e">
        <f>#REF!</f>
        <v>#REF!</v>
      </c>
    </row>
    <row r="406" spans="1:49" s="4" customFormat="1" ht="17.25" customHeight="1" x14ac:dyDescent="0.25">
      <c r="A406" s="23"/>
      <c r="B406" s="201" t="s">
        <v>97</v>
      </c>
      <c r="C406" s="203"/>
      <c r="D406" s="64"/>
      <c r="E406" s="64"/>
      <c r="F406" s="64"/>
      <c r="G406" s="64"/>
      <c r="H406" s="64">
        <f>-J406-I406</f>
        <v>-86.449999999998909</v>
      </c>
      <c r="I406" s="64">
        <v>12109.49</v>
      </c>
      <c r="J406" s="64">
        <f>-SUM(J404:J405)</f>
        <v>-12023.04</v>
      </c>
      <c r="K406" s="57"/>
      <c r="L406" s="88"/>
      <c r="M406" s="62"/>
      <c r="N406" s="57"/>
      <c r="O406" s="88"/>
      <c r="P406" s="62"/>
      <c r="Q406" s="57"/>
      <c r="R406" s="88"/>
      <c r="S406" s="62"/>
      <c r="T406" s="39"/>
      <c r="U406" s="39"/>
      <c r="V406" s="39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22"/>
      <c r="AR406" s="43"/>
      <c r="AS406" s="12" t="e">
        <f>#REF!</f>
        <v>#REF!</v>
      </c>
      <c r="AW406" s="2"/>
    </row>
    <row r="407" spans="1:49" s="4" customFormat="1" ht="17.25" customHeight="1" x14ac:dyDescent="0.25">
      <c r="A407" s="23"/>
      <c r="B407" s="201" t="s">
        <v>93</v>
      </c>
      <c r="C407" s="202"/>
      <c r="D407" s="64"/>
      <c r="E407" s="64"/>
      <c r="F407" s="64"/>
      <c r="G407" s="64"/>
      <c r="H407" s="64"/>
      <c r="I407" s="64"/>
      <c r="J407" s="64"/>
      <c r="K407" s="57">
        <v>-11</v>
      </c>
      <c r="L407" s="88"/>
      <c r="M407" s="62">
        <f>(K410*(M389+M401)/(K389+K401))-M389-M404-M401</f>
        <v>810.74771108692221</v>
      </c>
      <c r="N407" s="57">
        <v>-32</v>
      </c>
      <c r="O407" s="88"/>
      <c r="P407" s="62">
        <f>(N410*(P389)/(N389))-P389-P405</f>
        <v>-165876.78147695944</v>
      </c>
      <c r="Q407" s="57">
        <v>99</v>
      </c>
      <c r="R407" s="88"/>
      <c r="S407" s="62">
        <f>(Q410*(S389)/(Q389))-S389-S402</f>
        <v>603.82107476635429</v>
      </c>
      <c r="T407" s="39"/>
      <c r="U407" s="39"/>
      <c r="V407" s="39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22"/>
      <c r="AR407" s="43">
        <f>A383</f>
        <v>0</v>
      </c>
      <c r="AS407" s="12" t="e">
        <f>#REF!</f>
        <v>#REF!</v>
      </c>
      <c r="AW407" s="2"/>
    </row>
    <row r="408" spans="1:49" s="2" customFormat="1" ht="17.25" customHeight="1" x14ac:dyDescent="0.2">
      <c r="A408" s="24"/>
      <c r="B408" s="201"/>
      <c r="C408" s="204"/>
      <c r="D408" s="63"/>
      <c r="E408" s="64"/>
      <c r="F408" s="64"/>
      <c r="G408" s="64"/>
      <c r="H408" s="64"/>
      <c r="I408" s="64"/>
      <c r="J408" s="64"/>
      <c r="K408" s="16"/>
      <c r="L408" s="16"/>
      <c r="M408" s="64"/>
      <c r="N408" s="16"/>
      <c r="O408" s="16"/>
      <c r="P408" s="64"/>
      <c r="Q408" s="16"/>
      <c r="R408" s="16"/>
      <c r="S408" s="64"/>
      <c r="T408" s="46"/>
      <c r="U408" s="46"/>
      <c r="V408" s="39"/>
      <c r="W408" s="16"/>
      <c r="X408" s="16"/>
      <c r="Y408" s="16"/>
      <c r="Z408" s="16"/>
      <c r="AA408" s="16"/>
      <c r="AB408" s="19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43">
        <f>A390</f>
        <v>46139</v>
      </c>
      <c r="AT408" s="10"/>
      <c r="AU408" s="11"/>
    </row>
    <row r="409" spans="1:49" s="2" customFormat="1" ht="17.25" customHeight="1" thickBot="1" x14ac:dyDescent="0.3">
      <c r="A409" s="56"/>
      <c r="B409" s="101" t="s">
        <v>102</v>
      </c>
      <c r="C409" s="102">
        <f>D410+E410+F410+G410+H410+I410+J410+M410+P410</f>
        <v>-240578.17045999996</v>
      </c>
      <c r="D409" s="84"/>
      <c r="E409" s="85"/>
      <c r="F409" s="85"/>
      <c r="G409" s="85"/>
      <c r="H409" s="85"/>
      <c r="I409" s="85"/>
      <c r="J409" s="85"/>
      <c r="K409" s="28"/>
      <c r="L409" s="28"/>
      <c r="M409" s="85"/>
      <c r="N409" s="28"/>
      <c r="O409" s="28"/>
      <c r="P409" s="85"/>
      <c r="Q409" s="28"/>
      <c r="R409" s="28"/>
      <c r="S409" s="85"/>
      <c r="T409" s="48"/>
      <c r="U409" s="48"/>
      <c r="V409" s="51"/>
      <c r="W409" s="28"/>
      <c r="X409" s="28"/>
      <c r="Y409" s="28"/>
      <c r="Z409" s="28"/>
      <c r="AA409" s="28"/>
      <c r="AB409" s="36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42">
        <f>SUM($T389:AQ409)</f>
        <v>-406633.13890000002</v>
      </c>
      <c r="AT409" s="10"/>
      <c r="AU409" s="11"/>
      <c r="AV409" s="2" t="s">
        <v>5</v>
      </c>
    </row>
    <row r="410" spans="1:49" s="2" customFormat="1" ht="17.25" customHeight="1" thickTop="1" thickBot="1" x14ac:dyDescent="0.3">
      <c r="A410" s="103"/>
      <c r="B410" s="104" t="s">
        <v>103</v>
      </c>
      <c r="C410" s="105">
        <f>AR410</f>
        <v>-647211.30935999996</v>
      </c>
      <c r="D410" s="106">
        <f t="shared" ref="D410:K410" si="52">SUM(D389:D409)</f>
        <v>190213.55703999999</v>
      </c>
      <c r="E410" s="107">
        <f t="shared" si="52"/>
        <v>-64128.17</v>
      </c>
      <c r="F410" s="107">
        <f t="shared" si="52"/>
        <v>-28394.35</v>
      </c>
      <c r="G410" s="107">
        <f t="shared" si="52"/>
        <v>0</v>
      </c>
      <c r="H410" s="107">
        <f t="shared" si="52"/>
        <v>51014.952500000036</v>
      </c>
      <c r="I410" s="107">
        <f t="shared" si="52"/>
        <v>11337.49</v>
      </c>
      <c r="J410" s="107">
        <f t="shared" si="52"/>
        <v>4931.6399999999994</v>
      </c>
      <c r="K410" s="108">
        <f t="shared" si="52"/>
        <v>11858</v>
      </c>
      <c r="L410" s="109">
        <f>M410/K410</f>
        <v>5.5124725923427222</v>
      </c>
      <c r="M410" s="107">
        <f>ROUND(SUM(M389:M409),2)</f>
        <v>65366.9</v>
      </c>
      <c r="N410" s="108">
        <f>SUM(N389:N409)</f>
        <v>-3994</v>
      </c>
      <c r="O410" s="109">
        <f>P410/N410</f>
        <v>117.90690786179269</v>
      </c>
      <c r="P410" s="107">
        <f>ROUND(SUM(P389:P409),2)</f>
        <v>-470920.19</v>
      </c>
      <c r="Q410" s="108">
        <f>SUM(Q389:Q409)</f>
        <v>2313</v>
      </c>
      <c r="R410" s="109">
        <f>S410/Q410</f>
        <v>6.0994855166450499</v>
      </c>
      <c r="S410" s="107">
        <f>ROUND(SUM(S389:S409),2)</f>
        <v>14108.11</v>
      </c>
      <c r="T410" s="110">
        <f t="shared" ref="T410:AQ410" si="53">SUM(T389:T409)</f>
        <v>-460077.12890000001</v>
      </c>
      <c r="U410" s="107">
        <f t="shared" si="53"/>
        <v>50229.299999999996</v>
      </c>
      <c r="V410" s="107">
        <f t="shared" si="53"/>
        <v>0</v>
      </c>
      <c r="W410" s="107">
        <f t="shared" si="53"/>
        <v>3214.6899999999996</v>
      </c>
      <c r="X410" s="107">
        <f t="shared" si="53"/>
        <v>0</v>
      </c>
      <c r="Y410" s="107">
        <f t="shared" si="53"/>
        <v>0</v>
      </c>
      <c r="Z410" s="107">
        <f t="shared" si="53"/>
        <v>0</v>
      </c>
      <c r="AA410" s="107">
        <f t="shared" si="53"/>
        <v>0</v>
      </c>
      <c r="AB410" s="107">
        <f t="shared" si="53"/>
        <v>0</v>
      </c>
      <c r="AC410" s="107">
        <f t="shared" si="53"/>
        <v>0</v>
      </c>
      <c r="AD410" s="107">
        <f t="shared" si="53"/>
        <v>0</v>
      </c>
      <c r="AE410" s="107">
        <f t="shared" si="53"/>
        <v>0</v>
      </c>
      <c r="AF410" s="107">
        <f t="shared" si="53"/>
        <v>0</v>
      </c>
      <c r="AG410" s="107">
        <f t="shared" si="53"/>
        <v>0</v>
      </c>
      <c r="AH410" s="107">
        <f t="shared" si="53"/>
        <v>0</v>
      </c>
      <c r="AI410" s="107">
        <f t="shared" si="53"/>
        <v>0</v>
      </c>
      <c r="AJ410" s="107">
        <f t="shared" si="53"/>
        <v>0</v>
      </c>
      <c r="AK410" s="107">
        <f t="shared" si="53"/>
        <v>0</v>
      </c>
      <c r="AL410" s="107">
        <f t="shared" si="53"/>
        <v>0</v>
      </c>
      <c r="AM410" s="107">
        <f t="shared" si="53"/>
        <v>0</v>
      </c>
      <c r="AN410" s="107">
        <f t="shared" si="53"/>
        <v>0</v>
      </c>
      <c r="AO410" s="107">
        <f t="shared" si="53"/>
        <v>0</v>
      </c>
      <c r="AP410" s="107">
        <f t="shared" si="53"/>
        <v>0</v>
      </c>
      <c r="AQ410" s="107">
        <f t="shared" si="53"/>
        <v>0</v>
      </c>
      <c r="AR410" s="111">
        <f>D410+E410+F410+G410+H410+I410+J410+M410+P410+SUM(T410:AQ410)</f>
        <v>-647211.30935999996</v>
      </c>
      <c r="AS410" s="4"/>
      <c r="AT410" s="5"/>
      <c r="AU410" s="5"/>
      <c r="AV410" s="2" t="s">
        <v>6</v>
      </c>
    </row>
    <row r="411" spans="1:49" s="2" customFormat="1" ht="17.25" customHeight="1" thickTop="1" x14ac:dyDescent="0.25">
      <c r="A411" s="23">
        <f>A390+1</f>
        <v>46140</v>
      </c>
      <c r="B411" s="210" t="s">
        <v>64</v>
      </c>
      <c r="C411" s="203"/>
      <c r="D411" s="63">
        <v>11041.59</v>
      </c>
      <c r="E411" s="66"/>
      <c r="F411" s="66"/>
      <c r="G411" s="66"/>
      <c r="H411" s="66"/>
      <c r="I411" s="66">
        <f>-D411</f>
        <v>-11041.59</v>
      </c>
      <c r="J411" s="66"/>
      <c r="K411" s="18"/>
      <c r="L411" s="18"/>
      <c r="M411" s="66"/>
      <c r="N411" s="18"/>
      <c r="O411" s="18"/>
      <c r="P411" s="66"/>
      <c r="Q411" s="18"/>
      <c r="R411" s="18"/>
      <c r="S411" s="66"/>
      <c r="T411" s="46"/>
      <c r="U411" s="46"/>
      <c r="V411" s="45"/>
      <c r="W411" s="18"/>
      <c r="X411" s="18"/>
      <c r="Y411" s="18"/>
      <c r="Z411" s="18"/>
      <c r="AA411" s="18"/>
      <c r="AB411" s="14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31"/>
      <c r="AT411" s="10"/>
      <c r="AU411" s="27"/>
    </row>
    <row r="412" spans="1:49" s="4" customFormat="1" ht="17.25" customHeight="1" x14ac:dyDescent="0.25">
      <c r="A412" s="23"/>
      <c r="B412" s="201" t="s">
        <v>96</v>
      </c>
      <c r="C412" s="202"/>
      <c r="D412" s="63"/>
      <c r="E412" s="64"/>
      <c r="F412" s="64"/>
      <c r="G412" s="64"/>
      <c r="H412" s="64"/>
      <c r="I412" s="64">
        <f>-I410-I411</f>
        <v>-295.89999999999964</v>
      </c>
      <c r="J412" s="64"/>
      <c r="K412" s="16"/>
      <c r="L412" s="92"/>
      <c r="M412" s="64"/>
      <c r="N412" s="16"/>
      <c r="O412" s="92"/>
      <c r="P412" s="64"/>
      <c r="Q412" s="16"/>
      <c r="R412" s="92"/>
      <c r="S412" s="64"/>
      <c r="T412" s="40"/>
      <c r="U412" s="46"/>
      <c r="V412" s="39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22"/>
      <c r="AS412" s="30"/>
    </row>
    <row r="413" spans="1:49" s="2" customFormat="1" ht="17.25" customHeight="1" x14ac:dyDescent="0.25">
      <c r="A413" s="29"/>
      <c r="B413" s="201" t="s">
        <v>327</v>
      </c>
      <c r="C413" s="202"/>
      <c r="D413" s="63">
        <f>100+20+50+65+50+40+50+60+15+50+40+100+45+50+70</f>
        <v>805</v>
      </c>
      <c r="E413" s="64"/>
      <c r="F413" s="64"/>
      <c r="G413" s="64"/>
      <c r="H413" s="64"/>
      <c r="I413" s="64">
        <f>-D413</f>
        <v>-805</v>
      </c>
      <c r="J413" s="64"/>
      <c r="K413" s="57"/>
      <c r="L413" s="88"/>
      <c r="M413" s="62"/>
      <c r="N413" s="57"/>
      <c r="O413" s="88"/>
      <c r="P413" s="62"/>
      <c r="Q413" s="57"/>
      <c r="R413" s="88"/>
      <c r="S413" s="62"/>
      <c r="T413" s="47"/>
      <c r="U413" s="39"/>
      <c r="V413" s="39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22"/>
      <c r="AT413" s="10"/>
      <c r="AU413" s="11"/>
    </row>
    <row r="414" spans="1:49" s="2" customFormat="1" ht="17.25" customHeight="1" x14ac:dyDescent="0.25">
      <c r="A414" s="29"/>
      <c r="B414" s="201" t="s">
        <v>328</v>
      </c>
      <c r="C414" s="202"/>
      <c r="D414" s="63">
        <f>-15*0.99</f>
        <v>-14.85</v>
      </c>
      <c r="E414" s="64"/>
      <c r="F414" s="64"/>
      <c r="G414" s="64"/>
      <c r="H414" s="64"/>
      <c r="I414" s="64"/>
      <c r="J414" s="64"/>
      <c r="K414" s="57"/>
      <c r="L414" s="88"/>
      <c r="M414" s="62"/>
      <c r="N414" s="57"/>
      <c r="O414" s="88"/>
      <c r="P414" s="62"/>
      <c r="Q414" s="57"/>
      <c r="R414" s="88"/>
      <c r="S414" s="62"/>
      <c r="T414" s="47"/>
      <c r="U414" s="39"/>
      <c r="V414" s="39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22"/>
      <c r="AT414" s="10"/>
      <c r="AU414" s="11"/>
    </row>
    <row r="415" spans="1:49" s="2" customFormat="1" ht="17.25" customHeight="1" thickBot="1" x14ac:dyDescent="0.25">
      <c r="A415" s="24"/>
      <c r="B415" s="216"/>
      <c r="C415" s="217"/>
      <c r="D415" s="83"/>
      <c r="E415" s="81"/>
      <c r="F415" s="81"/>
      <c r="G415" s="81"/>
      <c r="H415" s="81"/>
      <c r="I415" s="81"/>
      <c r="J415" s="81"/>
      <c r="K415" s="37"/>
      <c r="L415" s="93"/>
      <c r="M415" s="81"/>
      <c r="N415" s="37"/>
      <c r="O415" s="93"/>
      <c r="P415" s="81"/>
      <c r="Q415" s="37"/>
      <c r="R415" s="93"/>
      <c r="S415" s="81"/>
      <c r="T415" s="40"/>
      <c r="U415" s="40"/>
      <c r="V415" s="39"/>
      <c r="W415" s="16"/>
      <c r="X415" s="16"/>
      <c r="Y415" s="16"/>
      <c r="Z415" s="16"/>
      <c r="AA415" s="16"/>
      <c r="AB415" s="19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41"/>
      <c r="AT415" s="10"/>
      <c r="AU415" s="11"/>
    </row>
    <row r="416" spans="1:49" s="4" customFormat="1" ht="17.25" customHeight="1" x14ac:dyDescent="0.25">
      <c r="A416" s="23"/>
      <c r="B416" s="210" t="s">
        <v>94</v>
      </c>
      <c r="C416" s="203"/>
      <c r="D416" s="66"/>
      <c r="E416" s="66"/>
      <c r="F416" s="117"/>
      <c r="G416" s="117"/>
      <c r="H416" s="66"/>
      <c r="I416" s="66"/>
      <c r="J416" s="66">
        <f>-M416</f>
        <v>6536.9699999999993</v>
      </c>
      <c r="K416" s="58">
        <v>-1023</v>
      </c>
      <c r="L416" s="89">
        <v>6.39</v>
      </c>
      <c r="M416" s="73">
        <f>K416*L416</f>
        <v>-6536.9699999999993</v>
      </c>
      <c r="N416" s="58"/>
      <c r="O416" s="89"/>
      <c r="P416" s="73"/>
      <c r="Q416" s="58"/>
      <c r="R416" s="89"/>
      <c r="S416" s="73"/>
      <c r="T416" s="39"/>
      <c r="U416" s="39"/>
      <c r="V416" s="8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35"/>
      <c r="AS416" s="12" t="e">
        <f>#REF!</f>
        <v>#REF!</v>
      </c>
    </row>
    <row r="417" spans="1:49" s="4" customFormat="1" ht="17.25" customHeight="1" x14ac:dyDescent="0.25">
      <c r="A417" s="23"/>
      <c r="B417" s="201" t="s">
        <v>95</v>
      </c>
      <c r="C417" s="202"/>
      <c r="D417" s="64"/>
      <c r="E417" s="64"/>
      <c r="F417" s="117"/>
      <c r="G417" s="117"/>
      <c r="H417" s="64"/>
      <c r="I417" s="64"/>
      <c r="J417" s="64">
        <f>-P417</f>
        <v>5198.97</v>
      </c>
      <c r="K417" s="57"/>
      <c r="L417" s="88"/>
      <c r="M417" s="62"/>
      <c r="N417" s="57">
        <v>-1303</v>
      </c>
      <c r="O417" s="88">
        <v>3.99</v>
      </c>
      <c r="P417" s="62">
        <f>N417*O417</f>
        <v>-5198.97</v>
      </c>
      <c r="Q417" s="57"/>
      <c r="R417" s="88"/>
      <c r="S417" s="62"/>
      <c r="T417" s="39"/>
      <c r="U417" s="39"/>
      <c r="V417" s="8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35"/>
      <c r="AS417" s="12" t="e">
        <f>#REF!</f>
        <v>#REF!</v>
      </c>
    </row>
    <row r="418" spans="1:49" s="4" customFormat="1" ht="17.25" customHeight="1" x14ac:dyDescent="0.25">
      <c r="A418" s="23"/>
      <c r="B418" s="201" t="s">
        <v>97</v>
      </c>
      <c r="C418" s="203"/>
      <c r="D418" s="64"/>
      <c r="E418" s="64"/>
      <c r="F418" s="64"/>
      <c r="G418" s="64"/>
      <c r="H418" s="64">
        <f>-J418-I418</f>
        <v>926.28999999999905</v>
      </c>
      <c r="I418" s="64">
        <v>10809.65</v>
      </c>
      <c r="J418" s="64">
        <f>-SUM(J416:J417)</f>
        <v>-11735.939999999999</v>
      </c>
      <c r="K418" s="57"/>
      <c r="L418" s="88"/>
      <c r="M418" s="62"/>
      <c r="N418" s="57"/>
      <c r="O418" s="88"/>
      <c r="P418" s="62"/>
      <c r="Q418" s="57"/>
      <c r="R418" s="88"/>
      <c r="S418" s="62"/>
      <c r="T418" s="39"/>
      <c r="U418" s="39"/>
      <c r="V418" s="39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22"/>
      <c r="AR418" s="43">
        <f>A395</f>
        <v>0</v>
      </c>
      <c r="AS418" s="12" t="e">
        <f>#REF!</f>
        <v>#REF!</v>
      </c>
      <c r="AW418" s="2"/>
    </row>
    <row r="419" spans="1:49" s="4" customFormat="1" ht="17.25" customHeight="1" x14ac:dyDescent="0.25">
      <c r="A419" s="23"/>
      <c r="B419" s="201" t="s">
        <v>93</v>
      </c>
      <c r="C419" s="202"/>
      <c r="D419" s="64"/>
      <c r="E419" s="64"/>
      <c r="F419" s="64"/>
      <c r="G419" s="64"/>
      <c r="H419" s="64"/>
      <c r="I419" s="64"/>
      <c r="J419" s="64"/>
      <c r="K419" s="57">
        <v>-82</v>
      </c>
      <c r="L419" s="88"/>
      <c r="M419" s="62">
        <f>(K422*L410)-M410-M416</f>
        <v>445.68778546128851</v>
      </c>
      <c r="N419" s="57">
        <v>113</v>
      </c>
      <c r="O419" s="88"/>
      <c r="P419" s="62">
        <f>(N422*(P410)/(N410))-P410-P417</f>
        <v>-135110.25035553335</v>
      </c>
      <c r="Q419" s="57"/>
      <c r="R419" s="88"/>
      <c r="S419" s="62"/>
      <c r="T419" s="39"/>
      <c r="U419" s="39"/>
      <c r="V419" s="39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22"/>
      <c r="AR419" s="43">
        <f>A404</f>
        <v>0</v>
      </c>
      <c r="AS419" s="12" t="e">
        <f>#REF!</f>
        <v>#REF!</v>
      </c>
      <c r="AW419" s="2"/>
    </row>
    <row r="420" spans="1:49" s="2" customFormat="1" ht="17.25" customHeight="1" x14ac:dyDescent="0.2">
      <c r="A420" s="24"/>
      <c r="B420" s="201"/>
      <c r="C420" s="204"/>
      <c r="D420" s="63"/>
      <c r="E420" s="64"/>
      <c r="F420" s="64"/>
      <c r="G420" s="64"/>
      <c r="H420" s="64"/>
      <c r="I420" s="64"/>
      <c r="J420" s="64"/>
      <c r="K420" s="16"/>
      <c r="L420" s="16"/>
      <c r="M420" s="64"/>
      <c r="N420" s="16"/>
      <c r="O420" s="16"/>
      <c r="P420" s="64"/>
      <c r="Q420" s="16"/>
      <c r="R420" s="16"/>
      <c r="S420" s="64"/>
      <c r="T420" s="46"/>
      <c r="U420" s="46"/>
      <c r="V420" s="39"/>
      <c r="W420" s="16"/>
      <c r="X420" s="16"/>
      <c r="Y420" s="16"/>
      <c r="Z420" s="16"/>
      <c r="AA420" s="16"/>
      <c r="AB420" s="19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43">
        <f>A411</f>
        <v>46140</v>
      </c>
      <c r="AT420" s="10"/>
      <c r="AU420" s="11"/>
    </row>
    <row r="421" spans="1:49" s="2" customFormat="1" ht="17.25" customHeight="1" thickBot="1" x14ac:dyDescent="0.3">
      <c r="A421" s="56"/>
      <c r="B421" s="101" t="s">
        <v>102</v>
      </c>
      <c r="C421" s="102">
        <f>D422+E422+F422+G422+H422+I422+J422+M422+P422</f>
        <v>-375553.48046000005</v>
      </c>
      <c r="D421" s="84"/>
      <c r="E421" s="85"/>
      <c r="F421" s="85"/>
      <c r="G421" s="85"/>
      <c r="H421" s="85"/>
      <c r="I421" s="85"/>
      <c r="J421" s="85"/>
      <c r="K421" s="28"/>
      <c r="L421" s="28"/>
      <c r="M421" s="85"/>
      <c r="N421" s="28"/>
      <c r="O421" s="28"/>
      <c r="P421" s="85"/>
      <c r="Q421" s="28"/>
      <c r="R421" s="28"/>
      <c r="S421" s="85"/>
      <c r="T421" s="48"/>
      <c r="U421" s="48"/>
      <c r="V421" s="51"/>
      <c r="W421" s="28"/>
      <c r="X421" s="28"/>
      <c r="Y421" s="28"/>
      <c r="Z421" s="28"/>
      <c r="AA421" s="28"/>
      <c r="AB421" s="36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42">
        <f>SUM($T410:AQ421)</f>
        <v>-406633.13890000002</v>
      </c>
      <c r="AT421" s="10"/>
      <c r="AU421" s="11"/>
      <c r="AV421" s="2" t="s">
        <v>5</v>
      </c>
    </row>
    <row r="422" spans="1:49" s="2" customFormat="1" ht="17.25" customHeight="1" thickTop="1" thickBot="1" x14ac:dyDescent="0.3">
      <c r="A422" s="103"/>
      <c r="B422" s="104" t="s">
        <v>103</v>
      </c>
      <c r="C422" s="105">
        <f>AR422</f>
        <v>-782186.61936000013</v>
      </c>
      <c r="D422" s="106">
        <f t="shared" ref="D422:K422" si="54">SUM(D410:D421)</f>
        <v>202045.29703999998</v>
      </c>
      <c r="E422" s="107">
        <f t="shared" si="54"/>
        <v>-64128.17</v>
      </c>
      <c r="F422" s="107">
        <f t="shared" si="54"/>
        <v>-28394.35</v>
      </c>
      <c r="G422" s="107">
        <f t="shared" si="54"/>
        <v>0</v>
      </c>
      <c r="H422" s="107">
        <f t="shared" si="54"/>
        <v>51941.242500000037</v>
      </c>
      <c r="I422" s="107">
        <f t="shared" si="54"/>
        <v>10004.65</v>
      </c>
      <c r="J422" s="107">
        <f t="shared" si="54"/>
        <v>4931.6399999999994</v>
      </c>
      <c r="K422" s="108">
        <f t="shared" si="54"/>
        <v>10753</v>
      </c>
      <c r="L422" s="109">
        <f>M422/K422</f>
        <v>5.51247279828885</v>
      </c>
      <c r="M422" s="107">
        <f>ROUND(SUM(M410:M421),2)</f>
        <v>59275.62</v>
      </c>
      <c r="N422" s="108">
        <f>SUM(N410:N421)</f>
        <v>-5184</v>
      </c>
      <c r="O422" s="109">
        <f>P422/N422</f>
        <v>117.90690779320988</v>
      </c>
      <c r="P422" s="107">
        <f>ROUND(SUM(P410:P421),2)</f>
        <v>-611229.41</v>
      </c>
      <c r="Q422" s="108">
        <f>SUM(Q410:Q421)</f>
        <v>2313</v>
      </c>
      <c r="R422" s="109">
        <f>S422/Q422</f>
        <v>6.0994855166450499</v>
      </c>
      <c r="S422" s="107">
        <f>ROUND(SUM(S410:S421),2)</f>
        <v>14108.11</v>
      </c>
      <c r="T422" s="110">
        <f t="shared" ref="T422:AQ422" si="55">SUM(T410:T421)</f>
        <v>-460077.12890000001</v>
      </c>
      <c r="U422" s="107">
        <f t="shared" si="55"/>
        <v>50229.299999999996</v>
      </c>
      <c r="V422" s="107">
        <f t="shared" si="55"/>
        <v>0</v>
      </c>
      <c r="W422" s="107">
        <f t="shared" si="55"/>
        <v>3214.6899999999996</v>
      </c>
      <c r="X422" s="107">
        <f t="shared" si="55"/>
        <v>0</v>
      </c>
      <c r="Y422" s="107">
        <f t="shared" si="55"/>
        <v>0</v>
      </c>
      <c r="Z422" s="107">
        <f t="shared" si="55"/>
        <v>0</v>
      </c>
      <c r="AA422" s="107">
        <f t="shared" si="55"/>
        <v>0</v>
      </c>
      <c r="AB422" s="107">
        <f t="shared" si="55"/>
        <v>0</v>
      </c>
      <c r="AC422" s="107">
        <f t="shared" si="55"/>
        <v>0</v>
      </c>
      <c r="AD422" s="107">
        <f t="shared" si="55"/>
        <v>0</v>
      </c>
      <c r="AE422" s="107">
        <f t="shared" si="55"/>
        <v>0</v>
      </c>
      <c r="AF422" s="107">
        <f t="shared" si="55"/>
        <v>0</v>
      </c>
      <c r="AG422" s="107">
        <f t="shared" si="55"/>
        <v>0</v>
      </c>
      <c r="AH422" s="107">
        <f t="shared" si="55"/>
        <v>0</v>
      </c>
      <c r="AI422" s="107">
        <f t="shared" si="55"/>
        <v>0</v>
      </c>
      <c r="AJ422" s="107">
        <f t="shared" si="55"/>
        <v>0</v>
      </c>
      <c r="AK422" s="107">
        <f t="shared" si="55"/>
        <v>0</v>
      </c>
      <c r="AL422" s="107">
        <f t="shared" si="55"/>
        <v>0</v>
      </c>
      <c r="AM422" s="107">
        <f t="shared" si="55"/>
        <v>0</v>
      </c>
      <c r="AN422" s="107">
        <f t="shared" si="55"/>
        <v>0</v>
      </c>
      <c r="AO422" s="107">
        <f t="shared" si="55"/>
        <v>0</v>
      </c>
      <c r="AP422" s="107">
        <f t="shared" si="55"/>
        <v>0</v>
      </c>
      <c r="AQ422" s="107">
        <f t="shared" si="55"/>
        <v>0</v>
      </c>
      <c r="AR422" s="111">
        <f>D422+E422+F422+G422+H422+I422+J422+M422+P422+SUM(T422:AQ422)</f>
        <v>-782186.61936000013</v>
      </c>
      <c r="AS422" s="4"/>
      <c r="AT422" s="5"/>
      <c r="AU422" s="5"/>
      <c r="AV422" s="2" t="s">
        <v>6</v>
      </c>
    </row>
    <row r="423" spans="1:49" s="2" customFormat="1" ht="17.25" customHeight="1" thickTop="1" x14ac:dyDescent="0.25">
      <c r="A423" s="23">
        <f>A411+1</f>
        <v>46141</v>
      </c>
      <c r="B423" s="210"/>
      <c r="C423" s="203"/>
      <c r="D423" s="63"/>
      <c r="E423" s="66"/>
      <c r="F423" s="66"/>
      <c r="G423" s="66"/>
      <c r="H423" s="66"/>
      <c r="I423" s="66"/>
      <c r="J423" s="66"/>
      <c r="K423" s="18"/>
      <c r="L423" s="18"/>
      <c r="M423" s="66"/>
      <c r="N423" s="18"/>
      <c r="O423" s="18"/>
      <c r="P423" s="66"/>
      <c r="Q423" s="18"/>
      <c r="R423" s="18"/>
      <c r="S423" s="66"/>
      <c r="T423" s="46"/>
      <c r="U423" s="46"/>
      <c r="V423" s="45"/>
      <c r="W423" s="18"/>
      <c r="X423" s="18"/>
      <c r="Y423" s="18"/>
      <c r="Z423" s="18"/>
      <c r="AA423" s="18"/>
      <c r="AB423" s="14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31"/>
      <c r="AT423" s="10"/>
      <c r="AU423" s="27"/>
    </row>
    <row r="424" spans="1:49" s="2" customFormat="1" ht="17.25" customHeight="1" x14ac:dyDescent="0.2">
      <c r="A424" s="23"/>
      <c r="B424" s="201" t="s">
        <v>168</v>
      </c>
      <c r="C424" s="204"/>
      <c r="D424" s="63"/>
      <c r="E424" s="64"/>
      <c r="F424" s="74"/>
      <c r="G424" s="74"/>
      <c r="H424" s="64">
        <v>-12222.84</v>
      </c>
      <c r="I424" s="64"/>
      <c r="J424" s="64"/>
      <c r="K424" s="16"/>
      <c r="L424" s="16"/>
      <c r="M424" s="64"/>
      <c r="N424" s="16"/>
      <c r="O424" s="16"/>
      <c r="P424" s="64"/>
      <c r="Q424" s="16"/>
      <c r="R424" s="16"/>
      <c r="S424" s="64"/>
      <c r="T424" s="46"/>
      <c r="U424" s="39"/>
      <c r="V424" s="40"/>
      <c r="W424" s="16"/>
      <c r="X424" s="16"/>
      <c r="Y424" s="16"/>
      <c r="Z424" s="16"/>
      <c r="AA424" s="16"/>
      <c r="AB424" s="19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35"/>
      <c r="AT424" s="10"/>
      <c r="AU424" s="27"/>
    </row>
    <row r="425" spans="1:49" s="2" customFormat="1" ht="17.25" customHeight="1" x14ac:dyDescent="0.2">
      <c r="A425" s="23"/>
      <c r="B425" s="201" t="s">
        <v>169</v>
      </c>
      <c r="C425" s="204"/>
      <c r="D425" s="63"/>
      <c r="E425" s="64"/>
      <c r="F425" s="74"/>
      <c r="G425" s="74"/>
      <c r="H425" s="64">
        <v>-6500</v>
      </c>
      <c r="I425" s="64"/>
      <c r="J425" s="64"/>
      <c r="K425" s="16"/>
      <c r="L425" s="16"/>
      <c r="M425" s="64"/>
      <c r="N425" s="16"/>
      <c r="O425" s="16"/>
      <c r="P425" s="64"/>
      <c r="Q425" s="16"/>
      <c r="R425" s="16"/>
      <c r="S425" s="64"/>
      <c r="T425" s="46"/>
      <c r="U425" s="39"/>
      <c r="V425" s="40"/>
      <c r="W425" s="16"/>
      <c r="X425" s="16"/>
      <c r="Y425" s="16"/>
      <c r="Z425" s="16"/>
      <c r="AA425" s="16"/>
      <c r="AB425" s="19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35"/>
      <c r="AT425" s="10"/>
      <c r="AU425" s="27"/>
    </row>
    <row r="426" spans="1:49" s="2" customFormat="1" ht="17.25" customHeight="1" x14ac:dyDescent="0.2">
      <c r="A426" s="23"/>
      <c r="B426" s="201" t="s">
        <v>170</v>
      </c>
      <c r="C426" s="204"/>
      <c r="D426" s="63"/>
      <c r="E426" s="64"/>
      <c r="F426" s="74"/>
      <c r="G426" s="74"/>
      <c r="H426" s="64">
        <v>-1920</v>
      </c>
      <c r="I426" s="64"/>
      <c r="J426" s="64"/>
      <c r="K426" s="16"/>
      <c r="L426" s="16"/>
      <c r="M426" s="64"/>
      <c r="N426" s="16"/>
      <c r="O426" s="16"/>
      <c r="P426" s="64"/>
      <c r="Q426" s="16"/>
      <c r="R426" s="16"/>
      <c r="S426" s="64"/>
      <c r="T426" s="46"/>
      <c r="U426" s="39"/>
      <c r="V426" s="40"/>
      <c r="W426" s="16"/>
      <c r="X426" s="16"/>
      <c r="Y426" s="16"/>
      <c r="Z426" s="16"/>
      <c r="AA426" s="16"/>
      <c r="AB426" s="19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35"/>
      <c r="AT426" s="10"/>
      <c r="AU426" s="27"/>
    </row>
    <row r="427" spans="1:49" s="2" customFormat="1" ht="17.25" customHeight="1" x14ac:dyDescent="0.2">
      <c r="A427" s="23"/>
      <c r="B427" s="201" t="s">
        <v>171</v>
      </c>
      <c r="C427" s="204"/>
      <c r="D427" s="63"/>
      <c r="E427" s="64"/>
      <c r="F427" s="74"/>
      <c r="G427" s="74"/>
      <c r="H427" s="64">
        <v>-600</v>
      </c>
      <c r="I427" s="64"/>
      <c r="J427" s="64"/>
      <c r="K427" s="16"/>
      <c r="L427" s="16"/>
      <c r="M427" s="64"/>
      <c r="N427" s="16"/>
      <c r="O427" s="16"/>
      <c r="P427" s="64"/>
      <c r="Q427" s="16"/>
      <c r="R427" s="16"/>
      <c r="S427" s="64"/>
      <c r="T427" s="46"/>
      <c r="U427" s="39"/>
      <c r="V427" s="40"/>
      <c r="W427" s="16"/>
      <c r="X427" s="16"/>
      <c r="Y427" s="16"/>
      <c r="Z427" s="16"/>
      <c r="AA427" s="16"/>
      <c r="AB427" s="19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35"/>
      <c r="AT427" s="10"/>
      <c r="AU427" s="27"/>
    </row>
    <row r="428" spans="1:49" s="2" customFormat="1" ht="17.25" customHeight="1" x14ac:dyDescent="0.2">
      <c r="A428" s="23"/>
      <c r="B428" s="201" t="s">
        <v>172</v>
      </c>
      <c r="C428" s="204"/>
      <c r="D428" s="63"/>
      <c r="E428" s="64"/>
      <c r="F428" s="74"/>
      <c r="G428" s="74"/>
      <c r="H428" s="64">
        <v>-480</v>
      </c>
      <c r="I428" s="64"/>
      <c r="J428" s="64"/>
      <c r="K428" s="16"/>
      <c r="L428" s="16"/>
      <c r="M428" s="64"/>
      <c r="N428" s="16"/>
      <c r="O428" s="16"/>
      <c r="P428" s="64"/>
      <c r="Q428" s="16"/>
      <c r="R428" s="16"/>
      <c r="S428" s="64"/>
      <c r="T428" s="46"/>
      <c r="U428" s="39"/>
      <c r="V428" s="40"/>
      <c r="W428" s="16"/>
      <c r="X428" s="16"/>
      <c r="Y428" s="16"/>
      <c r="Z428" s="16"/>
      <c r="AA428" s="16"/>
      <c r="AB428" s="19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35"/>
      <c r="AT428" s="10"/>
      <c r="AU428" s="27"/>
    </row>
    <row r="429" spans="1:49" s="2" customFormat="1" ht="17.25" customHeight="1" x14ac:dyDescent="0.25">
      <c r="A429" s="24"/>
      <c r="B429" s="205" t="s">
        <v>475</v>
      </c>
      <c r="C429" s="206"/>
      <c r="D429" s="64"/>
      <c r="E429" s="64"/>
      <c r="F429" s="64"/>
      <c r="G429" s="64"/>
      <c r="H429" s="64"/>
      <c r="I429" s="64"/>
      <c r="J429" s="64"/>
      <c r="K429" s="57"/>
      <c r="L429" s="88"/>
      <c r="M429" s="62"/>
      <c r="N429" s="57">
        <v>10000</v>
      </c>
      <c r="O429" s="88">
        <v>3.18</v>
      </c>
      <c r="P429" s="62">
        <f>N429*O429</f>
        <v>31800</v>
      </c>
      <c r="Q429" s="57"/>
      <c r="R429" s="88"/>
      <c r="S429" s="62"/>
      <c r="T429" s="39">
        <f>-P429</f>
        <v>-31800</v>
      </c>
      <c r="U429" s="39"/>
      <c r="V429" s="39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22"/>
      <c r="AT429" s="10"/>
      <c r="AU429" s="11"/>
    </row>
    <row r="430" spans="1:49" s="2" customFormat="1" ht="17.25" customHeight="1" thickBot="1" x14ac:dyDescent="0.25">
      <c r="A430" s="24"/>
      <c r="B430" s="216"/>
      <c r="C430" s="217"/>
      <c r="D430" s="83"/>
      <c r="E430" s="81"/>
      <c r="F430" s="81"/>
      <c r="G430" s="81"/>
      <c r="H430" s="81"/>
      <c r="I430" s="81"/>
      <c r="J430" s="81"/>
      <c r="K430" s="37"/>
      <c r="L430" s="93"/>
      <c r="M430" s="81"/>
      <c r="N430" s="37"/>
      <c r="O430" s="93"/>
      <c r="P430" s="81"/>
      <c r="Q430" s="37"/>
      <c r="R430" s="93"/>
      <c r="S430" s="81"/>
      <c r="T430" s="40"/>
      <c r="U430" s="40"/>
      <c r="V430" s="39"/>
      <c r="W430" s="16"/>
      <c r="X430" s="16"/>
      <c r="Y430" s="16"/>
      <c r="Z430" s="16"/>
      <c r="AA430" s="16"/>
      <c r="AB430" s="19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41"/>
      <c r="AT430" s="10"/>
      <c r="AU430" s="11"/>
    </row>
    <row r="431" spans="1:49" s="4" customFormat="1" ht="17.25" customHeight="1" x14ac:dyDescent="0.25">
      <c r="A431" s="23"/>
      <c r="B431" s="210" t="s">
        <v>94</v>
      </c>
      <c r="C431" s="203"/>
      <c r="D431" s="66"/>
      <c r="E431" s="66"/>
      <c r="F431" s="117"/>
      <c r="G431" s="117"/>
      <c r="H431" s="66"/>
      <c r="I431" s="66"/>
      <c r="J431" s="66">
        <f>-M431</f>
        <v>5923.53</v>
      </c>
      <c r="K431" s="58">
        <v>-927</v>
      </c>
      <c r="L431" s="89">
        <v>6.39</v>
      </c>
      <c r="M431" s="73">
        <f>K431*L431</f>
        <v>-5923.53</v>
      </c>
      <c r="N431" s="58"/>
      <c r="O431" s="89"/>
      <c r="P431" s="73"/>
      <c r="Q431" s="58"/>
      <c r="R431" s="89"/>
      <c r="S431" s="73"/>
      <c r="T431" s="39"/>
      <c r="U431" s="39"/>
      <c r="V431" s="8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35"/>
      <c r="AS431" s="12" t="e">
        <f>#REF!</f>
        <v>#REF!</v>
      </c>
    </row>
    <row r="432" spans="1:49" s="4" customFormat="1" ht="17.25" customHeight="1" x14ac:dyDescent="0.25">
      <c r="A432" s="23"/>
      <c r="B432" s="201" t="s">
        <v>95</v>
      </c>
      <c r="C432" s="202"/>
      <c r="D432" s="64"/>
      <c r="E432" s="64"/>
      <c r="F432" s="117"/>
      <c r="G432" s="117"/>
      <c r="H432" s="64"/>
      <c r="I432" s="64"/>
      <c r="J432" s="64">
        <f>-P432</f>
        <v>5550.09</v>
      </c>
      <c r="K432" s="57"/>
      <c r="L432" s="88"/>
      <c r="M432" s="62"/>
      <c r="N432" s="57">
        <v>-1391</v>
      </c>
      <c r="O432" s="88">
        <v>3.99</v>
      </c>
      <c r="P432" s="62">
        <f>N432*O432</f>
        <v>-5550.09</v>
      </c>
      <c r="Q432" s="57"/>
      <c r="R432" s="88"/>
      <c r="S432" s="62"/>
      <c r="T432" s="39"/>
      <c r="U432" s="39"/>
      <c r="V432" s="8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35"/>
      <c r="AS432" s="12" t="e">
        <f>#REF!</f>
        <v>#REF!</v>
      </c>
    </row>
    <row r="433" spans="1:49" s="4" customFormat="1" ht="17.25" customHeight="1" x14ac:dyDescent="0.25">
      <c r="A433" s="23"/>
      <c r="B433" s="201" t="s">
        <v>97</v>
      </c>
      <c r="C433" s="203"/>
      <c r="D433" s="64"/>
      <c r="E433" s="64"/>
      <c r="F433" s="64"/>
      <c r="G433" s="64"/>
      <c r="H433" s="64">
        <f>-J433-I433</f>
        <v>663.96999999999935</v>
      </c>
      <c r="I433" s="64">
        <v>10809.65</v>
      </c>
      <c r="J433" s="64">
        <f>-SUM(J431:J432)</f>
        <v>-11473.619999999999</v>
      </c>
      <c r="K433" s="57"/>
      <c r="L433" s="88"/>
      <c r="M433" s="62"/>
      <c r="N433" s="57"/>
      <c r="O433" s="88"/>
      <c r="P433" s="62"/>
      <c r="Q433" s="57"/>
      <c r="R433" s="88"/>
      <c r="S433" s="62"/>
      <c r="T433" s="39"/>
      <c r="U433" s="39"/>
      <c r="V433" s="39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22"/>
      <c r="AR433" s="43"/>
      <c r="AS433" s="12" t="e">
        <f>#REF!</f>
        <v>#REF!</v>
      </c>
      <c r="AW433" s="2"/>
    </row>
    <row r="434" spans="1:49" s="4" customFormat="1" ht="17.25" customHeight="1" x14ac:dyDescent="0.25">
      <c r="A434" s="23"/>
      <c r="B434" s="201" t="s">
        <v>93</v>
      </c>
      <c r="C434" s="202"/>
      <c r="D434" s="64"/>
      <c r="E434" s="64"/>
      <c r="F434" s="64"/>
      <c r="G434" s="64"/>
      <c r="H434" s="64"/>
      <c r="I434" s="64"/>
      <c r="J434" s="64"/>
      <c r="K434" s="57">
        <v>50</v>
      </c>
      <c r="L434" s="88"/>
      <c r="M434" s="62">
        <f>(K437*L422)-M422-M431</f>
        <v>1089.0913559006813</v>
      </c>
      <c r="N434" s="57">
        <v>-178</v>
      </c>
      <c r="O434" s="88"/>
      <c r="P434" s="62">
        <f>(N437*(P422+P429)/(N422+N429))-P422-P432-P429</f>
        <v>194321.83922965117</v>
      </c>
      <c r="Q434" s="57"/>
      <c r="R434" s="88"/>
      <c r="S434" s="62"/>
      <c r="T434" s="39"/>
      <c r="U434" s="39"/>
      <c r="V434" s="39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22"/>
      <c r="AR434" s="43">
        <f>A418</f>
        <v>0</v>
      </c>
      <c r="AS434" s="12" t="e">
        <f>#REF!</f>
        <v>#REF!</v>
      </c>
      <c r="AW434" s="2"/>
    </row>
    <row r="435" spans="1:49" s="2" customFormat="1" ht="17.25" customHeight="1" x14ac:dyDescent="0.2">
      <c r="A435" s="24"/>
      <c r="B435" s="201"/>
      <c r="C435" s="204"/>
      <c r="D435" s="63"/>
      <c r="E435" s="64"/>
      <c r="F435" s="64"/>
      <c r="G435" s="64"/>
      <c r="H435" s="64"/>
      <c r="I435" s="64"/>
      <c r="J435" s="64"/>
      <c r="K435" s="16"/>
      <c r="L435" s="16"/>
      <c r="M435" s="64"/>
      <c r="N435" s="16"/>
      <c r="O435" s="16"/>
      <c r="P435" s="64"/>
      <c r="Q435" s="16"/>
      <c r="R435" s="16"/>
      <c r="S435" s="64"/>
      <c r="T435" s="46"/>
      <c r="U435" s="46"/>
      <c r="V435" s="39"/>
      <c r="W435" s="16"/>
      <c r="X435" s="16"/>
      <c r="Y435" s="16"/>
      <c r="Z435" s="16"/>
      <c r="AA435" s="16"/>
      <c r="AB435" s="19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43">
        <f>A423</f>
        <v>46141</v>
      </c>
      <c r="AT435" s="10"/>
      <c r="AU435" s="11"/>
    </row>
    <row r="436" spans="1:49" s="2" customFormat="1" ht="17.25" customHeight="1" thickBot="1" x14ac:dyDescent="0.3">
      <c r="A436" s="56"/>
      <c r="B436" s="101" t="s">
        <v>102</v>
      </c>
      <c r="C436" s="102">
        <f>D437+E437+F437+G437+H437+I437+J437+M437+P437</f>
        <v>-170065.39045999997</v>
      </c>
      <c r="D436" s="84"/>
      <c r="E436" s="85"/>
      <c r="F436" s="85"/>
      <c r="G436" s="85"/>
      <c r="H436" s="85"/>
      <c r="I436" s="85"/>
      <c r="J436" s="85"/>
      <c r="K436" s="28"/>
      <c r="L436" s="28"/>
      <c r="M436" s="85"/>
      <c r="N436" s="28"/>
      <c r="O436" s="28"/>
      <c r="P436" s="85"/>
      <c r="Q436" s="28"/>
      <c r="R436" s="28"/>
      <c r="S436" s="85"/>
      <c r="T436" s="48"/>
      <c r="U436" s="48"/>
      <c r="V436" s="51"/>
      <c r="W436" s="28"/>
      <c r="X436" s="28"/>
      <c r="Y436" s="28"/>
      <c r="Z436" s="28"/>
      <c r="AA436" s="28"/>
      <c r="AB436" s="36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42">
        <f>SUM($T422:AQ436)</f>
        <v>-438433.13890000002</v>
      </c>
      <c r="AT436" s="10"/>
      <c r="AU436" s="11"/>
      <c r="AV436" s="2" t="s">
        <v>5</v>
      </c>
    </row>
    <row r="437" spans="1:49" s="2" customFormat="1" ht="17.25" customHeight="1" thickTop="1" thickBot="1" x14ac:dyDescent="0.3">
      <c r="A437" s="103"/>
      <c r="B437" s="104" t="s">
        <v>103</v>
      </c>
      <c r="C437" s="105">
        <f>AR437</f>
        <v>-608498.52936000004</v>
      </c>
      <c r="D437" s="106">
        <f t="shared" ref="D437:K437" si="56">SUM(D422:D436)</f>
        <v>202045.29703999998</v>
      </c>
      <c r="E437" s="107">
        <f t="shared" si="56"/>
        <v>-64128.17</v>
      </c>
      <c r="F437" s="107">
        <f t="shared" si="56"/>
        <v>-28394.35</v>
      </c>
      <c r="G437" s="107">
        <f t="shared" si="56"/>
        <v>0</v>
      </c>
      <c r="H437" s="107">
        <f t="shared" si="56"/>
        <v>30882.372500000041</v>
      </c>
      <c r="I437" s="107">
        <f t="shared" si="56"/>
        <v>20814.3</v>
      </c>
      <c r="J437" s="107">
        <f t="shared" si="56"/>
        <v>4931.6399999999994</v>
      </c>
      <c r="K437" s="108">
        <f t="shared" si="56"/>
        <v>9876</v>
      </c>
      <c r="L437" s="109">
        <f>M437/K437</f>
        <v>5.5124726609963552</v>
      </c>
      <c r="M437" s="107">
        <f>ROUND(SUM(M422:M436),2)</f>
        <v>54441.18</v>
      </c>
      <c r="N437" s="108">
        <f>SUM(N422:N436)</f>
        <v>3247</v>
      </c>
      <c r="O437" s="109">
        <f>P437/N437</f>
        <v>-120.31341546042501</v>
      </c>
      <c r="P437" s="107">
        <f>ROUND(SUM(P422:P436),2)</f>
        <v>-390657.66</v>
      </c>
      <c r="Q437" s="108">
        <f>SUM(Q422:Q436)</f>
        <v>2313</v>
      </c>
      <c r="R437" s="109">
        <f>S437/Q437</f>
        <v>6.0994855166450499</v>
      </c>
      <c r="S437" s="107">
        <f>ROUND(SUM(S422:S436),2)</f>
        <v>14108.11</v>
      </c>
      <c r="T437" s="110">
        <f t="shared" ref="T437:AQ437" si="57">SUM(T422:T436)</f>
        <v>-491877.12890000001</v>
      </c>
      <c r="U437" s="107">
        <f t="shared" si="57"/>
        <v>50229.299999999996</v>
      </c>
      <c r="V437" s="107">
        <f t="shared" si="57"/>
        <v>0</v>
      </c>
      <c r="W437" s="107">
        <f t="shared" si="57"/>
        <v>3214.6899999999996</v>
      </c>
      <c r="X437" s="107">
        <f t="shared" si="57"/>
        <v>0</v>
      </c>
      <c r="Y437" s="107">
        <f t="shared" si="57"/>
        <v>0</v>
      </c>
      <c r="Z437" s="107">
        <f t="shared" si="57"/>
        <v>0</v>
      </c>
      <c r="AA437" s="107">
        <f t="shared" si="57"/>
        <v>0</v>
      </c>
      <c r="AB437" s="107">
        <f t="shared" si="57"/>
        <v>0</v>
      </c>
      <c r="AC437" s="107">
        <f t="shared" si="57"/>
        <v>0</v>
      </c>
      <c r="AD437" s="107">
        <f t="shared" si="57"/>
        <v>0</v>
      </c>
      <c r="AE437" s="107">
        <f t="shared" si="57"/>
        <v>0</v>
      </c>
      <c r="AF437" s="107">
        <f t="shared" si="57"/>
        <v>0</v>
      </c>
      <c r="AG437" s="107">
        <f t="shared" si="57"/>
        <v>0</v>
      </c>
      <c r="AH437" s="107">
        <f t="shared" si="57"/>
        <v>0</v>
      </c>
      <c r="AI437" s="107">
        <f t="shared" si="57"/>
        <v>0</v>
      </c>
      <c r="AJ437" s="107">
        <f t="shared" si="57"/>
        <v>0</v>
      </c>
      <c r="AK437" s="107">
        <f t="shared" si="57"/>
        <v>0</v>
      </c>
      <c r="AL437" s="107">
        <f t="shared" si="57"/>
        <v>0</v>
      </c>
      <c r="AM437" s="107">
        <f t="shared" si="57"/>
        <v>0</v>
      </c>
      <c r="AN437" s="107">
        <f t="shared" si="57"/>
        <v>0</v>
      </c>
      <c r="AO437" s="107">
        <f t="shared" si="57"/>
        <v>0</v>
      </c>
      <c r="AP437" s="107">
        <f t="shared" si="57"/>
        <v>0</v>
      </c>
      <c r="AQ437" s="107">
        <f t="shared" si="57"/>
        <v>0</v>
      </c>
      <c r="AR437" s="111">
        <f>D437+E437+F437+G437+H437+I437+J437+M437+P437+SUM(T437:AQ437)</f>
        <v>-608498.52936000004</v>
      </c>
      <c r="AS437" s="4"/>
      <c r="AT437" s="5"/>
      <c r="AU437" s="5"/>
      <c r="AV437" s="2" t="s">
        <v>6</v>
      </c>
    </row>
    <row r="438" spans="1:49" s="2" customFormat="1" ht="17.25" customHeight="1" thickTop="1" x14ac:dyDescent="0.25">
      <c r="A438" s="23">
        <f>A423+1</f>
        <v>46142</v>
      </c>
      <c r="B438" s="210"/>
      <c r="C438" s="203"/>
      <c r="D438" s="63"/>
      <c r="E438" s="66"/>
      <c r="F438" s="66"/>
      <c r="G438" s="66"/>
      <c r="H438" s="66"/>
      <c r="I438" s="66"/>
      <c r="J438" s="66"/>
      <c r="K438" s="18"/>
      <c r="L438" s="18"/>
      <c r="M438" s="66"/>
      <c r="N438" s="18"/>
      <c r="O438" s="18"/>
      <c r="P438" s="66"/>
      <c r="Q438" s="18"/>
      <c r="R438" s="18"/>
      <c r="S438" s="66"/>
      <c r="T438" s="46"/>
      <c r="U438" s="46"/>
      <c r="V438" s="45"/>
      <c r="W438" s="18"/>
      <c r="X438" s="18"/>
      <c r="Y438" s="18"/>
      <c r="Z438" s="18"/>
      <c r="AA438" s="18"/>
      <c r="AB438" s="14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31"/>
      <c r="AT438" s="10"/>
      <c r="AU438" s="27"/>
    </row>
    <row r="439" spans="1:49" s="4" customFormat="1" ht="17.25" customHeight="1" x14ac:dyDescent="0.25">
      <c r="A439" s="23"/>
      <c r="B439" s="201"/>
      <c r="C439" s="202"/>
      <c r="D439" s="63"/>
      <c r="E439" s="64"/>
      <c r="F439" s="64"/>
      <c r="G439" s="64"/>
      <c r="H439" s="64"/>
      <c r="I439" s="117"/>
      <c r="J439" s="64"/>
      <c r="K439" s="16"/>
      <c r="L439" s="92"/>
      <c r="M439" s="64"/>
      <c r="N439" s="16"/>
      <c r="O439" s="92"/>
      <c r="P439" s="64"/>
      <c r="Q439" s="16"/>
      <c r="R439" s="92"/>
      <c r="S439" s="64"/>
      <c r="T439" s="40"/>
      <c r="U439" s="46"/>
      <c r="V439" s="39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22"/>
      <c r="AS439" s="30"/>
    </row>
    <row r="440" spans="1:49" s="2" customFormat="1" ht="17.25" customHeight="1" x14ac:dyDescent="0.2">
      <c r="A440" s="23"/>
      <c r="B440" s="201"/>
      <c r="C440" s="203"/>
      <c r="D440" s="63"/>
      <c r="E440" s="64"/>
      <c r="F440" s="64"/>
      <c r="G440" s="64"/>
      <c r="H440" s="64"/>
      <c r="I440" s="64"/>
      <c r="J440" s="64"/>
      <c r="K440" s="16"/>
      <c r="L440" s="16"/>
      <c r="M440" s="64"/>
      <c r="N440" s="16"/>
      <c r="O440" s="16"/>
      <c r="P440" s="64"/>
      <c r="Q440" s="16"/>
      <c r="R440" s="16"/>
      <c r="S440" s="64"/>
      <c r="T440" s="46"/>
      <c r="U440" s="39"/>
      <c r="V440" s="40"/>
      <c r="W440" s="16"/>
      <c r="X440" s="16"/>
      <c r="Y440" s="16"/>
      <c r="Z440" s="16"/>
      <c r="AA440" s="16"/>
      <c r="AB440" s="19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35"/>
      <c r="AT440" s="10"/>
      <c r="AU440" s="27"/>
    </row>
    <row r="441" spans="1:49" s="2" customFormat="1" ht="17.25" customHeight="1" x14ac:dyDescent="0.25">
      <c r="A441" s="24"/>
      <c r="B441" s="201"/>
      <c r="C441" s="203"/>
      <c r="D441" s="63"/>
      <c r="E441" s="64"/>
      <c r="F441" s="64"/>
      <c r="G441" s="64"/>
      <c r="H441" s="64"/>
      <c r="I441" s="64"/>
      <c r="J441" s="64"/>
      <c r="K441" s="16"/>
      <c r="L441" s="92"/>
      <c r="M441" s="64"/>
      <c r="N441" s="16"/>
      <c r="O441" s="92"/>
      <c r="P441" s="64"/>
      <c r="Q441" s="16"/>
      <c r="R441" s="92"/>
      <c r="S441" s="64"/>
      <c r="T441" s="40"/>
      <c r="U441" s="40"/>
      <c r="V441" s="39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22"/>
      <c r="AT441" s="10"/>
      <c r="AU441" s="11"/>
    </row>
    <row r="442" spans="1:49" s="2" customFormat="1" ht="17.25" customHeight="1" x14ac:dyDescent="0.2">
      <c r="A442" s="23"/>
      <c r="B442" s="201"/>
      <c r="C442" s="202"/>
      <c r="D442" s="63"/>
      <c r="E442" s="64"/>
      <c r="F442" s="74"/>
      <c r="G442" s="74"/>
      <c r="H442" s="64"/>
      <c r="I442" s="64"/>
      <c r="J442" s="64"/>
      <c r="K442" s="16"/>
      <c r="L442" s="16"/>
      <c r="M442" s="64"/>
      <c r="N442" s="16"/>
      <c r="O442" s="16"/>
      <c r="P442" s="64"/>
      <c r="Q442" s="16"/>
      <c r="R442" s="16"/>
      <c r="S442" s="64"/>
      <c r="T442" s="46"/>
      <c r="U442" s="39"/>
      <c r="V442" s="40"/>
      <c r="W442" s="16"/>
      <c r="X442" s="16"/>
      <c r="Y442" s="16"/>
      <c r="Z442" s="16"/>
      <c r="AA442" s="16"/>
      <c r="AB442" s="19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35"/>
      <c r="AT442" s="10"/>
      <c r="AU442" s="27"/>
    </row>
    <row r="443" spans="1:49" s="2" customFormat="1" ht="17.25" customHeight="1" x14ac:dyDescent="0.2">
      <c r="A443" s="23"/>
      <c r="B443" s="201"/>
      <c r="C443" s="202"/>
      <c r="D443" s="63"/>
      <c r="E443" s="64"/>
      <c r="F443" s="74"/>
      <c r="G443" s="74"/>
      <c r="H443" s="64"/>
      <c r="I443" s="64"/>
      <c r="J443" s="64"/>
      <c r="K443" s="16"/>
      <c r="L443" s="16"/>
      <c r="M443" s="64"/>
      <c r="N443" s="16"/>
      <c r="O443" s="16"/>
      <c r="P443" s="64"/>
      <c r="Q443" s="16"/>
      <c r="R443" s="16"/>
      <c r="S443" s="64"/>
      <c r="T443" s="46"/>
      <c r="U443" s="39"/>
      <c r="V443" s="40"/>
      <c r="W443" s="16"/>
      <c r="X443" s="16"/>
      <c r="Y443" s="16"/>
      <c r="Z443" s="16"/>
      <c r="AA443" s="16"/>
      <c r="AB443" s="19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35"/>
      <c r="AT443" s="10"/>
      <c r="AU443" s="27"/>
    </row>
    <row r="444" spans="1:49" s="2" customFormat="1" ht="17.25" customHeight="1" x14ac:dyDescent="0.25">
      <c r="A444" s="29"/>
      <c r="B444" s="201"/>
      <c r="C444" s="202"/>
      <c r="D444" s="63"/>
      <c r="E444" s="64"/>
      <c r="F444" s="64"/>
      <c r="G444" s="64"/>
      <c r="H444" s="64"/>
      <c r="I444" s="64"/>
      <c r="J444" s="64"/>
      <c r="K444" s="57"/>
      <c r="L444" s="88"/>
      <c r="M444" s="62"/>
      <c r="N444" s="57"/>
      <c r="O444" s="88"/>
      <c r="P444" s="62"/>
      <c r="Q444" s="57"/>
      <c r="R444" s="88"/>
      <c r="S444" s="62"/>
      <c r="T444" s="47"/>
      <c r="U444" s="39"/>
      <c r="V444" s="39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22"/>
      <c r="AT444" s="10" t="s">
        <v>4</v>
      </c>
      <c r="AU444" s="11" t="e">
        <v>#REF!</v>
      </c>
    </row>
    <row r="445" spans="1:49" s="2" customFormat="1" ht="17.25" customHeight="1" x14ac:dyDescent="0.25">
      <c r="A445" s="29"/>
      <c r="B445" s="201"/>
      <c r="C445" s="202"/>
      <c r="D445" s="63"/>
      <c r="E445" s="64"/>
      <c r="F445" s="64"/>
      <c r="G445" s="64"/>
      <c r="H445" s="64"/>
      <c r="I445" s="64"/>
      <c r="J445" s="64"/>
      <c r="K445" s="57"/>
      <c r="L445" s="88"/>
      <c r="M445" s="62"/>
      <c r="N445" s="57"/>
      <c r="O445" s="88"/>
      <c r="P445" s="62"/>
      <c r="Q445" s="57"/>
      <c r="R445" s="88"/>
      <c r="S445" s="62"/>
      <c r="T445" s="47"/>
      <c r="U445" s="39"/>
      <c r="V445" s="39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22"/>
      <c r="AT445" s="10" t="s">
        <v>4</v>
      </c>
      <c r="AU445" s="11" t="e">
        <v>#REF!</v>
      </c>
    </row>
    <row r="446" spans="1:49" s="2" customFormat="1" ht="17.25" customHeight="1" x14ac:dyDescent="0.25">
      <c r="A446" s="29"/>
      <c r="B446" s="201"/>
      <c r="C446" s="202"/>
      <c r="D446" s="63"/>
      <c r="E446" s="64"/>
      <c r="F446" s="64"/>
      <c r="G446" s="64"/>
      <c r="H446" s="64"/>
      <c r="I446" s="64"/>
      <c r="J446" s="64"/>
      <c r="K446" s="57"/>
      <c r="L446" s="88"/>
      <c r="M446" s="62"/>
      <c r="N446" s="57"/>
      <c r="O446" s="88"/>
      <c r="P446" s="62"/>
      <c r="Q446" s="57"/>
      <c r="R446" s="88"/>
      <c r="S446" s="62"/>
      <c r="T446" s="47"/>
      <c r="U446" s="39"/>
      <c r="V446" s="39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22"/>
      <c r="AT446" s="10" t="s">
        <v>4</v>
      </c>
      <c r="AU446" s="11" t="e">
        <v>#REF!</v>
      </c>
    </row>
    <row r="447" spans="1:49" s="2" customFormat="1" ht="17.25" customHeight="1" x14ac:dyDescent="0.2">
      <c r="A447" s="23"/>
      <c r="B447" s="201"/>
      <c r="C447" s="202"/>
      <c r="D447" s="63"/>
      <c r="E447" s="64"/>
      <c r="F447" s="74"/>
      <c r="G447" s="74"/>
      <c r="H447" s="64"/>
      <c r="I447" s="64"/>
      <c r="J447" s="64"/>
      <c r="K447" s="16"/>
      <c r="L447" s="16"/>
      <c r="M447" s="64"/>
      <c r="N447" s="16"/>
      <c r="O447" s="16"/>
      <c r="P447" s="64"/>
      <c r="Q447" s="16"/>
      <c r="R447" s="16"/>
      <c r="S447" s="64"/>
      <c r="T447" s="46"/>
      <c r="U447" s="39"/>
      <c r="V447" s="40"/>
      <c r="W447" s="16"/>
      <c r="X447" s="16"/>
      <c r="Y447" s="16"/>
      <c r="Z447" s="16"/>
      <c r="AA447" s="16"/>
      <c r="AB447" s="19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35"/>
      <c r="AT447" s="10"/>
      <c r="AU447" s="27"/>
    </row>
    <row r="448" spans="1:49" s="2" customFormat="1" ht="17.25" customHeight="1" thickBot="1" x14ac:dyDescent="0.25">
      <c r="A448" s="24"/>
      <c r="B448" s="216"/>
      <c r="C448" s="217"/>
      <c r="D448" s="83"/>
      <c r="E448" s="81"/>
      <c r="F448" s="81"/>
      <c r="G448" s="81"/>
      <c r="H448" s="81"/>
      <c r="I448" s="81"/>
      <c r="J448" s="81"/>
      <c r="K448" s="37"/>
      <c r="L448" s="93"/>
      <c r="M448" s="81"/>
      <c r="N448" s="37"/>
      <c r="O448" s="93"/>
      <c r="P448" s="81"/>
      <c r="Q448" s="37"/>
      <c r="R448" s="93"/>
      <c r="S448" s="81"/>
      <c r="T448" s="40"/>
      <c r="U448" s="40"/>
      <c r="V448" s="39"/>
      <c r="W448" s="16"/>
      <c r="X448" s="16"/>
      <c r="Y448" s="16"/>
      <c r="Z448" s="16"/>
      <c r="AA448" s="16"/>
      <c r="AB448" s="19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41"/>
      <c r="AT448" s="10"/>
      <c r="AU448" s="11"/>
    </row>
    <row r="449" spans="1:49" s="4" customFormat="1" ht="17.25" customHeight="1" x14ac:dyDescent="0.25">
      <c r="A449" s="23"/>
      <c r="B449" s="210" t="s">
        <v>94</v>
      </c>
      <c r="C449" s="203"/>
      <c r="D449" s="66"/>
      <c r="E449" s="66"/>
      <c r="F449" s="117"/>
      <c r="G449" s="117"/>
      <c r="H449" s="66"/>
      <c r="I449" s="66"/>
      <c r="J449" s="66">
        <f>-M449</f>
        <v>8703.18</v>
      </c>
      <c r="K449" s="58">
        <v>-1362</v>
      </c>
      <c r="L449" s="89">
        <v>6.39</v>
      </c>
      <c r="M449" s="73">
        <f>K449*L449</f>
        <v>-8703.18</v>
      </c>
      <c r="N449" s="58"/>
      <c r="O449" s="89"/>
      <c r="P449" s="73"/>
      <c r="Q449" s="58"/>
      <c r="R449" s="89"/>
      <c r="S449" s="73"/>
      <c r="T449" s="39"/>
      <c r="U449" s="39"/>
      <c r="V449" s="8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35"/>
      <c r="AS449" s="12" t="e">
        <f>#REF!</f>
        <v>#REF!</v>
      </c>
    </row>
    <row r="450" spans="1:49" s="4" customFormat="1" ht="17.25" customHeight="1" x14ac:dyDescent="0.25">
      <c r="A450" s="23"/>
      <c r="B450" s="201" t="s">
        <v>95</v>
      </c>
      <c r="C450" s="202"/>
      <c r="D450" s="64"/>
      <c r="E450" s="64"/>
      <c r="F450" s="117"/>
      <c r="G450" s="117"/>
      <c r="H450" s="64"/>
      <c r="I450" s="64"/>
      <c r="J450" s="64">
        <f>-P450</f>
        <v>8004.7</v>
      </c>
      <c r="K450" s="57"/>
      <c r="L450" s="88"/>
      <c r="M450" s="62"/>
      <c r="N450" s="57">
        <v>-1915</v>
      </c>
      <c r="O450" s="88">
        <v>4.18</v>
      </c>
      <c r="P450" s="62">
        <f>N450*O450</f>
        <v>-8004.7</v>
      </c>
      <c r="Q450" s="57"/>
      <c r="R450" s="88"/>
      <c r="S450" s="62"/>
      <c r="T450" s="39"/>
      <c r="U450" s="39"/>
      <c r="V450" s="8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35"/>
      <c r="AS450" s="12" t="e">
        <f>#REF!</f>
        <v>#REF!</v>
      </c>
    </row>
    <row r="451" spans="1:49" s="4" customFormat="1" ht="17.25" customHeight="1" x14ac:dyDescent="0.25">
      <c r="A451" s="23"/>
      <c r="B451" s="201" t="s">
        <v>97</v>
      </c>
      <c r="C451" s="203"/>
      <c r="D451" s="64"/>
      <c r="E451" s="64"/>
      <c r="F451" s="64"/>
      <c r="G451" s="64"/>
      <c r="H451" s="64">
        <f>-J451-I451</f>
        <v>5898.2300000000014</v>
      </c>
      <c r="I451" s="64">
        <v>10809.65</v>
      </c>
      <c r="J451" s="64">
        <f>-SUM(J449:J450)</f>
        <v>-16707.88</v>
      </c>
      <c r="K451" s="57"/>
      <c r="L451" s="88"/>
      <c r="M451" s="62"/>
      <c r="N451" s="57"/>
      <c r="O451" s="88"/>
      <c r="P451" s="62"/>
      <c r="Q451" s="57"/>
      <c r="R451" s="88"/>
      <c r="S451" s="62"/>
      <c r="T451" s="39"/>
      <c r="U451" s="39"/>
      <c r="V451" s="39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22"/>
      <c r="AR451" s="43">
        <f>A430</f>
        <v>0</v>
      </c>
      <c r="AS451" s="12" t="e">
        <f>#REF!</f>
        <v>#REF!</v>
      </c>
      <c r="AW451" s="2"/>
    </row>
    <row r="452" spans="1:49" s="4" customFormat="1" ht="17.25" customHeight="1" x14ac:dyDescent="0.25">
      <c r="A452" s="23"/>
      <c r="B452" s="201" t="s">
        <v>93</v>
      </c>
      <c r="C452" s="202"/>
      <c r="D452" s="64"/>
      <c r="E452" s="64"/>
      <c r="F452" s="64"/>
      <c r="G452" s="64"/>
      <c r="H452" s="64"/>
      <c r="I452" s="64"/>
      <c r="J452" s="64"/>
      <c r="K452" s="57">
        <v>-64</v>
      </c>
      <c r="L452" s="88"/>
      <c r="M452" s="62">
        <f>(K455*L437)-M437-M449</f>
        <v>842.39398541919945</v>
      </c>
      <c r="N452" s="57">
        <v>-28</v>
      </c>
      <c r="O452" s="88"/>
      <c r="P452" s="62">
        <f>(N455*(P437)/(N437))-P437-P450</f>
        <v>241773.66623960578</v>
      </c>
      <c r="Q452" s="57"/>
      <c r="R452" s="88"/>
      <c r="S452" s="62"/>
      <c r="T452" s="39"/>
      <c r="U452" s="39"/>
      <c r="V452" s="39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22"/>
      <c r="AR452" s="43">
        <f>A437</f>
        <v>0</v>
      </c>
      <c r="AS452" s="12" t="e">
        <f>#REF!</f>
        <v>#REF!</v>
      </c>
      <c r="AW452" s="2"/>
    </row>
    <row r="453" spans="1:49" s="2" customFormat="1" ht="17.25" customHeight="1" x14ac:dyDescent="0.2">
      <c r="A453" s="24"/>
      <c r="B453" s="201"/>
      <c r="C453" s="204"/>
      <c r="D453" s="63"/>
      <c r="E453" s="64"/>
      <c r="F453" s="64"/>
      <c r="G453" s="64"/>
      <c r="H453" s="64"/>
      <c r="I453" s="64"/>
      <c r="J453" s="64"/>
      <c r="K453" s="16"/>
      <c r="L453" s="16"/>
      <c r="M453" s="64"/>
      <c r="N453" s="16"/>
      <c r="O453" s="16"/>
      <c r="P453" s="64"/>
      <c r="Q453" s="16"/>
      <c r="R453" s="16"/>
      <c r="S453" s="64"/>
      <c r="T453" s="46"/>
      <c r="U453" s="46"/>
      <c r="V453" s="39"/>
      <c r="W453" s="16"/>
      <c r="X453" s="16"/>
      <c r="Y453" s="16"/>
      <c r="Z453" s="16"/>
      <c r="AA453" s="16"/>
      <c r="AB453" s="19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43">
        <f>A438</f>
        <v>46142</v>
      </c>
      <c r="AT453" s="10"/>
      <c r="AU453" s="11"/>
    </row>
    <row r="454" spans="1:49" s="2" customFormat="1" ht="17.25" customHeight="1" thickBot="1" x14ac:dyDescent="0.3">
      <c r="A454" s="56"/>
      <c r="B454" s="101" t="s">
        <v>102</v>
      </c>
      <c r="C454" s="102">
        <f>D455+E455+F455+G455+H455+I455+J455+M455+P455</f>
        <v>72550.669540000032</v>
      </c>
      <c r="D454" s="84"/>
      <c r="E454" s="85"/>
      <c r="F454" s="85"/>
      <c r="G454" s="85"/>
      <c r="H454" s="85"/>
      <c r="I454" s="85"/>
      <c r="J454" s="85"/>
      <c r="K454" s="28"/>
      <c r="L454" s="28"/>
      <c r="M454" s="85"/>
      <c r="N454" s="28"/>
      <c r="O454" s="28"/>
      <c r="P454" s="85"/>
      <c r="Q454" s="28"/>
      <c r="R454" s="28"/>
      <c r="S454" s="85"/>
      <c r="T454" s="48"/>
      <c r="U454" s="48"/>
      <c r="V454" s="51"/>
      <c r="W454" s="28"/>
      <c r="X454" s="28"/>
      <c r="Y454" s="28"/>
      <c r="Z454" s="28"/>
      <c r="AA454" s="28"/>
      <c r="AB454" s="36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42">
        <f>SUM($T437:AQ454)</f>
        <v>-438433.13890000002</v>
      </c>
      <c r="AT454" s="10"/>
      <c r="AU454" s="11"/>
      <c r="AV454" s="2" t="s">
        <v>5</v>
      </c>
    </row>
    <row r="455" spans="1:49" s="2" customFormat="1" ht="17.25" customHeight="1" thickTop="1" thickBot="1" x14ac:dyDescent="0.3">
      <c r="A455" s="103"/>
      <c r="B455" s="104" t="s">
        <v>103</v>
      </c>
      <c r="C455" s="105">
        <f>AR455</f>
        <v>-365882.46935999999</v>
      </c>
      <c r="D455" s="106">
        <f t="shared" ref="D455:K455" si="58">SUM(D437:D454)</f>
        <v>202045.29703999998</v>
      </c>
      <c r="E455" s="107">
        <f t="shared" si="58"/>
        <v>-64128.17</v>
      </c>
      <c r="F455" s="107">
        <f t="shared" si="58"/>
        <v>-28394.35</v>
      </c>
      <c r="G455" s="107">
        <f t="shared" si="58"/>
        <v>0</v>
      </c>
      <c r="H455" s="107">
        <f t="shared" si="58"/>
        <v>36780.602500000045</v>
      </c>
      <c r="I455" s="107">
        <f t="shared" si="58"/>
        <v>31623.949999999997</v>
      </c>
      <c r="J455" s="107">
        <f t="shared" si="58"/>
        <v>4931.6399999999994</v>
      </c>
      <c r="K455" s="108">
        <f t="shared" si="58"/>
        <v>8450</v>
      </c>
      <c r="L455" s="109">
        <f>M455/K455</f>
        <v>5.5124721893491122</v>
      </c>
      <c r="M455" s="107">
        <f>ROUND(SUM(M437:M454),2)</f>
        <v>46580.39</v>
      </c>
      <c r="N455" s="108">
        <f>SUM(N437:N454)</f>
        <v>1304</v>
      </c>
      <c r="O455" s="109">
        <f>P455/N455</f>
        <v>-120.31341257668711</v>
      </c>
      <c r="P455" s="107">
        <f>ROUND(SUM(P437:P454),2)</f>
        <v>-156888.69</v>
      </c>
      <c r="Q455" s="108">
        <f>SUM(Q437:Q454)</f>
        <v>2313</v>
      </c>
      <c r="R455" s="109">
        <f>S455/Q455</f>
        <v>6.0994855166450499</v>
      </c>
      <c r="S455" s="107">
        <f>ROUND(SUM(S437:S454),2)</f>
        <v>14108.11</v>
      </c>
      <c r="T455" s="110">
        <f t="shared" ref="T455:AQ455" si="59">SUM(T437:T454)</f>
        <v>-491877.12890000001</v>
      </c>
      <c r="U455" s="107">
        <f t="shared" si="59"/>
        <v>50229.299999999996</v>
      </c>
      <c r="V455" s="107">
        <f t="shared" si="59"/>
        <v>0</v>
      </c>
      <c r="W455" s="107">
        <f t="shared" si="59"/>
        <v>3214.6899999999996</v>
      </c>
      <c r="X455" s="107">
        <f t="shared" si="59"/>
        <v>0</v>
      </c>
      <c r="Y455" s="107">
        <f t="shared" si="59"/>
        <v>0</v>
      </c>
      <c r="Z455" s="107">
        <f t="shared" si="59"/>
        <v>0</v>
      </c>
      <c r="AA455" s="107">
        <f t="shared" si="59"/>
        <v>0</v>
      </c>
      <c r="AB455" s="107">
        <f t="shared" si="59"/>
        <v>0</v>
      </c>
      <c r="AC455" s="107">
        <f t="shared" si="59"/>
        <v>0</v>
      </c>
      <c r="AD455" s="107">
        <f t="shared" si="59"/>
        <v>0</v>
      </c>
      <c r="AE455" s="107">
        <f t="shared" si="59"/>
        <v>0</v>
      </c>
      <c r="AF455" s="107">
        <f t="shared" si="59"/>
        <v>0</v>
      </c>
      <c r="AG455" s="107">
        <f t="shared" si="59"/>
        <v>0</v>
      </c>
      <c r="AH455" s="107">
        <f t="shared" si="59"/>
        <v>0</v>
      </c>
      <c r="AI455" s="107">
        <f t="shared" si="59"/>
        <v>0</v>
      </c>
      <c r="AJ455" s="107">
        <f t="shared" si="59"/>
        <v>0</v>
      </c>
      <c r="AK455" s="107">
        <f t="shared" si="59"/>
        <v>0</v>
      </c>
      <c r="AL455" s="107">
        <f t="shared" si="59"/>
        <v>0</v>
      </c>
      <c r="AM455" s="107">
        <f t="shared" si="59"/>
        <v>0</v>
      </c>
      <c r="AN455" s="107">
        <f t="shared" si="59"/>
        <v>0</v>
      </c>
      <c r="AO455" s="107">
        <f t="shared" si="59"/>
        <v>0</v>
      </c>
      <c r="AP455" s="107">
        <f t="shared" si="59"/>
        <v>0</v>
      </c>
      <c r="AQ455" s="107">
        <f t="shared" si="59"/>
        <v>0</v>
      </c>
      <c r="AR455" s="111">
        <f>D455+E455+F455+G455+H455+I455+J455+M455+P455+SUM(T455:AQ455)</f>
        <v>-365882.46935999999</v>
      </c>
      <c r="AS455" s="4"/>
      <c r="AT455" s="5"/>
      <c r="AU455" s="5"/>
      <c r="AV455" s="2" t="s">
        <v>6</v>
      </c>
    </row>
    <row r="456" spans="1:49" s="2" customFormat="1" ht="17.25" customHeight="1" thickTop="1" x14ac:dyDescent="0.25">
      <c r="A456" s="23">
        <f>A438+1</f>
        <v>46143</v>
      </c>
      <c r="B456" s="210"/>
      <c r="C456" s="203"/>
      <c r="D456" s="63"/>
      <c r="E456" s="66"/>
      <c r="F456" s="66"/>
      <c r="G456" s="66"/>
      <c r="H456" s="66"/>
      <c r="I456" s="66"/>
      <c r="J456" s="66"/>
      <c r="K456" s="18"/>
      <c r="L456" s="18"/>
      <c r="M456" s="66"/>
      <c r="N456" s="18"/>
      <c r="O456" s="18"/>
      <c r="P456" s="66"/>
      <c r="Q456" s="18"/>
      <c r="R456" s="18"/>
      <c r="S456" s="66"/>
      <c r="T456" s="46"/>
      <c r="U456" s="46"/>
      <c r="V456" s="45"/>
      <c r="W456" s="18"/>
      <c r="X456" s="18"/>
      <c r="Y456" s="18"/>
      <c r="Z456" s="18"/>
      <c r="AA456" s="18"/>
      <c r="AB456" s="14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31"/>
      <c r="AT456" s="10"/>
      <c r="AU456" s="27"/>
    </row>
    <row r="457" spans="1:49" s="4" customFormat="1" ht="17.25" customHeight="1" x14ac:dyDescent="0.25">
      <c r="A457" s="23"/>
      <c r="B457" s="201"/>
      <c r="C457" s="202"/>
      <c r="D457" s="63"/>
      <c r="E457" s="64"/>
      <c r="F457" s="64"/>
      <c r="G457" s="64"/>
      <c r="H457" s="64"/>
      <c r="I457" s="117"/>
      <c r="J457" s="64"/>
      <c r="K457" s="16"/>
      <c r="L457" s="92"/>
      <c r="M457" s="64"/>
      <c r="N457" s="16"/>
      <c r="O457" s="92"/>
      <c r="P457" s="64"/>
      <c r="Q457" s="16"/>
      <c r="R457" s="92"/>
      <c r="S457" s="64"/>
      <c r="T457" s="40"/>
      <c r="U457" s="46"/>
      <c r="V457" s="39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22"/>
      <c r="AS457" s="30"/>
    </row>
    <row r="458" spans="1:49" s="2" customFormat="1" ht="17.25" customHeight="1" x14ac:dyDescent="0.2">
      <c r="A458" s="23"/>
      <c r="B458" s="201"/>
      <c r="C458" s="203"/>
      <c r="D458" s="63"/>
      <c r="E458" s="64"/>
      <c r="F458" s="64"/>
      <c r="G458" s="64"/>
      <c r="H458" s="64"/>
      <c r="I458" s="64"/>
      <c r="J458" s="64"/>
      <c r="K458" s="16"/>
      <c r="L458" s="16"/>
      <c r="M458" s="64"/>
      <c r="N458" s="16"/>
      <c r="O458" s="16"/>
      <c r="P458" s="64"/>
      <c r="Q458" s="16"/>
      <c r="R458" s="16"/>
      <c r="S458" s="64"/>
      <c r="T458" s="46"/>
      <c r="U458" s="39"/>
      <c r="V458" s="40"/>
      <c r="W458" s="16"/>
      <c r="X458" s="16"/>
      <c r="Y458" s="16"/>
      <c r="Z458" s="16"/>
      <c r="AA458" s="16"/>
      <c r="AB458" s="19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35"/>
      <c r="AT458" s="10"/>
      <c r="AU458" s="27"/>
    </row>
    <row r="459" spans="1:49" s="2" customFormat="1" ht="17.25" customHeight="1" x14ac:dyDescent="0.2">
      <c r="A459" s="23"/>
      <c r="B459" s="208"/>
      <c r="C459" s="209"/>
      <c r="D459" s="63"/>
      <c r="E459" s="64"/>
      <c r="F459" s="74"/>
      <c r="G459" s="74"/>
      <c r="H459" s="64"/>
      <c r="I459" s="64"/>
      <c r="J459" s="64"/>
      <c r="K459" s="16"/>
      <c r="L459" s="16"/>
      <c r="M459" s="64"/>
      <c r="N459" s="16"/>
      <c r="O459" s="16"/>
      <c r="P459" s="64"/>
      <c r="Q459" s="16"/>
      <c r="R459" s="16"/>
      <c r="S459" s="64"/>
      <c r="T459" s="46"/>
      <c r="U459" s="39"/>
      <c r="V459" s="40"/>
      <c r="W459" s="16"/>
      <c r="X459" s="16"/>
      <c r="Y459" s="16"/>
      <c r="Z459" s="16"/>
      <c r="AA459" s="16"/>
      <c r="AB459" s="19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35"/>
      <c r="AT459" s="10"/>
      <c r="AU459" s="27"/>
    </row>
    <row r="460" spans="1:49" s="2" customFormat="1" ht="17.25" customHeight="1" x14ac:dyDescent="0.2">
      <c r="A460" s="23"/>
      <c r="B460" s="201"/>
      <c r="C460" s="202"/>
      <c r="D460" s="63"/>
      <c r="E460" s="64"/>
      <c r="F460" s="74"/>
      <c r="G460" s="74"/>
      <c r="H460" s="64"/>
      <c r="I460" s="64"/>
      <c r="J460" s="64"/>
      <c r="K460" s="16"/>
      <c r="L460" s="16"/>
      <c r="M460" s="64"/>
      <c r="N460" s="16"/>
      <c r="O460" s="16"/>
      <c r="P460" s="64"/>
      <c r="Q460" s="16"/>
      <c r="R460" s="16"/>
      <c r="S460" s="64"/>
      <c r="T460" s="46"/>
      <c r="U460" s="39"/>
      <c r="V460" s="40"/>
      <c r="W460" s="16"/>
      <c r="X460" s="16"/>
      <c r="Y460" s="16"/>
      <c r="Z460" s="16"/>
      <c r="AA460" s="16"/>
      <c r="AB460" s="19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35"/>
      <c r="AT460" s="10"/>
      <c r="AU460" s="27"/>
    </row>
    <row r="461" spans="1:49" s="2" customFormat="1" ht="17.25" customHeight="1" x14ac:dyDescent="0.2">
      <c r="A461" s="23"/>
      <c r="B461" s="201"/>
      <c r="C461" s="202"/>
      <c r="D461" s="63"/>
      <c r="E461" s="64"/>
      <c r="F461" s="74"/>
      <c r="G461" s="74"/>
      <c r="H461" s="64"/>
      <c r="I461" s="64"/>
      <c r="J461" s="64"/>
      <c r="K461" s="16"/>
      <c r="L461" s="16"/>
      <c r="M461" s="64"/>
      <c r="N461" s="16"/>
      <c r="O461" s="16"/>
      <c r="P461" s="64"/>
      <c r="Q461" s="16"/>
      <c r="R461" s="16"/>
      <c r="S461" s="64"/>
      <c r="T461" s="46"/>
      <c r="U461" s="39"/>
      <c r="V461" s="40"/>
      <c r="W461" s="16"/>
      <c r="X461" s="16"/>
      <c r="Y461" s="16"/>
      <c r="Z461" s="16"/>
      <c r="AA461" s="16"/>
      <c r="AB461" s="19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35"/>
      <c r="AT461" s="10"/>
      <c r="AU461" s="27"/>
    </row>
    <row r="462" spans="1:49" s="2" customFormat="1" ht="17.25" customHeight="1" x14ac:dyDescent="0.25">
      <c r="A462" s="29"/>
      <c r="B462" s="201"/>
      <c r="C462" s="202"/>
      <c r="D462" s="63"/>
      <c r="E462" s="64"/>
      <c r="F462" s="64"/>
      <c r="G462" s="64"/>
      <c r="H462" s="64"/>
      <c r="I462" s="64"/>
      <c r="J462" s="64"/>
      <c r="K462" s="57"/>
      <c r="L462" s="88"/>
      <c r="M462" s="62"/>
      <c r="N462" s="57"/>
      <c r="O462" s="88"/>
      <c r="P462" s="62"/>
      <c r="Q462" s="57"/>
      <c r="R462" s="88"/>
      <c r="S462" s="62"/>
      <c r="T462" s="47"/>
      <c r="U462" s="39"/>
      <c r="V462" s="39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22"/>
      <c r="AT462" s="10" t="s">
        <v>4</v>
      </c>
      <c r="AU462" s="11" t="e">
        <v>#REF!</v>
      </c>
    </row>
    <row r="463" spans="1:49" s="2" customFormat="1" ht="17.25" customHeight="1" x14ac:dyDescent="0.25">
      <c r="A463" s="29"/>
      <c r="B463" s="201"/>
      <c r="C463" s="202"/>
      <c r="D463" s="63"/>
      <c r="E463" s="64"/>
      <c r="F463" s="64"/>
      <c r="G463" s="64"/>
      <c r="H463" s="64"/>
      <c r="I463" s="64"/>
      <c r="J463" s="64"/>
      <c r="K463" s="57"/>
      <c r="L463" s="88"/>
      <c r="M463" s="62"/>
      <c r="N463" s="57"/>
      <c r="O463" s="88"/>
      <c r="P463" s="62"/>
      <c r="Q463" s="57"/>
      <c r="R463" s="88"/>
      <c r="S463" s="62"/>
      <c r="T463" s="47"/>
      <c r="U463" s="39"/>
      <c r="V463" s="39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22"/>
      <c r="AT463" s="10" t="s">
        <v>4</v>
      </c>
      <c r="AU463" s="11" t="e">
        <v>#REF!</v>
      </c>
    </row>
    <row r="464" spans="1:49" s="2" customFormat="1" ht="17.25" customHeight="1" x14ac:dyDescent="0.2">
      <c r="A464" s="23"/>
      <c r="B464" s="201"/>
      <c r="C464" s="204"/>
      <c r="D464" s="63"/>
      <c r="E464" s="64"/>
      <c r="F464" s="74"/>
      <c r="G464" s="74"/>
      <c r="H464" s="64"/>
      <c r="I464" s="64"/>
      <c r="J464" s="64"/>
      <c r="K464" s="16"/>
      <c r="L464" s="16"/>
      <c r="M464" s="64"/>
      <c r="N464" s="16"/>
      <c r="O464" s="16"/>
      <c r="P464" s="64"/>
      <c r="Q464" s="16"/>
      <c r="R464" s="16"/>
      <c r="S464" s="64"/>
      <c r="T464" s="46"/>
      <c r="U464" s="39"/>
      <c r="V464" s="40"/>
      <c r="W464" s="16"/>
      <c r="X464" s="16"/>
      <c r="Y464" s="16"/>
      <c r="Z464" s="16"/>
      <c r="AA464" s="16"/>
      <c r="AB464" s="19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35"/>
      <c r="AT464" s="10"/>
      <c r="AU464" s="27"/>
    </row>
    <row r="465" spans="1:49" s="2" customFormat="1" ht="17.25" customHeight="1" thickBot="1" x14ac:dyDescent="0.25">
      <c r="A465" s="24"/>
      <c r="B465" s="216"/>
      <c r="C465" s="242"/>
      <c r="D465" s="83"/>
      <c r="E465" s="81"/>
      <c r="F465" s="81"/>
      <c r="G465" s="81"/>
      <c r="H465" s="81"/>
      <c r="I465" s="81"/>
      <c r="J465" s="81"/>
      <c r="K465" s="37"/>
      <c r="L465" s="93"/>
      <c r="M465" s="81"/>
      <c r="N465" s="37"/>
      <c r="O465" s="93"/>
      <c r="P465" s="81"/>
      <c r="Q465" s="37"/>
      <c r="R465" s="93"/>
      <c r="S465" s="81"/>
      <c r="T465" s="40"/>
      <c r="U465" s="40"/>
      <c r="V465" s="39"/>
      <c r="W465" s="16"/>
      <c r="X465" s="16"/>
      <c r="Y465" s="16"/>
      <c r="Z465" s="16"/>
      <c r="AA465" s="16"/>
      <c r="AB465" s="19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41"/>
      <c r="AT465" s="10"/>
      <c r="AU465" s="11"/>
    </row>
    <row r="466" spans="1:49" s="4" customFormat="1" ht="17.25" customHeight="1" x14ac:dyDescent="0.25">
      <c r="A466" s="23"/>
      <c r="B466" s="210"/>
      <c r="C466" s="203"/>
      <c r="D466" s="66"/>
      <c r="E466" s="66"/>
      <c r="F466" s="117"/>
      <c r="G466" s="117"/>
      <c r="H466" s="66"/>
      <c r="I466" s="66"/>
      <c r="J466" s="66"/>
      <c r="K466" s="58"/>
      <c r="L466" s="89"/>
      <c r="M466" s="73"/>
      <c r="N466" s="58"/>
      <c r="O466" s="89"/>
      <c r="P466" s="73"/>
      <c r="Q466" s="58"/>
      <c r="R466" s="89"/>
      <c r="S466" s="73"/>
      <c r="T466" s="39"/>
      <c r="U466" s="39"/>
      <c r="V466" s="8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35"/>
      <c r="AS466" s="12" t="e">
        <f>#REF!</f>
        <v>#REF!</v>
      </c>
    </row>
    <row r="467" spans="1:49" s="4" customFormat="1" ht="17.25" customHeight="1" x14ac:dyDescent="0.25">
      <c r="A467" s="23"/>
      <c r="B467" s="201"/>
      <c r="C467" s="202"/>
      <c r="D467" s="64"/>
      <c r="E467" s="64"/>
      <c r="F467" s="117"/>
      <c r="G467" s="117"/>
      <c r="H467" s="64"/>
      <c r="I467" s="64"/>
      <c r="J467" s="64"/>
      <c r="K467" s="57"/>
      <c r="L467" s="88"/>
      <c r="M467" s="62"/>
      <c r="N467" s="57"/>
      <c r="O467" s="88"/>
      <c r="P467" s="62"/>
      <c r="Q467" s="57"/>
      <c r="R467" s="88"/>
      <c r="S467" s="62"/>
      <c r="T467" s="39"/>
      <c r="U467" s="39"/>
      <c r="V467" s="8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35"/>
      <c r="AS467" s="12" t="e">
        <f>#REF!</f>
        <v>#REF!</v>
      </c>
    </row>
    <row r="468" spans="1:49" s="4" customFormat="1" ht="17.25" customHeight="1" x14ac:dyDescent="0.25">
      <c r="A468" s="23"/>
      <c r="B468" s="201"/>
      <c r="C468" s="203"/>
      <c r="D468" s="64"/>
      <c r="E468" s="64"/>
      <c r="F468" s="64"/>
      <c r="G468" s="64"/>
      <c r="H468" s="64"/>
      <c r="I468" s="64"/>
      <c r="J468" s="64"/>
      <c r="K468" s="57"/>
      <c r="L468" s="88"/>
      <c r="M468" s="62"/>
      <c r="N468" s="57"/>
      <c r="O468" s="88"/>
      <c r="P468" s="62"/>
      <c r="Q468" s="57"/>
      <c r="R468" s="88"/>
      <c r="S468" s="62"/>
      <c r="T468" s="39"/>
      <c r="U468" s="39"/>
      <c r="V468" s="39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22"/>
      <c r="AR468" s="43">
        <f>A447</f>
        <v>0</v>
      </c>
      <c r="AS468" s="12" t="e">
        <f>#REF!</f>
        <v>#REF!</v>
      </c>
      <c r="AW468" s="2"/>
    </row>
    <row r="469" spans="1:49" s="4" customFormat="1" ht="17.25" customHeight="1" x14ac:dyDescent="0.25">
      <c r="A469" s="23"/>
      <c r="B469" s="201"/>
      <c r="C469" s="202"/>
      <c r="D469" s="64"/>
      <c r="E469" s="64"/>
      <c r="F469" s="64"/>
      <c r="G469" s="64"/>
      <c r="H469" s="64"/>
      <c r="I469" s="64"/>
      <c r="J469" s="64"/>
      <c r="K469" s="57"/>
      <c r="L469" s="88"/>
      <c r="M469" s="62"/>
      <c r="N469" s="57"/>
      <c r="O469" s="88"/>
      <c r="P469" s="62"/>
      <c r="Q469" s="57"/>
      <c r="R469" s="88"/>
      <c r="S469" s="62"/>
      <c r="T469" s="39"/>
      <c r="U469" s="39"/>
      <c r="V469" s="39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22"/>
      <c r="AR469" s="43">
        <f>A454</f>
        <v>0</v>
      </c>
      <c r="AS469" s="12" t="e">
        <f>#REF!</f>
        <v>#REF!</v>
      </c>
      <c r="AW469" s="2"/>
    </row>
    <row r="470" spans="1:49" s="2" customFormat="1" ht="17.25" customHeight="1" x14ac:dyDescent="0.2">
      <c r="A470" s="24"/>
      <c r="B470" s="201"/>
      <c r="C470" s="204"/>
      <c r="D470" s="63"/>
      <c r="E470" s="64"/>
      <c r="F470" s="64"/>
      <c r="G470" s="64"/>
      <c r="H470" s="64"/>
      <c r="I470" s="64"/>
      <c r="J470" s="64"/>
      <c r="K470" s="16"/>
      <c r="L470" s="16"/>
      <c r="M470" s="64"/>
      <c r="N470" s="16"/>
      <c r="O470" s="16"/>
      <c r="P470" s="64"/>
      <c r="Q470" s="16"/>
      <c r="R470" s="16"/>
      <c r="S470" s="64"/>
      <c r="T470" s="46"/>
      <c r="U470" s="46"/>
      <c r="V470" s="39"/>
      <c r="W470" s="16"/>
      <c r="X470" s="16"/>
      <c r="Y470" s="16"/>
      <c r="Z470" s="16"/>
      <c r="AA470" s="16"/>
      <c r="AB470" s="19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43">
        <f>A456</f>
        <v>46143</v>
      </c>
      <c r="AT470" s="10"/>
      <c r="AU470" s="11"/>
    </row>
    <row r="471" spans="1:49" s="2" customFormat="1" ht="17.25" customHeight="1" thickBot="1" x14ac:dyDescent="0.3">
      <c r="A471" s="56"/>
      <c r="B471" s="101" t="s">
        <v>102</v>
      </c>
      <c r="C471" s="102">
        <f>D472+E472+F472+G472+H472+I472+J472+M472+P472</f>
        <v>72550.669540000032</v>
      </c>
      <c r="D471" s="84"/>
      <c r="E471" s="85"/>
      <c r="F471" s="85"/>
      <c r="G471" s="85"/>
      <c r="H471" s="85"/>
      <c r="I471" s="85"/>
      <c r="J471" s="85"/>
      <c r="K471" s="28"/>
      <c r="L471" s="28"/>
      <c r="M471" s="85"/>
      <c r="N471" s="28"/>
      <c r="O471" s="28"/>
      <c r="P471" s="85"/>
      <c r="Q471" s="28"/>
      <c r="R471" s="28"/>
      <c r="S471" s="85"/>
      <c r="T471" s="48"/>
      <c r="U471" s="48"/>
      <c r="V471" s="51"/>
      <c r="W471" s="28"/>
      <c r="X471" s="28"/>
      <c r="Y471" s="28"/>
      <c r="Z471" s="28"/>
      <c r="AA471" s="28"/>
      <c r="AB471" s="36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42">
        <f>SUM($T455:AQ471)</f>
        <v>-438433.13890000002</v>
      </c>
      <c r="AT471" s="10"/>
      <c r="AU471" s="11"/>
      <c r="AV471" s="2" t="s">
        <v>5</v>
      </c>
    </row>
    <row r="472" spans="1:49" s="2" customFormat="1" ht="17.25" customHeight="1" thickTop="1" thickBot="1" x14ac:dyDescent="0.3">
      <c r="A472" s="103"/>
      <c r="B472" s="104" t="s">
        <v>103</v>
      </c>
      <c r="C472" s="105">
        <f>AR472</f>
        <v>-351774.35936</v>
      </c>
      <c r="D472" s="106">
        <f t="shared" ref="D472:K472" si="60">SUM(D455:D471)</f>
        <v>202045.29703999998</v>
      </c>
      <c r="E472" s="106">
        <f t="shared" si="60"/>
        <v>-64128.17</v>
      </c>
      <c r="F472" s="106">
        <f t="shared" si="60"/>
        <v>-28394.35</v>
      </c>
      <c r="G472" s="106">
        <f t="shared" si="60"/>
        <v>0</v>
      </c>
      <c r="H472" s="106">
        <f t="shared" si="60"/>
        <v>36780.602500000045</v>
      </c>
      <c r="I472" s="106">
        <f t="shared" si="60"/>
        <v>31623.949999999997</v>
      </c>
      <c r="J472" s="106">
        <f t="shared" si="60"/>
        <v>4931.6399999999994</v>
      </c>
      <c r="K472" s="108">
        <f t="shared" si="60"/>
        <v>8450</v>
      </c>
      <c r="L472" s="109">
        <f>M472/K472</f>
        <v>5.5124721893491122</v>
      </c>
      <c r="M472" s="107">
        <f>ROUND(SUM(M455:M471),2)</f>
        <v>46580.39</v>
      </c>
      <c r="N472" s="108">
        <f>SUM(N455:N471)</f>
        <v>1304</v>
      </c>
      <c r="O472" s="109">
        <f>P472/N472</f>
        <v>-120.31341257668711</v>
      </c>
      <c r="P472" s="107">
        <f>ROUND(SUM(P455:P471),2)</f>
        <v>-156888.69</v>
      </c>
      <c r="Q472" s="108">
        <f>SUM(Q455:Q471)</f>
        <v>2313</v>
      </c>
      <c r="R472" s="109">
        <f>S472/Q472</f>
        <v>6.0994855166450499</v>
      </c>
      <c r="S472" s="107">
        <f>ROUND(SUM(S455:S471),2)</f>
        <v>14108.11</v>
      </c>
      <c r="T472" s="110">
        <f t="shared" ref="T472:Y472" si="61">SUM(T455:T471)</f>
        <v>-491877.12890000001</v>
      </c>
      <c r="U472" s="110">
        <f t="shared" si="61"/>
        <v>50229.299999999996</v>
      </c>
      <c r="V472" s="110">
        <f t="shared" si="61"/>
        <v>0</v>
      </c>
      <c r="W472" s="110">
        <f t="shared" si="61"/>
        <v>3214.6899999999996</v>
      </c>
      <c r="X472" s="110">
        <f t="shared" si="61"/>
        <v>0</v>
      </c>
      <c r="Y472" s="110">
        <f t="shared" si="61"/>
        <v>0</v>
      </c>
      <c r="Z472" s="107">
        <f t="shared" ref="Z472:AQ472" si="62">SUM(Z374:Z471)</f>
        <v>0</v>
      </c>
      <c r="AA472" s="107">
        <f t="shared" si="62"/>
        <v>0</v>
      </c>
      <c r="AB472" s="107">
        <f t="shared" si="62"/>
        <v>0</v>
      </c>
      <c r="AC472" s="107">
        <f t="shared" si="62"/>
        <v>0</v>
      </c>
      <c r="AD472" s="107">
        <f t="shared" si="62"/>
        <v>0</v>
      </c>
      <c r="AE472" s="107">
        <f t="shared" si="62"/>
        <v>0</v>
      </c>
      <c r="AF472" s="107">
        <f t="shared" si="62"/>
        <v>0</v>
      </c>
      <c r="AG472" s="107">
        <f t="shared" si="62"/>
        <v>0</v>
      </c>
      <c r="AH472" s="107">
        <f t="shared" si="62"/>
        <v>0</v>
      </c>
      <c r="AI472" s="107">
        <f t="shared" si="62"/>
        <v>0</v>
      </c>
      <c r="AJ472" s="107">
        <f t="shared" si="62"/>
        <v>0</v>
      </c>
      <c r="AK472" s="107">
        <f t="shared" si="62"/>
        <v>0</v>
      </c>
      <c r="AL472" s="107">
        <f t="shared" si="62"/>
        <v>0</v>
      </c>
      <c r="AM472" s="107">
        <f t="shared" si="62"/>
        <v>0</v>
      </c>
      <c r="AN472" s="107">
        <f t="shared" si="62"/>
        <v>0</v>
      </c>
      <c r="AO472" s="107">
        <f t="shared" si="62"/>
        <v>0</v>
      </c>
      <c r="AP472" s="107">
        <f t="shared" si="62"/>
        <v>0</v>
      </c>
      <c r="AQ472" s="107">
        <f t="shared" si="62"/>
        <v>0</v>
      </c>
      <c r="AR472" s="111">
        <f>D472+E472+F472+G472+H472+I472+J472+M472+P472+S472+SUM(T472:AQ472)</f>
        <v>-351774.35936</v>
      </c>
      <c r="AS472" s="4"/>
      <c r="AT472" s="5"/>
      <c r="AU472" s="5"/>
      <c r="AV472" s="2" t="s">
        <v>6</v>
      </c>
    </row>
    <row r="473" spans="1:49" ht="17.25" customHeight="1" thickTop="1" x14ac:dyDescent="0.25">
      <c r="A473" s="127"/>
      <c r="B473" s="125"/>
      <c r="C473" s="125"/>
      <c r="D473" s="128"/>
      <c r="E473" s="128"/>
      <c r="F473" s="128"/>
      <c r="G473" s="128"/>
      <c r="H473" s="128"/>
      <c r="I473" s="128"/>
      <c r="J473" s="128"/>
    </row>
    <row r="474" spans="1:49" ht="17.25" customHeight="1" x14ac:dyDescent="0.25">
      <c r="A474" s="127"/>
      <c r="B474" s="131" t="s">
        <v>150</v>
      </c>
      <c r="C474" s="126">
        <f>N480</f>
        <v>-99112.090759690225</v>
      </c>
      <c r="D474" s="128"/>
      <c r="E474" s="218" t="s">
        <v>243</v>
      </c>
      <c r="F474" s="218"/>
      <c r="G474" s="218"/>
      <c r="H474" s="213">
        <f>E68</f>
        <v>-3214.6899999999996</v>
      </c>
      <c r="I474" s="213"/>
      <c r="J474" s="129"/>
      <c r="K474" s="219" t="s">
        <v>87</v>
      </c>
      <c r="L474" s="220"/>
      <c r="M474" s="221"/>
      <c r="N474" s="223" t="s">
        <v>88</v>
      </c>
      <c r="O474" s="224"/>
      <c r="P474" s="225"/>
      <c r="Q474" s="223" t="s">
        <v>478</v>
      </c>
      <c r="R474" s="224"/>
      <c r="S474" s="225"/>
      <c r="U474" s="121"/>
    </row>
    <row r="475" spans="1:49" ht="17.25" customHeight="1" x14ac:dyDescent="0.25">
      <c r="A475" s="127"/>
      <c r="B475" s="131" t="s">
        <v>151</v>
      </c>
      <c r="C475" s="126">
        <f>I4+I16+I32+I50+I64+I80+I99+I111+I123+I137+I159+I189+I203+I216+I228+I240+I254+I274+I288+I307+I319+I331+I345+I361+I457+I376+I391+I412+I439+I175+D6+D18+D34+D52+D66+D82+D101+D113+D125+D139+D161+D177+D191+D205+D218+D230+D242+D256+D276+D290+D309+D321+D333+D347+D363+D378+D394+D414</f>
        <v>-7913.4399999999941</v>
      </c>
      <c r="D475" s="128"/>
      <c r="E475" s="218" t="s">
        <v>158</v>
      </c>
      <c r="F475" s="218"/>
      <c r="G475" s="218"/>
      <c r="H475" s="213">
        <f>D142+D400</f>
        <v>-320.8</v>
      </c>
      <c r="I475" s="213"/>
      <c r="J475" s="129"/>
      <c r="K475" s="226" t="s">
        <v>143</v>
      </c>
      <c r="L475" s="227"/>
      <c r="M475" s="57">
        <f>(K8+K24+K42+K56+K72+K91+K103+K115+K129+K151+K167+K181+K195+K208+K220+K232+K246+K266+K280+K299+K311+K323+K337+K352+K368+K466+K383+K404+K416+K431+K449)*-1</f>
        <v>31468</v>
      </c>
      <c r="N475" s="226" t="s">
        <v>143</v>
      </c>
      <c r="O475" s="227"/>
      <c r="P475" s="57">
        <f>(N9+N25+N43+N57+N73+N92+N104+N116+N130+N152+N168+N182+N196+N209+N221+N233+N247+N267+N300+N312+N324+N338+N353+N369+N467+N384+N405+N417+N432+N450)*-1</f>
        <v>44225</v>
      </c>
      <c r="Q475" s="226" t="s">
        <v>143</v>
      </c>
      <c r="R475" s="227"/>
      <c r="S475" s="57">
        <f>(Q9+Q25+Q43+Q57+Q73+Q92+Q104+Q116+Q130+Q152+Q168+Q182+Q196+Q209+Q221+Q233+Q247+Q267+Q300+Q312+Q324+Q338+Q353+Q369+Q467+Q384+Q405+Q417+Q432+Q450)*-1</f>
        <v>0</v>
      </c>
      <c r="U475" s="121">
        <f>I10+I26+I44+I58+I74+I93+I105+I117+I131+I153+I169+I197+I210+I222+I234+I248+I268+I282+I301+I313+I325+I339+I355+I370+I385+I406+I418+I433+I451+I468+I183</f>
        <v>298827.98000000004</v>
      </c>
    </row>
    <row r="476" spans="1:49" ht="17.25" customHeight="1" x14ac:dyDescent="0.25">
      <c r="A476" s="127"/>
      <c r="B476" s="131" t="s">
        <v>160</v>
      </c>
      <c r="C476" s="126">
        <f>E21+E38+D53+E87+E144+E145+E146+E147+E148+D178+E193+D259+E262+E263+E295+E296+E297++E381+E396+E397</f>
        <v>-7748.46</v>
      </c>
      <c r="D476" s="128"/>
      <c r="E476" s="218" t="s">
        <v>157</v>
      </c>
      <c r="F476" s="218"/>
      <c r="G476" s="218"/>
      <c r="H476" s="213">
        <f>D22+D36+D84+D164+D258+D260+D292+D365</f>
        <v>-53.900000000000006</v>
      </c>
      <c r="I476" s="213"/>
      <c r="J476" s="129"/>
      <c r="K476" s="226" t="s">
        <v>144</v>
      </c>
      <c r="L476" s="227"/>
      <c r="M476" s="121">
        <f>(M11+M27+M45+M59+M75+M94+M106+M118+M132+M154+M170+M184+M198+M211+M223+M235+M249+M269+M283+M302+M314+M326+M340+M356+M371+M469+M386+M407+M419+M434+M452)</f>
        <v>28650.674303644446</v>
      </c>
      <c r="N476" s="226" t="s">
        <v>144</v>
      </c>
      <c r="O476" s="227"/>
      <c r="P476" s="121">
        <f>(P11+P27+P45+P59+P75+P94+P106+P118+P132+P154+P170+P184+P198+P211+P223+P235+P249+P269+P283+P302+P314+P326+P340+P356+P371+P469+P386+P407+P419+P434+P452)</f>
        <v>-128366.58613810103</v>
      </c>
      <c r="Q476" s="226" t="s">
        <v>144</v>
      </c>
      <c r="R476" s="227"/>
      <c r="S476" s="121">
        <f>(S11+S27+S45+S59+S75+S94+S106+S118+S132+S154+S170+S184+S198+S211+S223+S235+S249+S269+S283+S302+S314+S326+S340+S356+S371+S469+S386+S407+S419+S434+S452)</f>
        <v>603.82107476635429</v>
      </c>
      <c r="U476" s="121">
        <v>-312909.86</v>
      </c>
    </row>
    <row r="477" spans="1:49" ht="17.25" customHeight="1" x14ac:dyDescent="0.25">
      <c r="A477" s="127"/>
      <c r="B477" s="131" t="s">
        <v>244</v>
      </c>
      <c r="C477" s="126">
        <f>H69+H70+H424+H426+H427+H428</f>
        <v>-19849.12</v>
      </c>
      <c r="D477" s="128"/>
      <c r="E477" s="230" t="s">
        <v>156</v>
      </c>
      <c r="F477" s="230"/>
      <c r="G477" s="230"/>
      <c r="H477" s="213">
        <f>E39+E143</f>
        <v>-2884.33</v>
      </c>
      <c r="I477" s="213"/>
      <c r="J477" s="133"/>
      <c r="K477" s="226" t="s">
        <v>145</v>
      </c>
      <c r="L477" s="227"/>
      <c r="M477" s="57">
        <f>(K11+K27+K45+K59+K75+K94+K106+K118+K132+K154+K170+K184+K198+K211+K223+K235+K249+K269+K283+K302+K314+K326+K340+K356+K371+K469+K386+K407+K419+K434+K452)</f>
        <v>-252</v>
      </c>
      <c r="N477" s="226" t="s">
        <v>145</v>
      </c>
      <c r="O477" s="227"/>
      <c r="P477" s="57">
        <f>(N11+N27+N45+N59+N75+N94+N106+N118+N132+N154+N170+N184+N198+N211+N223+N235+N249+N269+N283+N302+N314+N326+N340+N356+N371+N469+N386+N407+N419+N434+N452)</f>
        <v>-246</v>
      </c>
      <c r="Q477" s="226" t="s">
        <v>145</v>
      </c>
      <c r="R477" s="227"/>
      <c r="S477" s="57">
        <f>(Q11+Q27+Q45+Q59+Q75+Q94+Q106+Q118+Q132+Q154+Q170+Q184+Q198+Q211+Q223+Q235+Q249+Q269+Q283+Q302+Q314+Q326+Q340+Q356+Q371+Q469+Q386+Q407+Q419+Q434+Q452)</f>
        <v>99</v>
      </c>
      <c r="U477" s="121">
        <f>SUM(U475:U476)</f>
        <v>-14081.879999999946</v>
      </c>
    </row>
    <row r="478" spans="1:49" ht="17.25" customHeight="1" x14ac:dyDescent="0.25">
      <c r="A478" s="127"/>
      <c r="B478" s="131" t="s">
        <v>245</v>
      </c>
      <c r="C478" s="126">
        <f>H425</f>
        <v>-6500</v>
      </c>
      <c r="D478" s="3"/>
      <c r="E478" s="230" t="s">
        <v>300</v>
      </c>
      <c r="F478" s="230"/>
      <c r="G478" s="230"/>
      <c r="H478" s="213"/>
      <c r="I478" s="213"/>
      <c r="J478" s="129"/>
      <c r="K478" s="228"/>
      <c r="L478" s="229"/>
      <c r="M478" s="122"/>
      <c r="N478" s="228"/>
      <c r="O478" s="229"/>
      <c r="P478" s="123"/>
      <c r="Q478" s="228"/>
      <c r="R478" s="229"/>
      <c r="S478" s="123"/>
    </row>
    <row r="479" spans="1:49" s="21" customFormat="1" ht="17.25" customHeight="1" x14ac:dyDescent="0.25">
      <c r="A479" s="127"/>
      <c r="B479" s="137" t="s">
        <v>149</v>
      </c>
      <c r="C479" s="138">
        <f>SUM(C474:C478)</f>
        <v>-141123.11075969023</v>
      </c>
      <c r="D479" s="128"/>
      <c r="E479" s="231" t="s">
        <v>159</v>
      </c>
      <c r="F479" s="232"/>
      <c r="G479" s="232"/>
      <c r="H479" s="233">
        <f>SUM(H474:I478)</f>
        <v>-6473.7199999999993</v>
      </c>
      <c r="I479" s="234"/>
      <c r="J479" s="128"/>
      <c r="K479" s="241" t="s">
        <v>146</v>
      </c>
      <c r="L479" s="241"/>
      <c r="M479" s="241"/>
      <c r="N479" s="235">
        <f>M475+P475+S475</f>
        <v>75693</v>
      </c>
      <c r="O479" s="236"/>
      <c r="P479" s="237"/>
      <c r="Q479" s="235">
        <f>P475+S475</f>
        <v>44225</v>
      </c>
      <c r="R479" s="236"/>
      <c r="S479" s="237"/>
      <c r="AS479" s="3"/>
      <c r="AT479" s="3"/>
      <c r="AU479" s="3"/>
      <c r="AV479" s="3"/>
      <c r="AW479" s="3"/>
    </row>
    <row r="480" spans="1:49" s="21" customFormat="1" ht="17.25" customHeight="1" x14ac:dyDescent="0.25">
      <c r="A480" s="127"/>
      <c r="B480" s="3"/>
      <c r="C480" s="3"/>
      <c r="D480" s="3"/>
      <c r="J480" s="128"/>
      <c r="K480" s="241" t="s">
        <v>147</v>
      </c>
      <c r="L480" s="241"/>
      <c r="M480" s="241"/>
      <c r="N480" s="238">
        <f>M476+P476+S476</f>
        <v>-99112.090759690225</v>
      </c>
      <c r="O480" s="239"/>
      <c r="P480" s="239"/>
      <c r="Q480" s="239"/>
      <c r="R480" s="239"/>
      <c r="S480" s="240"/>
      <c r="AS480" s="3"/>
      <c r="AT480" s="3"/>
      <c r="AU480" s="3"/>
      <c r="AV480" s="3"/>
      <c r="AW480" s="3"/>
    </row>
    <row r="481" spans="1:49" s="21" customFormat="1" ht="17.25" customHeight="1" x14ac:dyDescent="0.25">
      <c r="A481" s="127"/>
      <c r="B481" s="137" t="s">
        <v>242</v>
      </c>
      <c r="C481" s="138">
        <f>C479+H479</f>
        <v>-147596.83075969023</v>
      </c>
      <c r="D481" s="255" t="s">
        <v>457</v>
      </c>
      <c r="E481" s="256"/>
      <c r="F481" s="256"/>
      <c r="G481" s="256"/>
      <c r="H481" s="256"/>
      <c r="I481" s="256"/>
      <c r="J481" s="128"/>
      <c r="K481" s="241" t="s">
        <v>148</v>
      </c>
      <c r="L481" s="241"/>
      <c r="M481" s="241"/>
      <c r="N481" s="235">
        <f>M477+P477+S477</f>
        <v>-399</v>
      </c>
      <c r="O481" s="236"/>
      <c r="P481" s="236"/>
      <c r="Q481" s="236"/>
      <c r="R481" s="236"/>
      <c r="S481" s="237"/>
      <c r="AS481" s="3"/>
      <c r="AT481" s="3"/>
      <c r="AU481" s="3"/>
      <c r="AV481" s="3"/>
      <c r="AW481" s="3"/>
    </row>
    <row r="482" spans="1:49" s="21" customFormat="1" ht="17.25" customHeight="1" x14ac:dyDescent="0.25">
      <c r="A482" s="25"/>
      <c r="B482" s="3"/>
      <c r="C482" s="124"/>
      <c r="E482" s="230"/>
      <c r="F482" s="230"/>
      <c r="G482" s="230"/>
      <c r="H482" s="213"/>
      <c r="I482" s="213"/>
      <c r="AS482" s="3"/>
      <c r="AT482" s="3"/>
      <c r="AU482" s="3"/>
      <c r="AV482" s="3"/>
      <c r="AW482" s="3"/>
    </row>
    <row r="483" spans="1:49" s="21" customFormat="1" ht="17.25" customHeight="1" x14ac:dyDescent="0.25">
      <c r="A483" s="25"/>
      <c r="B483" s="137" t="s">
        <v>454</v>
      </c>
      <c r="C483" s="138">
        <f>E380+E398</f>
        <v>-7464.83</v>
      </c>
      <c r="E483" s="230"/>
      <c r="F483" s="230"/>
      <c r="G483" s="230"/>
      <c r="H483" s="213"/>
      <c r="I483" s="213"/>
      <c r="AS483" s="3"/>
      <c r="AT483" s="3"/>
      <c r="AU483" s="3"/>
      <c r="AV483" s="3"/>
      <c r="AW483" s="3"/>
    </row>
    <row r="484" spans="1:49" s="21" customFormat="1" ht="17.25" customHeight="1" x14ac:dyDescent="0.25">
      <c r="A484" s="25"/>
      <c r="B484" s="3"/>
      <c r="C484" s="124"/>
      <c r="E484" s="230"/>
      <c r="F484" s="230"/>
      <c r="G484" s="230"/>
      <c r="H484" s="213"/>
      <c r="I484" s="213"/>
      <c r="AS484" s="3"/>
      <c r="AT484" s="3"/>
      <c r="AU484" s="3"/>
      <c r="AV484" s="3"/>
      <c r="AW484" s="3"/>
    </row>
    <row r="485" spans="1:49" ht="17.25" customHeight="1" x14ac:dyDescent="0.25">
      <c r="B485" s="137" t="s">
        <v>242</v>
      </c>
      <c r="C485" s="138">
        <f>C472-C2</f>
        <v>18033.539999999921</v>
      </c>
    </row>
    <row r="486" spans="1:49" ht="17.25" customHeight="1" x14ac:dyDescent="0.25">
      <c r="E486" s="222">
        <f>C481+C483-C485</f>
        <v>-173095.20075969014</v>
      </c>
      <c r="F486" s="222"/>
      <c r="H486" s="169">
        <f>-E486+H474</f>
        <v>169880.51075969014</v>
      </c>
    </row>
  </sheetData>
  <sheetProtection selectLockedCells="1" selectUnlockedCells="1"/>
  <mergeCells count="452">
    <mergeCell ref="B6:C6"/>
    <mergeCell ref="B7:C7"/>
    <mergeCell ref="B8:C8"/>
    <mergeCell ref="B9:C9"/>
    <mergeCell ref="B10:C10"/>
    <mergeCell ref="B11:C11"/>
    <mergeCell ref="K1:M1"/>
    <mergeCell ref="N1:P1"/>
    <mergeCell ref="Q1:S1"/>
    <mergeCell ref="B3:C3"/>
    <mergeCell ref="B4:C4"/>
    <mergeCell ref="B5:C5"/>
    <mergeCell ref="B20:C20"/>
    <mergeCell ref="B21:C21"/>
    <mergeCell ref="B22:C22"/>
    <mergeCell ref="B23:C23"/>
    <mergeCell ref="B24:C24"/>
    <mergeCell ref="B25:C25"/>
    <mergeCell ref="B12:C12"/>
    <mergeCell ref="B15:C15"/>
    <mergeCell ref="B16:C16"/>
    <mergeCell ref="B17:C17"/>
    <mergeCell ref="B18:C18"/>
    <mergeCell ref="B19:C19"/>
    <mergeCell ref="B34:C34"/>
    <mergeCell ref="B35:C35"/>
    <mergeCell ref="B36:C36"/>
    <mergeCell ref="B37:C37"/>
    <mergeCell ref="B38:C38"/>
    <mergeCell ref="B39:C39"/>
    <mergeCell ref="B26:C26"/>
    <mergeCell ref="B27:C27"/>
    <mergeCell ref="B28:C28"/>
    <mergeCell ref="B31:C31"/>
    <mergeCell ref="B32:C32"/>
    <mergeCell ref="B33:C33"/>
    <mergeCell ref="B46:C46"/>
    <mergeCell ref="B49:C49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60:C60"/>
    <mergeCell ref="B63:C63"/>
    <mergeCell ref="B64:C64"/>
    <mergeCell ref="B65:C65"/>
    <mergeCell ref="B66:C66"/>
    <mergeCell ref="B67:C67"/>
    <mergeCell ref="B54:C54"/>
    <mergeCell ref="B55:C55"/>
    <mergeCell ref="B56:C56"/>
    <mergeCell ref="B57:C57"/>
    <mergeCell ref="B58:C58"/>
    <mergeCell ref="B59:C59"/>
    <mergeCell ref="B74:C74"/>
    <mergeCell ref="B75:C75"/>
    <mergeCell ref="B76:C76"/>
    <mergeCell ref="B79:C79"/>
    <mergeCell ref="B80:C80"/>
    <mergeCell ref="B81:C81"/>
    <mergeCell ref="B68:C68"/>
    <mergeCell ref="B69:C69"/>
    <mergeCell ref="B70:C70"/>
    <mergeCell ref="B71:C71"/>
    <mergeCell ref="B72:C72"/>
    <mergeCell ref="B73:C73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102:C102"/>
    <mergeCell ref="B103:C103"/>
    <mergeCell ref="B104:C104"/>
    <mergeCell ref="B105:C105"/>
    <mergeCell ref="B106:C106"/>
    <mergeCell ref="B107:C107"/>
    <mergeCell ref="B94:C94"/>
    <mergeCell ref="B95:C95"/>
    <mergeCell ref="B98:C98"/>
    <mergeCell ref="B99:C99"/>
    <mergeCell ref="B100:C100"/>
    <mergeCell ref="B101:C101"/>
    <mergeCell ref="B116:C116"/>
    <mergeCell ref="B117:C117"/>
    <mergeCell ref="B118:C118"/>
    <mergeCell ref="B119:C119"/>
    <mergeCell ref="B122:C122"/>
    <mergeCell ref="B123:C123"/>
    <mergeCell ref="B110:C110"/>
    <mergeCell ref="B111:C111"/>
    <mergeCell ref="B112:C112"/>
    <mergeCell ref="B113:C113"/>
    <mergeCell ref="B114:C114"/>
    <mergeCell ref="B115:C115"/>
    <mergeCell ref="B130:C130"/>
    <mergeCell ref="B131:C131"/>
    <mergeCell ref="B132:C132"/>
    <mergeCell ref="B133:C133"/>
    <mergeCell ref="B136:C136"/>
    <mergeCell ref="B137:C137"/>
    <mergeCell ref="B124:C124"/>
    <mergeCell ref="B125:C125"/>
    <mergeCell ref="B126:C126"/>
    <mergeCell ref="B127:C127"/>
    <mergeCell ref="B128:C128"/>
    <mergeCell ref="B129:C129"/>
    <mergeCell ref="B144:C144"/>
    <mergeCell ref="B145:C145"/>
    <mergeCell ref="B146:C146"/>
    <mergeCell ref="B147:C147"/>
    <mergeCell ref="B148:C148"/>
    <mergeCell ref="B149:C149"/>
    <mergeCell ref="B138:C138"/>
    <mergeCell ref="B139:C139"/>
    <mergeCell ref="B140:C140"/>
    <mergeCell ref="B141:C141"/>
    <mergeCell ref="B142:C142"/>
    <mergeCell ref="B143:C143"/>
    <mergeCell ref="B158:C158"/>
    <mergeCell ref="B159:C159"/>
    <mergeCell ref="B160:C160"/>
    <mergeCell ref="B161:C161"/>
    <mergeCell ref="B162:C162"/>
    <mergeCell ref="B163:C163"/>
    <mergeCell ref="B150:C150"/>
    <mergeCell ref="B151:C151"/>
    <mergeCell ref="B152:C152"/>
    <mergeCell ref="B153:C153"/>
    <mergeCell ref="B154:C154"/>
    <mergeCell ref="B155:C155"/>
    <mergeCell ref="B170:C170"/>
    <mergeCell ref="B171:C171"/>
    <mergeCell ref="B174:C174"/>
    <mergeCell ref="B175:C175"/>
    <mergeCell ref="B176:C176"/>
    <mergeCell ref="B177:C177"/>
    <mergeCell ref="B164:C164"/>
    <mergeCell ref="B165:C165"/>
    <mergeCell ref="B166:C166"/>
    <mergeCell ref="B167:C167"/>
    <mergeCell ref="B168:C168"/>
    <mergeCell ref="B169:C169"/>
    <mergeCell ref="B184:C184"/>
    <mergeCell ref="B185:C185"/>
    <mergeCell ref="B188:C188"/>
    <mergeCell ref="B189:C189"/>
    <mergeCell ref="B190:C190"/>
    <mergeCell ref="B191:C191"/>
    <mergeCell ref="B178:C178"/>
    <mergeCell ref="B179:C179"/>
    <mergeCell ref="B180:C180"/>
    <mergeCell ref="B181:C181"/>
    <mergeCell ref="B182:C182"/>
    <mergeCell ref="B183:C183"/>
    <mergeCell ref="B198:C198"/>
    <mergeCell ref="B199:C199"/>
    <mergeCell ref="B202:C202"/>
    <mergeCell ref="B203:C203"/>
    <mergeCell ref="B204:C204"/>
    <mergeCell ref="B205:C205"/>
    <mergeCell ref="B192:C192"/>
    <mergeCell ref="B193:C193"/>
    <mergeCell ref="B194:C194"/>
    <mergeCell ref="B195:C195"/>
    <mergeCell ref="B196:C196"/>
    <mergeCell ref="B197:C197"/>
    <mergeCell ref="B212:C212"/>
    <mergeCell ref="B215:C215"/>
    <mergeCell ref="B216:C216"/>
    <mergeCell ref="B217:C217"/>
    <mergeCell ref="B218:C218"/>
    <mergeCell ref="B219:C219"/>
    <mergeCell ref="B206:C206"/>
    <mergeCell ref="B207:C207"/>
    <mergeCell ref="B208:C208"/>
    <mergeCell ref="B209:C209"/>
    <mergeCell ref="B210:C210"/>
    <mergeCell ref="B211:C211"/>
    <mergeCell ref="B228:C228"/>
    <mergeCell ref="B229:C229"/>
    <mergeCell ref="B230:C230"/>
    <mergeCell ref="B231:C231"/>
    <mergeCell ref="B232:C232"/>
    <mergeCell ref="B233:C233"/>
    <mergeCell ref="B220:C220"/>
    <mergeCell ref="B221:C221"/>
    <mergeCell ref="B222:C222"/>
    <mergeCell ref="B223:C223"/>
    <mergeCell ref="B224:C224"/>
    <mergeCell ref="B227:C227"/>
    <mergeCell ref="B242:C242"/>
    <mergeCell ref="B243:C243"/>
    <mergeCell ref="B244:C244"/>
    <mergeCell ref="B245:C245"/>
    <mergeCell ref="B246:C246"/>
    <mergeCell ref="B247:C247"/>
    <mergeCell ref="B234:C234"/>
    <mergeCell ref="B235:C235"/>
    <mergeCell ref="B236:C236"/>
    <mergeCell ref="B239:C239"/>
    <mergeCell ref="B240:C240"/>
    <mergeCell ref="B241:C241"/>
    <mergeCell ref="B256:C256"/>
    <mergeCell ref="B257:C257"/>
    <mergeCell ref="B258:C258"/>
    <mergeCell ref="B259:C259"/>
    <mergeCell ref="B260:C260"/>
    <mergeCell ref="B261:C261"/>
    <mergeCell ref="B248:C248"/>
    <mergeCell ref="B249:C249"/>
    <mergeCell ref="B250:C250"/>
    <mergeCell ref="B253:C253"/>
    <mergeCell ref="B254:C254"/>
    <mergeCell ref="B255:C255"/>
    <mergeCell ref="B268:C268"/>
    <mergeCell ref="B269:C269"/>
    <mergeCell ref="B270:C270"/>
    <mergeCell ref="B273:C273"/>
    <mergeCell ref="B274:C274"/>
    <mergeCell ref="B275:C275"/>
    <mergeCell ref="B262:C262"/>
    <mergeCell ref="B263:C263"/>
    <mergeCell ref="B264:C264"/>
    <mergeCell ref="B265:C265"/>
    <mergeCell ref="B266:C266"/>
    <mergeCell ref="B267:C267"/>
    <mergeCell ref="B282:C282"/>
    <mergeCell ref="B283:C283"/>
    <mergeCell ref="B284:C284"/>
    <mergeCell ref="B287:C287"/>
    <mergeCell ref="B288:C288"/>
    <mergeCell ref="B289:C289"/>
    <mergeCell ref="B276:C276"/>
    <mergeCell ref="B277:C277"/>
    <mergeCell ref="B278:C278"/>
    <mergeCell ref="B279:C279"/>
    <mergeCell ref="B280:C280"/>
    <mergeCell ref="B281:C281"/>
    <mergeCell ref="B296:C296"/>
    <mergeCell ref="B298:C298"/>
    <mergeCell ref="B299:C299"/>
    <mergeCell ref="B300:C300"/>
    <mergeCell ref="B301:C301"/>
    <mergeCell ref="B302:C302"/>
    <mergeCell ref="B290:C290"/>
    <mergeCell ref="B291:C291"/>
    <mergeCell ref="B292:C292"/>
    <mergeCell ref="B293:C293"/>
    <mergeCell ref="B294:C294"/>
    <mergeCell ref="B295:C295"/>
    <mergeCell ref="B311:C311"/>
    <mergeCell ref="B312:C312"/>
    <mergeCell ref="B313:C313"/>
    <mergeCell ref="B314:C314"/>
    <mergeCell ref="B315:C315"/>
    <mergeCell ref="B318:C318"/>
    <mergeCell ref="B303:C303"/>
    <mergeCell ref="B306:C306"/>
    <mergeCell ref="B307:C307"/>
    <mergeCell ref="B308:C308"/>
    <mergeCell ref="B309:C309"/>
    <mergeCell ref="B310:C310"/>
    <mergeCell ref="B325:C325"/>
    <mergeCell ref="B326:C326"/>
    <mergeCell ref="B327:C327"/>
    <mergeCell ref="B330:C330"/>
    <mergeCell ref="B331:C331"/>
    <mergeCell ref="B332:C332"/>
    <mergeCell ref="B319:C319"/>
    <mergeCell ref="B320:C320"/>
    <mergeCell ref="B321:C321"/>
    <mergeCell ref="B322:C322"/>
    <mergeCell ref="B323:C323"/>
    <mergeCell ref="B324:C324"/>
    <mergeCell ref="B339:C339"/>
    <mergeCell ref="B340:C340"/>
    <mergeCell ref="B341:C341"/>
    <mergeCell ref="B344:C344"/>
    <mergeCell ref="B345:C345"/>
    <mergeCell ref="B346:C346"/>
    <mergeCell ref="B333:C333"/>
    <mergeCell ref="B334:C334"/>
    <mergeCell ref="B335:C335"/>
    <mergeCell ref="B336:C336"/>
    <mergeCell ref="B337:C337"/>
    <mergeCell ref="B338:C338"/>
    <mergeCell ref="B353:C353"/>
    <mergeCell ref="B354:C354"/>
    <mergeCell ref="B355:C355"/>
    <mergeCell ref="B356:C356"/>
    <mergeCell ref="B357:C357"/>
    <mergeCell ref="B360:C360"/>
    <mergeCell ref="B347:C347"/>
    <mergeCell ref="B348:C348"/>
    <mergeCell ref="B349:C349"/>
    <mergeCell ref="B350:C350"/>
    <mergeCell ref="B351:C351"/>
    <mergeCell ref="B352:C352"/>
    <mergeCell ref="B367:C367"/>
    <mergeCell ref="B368:C368"/>
    <mergeCell ref="B369:C369"/>
    <mergeCell ref="B370:C370"/>
    <mergeCell ref="B371:C371"/>
    <mergeCell ref="B372:C372"/>
    <mergeCell ref="B361:C361"/>
    <mergeCell ref="B362:C362"/>
    <mergeCell ref="B363:C363"/>
    <mergeCell ref="B364:C364"/>
    <mergeCell ref="B365:C365"/>
    <mergeCell ref="B366:C366"/>
    <mergeCell ref="B381:C381"/>
    <mergeCell ref="B382:C382"/>
    <mergeCell ref="B383:C383"/>
    <mergeCell ref="B384:C384"/>
    <mergeCell ref="B385:C385"/>
    <mergeCell ref="B386:C386"/>
    <mergeCell ref="B375:C375"/>
    <mergeCell ref="B376:C376"/>
    <mergeCell ref="B377:C377"/>
    <mergeCell ref="B378:C378"/>
    <mergeCell ref="B379:C379"/>
    <mergeCell ref="B380:C380"/>
    <mergeCell ref="B395:C395"/>
    <mergeCell ref="B396:C396"/>
    <mergeCell ref="B397:C397"/>
    <mergeCell ref="B398:C398"/>
    <mergeCell ref="B399:C399"/>
    <mergeCell ref="B400:C400"/>
    <mergeCell ref="B387:C387"/>
    <mergeCell ref="B390:C390"/>
    <mergeCell ref="B391:C391"/>
    <mergeCell ref="B392:C392"/>
    <mergeCell ref="B393:C393"/>
    <mergeCell ref="B394:C394"/>
    <mergeCell ref="B407:C407"/>
    <mergeCell ref="B408:C408"/>
    <mergeCell ref="B411:C411"/>
    <mergeCell ref="B412:C412"/>
    <mergeCell ref="B413:C413"/>
    <mergeCell ref="B414:C414"/>
    <mergeCell ref="B401:C401"/>
    <mergeCell ref="B402:C402"/>
    <mergeCell ref="B403:C403"/>
    <mergeCell ref="B404:C404"/>
    <mergeCell ref="B405:C405"/>
    <mergeCell ref="B406:C406"/>
    <mergeCell ref="B423:C423"/>
    <mergeCell ref="B424:C424"/>
    <mergeCell ref="B425:C425"/>
    <mergeCell ref="B426:C426"/>
    <mergeCell ref="B427:C427"/>
    <mergeCell ref="B428:C428"/>
    <mergeCell ref="B415:C415"/>
    <mergeCell ref="B416:C416"/>
    <mergeCell ref="B417:C417"/>
    <mergeCell ref="B418:C418"/>
    <mergeCell ref="B419:C419"/>
    <mergeCell ref="B420:C420"/>
    <mergeCell ref="B435:C435"/>
    <mergeCell ref="B438:C438"/>
    <mergeCell ref="B439:C439"/>
    <mergeCell ref="B440:C440"/>
    <mergeCell ref="B441:C441"/>
    <mergeCell ref="B442:C442"/>
    <mergeCell ref="B429:C429"/>
    <mergeCell ref="B430:C430"/>
    <mergeCell ref="B431:C431"/>
    <mergeCell ref="B432:C432"/>
    <mergeCell ref="B433:C433"/>
    <mergeCell ref="B434:C434"/>
    <mergeCell ref="B449:C449"/>
    <mergeCell ref="B450:C450"/>
    <mergeCell ref="B451:C451"/>
    <mergeCell ref="B452:C452"/>
    <mergeCell ref="B453:C453"/>
    <mergeCell ref="B456:C456"/>
    <mergeCell ref="B443:C443"/>
    <mergeCell ref="B444:C444"/>
    <mergeCell ref="B445:C445"/>
    <mergeCell ref="B446:C446"/>
    <mergeCell ref="B447:C447"/>
    <mergeCell ref="B448:C448"/>
    <mergeCell ref="B463:C463"/>
    <mergeCell ref="B464:C464"/>
    <mergeCell ref="B465:C465"/>
    <mergeCell ref="B466:C466"/>
    <mergeCell ref="B467:C467"/>
    <mergeCell ref="B468:C468"/>
    <mergeCell ref="B457:C457"/>
    <mergeCell ref="B458:C458"/>
    <mergeCell ref="B459:C459"/>
    <mergeCell ref="B460:C460"/>
    <mergeCell ref="B461:C461"/>
    <mergeCell ref="B462:C462"/>
    <mergeCell ref="Q474:S474"/>
    <mergeCell ref="E475:G475"/>
    <mergeCell ref="H475:I475"/>
    <mergeCell ref="K475:L475"/>
    <mergeCell ref="N475:O475"/>
    <mergeCell ref="Q475:R475"/>
    <mergeCell ref="B469:C469"/>
    <mergeCell ref="B470:C470"/>
    <mergeCell ref="E474:G474"/>
    <mergeCell ref="H474:I474"/>
    <mergeCell ref="K474:M474"/>
    <mergeCell ref="N474:P474"/>
    <mergeCell ref="E476:G476"/>
    <mergeCell ref="H476:I476"/>
    <mergeCell ref="K476:L476"/>
    <mergeCell ref="N476:O476"/>
    <mergeCell ref="Q476:R476"/>
    <mergeCell ref="E477:G477"/>
    <mergeCell ref="H477:I477"/>
    <mergeCell ref="K477:L477"/>
    <mergeCell ref="N477:O477"/>
    <mergeCell ref="Q477:R477"/>
    <mergeCell ref="E478:G478"/>
    <mergeCell ref="H478:I478"/>
    <mergeCell ref="K478:L478"/>
    <mergeCell ref="N478:O478"/>
    <mergeCell ref="Q478:R478"/>
    <mergeCell ref="E479:G479"/>
    <mergeCell ref="H479:I479"/>
    <mergeCell ref="K479:M479"/>
    <mergeCell ref="N479:P479"/>
    <mergeCell ref="Q479:S479"/>
    <mergeCell ref="E483:G483"/>
    <mergeCell ref="H483:I483"/>
    <mergeCell ref="E484:G484"/>
    <mergeCell ref="H484:I484"/>
    <mergeCell ref="E486:F486"/>
    <mergeCell ref="K480:M480"/>
    <mergeCell ref="N480:S480"/>
    <mergeCell ref="D481:I481"/>
    <mergeCell ref="K481:M481"/>
    <mergeCell ref="N481:S481"/>
    <mergeCell ref="E482:G482"/>
    <mergeCell ref="H482:I482"/>
  </mergeCells>
  <pageMargins left="0.31496062992125984" right="0.31496062992125984" top="0.39370078740157483" bottom="0.39370078740157483" header="0.31496062992125984" footer="0.31496062992125984"/>
  <pageSetup paperSize="9" scale="52" fitToHeight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0"/>
  <sheetViews>
    <sheetView topLeftCell="A33" workbookViewId="0">
      <selection activeCell="C51" sqref="C51"/>
    </sheetView>
  </sheetViews>
  <sheetFormatPr defaultRowHeight="15" x14ac:dyDescent="0.2"/>
  <cols>
    <col min="1" max="1" width="12.7109375" style="175" bestFit="1" customWidth="1"/>
    <col min="2" max="2" width="56.85546875" style="175" customWidth="1"/>
    <col min="3" max="3" width="14.7109375" style="175" customWidth="1"/>
    <col min="4" max="4" width="1.140625" style="175" customWidth="1"/>
    <col min="5" max="5" width="14.7109375" style="175" customWidth="1"/>
    <col min="6" max="16384" width="9.140625" style="175"/>
  </cols>
  <sheetData>
    <row r="1" spans="1:5" s="170" customFormat="1" ht="15.75" x14ac:dyDescent="0.25">
      <c r="A1" s="170" t="s">
        <v>394</v>
      </c>
    </row>
    <row r="2" spans="1:5" s="170" customFormat="1" ht="15.75" x14ac:dyDescent="0.25"/>
    <row r="3" spans="1:5" s="170" customFormat="1" ht="15.75" x14ac:dyDescent="0.25">
      <c r="A3" s="171" t="s">
        <v>395</v>
      </c>
      <c r="B3" s="172" t="s">
        <v>396</v>
      </c>
      <c r="C3" s="171" t="s">
        <v>397</v>
      </c>
      <c r="D3" s="171"/>
      <c r="E3" s="171" t="s">
        <v>425</v>
      </c>
    </row>
    <row r="4" spans="1:5" x14ac:dyDescent="0.2">
      <c r="A4" s="173">
        <v>45905</v>
      </c>
      <c r="B4" s="174" t="s">
        <v>400</v>
      </c>
      <c r="C4" s="182">
        <v>48200</v>
      </c>
      <c r="D4" s="182"/>
      <c r="E4" s="182">
        <v>48200</v>
      </c>
    </row>
    <row r="5" spans="1:5" ht="14.25" customHeight="1" x14ac:dyDescent="0.2">
      <c r="A5" s="173">
        <v>45908</v>
      </c>
      <c r="B5" s="176" t="s">
        <v>401</v>
      </c>
      <c r="C5" s="183">
        <v>25000</v>
      </c>
      <c r="D5" s="183"/>
      <c r="E5" s="183">
        <f t="shared" ref="E5:E10" si="0">E4+C5</f>
        <v>73200</v>
      </c>
    </row>
    <row r="6" spans="1:5" x14ac:dyDescent="0.2">
      <c r="A6" s="173">
        <v>45915</v>
      </c>
      <c r="B6" s="177" t="s">
        <v>405</v>
      </c>
      <c r="C6" s="183">
        <v>50000</v>
      </c>
      <c r="D6" s="183"/>
      <c r="E6" s="183">
        <f t="shared" si="0"/>
        <v>123200</v>
      </c>
    </row>
    <row r="7" spans="1:5" x14ac:dyDescent="0.2">
      <c r="A7" s="173">
        <v>45919</v>
      </c>
      <c r="B7" s="177" t="s">
        <v>404</v>
      </c>
      <c r="C7" s="183">
        <v>34440</v>
      </c>
      <c r="D7" s="183"/>
      <c r="E7" s="183">
        <f t="shared" si="0"/>
        <v>157640</v>
      </c>
    </row>
    <row r="8" spans="1:5" x14ac:dyDescent="0.2">
      <c r="A8" s="173">
        <v>45923</v>
      </c>
      <c r="B8" s="177" t="s">
        <v>403</v>
      </c>
      <c r="C8" s="183">
        <v>48800</v>
      </c>
      <c r="D8" s="183"/>
      <c r="E8" s="183">
        <f t="shared" si="0"/>
        <v>206440</v>
      </c>
    </row>
    <row r="9" spans="1:5" x14ac:dyDescent="0.2">
      <c r="A9" s="173">
        <v>45923</v>
      </c>
      <c r="B9" s="177" t="s">
        <v>406</v>
      </c>
      <c r="C9" s="183">
        <v>35500</v>
      </c>
      <c r="D9" s="183"/>
      <c r="E9" s="183">
        <f t="shared" si="0"/>
        <v>241940</v>
      </c>
    </row>
    <row r="10" spans="1:5" x14ac:dyDescent="0.2">
      <c r="A10" s="173">
        <v>45926</v>
      </c>
      <c r="B10" s="177" t="s">
        <v>407</v>
      </c>
      <c r="C10" s="183">
        <v>6880</v>
      </c>
      <c r="D10" s="183"/>
      <c r="E10" s="183">
        <f t="shared" si="0"/>
        <v>248820</v>
      </c>
    </row>
    <row r="11" spans="1:5" ht="15.75" x14ac:dyDescent="0.25">
      <c r="A11" s="180"/>
      <c r="B11" s="179" t="s">
        <v>408</v>
      </c>
      <c r="C11" s="184">
        <f>SUM(C4:C10)</f>
        <v>248820</v>
      </c>
      <c r="D11" s="184"/>
      <c r="E11" s="184">
        <f>E10</f>
        <v>248820</v>
      </c>
    </row>
    <row r="12" spans="1:5" x14ac:dyDescent="0.2">
      <c r="A12" s="173">
        <v>45933</v>
      </c>
      <c r="B12" s="177" t="s">
        <v>411</v>
      </c>
      <c r="C12" s="183">
        <v>12233.33</v>
      </c>
      <c r="D12" s="183"/>
      <c r="E12" s="183">
        <f>E10+C12</f>
        <v>261053.33</v>
      </c>
    </row>
    <row r="13" spans="1:5" x14ac:dyDescent="0.2">
      <c r="A13" s="173">
        <v>45933</v>
      </c>
      <c r="B13" s="177" t="s">
        <v>412</v>
      </c>
      <c r="C13" s="183">
        <v>12233.33</v>
      </c>
      <c r="D13" s="183"/>
      <c r="E13" s="183">
        <f t="shared" ref="E13:E21" si="1">E12+C13</f>
        <v>273286.65999999997</v>
      </c>
    </row>
    <row r="14" spans="1:5" x14ac:dyDescent="0.2">
      <c r="A14" s="173">
        <v>45933</v>
      </c>
      <c r="B14" s="177" t="s">
        <v>409</v>
      </c>
      <c r="C14" s="183">
        <v>26625</v>
      </c>
      <c r="D14" s="183"/>
      <c r="E14" s="183">
        <f t="shared" si="1"/>
        <v>299911.65999999997</v>
      </c>
    </row>
    <row r="15" spans="1:5" x14ac:dyDescent="0.2">
      <c r="A15" s="173">
        <v>45936</v>
      </c>
      <c r="B15" s="178" t="s">
        <v>413</v>
      </c>
      <c r="C15" s="183">
        <v>12233.33</v>
      </c>
      <c r="D15" s="183"/>
      <c r="E15" s="183">
        <f t="shared" si="1"/>
        <v>312144.99</v>
      </c>
    </row>
    <row r="16" spans="1:5" x14ac:dyDescent="0.2">
      <c r="A16" s="173">
        <v>45936</v>
      </c>
      <c r="B16" s="178" t="s">
        <v>410</v>
      </c>
      <c r="C16" s="183">
        <v>12233.33</v>
      </c>
      <c r="D16" s="183"/>
      <c r="E16" s="183">
        <f t="shared" si="1"/>
        <v>324378.32</v>
      </c>
    </row>
    <row r="17" spans="1:5" x14ac:dyDescent="0.2">
      <c r="A17" s="173">
        <v>45945</v>
      </c>
      <c r="B17" s="178" t="s">
        <v>414</v>
      </c>
      <c r="C17" s="183">
        <v>12233.33</v>
      </c>
      <c r="D17" s="183"/>
      <c r="E17" s="183">
        <f t="shared" si="1"/>
        <v>336611.65</v>
      </c>
    </row>
    <row r="18" spans="1:5" x14ac:dyDescent="0.2">
      <c r="A18" s="181">
        <v>45945</v>
      </c>
      <c r="B18" s="178" t="s">
        <v>415</v>
      </c>
      <c r="C18" s="183">
        <v>12233.35</v>
      </c>
      <c r="D18" s="183"/>
      <c r="E18" s="183">
        <f t="shared" si="1"/>
        <v>348845</v>
      </c>
    </row>
    <row r="19" spans="1:5" x14ac:dyDescent="0.2">
      <c r="A19" s="181">
        <v>45951</v>
      </c>
      <c r="B19" s="178" t="s">
        <v>416</v>
      </c>
      <c r="C19" s="185">
        <v>12500</v>
      </c>
      <c r="D19" s="185"/>
      <c r="E19" s="183">
        <f t="shared" si="1"/>
        <v>361345</v>
      </c>
    </row>
    <row r="20" spans="1:5" x14ac:dyDescent="0.2">
      <c r="A20" s="181">
        <v>45952</v>
      </c>
      <c r="B20" s="178" t="s">
        <v>417</v>
      </c>
      <c r="C20" s="185">
        <v>12233.33</v>
      </c>
      <c r="D20" s="185"/>
      <c r="E20" s="183">
        <f t="shared" si="1"/>
        <v>373578.33</v>
      </c>
    </row>
    <row r="21" spans="1:5" x14ac:dyDescent="0.2">
      <c r="A21" s="181">
        <v>45953</v>
      </c>
      <c r="B21" s="178" t="s">
        <v>418</v>
      </c>
      <c r="C21" s="185">
        <v>50200</v>
      </c>
      <c r="D21" s="185"/>
      <c r="E21" s="183">
        <f t="shared" si="1"/>
        <v>423778.33</v>
      </c>
    </row>
    <row r="22" spans="1:5" ht="15.75" x14ac:dyDescent="0.25">
      <c r="A22" s="180"/>
      <c r="B22" s="179" t="s">
        <v>419</v>
      </c>
      <c r="C22" s="184">
        <f>SUM(C12:C21)</f>
        <v>174958.33000000002</v>
      </c>
      <c r="D22" s="184"/>
      <c r="E22" s="184">
        <f>E21</f>
        <v>423778.33</v>
      </c>
    </row>
    <row r="23" spans="1:5" x14ac:dyDescent="0.2">
      <c r="A23" s="181">
        <v>45968</v>
      </c>
      <c r="B23" s="178" t="s">
        <v>423</v>
      </c>
      <c r="C23" s="185">
        <v>6550</v>
      </c>
      <c r="D23" s="185"/>
      <c r="E23" s="183">
        <f t="shared" ref="E23:E30" si="2">E22+C23</f>
        <v>430328.33</v>
      </c>
    </row>
    <row r="24" spans="1:5" ht="15.75" x14ac:dyDescent="0.25">
      <c r="A24" s="181">
        <v>45971</v>
      </c>
      <c r="B24" s="178" t="s">
        <v>420</v>
      </c>
      <c r="C24" s="186">
        <v>-6550</v>
      </c>
      <c r="D24" s="186"/>
      <c r="E24" s="183">
        <f t="shared" si="2"/>
        <v>423778.33</v>
      </c>
    </row>
    <row r="25" spans="1:5" ht="15.75" x14ac:dyDescent="0.25">
      <c r="A25" s="181">
        <v>45972</v>
      </c>
      <c r="B25" s="178" t="s">
        <v>296</v>
      </c>
      <c r="C25" s="186">
        <v>-12900</v>
      </c>
      <c r="D25" s="186"/>
      <c r="E25" s="183">
        <f t="shared" si="2"/>
        <v>410878.33</v>
      </c>
    </row>
    <row r="26" spans="1:5" x14ac:dyDescent="0.2">
      <c r="A26" s="181">
        <v>45972</v>
      </c>
      <c r="B26" s="178" t="s">
        <v>422</v>
      </c>
      <c r="C26" s="185">
        <f>15000*3.56</f>
        <v>53400</v>
      </c>
      <c r="D26" s="185"/>
      <c r="E26" s="183">
        <f t="shared" si="2"/>
        <v>464278.33</v>
      </c>
    </row>
    <row r="27" spans="1:5" ht="15.75" x14ac:dyDescent="0.25">
      <c r="A27" s="181">
        <v>45975</v>
      </c>
      <c r="B27" s="178" t="s">
        <v>296</v>
      </c>
      <c r="C27" s="186">
        <v>-30200</v>
      </c>
      <c r="D27" s="186"/>
      <c r="E27" s="183">
        <f t="shared" si="2"/>
        <v>434078.33</v>
      </c>
    </row>
    <row r="28" spans="1:5" x14ac:dyDescent="0.2">
      <c r="A28" s="181">
        <v>45978</v>
      </c>
      <c r="B28" s="178" t="s">
        <v>423</v>
      </c>
      <c r="C28" s="185">
        <v>11700</v>
      </c>
      <c r="D28" s="185"/>
      <c r="E28" s="183">
        <f t="shared" si="2"/>
        <v>445778.33</v>
      </c>
    </row>
    <row r="29" spans="1:5" ht="15.75" x14ac:dyDescent="0.25">
      <c r="A29" s="181">
        <v>45979</v>
      </c>
      <c r="B29" s="178" t="s">
        <v>296</v>
      </c>
      <c r="C29" s="186">
        <v>-10000</v>
      </c>
      <c r="D29" s="186"/>
      <c r="E29" s="183">
        <f t="shared" si="2"/>
        <v>435778.33</v>
      </c>
    </row>
    <row r="30" spans="1:5" ht="15.75" x14ac:dyDescent="0.25">
      <c r="A30" s="181">
        <v>45979</v>
      </c>
      <c r="B30" s="178" t="s">
        <v>424</v>
      </c>
      <c r="C30" s="186">
        <v>-1700</v>
      </c>
      <c r="D30" s="186"/>
      <c r="E30" s="183">
        <f t="shared" si="2"/>
        <v>434078.33</v>
      </c>
    </row>
    <row r="31" spans="1:5" x14ac:dyDescent="0.2">
      <c r="A31" s="181">
        <v>45980</v>
      </c>
      <c r="B31" s="178" t="s">
        <v>423</v>
      </c>
      <c r="C31" s="185">
        <v>14450</v>
      </c>
      <c r="D31" s="185"/>
      <c r="E31" s="183">
        <f>E30+C31</f>
        <v>448528.33</v>
      </c>
    </row>
    <row r="32" spans="1:5" ht="15.75" x14ac:dyDescent="0.25">
      <c r="A32" s="181">
        <v>45982</v>
      </c>
      <c r="B32" s="178" t="s">
        <v>424</v>
      </c>
      <c r="C32" s="186">
        <v>-14450</v>
      </c>
      <c r="D32" s="186"/>
      <c r="E32" s="183">
        <f>E31+C32</f>
        <v>434078.33</v>
      </c>
    </row>
    <row r="33" spans="1:5" x14ac:dyDescent="0.2">
      <c r="A33" s="181">
        <v>45985</v>
      </c>
      <c r="B33" s="178" t="s">
        <v>426</v>
      </c>
      <c r="C33" s="185">
        <v>6120</v>
      </c>
      <c r="D33" s="185"/>
      <c r="E33" s="183">
        <f>E32+C33</f>
        <v>440198.33</v>
      </c>
    </row>
    <row r="34" spans="1:5" ht="15.75" x14ac:dyDescent="0.25">
      <c r="A34" s="181">
        <v>45987</v>
      </c>
      <c r="B34" s="178" t="s">
        <v>347</v>
      </c>
      <c r="C34" s="186">
        <v>-7272.1</v>
      </c>
      <c r="D34" s="185"/>
      <c r="E34" s="183">
        <f>E33+C34</f>
        <v>432926.23000000004</v>
      </c>
    </row>
    <row r="35" spans="1:5" ht="15.75" x14ac:dyDescent="0.25">
      <c r="A35" s="181">
        <v>45987</v>
      </c>
      <c r="B35" s="178" t="s">
        <v>427</v>
      </c>
      <c r="C35" s="186">
        <v>-6120</v>
      </c>
      <c r="D35" s="185"/>
      <c r="E35" s="183">
        <f>E34+C35</f>
        <v>426806.23000000004</v>
      </c>
    </row>
    <row r="36" spans="1:5" ht="15.75" x14ac:dyDescent="0.25">
      <c r="A36" s="180"/>
      <c r="B36" s="179" t="s">
        <v>421</v>
      </c>
      <c r="C36" s="184">
        <f>SUM(C23:C35)</f>
        <v>3027.8999999999996</v>
      </c>
      <c r="D36" s="184"/>
      <c r="E36" s="184">
        <f>E35</f>
        <v>426806.23000000004</v>
      </c>
    </row>
    <row r="37" spans="1:5" ht="15.75" x14ac:dyDescent="0.25">
      <c r="A37" s="181">
        <v>45993</v>
      </c>
      <c r="B37" s="178" t="s">
        <v>424</v>
      </c>
      <c r="C37" s="186">
        <v>-1671</v>
      </c>
      <c r="D37" s="185"/>
      <c r="E37" s="183">
        <f>E36+C37</f>
        <v>425135.23000000004</v>
      </c>
    </row>
    <row r="38" spans="1:5" x14ac:dyDescent="0.2">
      <c r="A38" s="181">
        <v>45996</v>
      </c>
      <c r="B38" s="178" t="s">
        <v>429</v>
      </c>
      <c r="C38" s="185">
        <v>36600</v>
      </c>
      <c r="D38" s="185"/>
      <c r="E38" s="183">
        <f t="shared" ref="E38:E89" si="3">E37+C38</f>
        <v>461735.23000000004</v>
      </c>
    </row>
    <row r="39" spans="1:5" x14ac:dyDescent="0.2">
      <c r="A39" s="181">
        <v>45996</v>
      </c>
      <c r="B39" s="178" t="s">
        <v>428</v>
      </c>
      <c r="C39" s="185">
        <v>36400</v>
      </c>
      <c r="D39" s="185"/>
      <c r="E39" s="183">
        <f t="shared" si="3"/>
        <v>498135.23000000004</v>
      </c>
    </row>
    <row r="40" spans="1:5" ht="15.75" x14ac:dyDescent="0.25">
      <c r="A40" s="181">
        <v>45999</v>
      </c>
      <c r="B40" s="178" t="s">
        <v>431</v>
      </c>
      <c r="C40" s="186">
        <v>-22900</v>
      </c>
      <c r="D40" s="185"/>
      <c r="E40" s="183">
        <f t="shared" si="3"/>
        <v>475235.23000000004</v>
      </c>
    </row>
    <row r="41" spans="1:5" ht="15.75" x14ac:dyDescent="0.25">
      <c r="A41" s="181">
        <v>45999</v>
      </c>
      <c r="B41" s="178" t="s">
        <v>431</v>
      </c>
      <c r="C41" s="186">
        <v>-13700</v>
      </c>
      <c r="D41" s="185"/>
      <c r="E41" s="183">
        <f t="shared" si="3"/>
        <v>461535.23000000004</v>
      </c>
    </row>
    <row r="42" spans="1:5" ht="15.75" x14ac:dyDescent="0.25">
      <c r="A42" s="181">
        <v>46001</v>
      </c>
      <c r="B42" s="178" t="s">
        <v>432</v>
      </c>
      <c r="C42" s="186">
        <v>-21600</v>
      </c>
      <c r="D42" s="185"/>
      <c r="E42" s="183">
        <f t="shared" si="3"/>
        <v>439935.23000000004</v>
      </c>
    </row>
    <row r="43" spans="1:5" ht="15.75" x14ac:dyDescent="0.25">
      <c r="A43" s="181">
        <v>46001</v>
      </c>
      <c r="B43" s="178" t="s">
        <v>432</v>
      </c>
      <c r="C43" s="186">
        <v>-14800</v>
      </c>
      <c r="D43" s="185"/>
      <c r="E43" s="183">
        <f t="shared" si="3"/>
        <v>425135.23000000004</v>
      </c>
    </row>
    <row r="44" spans="1:5" x14ac:dyDescent="0.2">
      <c r="A44" s="181">
        <v>46002</v>
      </c>
      <c r="B44" s="178" t="s">
        <v>430</v>
      </c>
      <c r="C44" s="185">
        <v>40600</v>
      </c>
      <c r="D44" s="185"/>
      <c r="E44" s="183">
        <f t="shared" si="3"/>
        <v>465735.23000000004</v>
      </c>
    </row>
    <row r="45" spans="1:5" x14ac:dyDescent="0.2">
      <c r="A45" s="181">
        <v>46002</v>
      </c>
      <c r="B45" s="178" t="s">
        <v>438</v>
      </c>
      <c r="C45" s="185">
        <v>55050</v>
      </c>
      <c r="D45" s="185"/>
      <c r="E45" s="183">
        <f t="shared" si="3"/>
        <v>520785.23000000004</v>
      </c>
    </row>
    <row r="46" spans="1:5" ht="15.75" x14ac:dyDescent="0.25">
      <c r="A46" s="181">
        <v>46013</v>
      </c>
      <c r="B46" s="178" t="s">
        <v>433</v>
      </c>
      <c r="C46" s="186">
        <v>-40600</v>
      </c>
      <c r="D46" s="185"/>
      <c r="E46" s="183">
        <f t="shared" si="3"/>
        <v>480185.23000000004</v>
      </c>
    </row>
    <row r="47" spans="1:5" ht="15.75" x14ac:dyDescent="0.25">
      <c r="A47" s="181">
        <v>46013</v>
      </c>
      <c r="B47" s="178" t="s">
        <v>434</v>
      </c>
      <c r="C47" s="186">
        <v>-24200</v>
      </c>
      <c r="D47" s="185"/>
      <c r="E47" s="183">
        <f t="shared" si="3"/>
        <v>455985.23000000004</v>
      </c>
    </row>
    <row r="48" spans="1:5" x14ac:dyDescent="0.2">
      <c r="A48" s="181">
        <v>46013</v>
      </c>
      <c r="B48" s="178" t="s">
        <v>439</v>
      </c>
      <c r="C48" s="185">
        <v>18550</v>
      </c>
      <c r="D48" s="185"/>
      <c r="E48" s="183">
        <f t="shared" si="3"/>
        <v>474535.23000000004</v>
      </c>
    </row>
    <row r="49" spans="1:5" x14ac:dyDescent="0.2">
      <c r="A49" s="181">
        <v>46014</v>
      </c>
      <c r="B49" s="178" t="s">
        <v>440</v>
      </c>
      <c r="C49" s="185">
        <v>18550</v>
      </c>
      <c r="D49" s="185"/>
      <c r="E49" s="183">
        <f t="shared" si="3"/>
        <v>493085.23000000004</v>
      </c>
    </row>
    <row r="50" spans="1:5" x14ac:dyDescent="0.2">
      <c r="A50" s="181">
        <v>46014</v>
      </c>
      <c r="B50" s="178" t="s">
        <v>359</v>
      </c>
      <c r="C50" s="185">
        <v>37100</v>
      </c>
      <c r="D50" s="185"/>
      <c r="E50" s="183">
        <f t="shared" si="3"/>
        <v>530185.23</v>
      </c>
    </row>
    <row r="51" spans="1:5" ht="15.75" x14ac:dyDescent="0.25">
      <c r="A51" s="180"/>
      <c r="B51" s="179" t="s">
        <v>436</v>
      </c>
      <c r="C51" s="184">
        <f>SUM(C37:C50)</f>
        <v>103379</v>
      </c>
      <c r="D51" s="184"/>
      <c r="E51" s="184">
        <f>E50</f>
        <v>530185.23</v>
      </c>
    </row>
    <row r="52" spans="1:5" ht="15.75" x14ac:dyDescent="0.25">
      <c r="A52" s="181">
        <v>46027</v>
      </c>
      <c r="B52" s="178" t="s">
        <v>435</v>
      </c>
      <c r="C52" s="186">
        <v>-50000</v>
      </c>
      <c r="D52" s="185"/>
      <c r="E52" s="183">
        <f>E50+C52</f>
        <v>480185.23</v>
      </c>
    </row>
    <row r="53" spans="1:5" ht="15.75" x14ac:dyDescent="0.25">
      <c r="A53" s="181">
        <v>46027</v>
      </c>
      <c r="B53" s="178" t="s">
        <v>435</v>
      </c>
      <c r="C53" s="186">
        <v>-5055</v>
      </c>
      <c r="D53" s="185"/>
      <c r="E53" s="183">
        <f t="shared" si="3"/>
        <v>475130.23</v>
      </c>
    </row>
    <row r="54" spans="1:5" x14ac:dyDescent="0.2">
      <c r="A54" s="181">
        <v>46028</v>
      </c>
      <c r="B54" s="178" t="s">
        <v>437</v>
      </c>
      <c r="C54" s="185">
        <v>26000</v>
      </c>
      <c r="D54" s="185"/>
      <c r="E54" s="183">
        <f t="shared" si="3"/>
        <v>501130.23</v>
      </c>
    </row>
    <row r="55" spans="1:5" ht="15.75" x14ac:dyDescent="0.25">
      <c r="A55" s="181">
        <v>46028</v>
      </c>
      <c r="B55" s="178" t="s">
        <v>435</v>
      </c>
      <c r="C55" s="186">
        <v>-17000</v>
      </c>
      <c r="D55" s="185"/>
      <c r="E55" s="183">
        <f t="shared" si="3"/>
        <v>484130.23</v>
      </c>
    </row>
    <row r="56" spans="1:5" x14ac:dyDescent="0.2">
      <c r="A56" s="181">
        <v>46028</v>
      </c>
      <c r="B56" s="178" t="s">
        <v>441</v>
      </c>
      <c r="C56" s="185">
        <v>37600</v>
      </c>
      <c r="D56" s="185"/>
      <c r="E56" s="183">
        <f t="shared" si="3"/>
        <v>521730.23</v>
      </c>
    </row>
    <row r="57" spans="1:5" ht="15.75" x14ac:dyDescent="0.25">
      <c r="A57" s="181">
        <v>46031</v>
      </c>
      <c r="B57" s="178" t="s">
        <v>435</v>
      </c>
      <c r="C57" s="186">
        <v>-20600</v>
      </c>
      <c r="D57" s="185"/>
      <c r="E57" s="183">
        <f t="shared" si="3"/>
        <v>501130.23</v>
      </c>
    </row>
    <row r="58" spans="1:5" ht="15.75" x14ac:dyDescent="0.25">
      <c r="A58" s="181">
        <v>46034</v>
      </c>
      <c r="B58" s="178" t="s">
        <v>435</v>
      </c>
      <c r="C58" s="186">
        <v>-26000</v>
      </c>
      <c r="D58" s="185"/>
      <c r="E58" s="183">
        <f t="shared" si="3"/>
        <v>475130.23</v>
      </c>
    </row>
    <row r="59" spans="1:5" ht="15.75" x14ac:dyDescent="0.25">
      <c r="A59" s="181">
        <v>46034</v>
      </c>
      <c r="B59" s="178" t="s">
        <v>435</v>
      </c>
      <c r="C59" s="186">
        <v>-14000</v>
      </c>
      <c r="D59" s="185"/>
      <c r="E59" s="183">
        <f t="shared" si="3"/>
        <v>461130.23</v>
      </c>
    </row>
    <row r="60" spans="1:5" ht="15.75" x14ac:dyDescent="0.25">
      <c r="A60" s="181">
        <v>46034</v>
      </c>
      <c r="B60" s="178" t="s">
        <v>435</v>
      </c>
      <c r="C60" s="186">
        <v>-19000</v>
      </c>
      <c r="D60" s="185"/>
      <c r="E60" s="183">
        <f t="shared" si="3"/>
        <v>442130.23</v>
      </c>
    </row>
    <row r="61" spans="1:5" x14ac:dyDescent="0.2">
      <c r="A61" s="181">
        <v>46035</v>
      </c>
      <c r="B61" s="178" t="s">
        <v>442</v>
      </c>
      <c r="C61" s="185">
        <v>38000</v>
      </c>
      <c r="D61" s="185"/>
      <c r="E61" s="183">
        <f t="shared" si="3"/>
        <v>480130.23</v>
      </c>
    </row>
    <row r="62" spans="1:5" x14ac:dyDescent="0.2">
      <c r="A62" s="181">
        <v>46037</v>
      </c>
      <c r="B62" s="178" t="s">
        <v>435</v>
      </c>
      <c r="C62" s="185">
        <v>16200</v>
      </c>
      <c r="D62" s="185"/>
      <c r="E62" s="183">
        <f t="shared" si="3"/>
        <v>496330.23</v>
      </c>
    </row>
    <row r="63" spans="1:5" ht="15.75" x14ac:dyDescent="0.25">
      <c r="A63" s="181">
        <v>46038</v>
      </c>
      <c r="B63" s="178" t="s">
        <v>435</v>
      </c>
      <c r="C63" s="186">
        <v>-263.10000000000002</v>
      </c>
      <c r="D63" s="185"/>
      <c r="E63" s="183">
        <f t="shared" si="3"/>
        <v>496067.13</v>
      </c>
    </row>
    <row r="64" spans="1:5" x14ac:dyDescent="0.2">
      <c r="A64" s="181">
        <v>46045</v>
      </c>
      <c r="B64" s="178" t="s">
        <v>443</v>
      </c>
      <c r="C64" s="185">
        <v>45840</v>
      </c>
      <c r="D64" s="185"/>
      <c r="E64" s="183">
        <f t="shared" si="3"/>
        <v>541907.13</v>
      </c>
    </row>
    <row r="65" spans="1:5" ht="15.75" x14ac:dyDescent="0.25">
      <c r="A65" s="181">
        <v>46048</v>
      </c>
      <c r="B65" s="178" t="s">
        <v>435</v>
      </c>
      <c r="C65" s="186">
        <v>-16200</v>
      </c>
      <c r="D65" s="185"/>
      <c r="E65" s="183">
        <f t="shared" si="3"/>
        <v>525707.13</v>
      </c>
    </row>
    <row r="66" spans="1:5" ht="15.75" x14ac:dyDescent="0.25">
      <c r="A66" s="181">
        <v>46048</v>
      </c>
      <c r="B66" s="178" t="s">
        <v>435</v>
      </c>
      <c r="C66" s="186">
        <v>-5000</v>
      </c>
      <c r="D66" s="185"/>
      <c r="E66" s="183">
        <f t="shared" si="3"/>
        <v>520707.13</v>
      </c>
    </row>
    <row r="67" spans="1:5" x14ac:dyDescent="0.2">
      <c r="A67" s="181">
        <v>46049</v>
      </c>
      <c r="B67" s="178" t="s">
        <v>449</v>
      </c>
      <c r="C67" s="185">
        <v>56550</v>
      </c>
      <c r="D67" s="185"/>
      <c r="E67" s="183">
        <f t="shared" si="3"/>
        <v>577257.13</v>
      </c>
    </row>
    <row r="68" spans="1:5" x14ac:dyDescent="0.2">
      <c r="A68" s="181">
        <v>46053</v>
      </c>
      <c r="B68" s="178" t="s">
        <v>450</v>
      </c>
      <c r="C68" s="185">
        <v>37700</v>
      </c>
      <c r="D68" s="185"/>
      <c r="E68" s="183">
        <f t="shared" si="3"/>
        <v>614957.13</v>
      </c>
    </row>
    <row r="69" spans="1:5" ht="15.75" x14ac:dyDescent="0.25">
      <c r="A69" s="180"/>
      <c r="B69" s="179" t="s">
        <v>444</v>
      </c>
      <c r="C69" s="184">
        <f>SUM(C52:C68)</f>
        <v>84771.9</v>
      </c>
      <c r="D69" s="184"/>
      <c r="E69" s="184">
        <f>E68</f>
        <v>614957.13</v>
      </c>
    </row>
    <row r="70" spans="1:5" ht="15.75" x14ac:dyDescent="0.25">
      <c r="A70" s="181">
        <v>46056</v>
      </c>
      <c r="B70" s="178" t="s">
        <v>435</v>
      </c>
      <c r="C70" s="186">
        <v>-25300</v>
      </c>
      <c r="D70" s="185"/>
      <c r="E70" s="183">
        <f t="shared" si="3"/>
        <v>589657.13</v>
      </c>
    </row>
    <row r="71" spans="1:5" ht="15.75" x14ac:dyDescent="0.25">
      <c r="A71" s="181">
        <v>46056</v>
      </c>
      <c r="B71" s="178" t="s">
        <v>435</v>
      </c>
      <c r="C71" s="186">
        <v>-24700</v>
      </c>
      <c r="D71" s="185"/>
      <c r="E71" s="183">
        <f t="shared" si="3"/>
        <v>564957.13</v>
      </c>
    </row>
    <row r="72" spans="1:5" ht="15.75" x14ac:dyDescent="0.25">
      <c r="A72" s="181">
        <v>46059</v>
      </c>
      <c r="B72" s="178" t="s">
        <v>435</v>
      </c>
      <c r="C72" s="186">
        <v>-29100</v>
      </c>
      <c r="D72" s="185"/>
      <c r="E72" s="183">
        <f t="shared" si="3"/>
        <v>535857.13</v>
      </c>
    </row>
    <row r="73" spans="1:5" ht="15.75" x14ac:dyDescent="0.25">
      <c r="A73" s="181">
        <v>46059</v>
      </c>
      <c r="B73" s="178" t="s">
        <v>435</v>
      </c>
      <c r="C73" s="186">
        <v>-16740</v>
      </c>
      <c r="D73" s="185"/>
      <c r="E73" s="183">
        <f t="shared" si="3"/>
        <v>519117.13</v>
      </c>
    </row>
    <row r="74" spans="1:5" x14ac:dyDescent="0.2">
      <c r="A74" s="181">
        <v>46062</v>
      </c>
      <c r="B74" s="178" t="s">
        <v>451</v>
      </c>
      <c r="C74" s="185">
        <v>67830</v>
      </c>
      <c r="D74" s="185"/>
      <c r="E74" s="183">
        <f t="shared" si="3"/>
        <v>586947.13</v>
      </c>
    </row>
    <row r="75" spans="1:5" ht="15.75" x14ac:dyDescent="0.25">
      <c r="A75" s="181">
        <v>46064</v>
      </c>
      <c r="B75" s="178" t="s">
        <v>435</v>
      </c>
      <c r="C75" s="186">
        <v>-11400</v>
      </c>
      <c r="D75" s="185"/>
      <c r="E75" s="183">
        <f t="shared" si="3"/>
        <v>575547.13</v>
      </c>
    </row>
    <row r="76" spans="1:5" x14ac:dyDescent="0.2">
      <c r="A76" s="181">
        <v>46066</v>
      </c>
      <c r="B76" s="178" t="s">
        <v>447</v>
      </c>
      <c r="C76" s="185">
        <v>34520</v>
      </c>
      <c r="D76" s="185"/>
      <c r="E76" s="183">
        <f t="shared" si="3"/>
        <v>610067.13</v>
      </c>
    </row>
    <row r="77" spans="1:5" ht="15.75" x14ac:dyDescent="0.25">
      <c r="A77" s="181">
        <v>46071</v>
      </c>
      <c r="B77" s="178" t="s">
        <v>435</v>
      </c>
      <c r="C77" s="186">
        <v>-64000</v>
      </c>
      <c r="D77" s="185"/>
      <c r="E77" s="183">
        <f t="shared" si="3"/>
        <v>546067.13</v>
      </c>
    </row>
    <row r="78" spans="1:5" ht="15.75" x14ac:dyDescent="0.25">
      <c r="A78" s="181">
        <v>46071</v>
      </c>
      <c r="B78" s="178" t="s">
        <v>435</v>
      </c>
      <c r="C78" s="186">
        <v>-3830</v>
      </c>
      <c r="D78" s="185"/>
      <c r="E78" s="183">
        <f t="shared" si="3"/>
        <v>542237.13</v>
      </c>
    </row>
    <row r="79" spans="1:5" ht="15.75" x14ac:dyDescent="0.25">
      <c r="A79" s="181">
        <v>46073</v>
      </c>
      <c r="B79" s="178" t="s">
        <v>435</v>
      </c>
      <c r="C79" s="186">
        <v>-18500</v>
      </c>
      <c r="D79" s="185"/>
      <c r="E79" s="183">
        <f t="shared" si="3"/>
        <v>523737.13</v>
      </c>
    </row>
    <row r="80" spans="1:5" ht="15.75" x14ac:dyDescent="0.25">
      <c r="A80" s="181">
        <v>46073</v>
      </c>
      <c r="B80" s="178" t="s">
        <v>435</v>
      </c>
      <c r="C80" s="186">
        <v>-4620</v>
      </c>
      <c r="D80" s="185"/>
      <c r="E80" s="183">
        <f t="shared" si="3"/>
        <v>519117.13</v>
      </c>
    </row>
    <row r="81" spans="1:5" x14ac:dyDescent="0.2">
      <c r="A81" s="181">
        <v>46080</v>
      </c>
      <c r="B81" s="178" t="s">
        <v>446</v>
      </c>
      <c r="C81" s="185">
        <v>18200</v>
      </c>
      <c r="D81" s="185"/>
      <c r="E81" s="183">
        <f t="shared" si="3"/>
        <v>537317.13</v>
      </c>
    </row>
    <row r="82" spans="1:5" ht="15.75" x14ac:dyDescent="0.25">
      <c r="A82" s="180"/>
      <c r="B82" s="179" t="s">
        <v>448</v>
      </c>
      <c r="C82" s="184">
        <f>SUM(C70:C81)</f>
        <v>-77640</v>
      </c>
      <c r="D82" s="184"/>
      <c r="E82" s="184">
        <f>E81</f>
        <v>537317.13</v>
      </c>
    </row>
    <row r="83" spans="1:5" ht="15.75" x14ac:dyDescent="0.25">
      <c r="A83" s="181">
        <v>46083</v>
      </c>
      <c r="B83" s="178" t="s">
        <v>435</v>
      </c>
      <c r="C83" s="186">
        <v>-18200</v>
      </c>
      <c r="D83" s="185"/>
      <c r="E83" s="183">
        <f t="shared" si="3"/>
        <v>519117.13</v>
      </c>
    </row>
    <row r="84" spans="1:5" x14ac:dyDescent="0.2">
      <c r="A84" s="181"/>
      <c r="B84" s="178"/>
      <c r="C84" s="185"/>
      <c r="D84" s="185"/>
      <c r="E84" s="183">
        <f t="shared" si="3"/>
        <v>519117.13</v>
      </c>
    </row>
    <row r="85" spans="1:5" x14ac:dyDescent="0.2">
      <c r="A85" s="181"/>
      <c r="B85" s="178"/>
      <c r="C85" s="185"/>
      <c r="D85" s="185"/>
      <c r="E85" s="183">
        <f t="shared" si="3"/>
        <v>519117.13</v>
      </c>
    </row>
    <row r="86" spans="1:5" x14ac:dyDescent="0.2">
      <c r="A86" s="181"/>
      <c r="B86" s="178"/>
      <c r="C86" s="185"/>
      <c r="D86" s="185"/>
      <c r="E86" s="183">
        <f t="shared" si="3"/>
        <v>519117.13</v>
      </c>
    </row>
    <row r="87" spans="1:5" x14ac:dyDescent="0.2">
      <c r="A87" s="181"/>
      <c r="B87" s="178"/>
      <c r="C87" s="185"/>
      <c r="D87" s="185"/>
      <c r="E87" s="183">
        <f t="shared" si="3"/>
        <v>519117.13</v>
      </c>
    </row>
    <row r="88" spans="1:5" x14ac:dyDescent="0.2">
      <c r="A88" s="181"/>
      <c r="B88" s="178"/>
      <c r="C88" s="185"/>
      <c r="D88" s="185"/>
      <c r="E88" s="183">
        <f t="shared" si="3"/>
        <v>519117.13</v>
      </c>
    </row>
    <row r="89" spans="1:5" x14ac:dyDescent="0.2">
      <c r="A89" s="181"/>
      <c r="B89" s="178"/>
      <c r="C89" s="185"/>
      <c r="D89" s="185"/>
      <c r="E89" s="183">
        <f t="shared" si="3"/>
        <v>519117.13</v>
      </c>
    </row>
    <row r="90" spans="1:5" ht="15.75" x14ac:dyDescent="0.25">
      <c r="A90" s="179"/>
      <c r="B90" s="179"/>
      <c r="C90" s="184"/>
      <c r="D90" s="184"/>
      <c r="E90" s="184">
        <f>E89</f>
        <v>519117.13</v>
      </c>
    </row>
  </sheetData>
  <pageMargins left="0.39370078740157483" right="0.39370078740157483" top="0.39370078740157483" bottom="0.39370078740157483" header="0" footer="0"/>
  <pageSetup paperSize="9" scale="97" fitToHeight="2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selection activeCell="J9" sqref="J9"/>
    </sheetView>
  </sheetViews>
  <sheetFormatPr defaultRowHeight="15" x14ac:dyDescent="0.2"/>
  <cols>
    <col min="1" max="1" width="12.7109375" style="175" bestFit="1" customWidth="1"/>
    <col min="2" max="2" width="56.85546875" style="175" customWidth="1"/>
    <col min="3" max="3" width="14.7109375" style="175" customWidth="1"/>
    <col min="4" max="4" width="1.140625" style="175" customWidth="1"/>
    <col min="5" max="5" width="14.7109375" style="175" customWidth="1"/>
    <col min="6" max="16384" width="9.140625" style="175"/>
  </cols>
  <sheetData>
    <row r="1" spans="1:5" s="170" customFormat="1" ht="15.75" x14ac:dyDescent="0.25">
      <c r="A1" s="170" t="s">
        <v>459</v>
      </c>
    </row>
    <row r="2" spans="1:5" s="170" customFormat="1" ht="15.75" x14ac:dyDescent="0.25"/>
    <row r="3" spans="1:5" s="170" customFormat="1" ht="15.75" x14ac:dyDescent="0.25">
      <c r="A3" s="171" t="s">
        <v>395</v>
      </c>
      <c r="B3" s="172" t="s">
        <v>396</v>
      </c>
      <c r="C3" s="171" t="s">
        <v>397</v>
      </c>
      <c r="D3" s="171"/>
      <c r="E3" s="192" t="s">
        <v>425</v>
      </c>
    </row>
    <row r="4" spans="1:5" x14ac:dyDescent="0.2">
      <c r="A4" s="173">
        <v>45906</v>
      </c>
      <c r="B4" s="174" t="s">
        <v>460</v>
      </c>
      <c r="C4" s="182">
        <v>-6000</v>
      </c>
      <c r="D4" s="182"/>
      <c r="E4" s="182">
        <f>C4</f>
        <v>-6000</v>
      </c>
    </row>
    <row r="5" spans="1:5" ht="14.25" customHeight="1" x14ac:dyDescent="0.2">
      <c r="A5" s="173">
        <v>45915</v>
      </c>
      <c r="B5" s="176" t="s">
        <v>461</v>
      </c>
      <c r="C5" s="183">
        <v>-24365.57</v>
      </c>
      <c r="D5" s="183"/>
      <c r="E5" s="183">
        <f>E4+C5</f>
        <v>-30365.57</v>
      </c>
    </row>
    <row r="6" spans="1:5" x14ac:dyDescent="0.2">
      <c r="A6" s="173">
        <v>45915</v>
      </c>
      <c r="B6" s="177" t="s">
        <v>110</v>
      </c>
      <c r="C6" s="183">
        <v>22000</v>
      </c>
      <c r="D6" s="183"/>
      <c r="E6" s="183">
        <f>E5+C6</f>
        <v>-8365.57</v>
      </c>
    </row>
    <row r="7" spans="1:5" x14ac:dyDescent="0.2">
      <c r="A7" s="173">
        <v>45925</v>
      </c>
      <c r="B7" s="177" t="s">
        <v>462</v>
      </c>
      <c r="C7" s="183">
        <v>-7500</v>
      </c>
      <c r="D7" s="183"/>
      <c r="E7" s="183">
        <f>E6+C7</f>
        <v>-15865.57</v>
      </c>
    </row>
    <row r="8" spans="1:5" x14ac:dyDescent="0.2">
      <c r="A8" s="173">
        <v>45925</v>
      </c>
      <c r="B8" s="177" t="s">
        <v>110</v>
      </c>
      <c r="C8" s="183">
        <v>8000</v>
      </c>
      <c r="D8" s="183"/>
      <c r="E8" s="183">
        <f>E7+C8</f>
        <v>-7865.57</v>
      </c>
    </row>
    <row r="10" spans="1:5" x14ac:dyDescent="0.2">
      <c r="A10" s="173">
        <v>45945</v>
      </c>
      <c r="B10" s="176" t="s">
        <v>461</v>
      </c>
      <c r="C10" s="183">
        <v>-22062.95</v>
      </c>
      <c r="D10" s="183"/>
      <c r="E10" s="183">
        <f>E8+C10</f>
        <v>-29928.52</v>
      </c>
    </row>
    <row r="11" spans="1:5" x14ac:dyDescent="0.2">
      <c r="A11" s="173">
        <v>45955</v>
      </c>
      <c r="B11" s="177" t="s">
        <v>462</v>
      </c>
      <c r="C11" s="183">
        <v>-8000</v>
      </c>
      <c r="D11" s="183"/>
      <c r="E11" s="183">
        <f>E10+C11</f>
        <v>-37928.520000000004</v>
      </c>
    </row>
    <row r="13" spans="1:5" x14ac:dyDescent="0.2">
      <c r="A13" s="173">
        <v>45978</v>
      </c>
      <c r="B13" s="176" t="s">
        <v>261</v>
      </c>
      <c r="C13" s="183">
        <v>-12300.78</v>
      </c>
      <c r="D13" s="183"/>
      <c r="E13" s="183">
        <f>E11+C13</f>
        <v>-50229.3</v>
      </c>
    </row>
    <row r="14" spans="1:5" x14ac:dyDescent="0.2">
      <c r="A14" s="173"/>
      <c r="B14" s="174"/>
      <c r="C14" s="183"/>
      <c r="D14" s="183"/>
      <c r="E14" s="183"/>
    </row>
  </sheetData>
  <pageMargins left="0.39370078740157483" right="0.39370078740157483" top="0.39370078740157483" bottom="0.39370078740157483" header="0" footer="0"/>
  <pageSetup paperSize="9" scale="97" fitToHeight="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34</vt:i4>
      </vt:variant>
    </vt:vector>
  </HeadingPairs>
  <TitlesOfParts>
    <vt:vector size="53" baseType="lpstr">
      <vt:lpstr>Set25</vt:lpstr>
      <vt:lpstr>Out25</vt:lpstr>
      <vt:lpstr>Nov25</vt:lpstr>
      <vt:lpstr>Dez25</vt:lpstr>
      <vt:lpstr>Jan26</vt:lpstr>
      <vt:lpstr>Fev26</vt:lpstr>
      <vt:lpstr>Mar26</vt:lpstr>
      <vt:lpstr>Abr26</vt:lpstr>
      <vt:lpstr>Mai26</vt:lpstr>
      <vt:lpstr>Jun26</vt:lpstr>
      <vt:lpstr>Jul26</vt:lpstr>
      <vt:lpstr>Ago26</vt:lpstr>
      <vt:lpstr>Set26</vt:lpstr>
      <vt:lpstr>Out26</vt:lpstr>
      <vt:lpstr>Nov26</vt:lpstr>
      <vt:lpstr>Dez26</vt:lpstr>
      <vt:lpstr>01-30abr (2)</vt:lpstr>
      <vt:lpstr>Eraldo</vt:lpstr>
      <vt:lpstr>Luiz</vt:lpstr>
      <vt:lpstr>'01-30abr (2)'!Area_de_impressao</vt:lpstr>
      <vt:lpstr>'Abr26'!Area_de_impressao</vt:lpstr>
      <vt:lpstr>'Ago26'!Area_de_impressao</vt:lpstr>
      <vt:lpstr>'Dez25'!Area_de_impressao</vt:lpstr>
      <vt:lpstr>'Dez26'!Area_de_impressao</vt:lpstr>
      <vt:lpstr>'Fev26'!Area_de_impressao</vt:lpstr>
      <vt:lpstr>'Jan26'!Area_de_impressao</vt:lpstr>
      <vt:lpstr>'Jul26'!Area_de_impressao</vt:lpstr>
      <vt:lpstr>'Jun26'!Area_de_impressao</vt:lpstr>
      <vt:lpstr>'Mai26'!Area_de_impressao</vt:lpstr>
      <vt:lpstr>'Mar26'!Area_de_impressao</vt:lpstr>
      <vt:lpstr>'Nov25'!Area_de_impressao</vt:lpstr>
      <vt:lpstr>'Nov26'!Area_de_impressao</vt:lpstr>
      <vt:lpstr>'Out25'!Area_de_impressao</vt:lpstr>
      <vt:lpstr>'Out26'!Area_de_impressao</vt:lpstr>
      <vt:lpstr>'Set25'!Area_de_impressao</vt:lpstr>
      <vt:lpstr>'Set26'!Area_de_impressao</vt:lpstr>
      <vt:lpstr>'01-30abr (2)'!Titulos_de_impressao</vt:lpstr>
      <vt:lpstr>'Abr26'!Titulos_de_impressao</vt:lpstr>
      <vt:lpstr>'Ago26'!Titulos_de_impressao</vt:lpstr>
      <vt:lpstr>'Dez25'!Titulos_de_impressao</vt:lpstr>
      <vt:lpstr>'Dez26'!Titulos_de_impressao</vt:lpstr>
      <vt:lpstr>'Fev26'!Titulos_de_impressao</vt:lpstr>
      <vt:lpstr>'Jan26'!Titulos_de_impressao</vt:lpstr>
      <vt:lpstr>'Jul26'!Titulos_de_impressao</vt:lpstr>
      <vt:lpstr>'Jun26'!Titulos_de_impressao</vt:lpstr>
      <vt:lpstr>'Mai26'!Titulos_de_impressao</vt:lpstr>
      <vt:lpstr>'Mar26'!Titulos_de_impressao</vt:lpstr>
      <vt:lpstr>'Nov25'!Titulos_de_impressao</vt:lpstr>
      <vt:lpstr>'Nov26'!Titulos_de_impressao</vt:lpstr>
      <vt:lpstr>'Out25'!Titulos_de_impressao</vt:lpstr>
      <vt:lpstr>'Out26'!Titulos_de_impressao</vt:lpstr>
      <vt:lpstr>'Set25'!Titulos_de_impressao</vt:lpstr>
      <vt:lpstr>'Set26'!Titulos_de_impressao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</cp:lastModifiedBy>
  <cp:lastPrinted>2026-04-08T14:13:28Z</cp:lastPrinted>
  <dcterms:created xsi:type="dcterms:W3CDTF">2004-01-23T16:30:28Z</dcterms:created>
  <dcterms:modified xsi:type="dcterms:W3CDTF">2026-06-10T23:07:57Z</dcterms:modified>
</cp:coreProperties>
</file>