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gar/Developer/DBF-projects/dbf_2026/docs/research/"/>
    </mc:Choice>
  </mc:AlternateContent>
  <xr:revisionPtr revIDLastSave="0" documentId="13_ncr:1_{BBD83C9A-6804-3B42-9048-D3BC802E54F8}" xr6:coauthVersionLast="47" xr6:coauthVersionMax="47" xr10:uidLastSave="{00000000-0000-0000-0000-000000000000}"/>
  <bookViews>
    <workbookView xWindow="9260" yWindow="0" windowWidth="29140" windowHeight="21600" xr2:uid="{E6240A83-6D77-5249-AF1C-FECC033D478A}"/>
  </bookViews>
  <sheets>
    <sheet name="motor" sheetId="1" r:id="rId1"/>
    <sheet name="batte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J28" i="1" s="1"/>
  <c r="E29" i="1"/>
  <c r="J29" i="1" s="1"/>
  <c r="E30" i="1"/>
  <c r="J30" i="1" s="1"/>
  <c r="E31" i="1"/>
  <c r="J31" i="1" s="1"/>
  <c r="I28" i="1"/>
  <c r="K28" i="1" s="1"/>
  <c r="I29" i="1"/>
  <c r="K29" i="1" s="1"/>
  <c r="I30" i="1"/>
  <c r="K30" i="1" s="1"/>
  <c r="I31" i="1"/>
  <c r="K31" i="1" s="1"/>
  <c r="I26" i="1"/>
  <c r="K26" i="1" s="1"/>
  <c r="I27" i="1"/>
  <c r="K27" i="1"/>
  <c r="I25" i="1"/>
  <c r="J25" i="1"/>
  <c r="K25" i="1"/>
  <c r="E26" i="1"/>
  <c r="J26" i="1" s="1"/>
  <c r="E27" i="1"/>
  <c r="J27" i="1" s="1"/>
  <c r="E25" i="1"/>
  <c r="H6" i="1"/>
  <c r="G6" i="1"/>
  <c r="I6" i="1" s="1"/>
  <c r="H5" i="1"/>
  <c r="G5" i="1"/>
  <c r="I5" i="1" s="1"/>
  <c r="I4" i="1"/>
  <c r="H4" i="1"/>
  <c r="G4" i="1"/>
  <c r="H3" i="1"/>
  <c r="G3" i="1"/>
  <c r="I3" i="1" s="1"/>
  <c r="H2" i="1"/>
  <c r="I2" i="1" s="1"/>
  <c r="G2" i="1"/>
  <c r="K21" i="1"/>
  <c r="K22" i="1"/>
  <c r="K23" i="1"/>
  <c r="J24" i="1"/>
  <c r="K24" i="1"/>
  <c r="I21" i="1"/>
  <c r="I22" i="1"/>
  <c r="I23" i="1"/>
  <c r="I24" i="1"/>
  <c r="E24" i="1"/>
  <c r="E23" i="1"/>
  <c r="J23" i="1" s="1"/>
  <c r="E22" i="1"/>
  <c r="J22" i="1" s="1"/>
  <c r="E21" i="1"/>
  <c r="J21" i="1" s="1"/>
  <c r="H20" i="1"/>
  <c r="G20" i="1"/>
  <c r="I20" i="1" s="1"/>
  <c r="K20" i="1" s="1"/>
  <c r="E20" i="1"/>
  <c r="J20" i="1" s="1"/>
  <c r="J19" i="1"/>
  <c r="H19" i="1"/>
  <c r="G19" i="1"/>
  <c r="I19" i="1" s="1"/>
  <c r="K19" i="1" s="1"/>
  <c r="E19" i="1"/>
  <c r="I14" i="1"/>
  <c r="K14" i="1" s="1"/>
  <c r="J14" i="1"/>
  <c r="I12" i="1"/>
  <c r="K12" i="1" s="1"/>
  <c r="I13" i="1"/>
  <c r="I11" i="1"/>
  <c r="K11" i="1" s="1"/>
  <c r="E11" i="1"/>
  <c r="J11" i="1"/>
  <c r="I18" i="1"/>
  <c r="K18" i="1" s="1"/>
  <c r="E18" i="1"/>
  <c r="J18" i="1" s="1"/>
  <c r="K15" i="1"/>
  <c r="J15" i="1"/>
  <c r="I8" i="1"/>
  <c r="I9" i="1"/>
  <c r="I10" i="1"/>
  <c r="I7" i="1"/>
  <c r="I15" i="1"/>
  <c r="I17" i="1"/>
  <c r="K17" i="1" s="1"/>
  <c r="I16" i="1"/>
  <c r="K16" i="1" s="1"/>
  <c r="E17" i="1"/>
  <c r="J17" i="1" s="1"/>
  <c r="E16" i="1"/>
  <c r="J16" i="1" s="1"/>
  <c r="E10" i="1"/>
  <c r="E12" i="1"/>
  <c r="J12" i="1" s="1"/>
  <c r="E13" i="1"/>
  <c r="J13" i="1" s="1"/>
  <c r="E14" i="1"/>
  <c r="E15" i="1"/>
  <c r="K13" i="1"/>
  <c r="J2" i="1"/>
  <c r="J3" i="1"/>
  <c r="J4" i="1"/>
  <c r="J5" i="1"/>
  <c r="J6" i="1"/>
  <c r="J10" i="2"/>
  <c r="H10" i="2"/>
  <c r="J9" i="2"/>
  <c r="I9" i="2"/>
  <c r="H9" i="2"/>
  <c r="J8" i="2"/>
  <c r="I8" i="2"/>
  <c r="H8" i="2"/>
  <c r="J7" i="2"/>
  <c r="I7" i="2"/>
  <c r="H7" i="2"/>
  <c r="J6" i="2"/>
  <c r="H6" i="2"/>
  <c r="E2" i="2"/>
  <c r="I2" i="2" s="1"/>
  <c r="E3" i="2"/>
  <c r="I3" i="2" s="1"/>
  <c r="E4" i="2"/>
  <c r="I4" i="2" s="1"/>
  <c r="E5" i="2"/>
  <c r="I5" i="2" s="1"/>
  <c r="E6" i="2"/>
  <c r="I6" i="2" s="1"/>
  <c r="E7" i="2"/>
  <c r="E8" i="2"/>
  <c r="E9" i="2"/>
  <c r="E10" i="2"/>
  <c r="I10" i="2" s="1"/>
  <c r="E11" i="2"/>
  <c r="E12" i="2"/>
  <c r="E13" i="2"/>
  <c r="H3" i="2"/>
  <c r="H4" i="2"/>
  <c r="H5" i="2"/>
  <c r="J5" i="2"/>
  <c r="G14" i="2"/>
  <c r="J4" i="2"/>
  <c r="J3" i="2"/>
  <c r="J2" i="2"/>
  <c r="H2" i="2"/>
  <c r="H14" i="2" l="1"/>
  <c r="I14" i="2"/>
  <c r="J14" i="2"/>
  <c r="K10" i="1"/>
  <c r="K9" i="1"/>
  <c r="K8" i="1"/>
  <c r="K7" i="1"/>
  <c r="K6" i="1"/>
  <c r="K5" i="1"/>
  <c r="K4" i="1"/>
  <c r="K3" i="1"/>
  <c r="K2" i="1"/>
  <c r="D3" i="1"/>
  <c r="D4" i="1"/>
  <c r="D5" i="1"/>
  <c r="D6" i="1"/>
  <c r="D2" i="1"/>
  <c r="F32" i="1"/>
  <c r="E8" i="1"/>
  <c r="J8" i="1" s="1"/>
  <c r="E9" i="1"/>
  <c r="J9" i="1" s="1"/>
  <c r="J10" i="1"/>
  <c r="E7" i="1"/>
  <c r="J7" i="1" s="1"/>
  <c r="J32" i="1" s="1"/>
  <c r="K32" i="1" l="1"/>
  <c r="I32" i="1"/>
  <c r="E32" i="1"/>
  <c r="D32" i="1"/>
</calcChain>
</file>

<file path=xl/sharedStrings.xml><?xml version="1.0" encoding="utf-8"?>
<sst xmlns="http://schemas.openxmlformats.org/spreadsheetml/2006/main" count="101" uniqueCount="44">
  <si>
    <t>kv (rpm/V)</t>
  </si>
  <si>
    <t>mass (g)</t>
  </si>
  <si>
    <t>manufacturer</t>
  </si>
  <si>
    <t>item name</t>
  </si>
  <si>
    <t>Tmotor</t>
  </si>
  <si>
    <t>AT2308 Long Shaft</t>
  </si>
  <si>
    <t>AT 2308 Long Shaft</t>
  </si>
  <si>
    <t>AT2310</t>
  </si>
  <si>
    <t>AT 2312 Long Shaft</t>
  </si>
  <si>
    <t>SunnySky</t>
  </si>
  <si>
    <t>max power (W)</t>
  </si>
  <si>
    <t>max continuos power (W)</t>
  </si>
  <si>
    <t>Total</t>
  </si>
  <si>
    <t>volume (m^3)</t>
  </si>
  <si>
    <t># series</t>
  </si>
  <si>
    <t>capacity (A*hr)</t>
  </si>
  <si>
    <t>nom energy (W*hr)</t>
  </si>
  <si>
    <t>C cont</t>
  </si>
  <si>
    <t>energy density (kg/Whr)</t>
  </si>
  <si>
    <t>mass density (kg/m^3)</t>
  </si>
  <si>
    <t>Upgrade Energy</t>
  </si>
  <si>
    <t>Dark Lithium Red 2800 mAh 4S 30C</t>
  </si>
  <si>
    <t>Dark Lithium Red 2800 mAh 6S 30C</t>
  </si>
  <si>
    <t>Lumenier</t>
  </si>
  <si>
    <t>2250 mAh 4s 35C</t>
  </si>
  <si>
    <t>550 mAh 4s 80C</t>
  </si>
  <si>
    <t>6000 mAh 4s 35C</t>
  </si>
  <si>
    <t>CNHL</t>
  </si>
  <si>
    <t>5200 mAh 6s 90C</t>
  </si>
  <si>
    <t>5200 mAh 3s 90C</t>
  </si>
  <si>
    <t>5200 mAh 4s 90C</t>
  </si>
  <si>
    <t>9500 mAh 4s 90C</t>
  </si>
  <si>
    <t>X Series X2820 V3</t>
  </si>
  <si>
    <t>X Series X2216 V3</t>
  </si>
  <si>
    <t>X Series X2212 V3</t>
  </si>
  <si>
    <t>continuous power loading (W/g)</t>
  </si>
  <si>
    <t>mass density (g/m^3)</t>
  </si>
  <si>
    <t>X Series X2814 V3</t>
  </si>
  <si>
    <t>diameter (m)</t>
  </si>
  <si>
    <t>length (m)</t>
  </si>
  <si>
    <t>X Series X3520 V3</t>
  </si>
  <si>
    <t>X Series 3530 V3</t>
  </si>
  <si>
    <t>X Series X4120 V3</t>
  </si>
  <si>
    <t>X Series X4125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</si>
</sst>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168" fontId="0" fillId="0" borderId="0" xfId="0" applyNumberFormat="1" applyAlignment="1">
      <alignment vertical="center" wrapText="1"/>
    </xf>
  </cellXfs>
  <cellStyles count="1">
    <cellStyle name="Normal" xfId="0" builtinId="0"/>
  </cellStyles>
  <dxfs count="48">
    <dxf>
      <numFmt numFmtId="168" formatCode="0.0000E+00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from</a:t>
            </a:r>
            <a:r>
              <a:rPr lang="en-US" baseline="0"/>
              <a:t>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motor!$D$2:$D$31</c:f>
              <c:numCache>
                <c:formatCode>General</c:formatCode>
                <c:ptCount val="30"/>
                <c:pt idx="0">
                  <c:v>125</c:v>
                </c:pt>
                <c:pt idx="1">
                  <c:v>150</c:v>
                </c:pt>
                <c:pt idx="2">
                  <c:v>325</c:v>
                </c:pt>
                <c:pt idx="3">
                  <c:v>175</c:v>
                </c:pt>
                <c:pt idx="4">
                  <c:v>160</c:v>
                </c:pt>
                <c:pt idx="5">
                  <c:v>385</c:v>
                </c:pt>
                <c:pt idx="6">
                  <c:v>518</c:v>
                </c:pt>
                <c:pt idx="7">
                  <c:v>560</c:v>
                </c:pt>
                <c:pt idx="8">
                  <c:v>450</c:v>
                </c:pt>
                <c:pt idx="9">
                  <c:v>1025</c:v>
                </c:pt>
                <c:pt idx="10">
                  <c:v>960</c:v>
                </c:pt>
                <c:pt idx="11">
                  <c:v>1036</c:v>
                </c:pt>
                <c:pt idx="12">
                  <c:v>1172</c:v>
                </c:pt>
                <c:pt idx="13">
                  <c:v>680</c:v>
                </c:pt>
                <c:pt idx="14">
                  <c:v>750</c:v>
                </c:pt>
                <c:pt idx="15">
                  <c:v>815</c:v>
                </c:pt>
                <c:pt idx="16">
                  <c:v>1180</c:v>
                </c:pt>
                <c:pt idx="17">
                  <c:v>2000</c:v>
                </c:pt>
                <c:pt idx="18">
                  <c:v>1395</c:v>
                </c:pt>
                <c:pt idx="19">
                  <c:v>2300</c:v>
                </c:pt>
                <c:pt idx="20">
                  <c:v>2250</c:v>
                </c:pt>
                <c:pt idx="21">
                  <c:v>2310</c:v>
                </c:pt>
                <c:pt idx="22">
                  <c:v>1800</c:v>
                </c:pt>
                <c:pt idx="23">
                  <c:v>2425</c:v>
                </c:pt>
                <c:pt idx="24">
                  <c:v>2500</c:v>
                </c:pt>
                <c:pt idx="25">
                  <c:v>2750</c:v>
                </c:pt>
                <c:pt idx="26">
                  <c:v>2250</c:v>
                </c:pt>
                <c:pt idx="27">
                  <c:v>2430</c:v>
                </c:pt>
                <c:pt idx="28">
                  <c:v>2750</c:v>
                </c:pt>
                <c:pt idx="29">
                  <c:v>2760</c:v>
                </c:pt>
              </c:numCache>
            </c:numRef>
          </c:xVal>
          <c:yVal>
            <c:numRef>
              <c:f>motor!$F$2:$F$31</c:f>
              <c:numCache>
                <c:formatCode>General</c:formatCode>
                <c:ptCount val="30"/>
                <c:pt idx="0">
                  <c:v>47</c:v>
                </c:pt>
                <c:pt idx="1">
                  <c:v>48</c:v>
                </c:pt>
                <c:pt idx="2">
                  <c:v>52</c:v>
                </c:pt>
                <c:pt idx="3">
                  <c:v>60</c:v>
                </c:pt>
                <c:pt idx="4">
                  <c:v>60</c:v>
                </c:pt>
                <c:pt idx="5">
                  <c:v>57</c:v>
                </c:pt>
                <c:pt idx="6">
                  <c:v>59</c:v>
                </c:pt>
                <c:pt idx="7">
                  <c:v>57</c:v>
                </c:pt>
                <c:pt idx="8">
                  <c:v>67.5</c:v>
                </c:pt>
                <c:pt idx="9">
                  <c:v>149</c:v>
                </c:pt>
                <c:pt idx="10">
                  <c:v>143</c:v>
                </c:pt>
                <c:pt idx="11">
                  <c:v>147</c:v>
                </c:pt>
                <c:pt idx="12">
                  <c:v>144</c:v>
                </c:pt>
                <c:pt idx="13">
                  <c:v>108</c:v>
                </c:pt>
                <c:pt idx="14">
                  <c:v>113</c:v>
                </c:pt>
                <c:pt idx="15">
                  <c:v>110</c:v>
                </c:pt>
                <c:pt idx="16">
                  <c:v>109</c:v>
                </c:pt>
                <c:pt idx="17">
                  <c:v>219</c:v>
                </c:pt>
                <c:pt idx="18">
                  <c:v>219</c:v>
                </c:pt>
                <c:pt idx="19">
                  <c:v>307</c:v>
                </c:pt>
                <c:pt idx="20">
                  <c:v>305</c:v>
                </c:pt>
                <c:pt idx="21">
                  <c:v>305</c:v>
                </c:pt>
                <c:pt idx="22">
                  <c:v>303</c:v>
                </c:pt>
                <c:pt idx="23">
                  <c:v>292</c:v>
                </c:pt>
                <c:pt idx="24">
                  <c:v>293</c:v>
                </c:pt>
                <c:pt idx="25">
                  <c:v>290</c:v>
                </c:pt>
                <c:pt idx="26">
                  <c:v>351</c:v>
                </c:pt>
                <c:pt idx="27">
                  <c:v>344</c:v>
                </c:pt>
                <c:pt idx="28">
                  <c:v>355</c:v>
                </c:pt>
                <c:pt idx="29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A-9A48-90FE-966007DC4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52384"/>
        <c:axId val="250954096"/>
      </c:scatterChart>
      <c:valAx>
        <c:axId val="25095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continuous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54096"/>
        <c:crosses val="autoZero"/>
        <c:crossBetween val="midCat"/>
      </c:valAx>
      <c:valAx>
        <c:axId val="2509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5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  <a:r>
              <a:rPr lang="en-US" baseline="0"/>
              <a:t> from 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motor!$D$2:$D$31</c:f>
              <c:numCache>
                <c:formatCode>General</c:formatCode>
                <c:ptCount val="30"/>
                <c:pt idx="0">
                  <c:v>125</c:v>
                </c:pt>
                <c:pt idx="1">
                  <c:v>150</c:v>
                </c:pt>
                <c:pt idx="2">
                  <c:v>325</c:v>
                </c:pt>
                <c:pt idx="3">
                  <c:v>175</c:v>
                </c:pt>
                <c:pt idx="4">
                  <c:v>160</c:v>
                </c:pt>
                <c:pt idx="5">
                  <c:v>385</c:v>
                </c:pt>
                <c:pt idx="6">
                  <c:v>518</c:v>
                </c:pt>
                <c:pt idx="7">
                  <c:v>560</c:v>
                </c:pt>
                <c:pt idx="8">
                  <c:v>450</c:v>
                </c:pt>
                <c:pt idx="9">
                  <c:v>1025</c:v>
                </c:pt>
                <c:pt idx="10">
                  <c:v>960</c:v>
                </c:pt>
                <c:pt idx="11">
                  <c:v>1036</c:v>
                </c:pt>
                <c:pt idx="12">
                  <c:v>1172</c:v>
                </c:pt>
                <c:pt idx="13">
                  <c:v>680</c:v>
                </c:pt>
                <c:pt idx="14">
                  <c:v>750</c:v>
                </c:pt>
                <c:pt idx="15">
                  <c:v>815</c:v>
                </c:pt>
                <c:pt idx="16">
                  <c:v>1180</c:v>
                </c:pt>
                <c:pt idx="17">
                  <c:v>2000</c:v>
                </c:pt>
                <c:pt idx="18">
                  <c:v>1395</c:v>
                </c:pt>
                <c:pt idx="19">
                  <c:v>2300</c:v>
                </c:pt>
                <c:pt idx="20">
                  <c:v>2250</c:v>
                </c:pt>
                <c:pt idx="21">
                  <c:v>2310</c:v>
                </c:pt>
                <c:pt idx="22">
                  <c:v>1800</c:v>
                </c:pt>
                <c:pt idx="23">
                  <c:v>2425</c:v>
                </c:pt>
                <c:pt idx="24">
                  <c:v>2500</c:v>
                </c:pt>
                <c:pt idx="25">
                  <c:v>2750</c:v>
                </c:pt>
                <c:pt idx="26">
                  <c:v>2250</c:v>
                </c:pt>
                <c:pt idx="27">
                  <c:v>2430</c:v>
                </c:pt>
                <c:pt idx="28">
                  <c:v>2750</c:v>
                </c:pt>
                <c:pt idx="29">
                  <c:v>2760</c:v>
                </c:pt>
              </c:numCache>
            </c:numRef>
          </c:xVal>
          <c:yVal>
            <c:numRef>
              <c:f>motor!$I$2:$I$31</c:f>
              <c:numCache>
                <c:formatCode>0.0000E+00</c:formatCode>
                <c:ptCount val="30"/>
                <c:pt idx="0">
                  <c:v>1.6703031325046997E-5</c:v>
                </c:pt>
                <c:pt idx="1">
                  <c:v>1.6703031325046997E-5</c:v>
                </c:pt>
                <c:pt idx="2">
                  <c:v>1.6937456968857865E-5</c:v>
                </c:pt>
                <c:pt idx="3">
                  <c:v>1.9543219579451382E-5</c:v>
                </c:pt>
                <c:pt idx="4">
                  <c:v>1.9543219579451382E-5</c:v>
                </c:pt>
                <c:pt idx="5">
                  <c:v>1.9438604544086845E-5</c:v>
                </c:pt>
                <c:pt idx="6">
                  <c:v>1.9438604544086845E-5</c:v>
                </c:pt>
                <c:pt idx="7">
                  <c:v>1.9438604544086845E-5</c:v>
                </c:pt>
                <c:pt idx="8">
                  <c:v>2.0489357330969755E-5</c:v>
                </c:pt>
                <c:pt idx="9">
                  <c:v>4.0408735506798719E-5</c:v>
                </c:pt>
                <c:pt idx="10">
                  <c:v>4.0408735506798719E-5</c:v>
                </c:pt>
                <c:pt idx="11">
                  <c:v>4.0408735506798719E-5</c:v>
                </c:pt>
                <c:pt idx="12">
                  <c:v>4.0408735506798719E-5</c:v>
                </c:pt>
                <c:pt idx="13">
                  <c:v>3.4636059005827471E-5</c:v>
                </c:pt>
                <c:pt idx="14">
                  <c:v>3.4636059005827471E-5</c:v>
                </c:pt>
                <c:pt idx="15">
                  <c:v>3.4636059005827471E-5</c:v>
                </c:pt>
                <c:pt idx="16">
                  <c:v>3.4636059005827471E-5</c:v>
                </c:pt>
                <c:pt idx="17">
                  <c:v>6.3838144468648857E-5</c:v>
                </c:pt>
                <c:pt idx="18">
                  <c:v>6.3838144468648857E-5</c:v>
                </c:pt>
                <c:pt idx="19">
                  <c:v>7.9871066226703491E-5</c:v>
                </c:pt>
                <c:pt idx="20">
                  <c:v>7.9871066226703491E-5</c:v>
                </c:pt>
                <c:pt idx="21">
                  <c:v>7.9871066226703491E-5</c:v>
                </c:pt>
                <c:pt idx="22">
                  <c:v>7.9871066226703491E-5</c:v>
                </c:pt>
                <c:pt idx="23">
                  <c:v>9.506020332189376E-5</c:v>
                </c:pt>
                <c:pt idx="24">
                  <c:v>9.506020332189376E-5</c:v>
                </c:pt>
                <c:pt idx="25">
                  <c:v>9.506020332189376E-5</c:v>
                </c:pt>
                <c:pt idx="26">
                  <c:v>1.0476022406902578E-4</c:v>
                </c:pt>
                <c:pt idx="27">
                  <c:v>1.0476022406902578E-4</c:v>
                </c:pt>
                <c:pt idx="28">
                  <c:v>1.0476022406902578E-4</c:v>
                </c:pt>
                <c:pt idx="29">
                  <c:v>9.506020332189376E-5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2-9D43-9D5D-843646C92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28272"/>
        <c:axId val="411349727"/>
      </c:scatterChart>
      <c:valAx>
        <c:axId val="95562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continuous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49727"/>
        <c:crosses val="autoZero"/>
        <c:crossBetween val="midCat"/>
      </c:valAx>
      <c:valAx>
        <c:axId val="41134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2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mass from energy (LiPo)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battery!$E$2:$E$10</c:f>
              <c:numCache>
                <c:formatCode>General</c:formatCode>
                <c:ptCount val="9"/>
                <c:pt idx="0">
                  <c:v>41.44</c:v>
                </c:pt>
                <c:pt idx="1">
                  <c:v>62.159999999999989</c:v>
                </c:pt>
                <c:pt idx="2">
                  <c:v>33.300000000000004</c:v>
                </c:pt>
                <c:pt idx="3">
                  <c:v>8.14</c:v>
                </c:pt>
                <c:pt idx="4">
                  <c:v>88.800000000000011</c:v>
                </c:pt>
                <c:pt idx="5">
                  <c:v>115.44000000000001</c:v>
                </c:pt>
                <c:pt idx="6">
                  <c:v>57.720000000000006</c:v>
                </c:pt>
                <c:pt idx="7">
                  <c:v>76.960000000000008</c:v>
                </c:pt>
                <c:pt idx="8">
                  <c:v>140.6</c:v>
                </c:pt>
              </c:numCache>
            </c:numRef>
          </c:xVal>
          <c:yVal>
            <c:numRef>
              <c:f>battery!$G$2:$G$10</c:f>
              <c:numCache>
                <c:formatCode>General</c:formatCode>
                <c:ptCount val="9"/>
                <c:pt idx="0">
                  <c:v>191.5</c:v>
                </c:pt>
                <c:pt idx="1">
                  <c:v>287.8</c:v>
                </c:pt>
                <c:pt idx="2">
                  <c:v>219</c:v>
                </c:pt>
                <c:pt idx="3">
                  <c:v>59</c:v>
                </c:pt>
                <c:pt idx="4">
                  <c:v>540</c:v>
                </c:pt>
                <c:pt idx="5">
                  <c:v>790</c:v>
                </c:pt>
                <c:pt idx="6">
                  <c:v>395</c:v>
                </c:pt>
                <c:pt idx="7">
                  <c:v>530</c:v>
                </c:pt>
                <c:pt idx="8">
                  <c:v>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6-6C4F-8363-806920449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10623"/>
        <c:axId val="251479632"/>
      </c:scatterChart>
      <c:valAx>
        <c:axId val="41491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(W*hr)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79632"/>
        <c:crosses val="autoZero"/>
        <c:crossBetween val="midCat"/>
      </c:valAx>
      <c:valAx>
        <c:axId val="2514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1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237559</xdr:colOff>
      <xdr:row>1</xdr:row>
      <xdr:rowOff>164342</xdr:rowOff>
    </xdr:from>
    <xdr:to>
      <xdr:col>19</xdr:col>
      <xdr:colOff>293729</xdr:colOff>
      <xdr:row>19</xdr:row>
      <xdr:rowOff>209497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B431AD-89CA-8C5C-898A-60778E60B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206435</xdr:colOff>
      <xdr:row>21</xdr:row>
      <xdr:rowOff>160177</xdr:rowOff>
    </xdr:from>
    <xdr:to>
      <xdr:col>19</xdr:col>
      <xdr:colOff>192132</xdr:colOff>
      <xdr:row>40</xdr:row>
      <xdr:rowOff>180969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625479-466A-E881-FB65-8DEFD683C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556391</xdr:colOff>
      <xdr:row>0</xdr:row>
      <xdr:rowOff>306041</xdr:rowOff>
    </xdr:from>
    <xdr:to>
      <xdr:col>20</xdr:col>
      <xdr:colOff>240269</xdr:colOff>
      <xdr:row>23</xdr:row>
      <xdr:rowOff>68649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13D60-8FD5-6331-6A69-72D297257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4CBE51-F447-B249-9E33-6231B841746C}" name="Table1" displayName="Table1" ref="A1:K32" totalsRowCount="1" headerRowDxfId="24" dataDxfId="22" totalsRowDxfId="23">
  <autoFilter ref="A1:K31" xr:uid="{484CBE51-F447-B249-9E33-6231B841746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5" xr3:uid="{BE0C72AA-BB49-E543-9ABC-36311E10C36F}" name="manufacturer" totalsRowLabel="Total" dataDxfId="21" totalsRowDxfId="13"/>
    <tableColumn id="1" xr3:uid="{66ADC835-0F36-BE48-A13D-78E3A607DE67}" name="item name" dataDxfId="20" totalsRowDxfId="12"/>
    <tableColumn id="2" xr3:uid="{02E66CCA-27C6-874F-9AF3-FC35C2B7D017}" name="kv (rpm/V)" dataDxfId="19" totalsRowDxfId="11"/>
    <tableColumn id="3" xr3:uid="{B68BC830-9B91-5545-8CB7-B00C6AC39383}" name="max continuos power (W)" totalsRowFunction="average" dataDxfId="18" totalsRowDxfId="10"/>
    <tableColumn id="13" xr3:uid="{DC1E22ED-2B12-E04B-9DB3-DDE03DE18750}" name="max power (W)" totalsRowFunction="average" dataDxfId="17" totalsRowDxfId="9"/>
    <tableColumn id="12" xr3:uid="{CBE68A3D-503A-7249-B50F-402B016516AD}" name="mass (g)" totalsRowFunction="average" dataDxfId="16" totalsRowDxfId="8"/>
    <tableColumn id="7" xr3:uid="{C599C139-803E-B74F-A292-FA3819AF58B5}" name="diameter (m)" dataDxfId="15" totalsRowDxfId="7"/>
    <tableColumn id="8" xr3:uid="{617AFCDF-494F-804E-8DDE-691783839A29}" name="length (m)" dataDxfId="2" totalsRowDxfId="6"/>
    <tableColumn id="14" xr3:uid="{054BBE7D-C099-8C45-BC8C-2036F2E7B2D7}" name="volume (m^3)" totalsRowFunction="average" dataDxfId="0" totalsRowDxfId="5">
      <calculatedColumnFormula>0.026*0.0288</calculatedColumnFormula>
    </tableColumn>
    <tableColumn id="4" xr3:uid="{9B88D268-F34C-9144-9472-76B4B0A77CDA}" name="continuous power loading (W/g)" totalsRowFunction="average" dataDxfId="1" totalsRowDxfId="4">
      <calculatedColumnFormula>Table1[[#This Row],[max power (W)]]/Table1[[#This Row],[mass (g)]]</calculatedColumnFormula>
    </tableColumn>
    <tableColumn id="6" xr3:uid="{AAC5D48B-2B5D-A642-B295-7C671505D078}" name="mass density (g/m^3)" totalsRowFunction="average" dataDxfId="14" totalsRowDxfId="3">
      <calculatedColumnFormula>Table1[[#This Row],[mass (g)]]/Table1[[#This Row],[volume (m^3)]]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B1C23E-C269-8649-883D-1D1ABDEB0FB8}" name="Table14" displayName="Table14" ref="A1:J14" totalsRowCount="1" headerRowDxfId="47" dataDxfId="46" totalsRowDxfId="45">
  <autoFilter ref="A1:J13" xr:uid="{6EB1C23E-C269-8649-883D-1D1ABDEB0FB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xmlns:xlrd2="http://schemas.microsoft.com/office/spreadsheetml/2017/richdata2" ref="A2:J13">
    <sortCondition descending="1" ref="A1:A13"/>
  </sortState>
  <tableColumns count="10">
    <tableColumn id="5" xr3:uid="{D64BD357-158F-FF4A-A22A-7903069E85CD}" name="manufacturer" totalsRowLabel="Total" dataDxfId="44" totalsRowDxfId="34"/>
    <tableColumn id="1" xr3:uid="{6F7F129F-8C5A-D14F-890C-02FAE8BADDAD}" name="item name" dataDxfId="43" totalsRowDxfId="33"/>
    <tableColumn id="2" xr3:uid="{3E71A269-3428-F847-ACE1-41FAFC59952B}" name="# series" dataDxfId="42" totalsRowDxfId="32"/>
    <tableColumn id="3" xr3:uid="{2F27C134-0728-A64A-B67B-D9B73C65033D}" name="capacity (A*hr)" dataDxfId="41" totalsRowDxfId="31"/>
    <tableColumn id="13" xr3:uid="{49D92AC8-F825-6B47-8360-83807EC4DF91}" name="nom energy (W*hr)" dataDxfId="35" totalsRowDxfId="30">
      <calculatedColumnFormula>Table14[[#This Row],[capacity (A*hr)]]*Table14[[#This Row],['# series]]*3.7</calculatedColumnFormula>
    </tableColumn>
    <tableColumn id="15" xr3:uid="{AB55E866-558B-1A49-AC38-73B41F6B2720}" name="C cont" dataDxfId="40" totalsRowDxfId="29"/>
    <tableColumn id="12" xr3:uid="{0E6A6A0D-F0DF-BD49-99A9-A28432ED0377}" name="mass (g)" totalsRowFunction="average" dataDxfId="39" totalsRowDxfId="28"/>
    <tableColumn id="14" xr3:uid="{C25CC8A2-E131-0444-88BE-FE907368F8F0}" name="volume (m^3)" totalsRowFunction="average" dataDxfId="38" totalsRowDxfId="27">
      <calculatedColumnFormula>0.076*0.038*0.038</calculatedColumnFormula>
    </tableColumn>
    <tableColumn id="17" xr3:uid="{E14709D6-ED58-A54B-923B-CB0A686A69A6}" name="energy density (kg/Whr)" totalsRowFunction="average" dataDxfId="37" totalsRowDxfId="26">
      <calculatedColumnFormula>Table14[[#This Row],[mass (g)]]/1000/Table14[[#This Row],[nom energy (W*hr)]]</calculatedColumnFormula>
    </tableColumn>
    <tableColumn id="18" xr3:uid="{1BA6E9B1-3AD2-F647-91FC-F1ABE86C67C7}" name="mass density (kg/m^3)" totalsRowFunction="average" dataDxfId="36" totalsRowDxfId="25">
      <calculatedColumnFormula>Table14[[#This Row],[mass (g)]]/1000/Table14[[#This Row],[volume (m^3)]]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98AB0-DC96-5043-854D-9A6EBF754290}">
  <dimension ref="A1:K32"/>
  <sheetViews>
    <sheetView tabSelected="1" topLeftCell="D1" workbookViewId="0">
      <selection activeCell="J37" sqref="J37"/>
    </sheetView>
  </sheetViews>
  <sheetFormatPr baseColWidth="10" defaultRowHeight="16" x14ac:dyDescent="0.2"/>
  <cols>
    <col min="1" max="1" width="19.33203125" customWidth="1"/>
    <col min="2" max="2" width="26.33203125" customWidth="1"/>
    <col min="3" max="3" width="12.5" customWidth="1"/>
    <col min="4" max="4" width="13.33203125" customWidth="1"/>
    <col min="5" max="5" width="14.83203125" customWidth="1"/>
    <col min="6" max="6" width="12" bestFit="1" customWidth="1"/>
    <col min="7" max="7" width="11.1640625" customWidth="1"/>
    <col min="8" max="8" width="11.6640625" customWidth="1"/>
    <col min="9" max="9" width="13.5" customWidth="1"/>
    <col min="10" max="10" width="17" customWidth="1"/>
    <col min="11" max="11" width="16.83203125" customWidth="1"/>
  </cols>
  <sheetData>
    <row r="1" spans="1:11" ht="34" x14ac:dyDescent="0.2">
      <c r="A1" s="2" t="s">
        <v>2</v>
      </c>
      <c r="B1" s="2" t="s">
        <v>3</v>
      </c>
      <c r="C1" s="3" t="s">
        <v>0</v>
      </c>
      <c r="D1" s="2" t="s">
        <v>11</v>
      </c>
      <c r="E1" s="2" t="s">
        <v>10</v>
      </c>
      <c r="F1" s="2" t="s">
        <v>1</v>
      </c>
      <c r="G1" s="2" t="s">
        <v>38</v>
      </c>
      <c r="H1" s="2" t="s">
        <v>39</v>
      </c>
      <c r="I1" s="2" t="s">
        <v>13</v>
      </c>
      <c r="J1" s="2" t="s">
        <v>35</v>
      </c>
      <c r="K1" s="2" t="s">
        <v>36</v>
      </c>
    </row>
    <row r="2" spans="1:11" ht="17" x14ac:dyDescent="0.2">
      <c r="A2" s="1" t="s">
        <v>4</v>
      </c>
      <c r="B2" s="1" t="s">
        <v>5</v>
      </c>
      <c r="C2" s="1">
        <v>1450</v>
      </c>
      <c r="D2" s="1">
        <f>Table1[[#This Row],[max power (W)]]/2</f>
        <v>125</v>
      </c>
      <c r="E2" s="1">
        <v>250</v>
      </c>
      <c r="F2" s="1">
        <v>47</v>
      </c>
      <c r="G2" s="1">
        <f>0.0286</f>
        <v>2.86E-2</v>
      </c>
      <c r="H2" s="1">
        <f>0.026</f>
        <v>2.5999999999999999E-2</v>
      </c>
      <c r="I2" s="5">
        <f>PI()/4*Table1[[#This Row],[diameter (m)]]^2*Table1[[#This Row],[length (m)]]</f>
        <v>1.6703031325046997E-5</v>
      </c>
      <c r="J2" s="1">
        <f>Table1[[#This Row],[max power (W)]]/Table1[[#This Row],[mass (g)]]</f>
        <v>5.3191489361702127</v>
      </c>
      <c r="K2" s="1">
        <f>Table1[[#This Row],[mass (g)]]/Table1[[#This Row],[volume (m^3)]]</f>
        <v>2813860.4954611589</v>
      </c>
    </row>
    <row r="3" spans="1:11" ht="17" x14ac:dyDescent="0.2">
      <c r="A3" s="1" t="s">
        <v>4</v>
      </c>
      <c r="B3" s="1" t="s">
        <v>6</v>
      </c>
      <c r="C3" s="1">
        <v>2600</v>
      </c>
      <c r="D3" s="1">
        <f>Table1[[#This Row],[max power (W)]]/2</f>
        <v>150</v>
      </c>
      <c r="E3" s="1">
        <v>300</v>
      </c>
      <c r="F3" s="1">
        <v>48</v>
      </c>
      <c r="G3" s="1">
        <f>0.0286</f>
        <v>2.86E-2</v>
      </c>
      <c r="H3" s="1">
        <f>0.026</f>
        <v>2.5999999999999999E-2</v>
      </c>
      <c r="I3" s="5">
        <f>PI()/4*Table1[[#This Row],[diameter (m)]]^2*Table1[[#This Row],[length (m)]]</f>
        <v>1.6703031325046997E-5</v>
      </c>
      <c r="J3" s="1">
        <f>Table1[[#This Row],[max power (W)]]/Table1[[#This Row],[mass (g)]]</f>
        <v>6.25</v>
      </c>
      <c r="K3" s="1">
        <f>Table1[[#This Row],[mass (g)]]/Table1[[#This Row],[volume (m^3)]]</f>
        <v>2873729.8677050131</v>
      </c>
    </row>
    <row r="4" spans="1:11" ht="17" x14ac:dyDescent="0.2">
      <c r="A4" s="1" t="s">
        <v>4</v>
      </c>
      <c r="B4" s="1" t="s">
        <v>7</v>
      </c>
      <c r="C4" s="1">
        <v>2200</v>
      </c>
      <c r="D4" s="1">
        <f>Table1[[#This Row],[max power (W)]]/2</f>
        <v>325</v>
      </c>
      <c r="E4" s="1">
        <v>650</v>
      </c>
      <c r="F4" s="1">
        <v>52</v>
      </c>
      <c r="G4" s="1">
        <f>0.0288</f>
        <v>2.8799999999999999E-2</v>
      </c>
      <c r="H4" s="1">
        <f>0.026</f>
        <v>2.5999999999999999E-2</v>
      </c>
      <c r="I4" s="5">
        <f>PI()/4*Table1[[#This Row],[diameter (m)]]^2*Table1[[#This Row],[length (m)]]</f>
        <v>1.6937456968857865E-5</v>
      </c>
      <c r="J4" s="1">
        <f>Table1[[#This Row],[max power (W)]]/Table1[[#This Row],[mass (g)]]</f>
        <v>12.5</v>
      </c>
      <c r="K4" s="1">
        <f>Table1[[#This Row],[mass (g)]]/Table1[[#This Row],[volume (m^3)]]</f>
        <v>3070118.5010010679</v>
      </c>
    </row>
    <row r="5" spans="1:11" ht="17" x14ac:dyDescent="0.2">
      <c r="A5" s="1" t="s">
        <v>4</v>
      </c>
      <c r="B5" s="1" t="s">
        <v>8</v>
      </c>
      <c r="C5" s="1">
        <v>1150</v>
      </c>
      <c r="D5" s="1">
        <f>Table1[[#This Row],[max power (W)]]/2</f>
        <v>175</v>
      </c>
      <c r="E5" s="1">
        <v>350</v>
      </c>
      <c r="F5" s="1">
        <v>60</v>
      </c>
      <c r="G5" s="1">
        <f>0.0288</f>
        <v>2.8799999999999999E-2</v>
      </c>
      <c r="H5" s="1">
        <f>0.03</f>
        <v>0.03</v>
      </c>
      <c r="I5" s="5">
        <f>PI()/4*Table1[[#This Row],[diameter (m)]]^2*Table1[[#This Row],[length (m)]]</f>
        <v>1.9543219579451382E-5</v>
      </c>
      <c r="J5" s="1">
        <f>Table1[[#This Row],[max power (W)]]/Table1[[#This Row],[mass (g)]]</f>
        <v>5.833333333333333</v>
      </c>
      <c r="K5" s="1">
        <f>Table1[[#This Row],[mass (g)]]/Table1[[#This Row],[volume (m^3)]]</f>
        <v>3070118.5010010679</v>
      </c>
    </row>
    <row r="6" spans="1:11" ht="17" x14ac:dyDescent="0.2">
      <c r="A6" s="1" t="s">
        <v>4</v>
      </c>
      <c r="B6" s="1" t="s">
        <v>8</v>
      </c>
      <c r="C6" s="1">
        <v>1400</v>
      </c>
      <c r="D6" s="1">
        <f>Table1[[#This Row],[max power (W)]]/2</f>
        <v>160</v>
      </c>
      <c r="E6" s="1">
        <v>320</v>
      </c>
      <c r="F6" s="1">
        <v>60</v>
      </c>
      <c r="G6" s="1">
        <f>0.0288</f>
        <v>2.8799999999999999E-2</v>
      </c>
      <c r="H6" s="1">
        <f>0.03</f>
        <v>0.03</v>
      </c>
      <c r="I6" s="5">
        <f>PI()/4*Table1[[#This Row],[diameter (m)]]^2*Table1[[#This Row],[length (m)]]</f>
        <v>1.9543219579451382E-5</v>
      </c>
      <c r="J6" s="1">
        <f>Table1[[#This Row],[max power (W)]]/Table1[[#This Row],[mass (g)]]</f>
        <v>5.333333333333333</v>
      </c>
      <c r="K6" s="1">
        <f>Table1[[#This Row],[mass (g)]]/Table1[[#This Row],[volume (m^3)]]</f>
        <v>3070118.5010010679</v>
      </c>
    </row>
    <row r="7" spans="1:11" ht="17" x14ac:dyDescent="0.2">
      <c r="A7" s="1" t="s">
        <v>9</v>
      </c>
      <c r="B7" s="1" t="s">
        <v>34</v>
      </c>
      <c r="C7" s="1">
        <v>980</v>
      </c>
      <c r="D7" s="1">
        <v>385</v>
      </c>
      <c r="E7" s="1">
        <f>2*Table1[[#This Row],[max continuos power (W)]]</f>
        <v>770</v>
      </c>
      <c r="F7" s="1">
        <v>57</v>
      </c>
      <c r="G7" s="1">
        <v>0.03</v>
      </c>
      <c r="H7" s="1">
        <v>2.75E-2</v>
      </c>
      <c r="I7" s="5">
        <f>PI()/4*Table1[[#This Row],[diameter (m)]]^2*Table1[[#This Row],[length (m)]]</f>
        <v>1.9438604544086845E-5</v>
      </c>
      <c r="J7" s="1">
        <f>Table1[[#This Row],[max power (W)]]/Table1[[#This Row],[mass (g)]]</f>
        <v>13.508771929824562</v>
      </c>
      <c r="K7" s="1">
        <f>Table1[[#This Row],[mass (g)]]/Table1[[#This Row],[volume (m^3)]]</f>
        <v>2932309.2545415871</v>
      </c>
    </row>
    <row r="8" spans="1:11" ht="17" x14ac:dyDescent="0.2">
      <c r="A8" s="1" t="s">
        <v>9</v>
      </c>
      <c r="B8" s="1" t="s">
        <v>34</v>
      </c>
      <c r="C8" s="1">
        <v>1250</v>
      </c>
      <c r="D8" s="1">
        <v>518</v>
      </c>
      <c r="E8" s="1">
        <f>2*Table1[[#This Row],[max continuos power (W)]]</f>
        <v>1036</v>
      </c>
      <c r="F8" s="1">
        <v>59</v>
      </c>
      <c r="G8" s="1">
        <v>0.03</v>
      </c>
      <c r="H8" s="1">
        <v>2.75E-2</v>
      </c>
      <c r="I8" s="5">
        <f>PI()/4*Table1[[#This Row],[diameter (m)]]^2*Table1[[#This Row],[length (m)]]</f>
        <v>1.9438604544086845E-5</v>
      </c>
      <c r="J8" s="1">
        <f>Table1[[#This Row],[max power (W)]]/Table1[[#This Row],[mass (g)]]</f>
        <v>17.559322033898304</v>
      </c>
      <c r="K8" s="1">
        <f>Table1[[#This Row],[mass (g)]]/Table1[[#This Row],[volume (m^3)]]</f>
        <v>3035197.29856059</v>
      </c>
    </row>
    <row r="9" spans="1:11" ht="17" x14ac:dyDescent="0.2">
      <c r="A9" s="1" t="s">
        <v>9</v>
      </c>
      <c r="B9" s="1" t="s">
        <v>34</v>
      </c>
      <c r="C9" s="1">
        <v>1400</v>
      </c>
      <c r="D9" s="1">
        <v>560</v>
      </c>
      <c r="E9" s="1">
        <f>2*Table1[[#This Row],[max continuos power (W)]]</f>
        <v>1120</v>
      </c>
      <c r="F9" s="1">
        <v>57</v>
      </c>
      <c r="G9" s="1">
        <v>0.03</v>
      </c>
      <c r="H9" s="1">
        <v>2.75E-2</v>
      </c>
      <c r="I9" s="5">
        <f>PI()/4*Table1[[#This Row],[diameter (m)]]^2*Table1[[#This Row],[length (m)]]</f>
        <v>1.9438604544086845E-5</v>
      </c>
      <c r="J9" s="1">
        <f>Table1[[#This Row],[max power (W)]]/Table1[[#This Row],[mass (g)]]</f>
        <v>19.649122807017545</v>
      </c>
      <c r="K9" s="1">
        <f>Table1[[#This Row],[mass (g)]]/Table1[[#This Row],[volume (m^3)]]</f>
        <v>2932309.2545415871</v>
      </c>
    </row>
    <row r="10" spans="1:11" ht="17" x14ac:dyDescent="0.2">
      <c r="A10" s="1" t="s">
        <v>9</v>
      </c>
      <c r="B10" s="1" t="s">
        <v>33</v>
      </c>
      <c r="C10" s="1">
        <v>880</v>
      </c>
      <c r="D10" s="1">
        <v>450</v>
      </c>
      <c r="E10" s="1">
        <f>2*Table1[[#This Row],[max continuos power (W)]]</f>
        <v>900</v>
      </c>
      <c r="F10" s="1">
        <v>67.5</v>
      </c>
      <c r="G10" s="1">
        <v>2.7699999999999999E-2</v>
      </c>
      <c r="H10" s="1">
        <v>3.4000000000000002E-2</v>
      </c>
      <c r="I10" s="5">
        <f>PI()/4*Table1[[#This Row],[diameter (m)]]^2*Table1[[#This Row],[length (m)]]</f>
        <v>2.0489357330969755E-5</v>
      </c>
      <c r="J10" s="1">
        <f>Table1[[#This Row],[max power (W)]]/Table1[[#This Row],[mass (g)]]</f>
        <v>13.333333333333334</v>
      </c>
      <c r="K10" s="1">
        <f>Table1[[#This Row],[mass (g)]]/Table1[[#This Row],[volume (m^3)]]</f>
        <v>3294393.2261835001</v>
      </c>
    </row>
    <row r="11" spans="1:11" ht="17" x14ac:dyDescent="0.2">
      <c r="A11" s="1" t="s">
        <v>9</v>
      </c>
      <c r="B11" s="1" t="s">
        <v>32</v>
      </c>
      <c r="C11" s="1">
        <v>500</v>
      </c>
      <c r="D11" s="1">
        <v>1025</v>
      </c>
      <c r="E11" s="1">
        <f>2*Table1[[#This Row],[max continuos power (W)]]</f>
        <v>2050</v>
      </c>
      <c r="F11" s="1">
        <v>149</v>
      </c>
      <c r="G11" s="1">
        <v>3.5000000000000003E-2</v>
      </c>
      <c r="H11" s="1">
        <v>4.2000000000000003E-2</v>
      </c>
      <c r="I11" s="5">
        <f>PI()/4*Table1[[#This Row],[diameter (m)]]^2*Table1[[#This Row],[length (m)]]</f>
        <v>4.0408735506798719E-5</v>
      </c>
      <c r="J11" s="4">
        <f>Table1[[#This Row],[max power (W)]]/Table1[[#This Row],[mass (g)]]</f>
        <v>13.758389261744966</v>
      </c>
      <c r="K11" s="4">
        <f>Table1[[#This Row],[mass (g)]]/Table1[[#This Row],[volume (m^3)]]</f>
        <v>3687321.5192524632</v>
      </c>
    </row>
    <row r="12" spans="1:11" ht="17" x14ac:dyDescent="0.2">
      <c r="A12" s="1" t="s">
        <v>9</v>
      </c>
      <c r="B12" s="1" t="s">
        <v>32</v>
      </c>
      <c r="C12" s="1">
        <v>860</v>
      </c>
      <c r="D12" s="1">
        <v>960</v>
      </c>
      <c r="E12" s="1">
        <f>2*Table1[[#This Row],[max continuos power (W)]]</f>
        <v>1920</v>
      </c>
      <c r="F12" s="1">
        <v>143</v>
      </c>
      <c r="G12" s="1">
        <v>3.5000000000000003E-2</v>
      </c>
      <c r="H12" s="1">
        <v>4.2000000000000003E-2</v>
      </c>
      <c r="I12" s="5">
        <f>PI()/4*Table1[[#This Row],[diameter (m)]]^2*Table1[[#This Row],[length (m)]]</f>
        <v>4.0408735506798719E-5</v>
      </c>
      <c r="J12" s="1">
        <f>Table1[[#This Row],[max power (W)]]/Table1[[#This Row],[mass (g)]]</f>
        <v>13.426573426573427</v>
      </c>
      <c r="K12" s="1">
        <f>Table1[[#This Row],[mass (g)]]/Table1[[#This Row],[volume (m^3)]]</f>
        <v>3538838.7735107532</v>
      </c>
    </row>
    <row r="13" spans="1:11" ht="17" x14ac:dyDescent="0.2">
      <c r="A13" s="1" t="s">
        <v>9</v>
      </c>
      <c r="B13" s="1" t="s">
        <v>32</v>
      </c>
      <c r="C13" s="1">
        <v>1000</v>
      </c>
      <c r="D13" s="1">
        <v>1036</v>
      </c>
      <c r="E13" s="1">
        <f>2*Table1[[#This Row],[max continuos power (W)]]</f>
        <v>2072</v>
      </c>
      <c r="F13" s="1">
        <v>147</v>
      </c>
      <c r="G13" s="1">
        <v>3.5000000000000003E-2</v>
      </c>
      <c r="H13" s="1">
        <v>4.2000000000000003E-2</v>
      </c>
      <c r="I13" s="5">
        <f>PI()/4*Table1[[#This Row],[diameter (m)]]^2*Table1[[#This Row],[length (m)]]</f>
        <v>4.0408735506798719E-5</v>
      </c>
      <c r="J13" s="1">
        <f>Table1[[#This Row],[max power (W)]]/Table1[[#This Row],[mass (g)]]</f>
        <v>14.095238095238095</v>
      </c>
      <c r="K13" s="1">
        <f>Table1[[#This Row],[mass (g)]]/Table1[[#This Row],[volume (m^3)]]</f>
        <v>3637827.2706718929</v>
      </c>
    </row>
    <row r="14" spans="1:11" ht="17" x14ac:dyDescent="0.2">
      <c r="A14" s="1" t="s">
        <v>9</v>
      </c>
      <c r="B14" s="1" t="s">
        <v>32</v>
      </c>
      <c r="C14" s="1">
        <v>1250</v>
      </c>
      <c r="D14" s="1">
        <v>1172</v>
      </c>
      <c r="E14" s="1">
        <f>2*Table1[[#This Row],[max continuos power (W)]]</f>
        <v>2344</v>
      </c>
      <c r="F14" s="1">
        <v>144</v>
      </c>
      <c r="G14" s="1">
        <v>3.5000000000000003E-2</v>
      </c>
      <c r="H14" s="1">
        <v>4.2000000000000003E-2</v>
      </c>
      <c r="I14" s="5">
        <f>PI()/4*Table1[[#This Row],[diameter (m)]]^2*Table1[[#This Row],[length (m)]]</f>
        <v>4.0408735506798719E-5</v>
      </c>
      <c r="J14" s="1">
        <f>Table1[[#This Row],[max power (W)]]/Table1[[#This Row],[mass (g)]]</f>
        <v>16.277777777777779</v>
      </c>
      <c r="K14" s="1">
        <f>Table1[[#This Row],[mass (g)]]/Table1[[#This Row],[volume (m^3)]]</f>
        <v>3563585.8978010383</v>
      </c>
    </row>
    <row r="15" spans="1:11" ht="17" x14ac:dyDescent="0.2">
      <c r="A15" s="1" t="s">
        <v>9</v>
      </c>
      <c r="B15" s="1" t="s">
        <v>37</v>
      </c>
      <c r="C15" s="1">
        <v>900</v>
      </c>
      <c r="D15" s="1">
        <v>680</v>
      </c>
      <c r="E15" s="1">
        <f>2*Table1[[#This Row],[max continuos power (W)]]</f>
        <v>1360</v>
      </c>
      <c r="F15" s="1">
        <v>108</v>
      </c>
      <c r="G15" s="1">
        <v>3.5000000000000003E-2</v>
      </c>
      <c r="H15" s="1">
        <v>3.5999999999999997E-2</v>
      </c>
      <c r="I15" s="5">
        <f>PI()/4*Table1[[#This Row],[diameter (m)]]^2*Table1[[#This Row],[length (m)]]</f>
        <v>3.4636059005827471E-5</v>
      </c>
      <c r="J15" s="1">
        <f>Table1[[#This Row],[max power (W)]]/Table1[[#This Row],[mass (g)]]</f>
        <v>12.592592592592593</v>
      </c>
      <c r="K15" s="1">
        <f>Table1[[#This Row],[mass (g)]]/Table1[[#This Row],[volume (m^3)]]</f>
        <v>3118137.6605759086</v>
      </c>
    </row>
    <row r="16" spans="1:11" ht="17" x14ac:dyDescent="0.2">
      <c r="A16" s="1" t="s">
        <v>9</v>
      </c>
      <c r="B16" s="1" t="s">
        <v>37</v>
      </c>
      <c r="C16" s="1">
        <v>1000</v>
      </c>
      <c r="D16" s="1">
        <v>750</v>
      </c>
      <c r="E16" s="1">
        <f>2*Table1[[#This Row],[max continuos power (W)]]</f>
        <v>1500</v>
      </c>
      <c r="F16" s="1">
        <v>113</v>
      </c>
      <c r="G16" s="1">
        <v>3.5000000000000003E-2</v>
      </c>
      <c r="H16" s="1">
        <v>3.5999999999999997E-2</v>
      </c>
      <c r="I16" s="5">
        <f>PI()/4*Table1[[#This Row],[diameter (m)]]^2*Table1[[#This Row],[length (m)]]</f>
        <v>3.4636059005827471E-5</v>
      </c>
      <c r="J16" s="1">
        <f>Table1[[#This Row],[max power (W)]]/Table1[[#This Row],[mass (g)]]</f>
        <v>13.274336283185841</v>
      </c>
      <c r="K16" s="1">
        <f>Table1[[#This Row],[mass (g)]]/Table1[[#This Row],[volume (m^3)]]</f>
        <v>3262495.8856025711</v>
      </c>
    </row>
    <row r="17" spans="1:11" ht="17" x14ac:dyDescent="0.2">
      <c r="A17" s="1" t="s">
        <v>9</v>
      </c>
      <c r="B17" s="1" t="s">
        <v>37</v>
      </c>
      <c r="C17" s="1">
        <v>1250</v>
      </c>
      <c r="D17" s="1">
        <v>815</v>
      </c>
      <c r="E17" s="1">
        <f>2*Table1[[#This Row],[max continuos power (W)]]</f>
        <v>1630</v>
      </c>
      <c r="F17" s="1">
        <v>110</v>
      </c>
      <c r="G17" s="1">
        <v>3.5000000000000003E-2</v>
      </c>
      <c r="H17" s="1">
        <v>3.5999999999999997E-2</v>
      </c>
      <c r="I17" s="5">
        <f>PI()/4*Table1[[#This Row],[diameter (m)]]^2*Table1[[#This Row],[length (m)]]</f>
        <v>3.4636059005827471E-5</v>
      </c>
      <c r="J17" s="1">
        <f>Table1[[#This Row],[max power (W)]]/Table1[[#This Row],[mass (g)]]</f>
        <v>14.818181818181818</v>
      </c>
      <c r="K17" s="1">
        <f>Table1[[#This Row],[mass (g)]]/Table1[[#This Row],[volume (m^3)]]</f>
        <v>3175880.9505865737</v>
      </c>
    </row>
    <row r="18" spans="1:11" ht="17" x14ac:dyDescent="0.2">
      <c r="A18" s="1" t="s">
        <v>9</v>
      </c>
      <c r="B18" s="1" t="s">
        <v>37</v>
      </c>
      <c r="C18" s="1">
        <v>1400</v>
      </c>
      <c r="D18" s="1">
        <v>1180</v>
      </c>
      <c r="E18" s="1">
        <f>2*Table1[[#This Row],[max continuos power (W)]]</f>
        <v>2360</v>
      </c>
      <c r="F18" s="1">
        <v>109</v>
      </c>
      <c r="G18" s="1">
        <v>3.5000000000000003E-2</v>
      </c>
      <c r="H18" s="1">
        <v>3.5999999999999997E-2</v>
      </c>
      <c r="I18" s="5">
        <f>PI()/4*Table1[[#This Row],[diameter (m)]]^2*Table1[[#This Row],[length (m)]]</f>
        <v>3.4636059005827471E-5</v>
      </c>
      <c r="J18" s="1">
        <f>Table1[[#This Row],[max power (W)]]/Table1[[#This Row],[mass (g)]]</f>
        <v>21.651376146788991</v>
      </c>
      <c r="K18" s="1">
        <f>Table1[[#This Row],[mass (g)]]/Table1[[#This Row],[volume (m^3)]]</f>
        <v>3147009.3055812409</v>
      </c>
    </row>
    <row r="19" spans="1:11" ht="17" x14ac:dyDescent="0.2">
      <c r="A19" s="1" t="s">
        <v>9</v>
      </c>
      <c r="B19" s="1" t="s">
        <v>40</v>
      </c>
      <c r="C19" s="1">
        <v>560</v>
      </c>
      <c r="D19" s="1">
        <v>2000</v>
      </c>
      <c r="E19" s="1">
        <f>2*Table1[[#This Row],[max continuos power (W)]]</f>
        <v>4000</v>
      </c>
      <c r="F19" s="1">
        <v>219</v>
      </c>
      <c r="G19" s="1">
        <f>0.0425</f>
        <v>4.2500000000000003E-2</v>
      </c>
      <c r="H19" s="1">
        <f>0.045</f>
        <v>4.4999999999999998E-2</v>
      </c>
      <c r="I19" s="5">
        <f>PI()/4*Table1[[#This Row],[diameter (m)]]^2*Table1[[#This Row],[length (m)]]</f>
        <v>6.3838144468648857E-5</v>
      </c>
      <c r="J19" s="1">
        <f>Table1[[#This Row],[max power (W)]]/Table1[[#This Row],[mass (g)]]</f>
        <v>18.264840182648403</v>
      </c>
      <c r="K19" s="1">
        <f>Table1[[#This Row],[mass (g)]]/Table1[[#This Row],[volume (m^3)]]</f>
        <v>3430550.8379484885</v>
      </c>
    </row>
    <row r="20" spans="1:11" ht="17" x14ac:dyDescent="0.2">
      <c r="A20" s="1" t="s">
        <v>9</v>
      </c>
      <c r="B20" s="1" t="s">
        <v>40</v>
      </c>
      <c r="C20" s="1">
        <v>780</v>
      </c>
      <c r="D20" s="1">
        <v>1395</v>
      </c>
      <c r="E20" s="1">
        <f>2*Table1[[#This Row],[max continuos power (W)]]</f>
        <v>2790</v>
      </c>
      <c r="F20" s="1">
        <v>219</v>
      </c>
      <c r="G20" s="1">
        <f>0.0425</f>
        <v>4.2500000000000003E-2</v>
      </c>
      <c r="H20" s="1">
        <f>0.045</f>
        <v>4.4999999999999998E-2</v>
      </c>
      <c r="I20" s="5">
        <f>PI()/4*Table1[[#This Row],[diameter (m)]]^2*Table1[[#This Row],[length (m)]]</f>
        <v>6.3838144468648857E-5</v>
      </c>
      <c r="J20" s="1">
        <f>Table1[[#This Row],[max power (W)]]/Table1[[#This Row],[mass (g)]]</f>
        <v>12.739726027397261</v>
      </c>
      <c r="K20" s="1">
        <f>Table1[[#This Row],[mass (g)]]/Table1[[#This Row],[volume (m^3)]]</f>
        <v>3430550.8379484885</v>
      </c>
    </row>
    <row r="21" spans="1:11" ht="17" x14ac:dyDescent="0.2">
      <c r="A21" s="1" t="s">
        <v>9</v>
      </c>
      <c r="B21" s="1" t="s">
        <v>41</v>
      </c>
      <c r="C21" s="1">
        <v>220</v>
      </c>
      <c r="D21" s="1">
        <v>2300</v>
      </c>
      <c r="E21" s="1">
        <f>2*Table1[[#This Row],[max continuos power (W)]]</f>
        <v>4600</v>
      </c>
      <c r="F21" s="1">
        <v>307</v>
      </c>
      <c r="G21" s="1">
        <v>4.2999999999999997E-2</v>
      </c>
      <c r="H21" s="1">
        <v>5.5E-2</v>
      </c>
      <c r="I21" s="5">
        <f>PI()/4*Table1[[#This Row],[diameter (m)]]^2*Table1[[#This Row],[length (m)]]</f>
        <v>7.9871066226703491E-5</v>
      </c>
      <c r="J21" s="1">
        <f>Table1[[#This Row],[max power (W)]]/Table1[[#This Row],[mass (g)]]</f>
        <v>14.983713355048859</v>
      </c>
      <c r="K21" s="1">
        <f>Table1[[#This Row],[mass (g)]]/Table1[[#This Row],[volume (m^3)]]</f>
        <v>3843694.7758856877</v>
      </c>
    </row>
    <row r="22" spans="1:11" ht="17" x14ac:dyDescent="0.2">
      <c r="A22" s="1" t="s">
        <v>9</v>
      </c>
      <c r="B22" s="1" t="s">
        <v>41</v>
      </c>
      <c r="C22" s="1">
        <v>520</v>
      </c>
      <c r="D22" s="1">
        <v>2250</v>
      </c>
      <c r="E22" s="1">
        <f>2*Table1[[#This Row],[max continuos power (W)]]</f>
        <v>4500</v>
      </c>
      <c r="F22" s="1">
        <v>305</v>
      </c>
      <c r="G22" s="1">
        <v>4.2999999999999997E-2</v>
      </c>
      <c r="H22" s="1">
        <v>5.5E-2</v>
      </c>
      <c r="I22" s="5">
        <f>PI()/4*Table1[[#This Row],[diameter (m)]]^2*Table1[[#This Row],[length (m)]]</f>
        <v>7.9871066226703491E-5</v>
      </c>
      <c r="J22" s="1">
        <f>Table1[[#This Row],[max power (W)]]/Table1[[#This Row],[mass (g)]]</f>
        <v>14.754098360655737</v>
      </c>
      <c r="K22" s="1">
        <f>Table1[[#This Row],[mass (g)]]/Table1[[#This Row],[volume (m^3)]]</f>
        <v>3818654.419039527</v>
      </c>
    </row>
    <row r="23" spans="1:11" ht="17" x14ac:dyDescent="0.2">
      <c r="A23" s="1" t="s">
        <v>9</v>
      </c>
      <c r="B23" s="1" t="s">
        <v>41</v>
      </c>
      <c r="C23" s="1">
        <v>668</v>
      </c>
      <c r="D23" s="1">
        <v>2310</v>
      </c>
      <c r="E23" s="1">
        <f>2*Table1[[#This Row],[max continuos power (W)]]</f>
        <v>4620</v>
      </c>
      <c r="F23" s="1">
        <v>305</v>
      </c>
      <c r="G23" s="1">
        <v>4.2999999999999997E-2</v>
      </c>
      <c r="H23" s="1">
        <v>5.5E-2</v>
      </c>
      <c r="I23" s="5">
        <f>PI()/4*Table1[[#This Row],[diameter (m)]]^2*Table1[[#This Row],[length (m)]]</f>
        <v>7.9871066226703491E-5</v>
      </c>
      <c r="J23" s="1">
        <f>Table1[[#This Row],[max power (W)]]/Table1[[#This Row],[mass (g)]]</f>
        <v>15.147540983606557</v>
      </c>
      <c r="K23" s="1">
        <f>Table1[[#This Row],[mass (g)]]/Table1[[#This Row],[volume (m^3)]]</f>
        <v>3818654.419039527</v>
      </c>
    </row>
    <row r="24" spans="1:11" ht="17" x14ac:dyDescent="0.2">
      <c r="A24" s="1" t="s">
        <v>9</v>
      </c>
      <c r="B24" s="1" t="s">
        <v>41</v>
      </c>
      <c r="C24" s="1">
        <v>880</v>
      </c>
      <c r="D24" s="1">
        <v>1800</v>
      </c>
      <c r="E24" s="1">
        <f>2*Table1[[#This Row],[max continuos power (W)]]</f>
        <v>3600</v>
      </c>
      <c r="F24" s="1">
        <v>303</v>
      </c>
      <c r="G24" s="1">
        <v>4.2999999999999997E-2</v>
      </c>
      <c r="H24" s="1">
        <v>5.5E-2</v>
      </c>
      <c r="I24" s="5">
        <f>PI()/4*Table1[[#This Row],[diameter (m)]]^2*Table1[[#This Row],[length (m)]]</f>
        <v>7.9871066226703491E-5</v>
      </c>
      <c r="J24" s="1">
        <f>Table1[[#This Row],[max power (W)]]/Table1[[#This Row],[mass (g)]]</f>
        <v>11.881188118811881</v>
      </c>
      <c r="K24" s="1">
        <f>Table1[[#This Row],[mass (g)]]/Table1[[#This Row],[volume (m^3)]]</f>
        <v>3793614.0621933662</v>
      </c>
    </row>
    <row r="25" spans="1:11" ht="17" x14ac:dyDescent="0.2">
      <c r="A25" s="1" t="s">
        <v>9</v>
      </c>
      <c r="B25" s="1" t="s">
        <v>42</v>
      </c>
      <c r="C25" s="1">
        <v>480</v>
      </c>
      <c r="D25" s="1">
        <v>2425</v>
      </c>
      <c r="E25" s="1">
        <f>2*Table1[[#This Row],[max continuos power (W)]]</f>
        <v>4850</v>
      </c>
      <c r="F25" s="1">
        <v>292</v>
      </c>
      <c r="G25" s="1">
        <v>4.9700000000000001E-2</v>
      </c>
      <c r="H25" s="1">
        <v>4.9000000000000002E-2</v>
      </c>
      <c r="I25" s="5">
        <f>PI()/4*Table1[[#This Row],[diameter (m)]]^2*Table1[[#This Row],[length (m)]]</f>
        <v>9.506020332189376E-5</v>
      </c>
      <c r="J25" s="1">
        <f>Table1[[#This Row],[max power (W)]]/Table1[[#This Row],[mass (g)]]</f>
        <v>16.609589041095891</v>
      </c>
      <c r="K25" s="1">
        <f>Table1[[#This Row],[mass (g)]]/Table1[[#This Row],[volume (m^3)]]</f>
        <v>3071737.5915053203</v>
      </c>
    </row>
    <row r="26" spans="1:11" ht="17" x14ac:dyDescent="0.2">
      <c r="A26" s="1" t="s">
        <v>9</v>
      </c>
      <c r="B26" s="1" t="s">
        <v>42</v>
      </c>
      <c r="C26" s="1">
        <v>550</v>
      </c>
      <c r="D26" s="1">
        <v>2500</v>
      </c>
      <c r="E26" s="1">
        <f>2*Table1[[#This Row],[max continuos power (W)]]</f>
        <v>5000</v>
      </c>
      <c r="F26" s="1">
        <v>293</v>
      </c>
      <c r="G26" s="1">
        <v>4.9700000000000001E-2</v>
      </c>
      <c r="H26" s="1">
        <v>4.9000000000000002E-2</v>
      </c>
      <c r="I26" s="5">
        <f>PI()/4*Table1[[#This Row],[diameter (m)]]^2*Table1[[#This Row],[length (m)]]</f>
        <v>9.506020332189376E-5</v>
      </c>
      <c r="J26" s="1">
        <f>Table1[[#This Row],[max power (W)]]/Table1[[#This Row],[mass (g)]]</f>
        <v>17.064846416382252</v>
      </c>
      <c r="K26" s="1">
        <f>Table1[[#This Row],[mass (g)]]/Table1[[#This Row],[volume (m^3)]]</f>
        <v>3082257.2407912975</v>
      </c>
    </row>
    <row r="27" spans="1:11" ht="17" x14ac:dyDescent="0.2">
      <c r="A27" s="1" t="s">
        <v>9</v>
      </c>
      <c r="B27" s="1" t="s">
        <v>42</v>
      </c>
      <c r="C27" s="1">
        <v>650</v>
      </c>
      <c r="D27" s="1">
        <v>2750</v>
      </c>
      <c r="E27" s="1">
        <f>2*Table1[[#This Row],[max continuos power (W)]]</f>
        <v>5500</v>
      </c>
      <c r="F27" s="1">
        <v>290</v>
      </c>
      <c r="G27" s="1">
        <v>4.9700000000000001E-2</v>
      </c>
      <c r="H27" s="1">
        <v>4.9000000000000002E-2</v>
      </c>
      <c r="I27" s="5">
        <f>PI()/4*Table1[[#This Row],[diameter (m)]]^2*Table1[[#This Row],[length (m)]]</f>
        <v>9.506020332189376E-5</v>
      </c>
      <c r="J27" s="1">
        <f>Table1[[#This Row],[max power (W)]]/Table1[[#This Row],[mass (g)]]</f>
        <v>18.96551724137931</v>
      </c>
      <c r="K27" s="1">
        <f>Table1[[#This Row],[mass (g)]]/Table1[[#This Row],[volume (m^3)]]</f>
        <v>3050698.2929333663</v>
      </c>
    </row>
    <row r="28" spans="1:11" ht="17" x14ac:dyDescent="0.2">
      <c r="A28" s="1" t="s">
        <v>9</v>
      </c>
      <c r="B28" s="1" t="s">
        <v>43</v>
      </c>
      <c r="C28" s="1">
        <v>420</v>
      </c>
      <c r="D28" s="1">
        <v>2250</v>
      </c>
      <c r="E28" s="1">
        <f>2*Table1[[#This Row],[max continuos power (W)]]</f>
        <v>4500</v>
      </c>
      <c r="F28" s="1">
        <v>351</v>
      </c>
      <c r="G28" s="1">
        <v>4.9700000000000001E-2</v>
      </c>
      <c r="H28" s="1">
        <v>5.3999999999999999E-2</v>
      </c>
      <c r="I28" s="5">
        <f>PI()/4*Table1[[#This Row],[diameter (m)]]^2*Table1[[#This Row],[length (m)]]</f>
        <v>1.0476022406902578E-4</v>
      </c>
      <c r="J28" s="1">
        <f>Table1[[#This Row],[max power (W)]]/Table1[[#This Row],[mass (g)]]</f>
        <v>12.820512820512821</v>
      </c>
      <c r="K28" s="1">
        <f>Table1[[#This Row],[mass (g)]]/Table1[[#This Row],[volume (m^3)]]</f>
        <v>3350508.2975837141</v>
      </c>
    </row>
    <row r="29" spans="1:11" ht="17" x14ac:dyDescent="0.2">
      <c r="A29" s="1" t="s">
        <v>9</v>
      </c>
      <c r="B29" s="1" t="s">
        <v>43</v>
      </c>
      <c r="C29" s="1">
        <v>440</v>
      </c>
      <c r="D29" s="1">
        <v>2430</v>
      </c>
      <c r="E29" s="1">
        <f>2*Table1[[#This Row],[max continuos power (W)]]</f>
        <v>4860</v>
      </c>
      <c r="F29" s="1">
        <v>344</v>
      </c>
      <c r="G29" s="1">
        <v>4.9700000000000001E-2</v>
      </c>
      <c r="H29" s="1">
        <v>5.3999999999999999E-2</v>
      </c>
      <c r="I29" s="5">
        <f>PI()/4*Table1[[#This Row],[diameter (m)]]^2*Table1[[#This Row],[length (m)]]</f>
        <v>1.0476022406902578E-4</v>
      </c>
      <c r="J29" s="1">
        <f>Table1[[#This Row],[max power (W)]]/Table1[[#This Row],[mass (g)]]</f>
        <v>14.127906976744185</v>
      </c>
      <c r="K29" s="1">
        <f>Table1[[#This Row],[mass (g)]]/Table1[[#This Row],[volume (m^3)]]</f>
        <v>3283689.0437857485</v>
      </c>
    </row>
    <row r="30" spans="1:11" ht="17" x14ac:dyDescent="0.2">
      <c r="A30" s="1" t="s">
        <v>9</v>
      </c>
      <c r="B30" s="1" t="s">
        <v>43</v>
      </c>
      <c r="C30" s="1">
        <v>480</v>
      </c>
      <c r="D30" s="1">
        <v>2750</v>
      </c>
      <c r="E30" s="1">
        <f>2*Table1[[#This Row],[max continuos power (W)]]</f>
        <v>5500</v>
      </c>
      <c r="F30" s="1">
        <v>355</v>
      </c>
      <c r="G30" s="1">
        <v>4.9700000000000001E-2</v>
      </c>
      <c r="H30" s="1">
        <v>5.3999999999999999E-2</v>
      </c>
      <c r="I30" s="5">
        <f>PI()/4*Table1[[#This Row],[diameter (m)]]^2*Table1[[#This Row],[length (m)]]</f>
        <v>1.0476022406902578E-4</v>
      </c>
      <c r="J30" s="1">
        <f>Table1[[#This Row],[max power (W)]]/Table1[[#This Row],[mass (g)]]</f>
        <v>15.492957746478874</v>
      </c>
      <c r="K30" s="1">
        <f>Table1[[#This Row],[mass (g)]]/Table1[[#This Row],[volume (m^3)]]</f>
        <v>3388690.7283254089</v>
      </c>
    </row>
    <row r="31" spans="1:11" ht="17" x14ac:dyDescent="0.2">
      <c r="A31" s="1" t="s">
        <v>9</v>
      </c>
      <c r="B31" s="1" t="s">
        <v>43</v>
      </c>
      <c r="C31" s="1">
        <v>610</v>
      </c>
      <c r="D31" s="1">
        <v>2760</v>
      </c>
      <c r="E31" s="1">
        <f>2*Table1[[#This Row],[max continuos power (W)]]</f>
        <v>5520</v>
      </c>
      <c r="F31" s="1">
        <v>355</v>
      </c>
      <c r="G31" s="1">
        <v>4.9700000000000001E-2</v>
      </c>
      <c r="H31" s="1">
        <v>4.9000000000000002E-2</v>
      </c>
      <c r="I31" s="5">
        <f>PI()/4*Table1[[#This Row],[diameter (m)]]^2*Table1[[#This Row],[length (m)]]</f>
        <v>9.506020332189376E-5</v>
      </c>
      <c r="J31" s="1">
        <f>Table1[[#This Row],[max power (W)]]/Table1[[#This Row],[mass (g)]]</f>
        <v>15.549295774647888</v>
      </c>
      <c r="K31" s="1">
        <f>Table1[[#This Row],[mass (g)]]/Table1[[#This Row],[volume (m^3)]]</f>
        <v>3734475.4965218795</v>
      </c>
    </row>
    <row r="32" spans="1:11" ht="17" x14ac:dyDescent="0.2">
      <c r="A32" s="1" t="s">
        <v>12</v>
      </c>
      <c r="B32" s="1"/>
      <c r="C32" s="1"/>
      <c r="D32" s="1">
        <f>SUBTOTAL(101,Table1[max continuos power (W)])</f>
        <v>1346.2</v>
      </c>
      <c r="E32" s="1">
        <f>SUBTOTAL(101,Table1[max power (W)])</f>
        <v>2692.4</v>
      </c>
      <c r="F32" s="1">
        <f>SUBTOTAL(101,Table1[mass (g)])</f>
        <v>182.28333333333333</v>
      </c>
      <c r="G32" s="1"/>
      <c r="H32" s="1"/>
      <c r="I32" s="1">
        <f>SUBTOTAL(101,Table1[volume (m^3)])</f>
        <v>5.366987823767844E-5</v>
      </c>
      <c r="J32" s="1">
        <f>SUBTOTAL(101,Table1[continuous power loading (W/g)])</f>
        <v>13.919418805146803</v>
      </c>
      <c r="K32" s="1">
        <f>SUBTOTAL(101,Table1[mass density (g/m^3)])</f>
        <v>3310700.9402360297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BE54F-F6E1-7647-A69A-FBC6AE680263}">
  <dimension ref="A1:J14"/>
  <sheetViews>
    <sheetView zoomScale="74" workbookViewId="0">
      <selection activeCell="O34" sqref="O34"/>
    </sheetView>
  </sheetViews>
  <sheetFormatPr baseColWidth="10" defaultRowHeight="16" x14ac:dyDescent="0.2"/>
  <cols>
    <col min="1" max="1" width="19.33203125" customWidth="1"/>
    <col min="2" max="2" width="26.33203125" customWidth="1"/>
    <col min="3" max="4" width="12.5" customWidth="1"/>
    <col min="5" max="5" width="15.5" customWidth="1"/>
    <col min="6" max="6" width="12" bestFit="1" customWidth="1"/>
    <col min="7" max="8" width="12.5" customWidth="1"/>
    <col min="9" max="9" width="13.33203125" customWidth="1"/>
    <col min="10" max="10" width="12.5" customWidth="1"/>
  </cols>
  <sheetData>
    <row r="1" spans="1:10" ht="34" x14ac:dyDescent="0.2">
      <c r="A1" s="2" t="s">
        <v>2</v>
      </c>
      <c r="B1" s="2" t="s">
        <v>3</v>
      </c>
      <c r="C1" s="3" t="s">
        <v>14</v>
      </c>
      <c r="D1" s="2" t="s">
        <v>15</v>
      </c>
      <c r="E1" s="2" t="s">
        <v>16</v>
      </c>
      <c r="F1" s="2" t="s">
        <v>17</v>
      </c>
      <c r="G1" s="2" t="s">
        <v>1</v>
      </c>
      <c r="H1" s="2" t="s">
        <v>13</v>
      </c>
      <c r="I1" s="2" t="s">
        <v>18</v>
      </c>
      <c r="J1" s="2" t="s">
        <v>19</v>
      </c>
    </row>
    <row r="2" spans="1:10" ht="34" x14ac:dyDescent="0.2">
      <c r="A2" s="1" t="s">
        <v>20</v>
      </c>
      <c r="B2" s="1" t="s">
        <v>21</v>
      </c>
      <c r="C2" s="1">
        <v>4</v>
      </c>
      <c r="D2" s="1">
        <v>2.8</v>
      </c>
      <c r="E2" s="1">
        <f>Table14[[#This Row],[capacity (A*hr)]]*Table14[[#This Row],['# series]]*3.7</f>
        <v>41.44</v>
      </c>
      <c r="F2" s="1">
        <v>30</v>
      </c>
      <c r="G2" s="1">
        <v>191.5</v>
      </c>
      <c r="H2" s="1">
        <f>0.076*0.038*0.038</f>
        <v>1.09744E-4</v>
      </c>
      <c r="I2" s="1">
        <f>Table14[[#This Row],[mass (g)]]/1000/Table14[[#This Row],[nom energy (W*hr)]]</f>
        <v>4.6211389961389963E-3</v>
      </c>
      <c r="J2" s="1">
        <f>Table14[[#This Row],[mass (g)]]/1000/Table14[[#This Row],[volume (m^3)]]</f>
        <v>1744.9701122612626</v>
      </c>
    </row>
    <row r="3" spans="1:10" ht="34" x14ac:dyDescent="0.2">
      <c r="A3" s="1" t="s">
        <v>20</v>
      </c>
      <c r="B3" s="1" t="s">
        <v>22</v>
      </c>
      <c r="C3" s="1">
        <v>6</v>
      </c>
      <c r="D3" s="1">
        <v>2.8</v>
      </c>
      <c r="E3" s="1">
        <f>Table14[[#This Row],[capacity (A*hr)]]*Table14[[#This Row],['# series]]*3.7</f>
        <v>62.159999999999989</v>
      </c>
      <c r="F3" s="1">
        <v>30</v>
      </c>
      <c r="G3" s="1">
        <v>287.8</v>
      </c>
      <c r="H3" s="1">
        <f>0.066*0.038*0.056</f>
        <v>1.4044800000000002E-4</v>
      </c>
      <c r="I3" s="1">
        <f>Table14[[#This Row],[mass (g)]]/1000/Table14[[#This Row],[nom energy (W*hr)]]</f>
        <v>4.6299871299871308E-3</v>
      </c>
      <c r="J3" s="1">
        <f>Table14[[#This Row],[mass (g)]]/1000/Table14[[#This Row],[volume (m^3)]]</f>
        <v>2049.1569833675094</v>
      </c>
    </row>
    <row r="4" spans="1:10" ht="17" x14ac:dyDescent="0.2">
      <c r="A4" s="1" t="s">
        <v>23</v>
      </c>
      <c r="B4" s="1" t="s">
        <v>24</v>
      </c>
      <c r="C4" s="1">
        <v>4</v>
      </c>
      <c r="D4" s="1">
        <v>2.25</v>
      </c>
      <c r="E4" s="1">
        <f>Table14[[#This Row],[capacity (A*hr)]]*Table14[[#This Row],['# series]]*3.7</f>
        <v>33.300000000000004</v>
      </c>
      <c r="F4" s="1">
        <v>35</v>
      </c>
      <c r="G4" s="1">
        <v>219</v>
      </c>
      <c r="H4" s="1">
        <f>0.105*0.032*0.03</f>
        <v>1.008E-4</v>
      </c>
      <c r="I4" s="1">
        <f>Table14[[#This Row],[mass (g)]]/1000/Table14[[#This Row],[nom energy (W*hr)]]</f>
        <v>6.5765765765765753E-3</v>
      </c>
      <c r="J4" s="1">
        <f>Table14[[#This Row],[mass (g)]]/1000/Table14[[#This Row],[volume (m^3)]]</f>
        <v>2172.6190476190477</v>
      </c>
    </row>
    <row r="5" spans="1:10" ht="17" x14ac:dyDescent="0.2">
      <c r="A5" s="1" t="s">
        <v>23</v>
      </c>
      <c r="B5" s="1" t="s">
        <v>25</v>
      </c>
      <c r="C5" s="1">
        <v>4</v>
      </c>
      <c r="D5" s="1">
        <v>0.55000000000000004</v>
      </c>
      <c r="E5" s="1">
        <f>Table14[[#This Row],[capacity (A*hr)]]*Table14[[#This Row],['# series]]*3.7</f>
        <v>8.14</v>
      </c>
      <c r="F5" s="1">
        <v>80</v>
      </c>
      <c r="G5" s="1">
        <v>59</v>
      </c>
      <c r="H5" s="1">
        <f>0.076*0.029*0.017</f>
        <v>3.7468000000000008E-5</v>
      </c>
      <c r="I5" s="1">
        <f>Table14[[#This Row],[mass (g)]]/1000/Table14[[#This Row],[nom energy (W*hr)]]</f>
        <v>7.2481572481572472E-3</v>
      </c>
      <c r="J5" s="1">
        <f>Table14[[#This Row],[mass (g)]]/1000/Table14[[#This Row],[volume (m^3)]]</f>
        <v>1574.6770577559514</v>
      </c>
    </row>
    <row r="6" spans="1:10" ht="17" x14ac:dyDescent="0.2">
      <c r="A6" s="1" t="s">
        <v>23</v>
      </c>
      <c r="B6" s="1" t="s">
        <v>26</v>
      </c>
      <c r="C6" s="1">
        <v>4</v>
      </c>
      <c r="D6" s="1">
        <v>6</v>
      </c>
      <c r="E6" s="1">
        <f>Table14[[#This Row],[capacity (A*hr)]]*Table14[[#This Row],['# series]]*3.7</f>
        <v>88.800000000000011</v>
      </c>
      <c r="F6" s="1">
        <v>35</v>
      </c>
      <c r="G6" s="1">
        <v>540</v>
      </c>
      <c r="H6" s="1">
        <f>0.045*0.04*0.135</f>
        <v>2.43E-4</v>
      </c>
      <c r="I6" s="1">
        <f>Table14[[#This Row],[mass (g)]]/1000/Table14[[#This Row],[nom energy (W*hr)]]</f>
        <v>6.0810810810810806E-3</v>
      </c>
      <c r="J6" s="1">
        <f>Table14[[#This Row],[mass (g)]]/1000/Table14[[#This Row],[volume (m^3)]]</f>
        <v>2222.2222222222222</v>
      </c>
    </row>
    <row r="7" spans="1:10" ht="17" x14ac:dyDescent="0.2">
      <c r="A7" s="1" t="s">
        <v>27</v>
      </c>
      <c r="B7" s="1" t="s">
        <v>28</v>
      </c>
      <c r="C7" s="1">
        <v>6</v>
      </c>
      <c r="D7" s="1">
        <v>5.2</v>
      </c>
      <c r="E7" s="1">
        <f>Table14[[#This Row],[capacity (A*hr)]]*Table14[[#This Row],['# series]]*3.7</f>
        <v>115.44000000000001</v>
      </c>
      <c r="F7" s="1">
        <v>90</v>
      </c>
      <c r="G7" s="1">
        <v>790</v>
      </c>
      <c r="H7" s="1">
        <f>0.055*0.045*0.16</f>
        <v>3.9599999999999998E-4</v>
      </c>
      <c r="I7" s="1">
        <f>Table14[[#This Row],[mass (g)]]/1000/Table14[[#This Row],[nom energy (W*hr)]]</f>
        <v>6.8433818433818426E-3</v>
      </c>
      <c r="J7" s="1">
        <f>Table14[[#This Row],[mass (g)]]/1000/Table14[[#This Row],[volume (m^3)]]</f>
        <v>1994.9494949494951</v>
      </c>
    </row>
    <row r="8" spans="1:10" ht="17" x14ac:dyDescent="0.2">
      <c r="A8" s="1" t="s">
        <v>27</v>
      </c>
      <c r="B8" s="1" t="s">
        <v>29</v>
      </c>
      <c r="C8" s="1">
        <v>3</v>
      </c>
      <c r="D8" s="1">
        <v>5.2</v>
      </c>
      <c r="E8" s="1">
        <f>Table14[[#This Row],[capacity (A*hr)]]*Table14[[#This Row],['# series]]*3.7</f>
        <v>57.720000000000006</v>
      </c>
      <c r="F8" s="1">
        <v>90</v>
      </c>
      <c r="G8" s="1">
        <v>395</v>
      </c>
      <c r="H8" s="1">
        <f>0.028*0.045*0.16</f>
        <v>2.0160000000000002E-4</v>
      </c>
      <c r="I8" s="1">
        <f>Table14[[#This Row],[mass (g)]]/1000/Table14[[#This Row],[nom energy (W*hr)]]</f>
        <v>6.8433818433818426E-3</v>
      </c>
      <c r="J8" s="1">
        <f>Table14[[#This Row],[mass (g)]]/1000/Table14[[#This Row],[volume (m^3)]]</f>
        <v>1959.3253968253966</v>
      </c>
    </row>
    <row r="9" spans="1:10" ht="17" x14ac:dyDescent="0.2">
      <c r="A9" s="1" t="s">
        <v>27</v>
      </c>
      <c r="B9" s="1" t="s">
        <v>30</v>
      </c>
      <c r="C9" s="1">
        <v>4</v>
      </c>
      <c r="D9" s="1">
        <v>5.2</v>
      </c>
      <c r="E9" s="1">
        <f>Table14[[#This Row],[capacity (A*hr)]]*Table14[[#This Row],['# series]]*3.7</f>
        <v>76.960000000000008</v>
      </c>
      <c r="F9" s="1">
        <v>90</v>
      </c>
      <c r="G9" s="1">
        <v>530</v>
      </c>
      <c r="H9" s="1">
        <f>0.037*0.045*0.16</f>
        <v>2.6639999999999997E-4</v>
      </c>
      <c r="I9" s="1">
        <f>Table14[[#This Row],[mass (g)]]/1000/Table14[[#This Row],[nom energy (W*hr)]]</f>
        <v>6.8866943866943862E-3</v>
      </c>
      <c r="J9" s="1">
        <f>Table14[[#This Row],[mass (g)]]/1000/Table14[[#This Row],[volume (m^3)]]</f>
        <v>1989.4894894894899</v>
      </c>
    </row>
    <row r="10" spans="1:10" ht="17" x14ac:dyDescent="0.2">
      <c r="A10" s="1" t="s">
        <v>27</v>
      </c>
      <c r="B10" s="1" t="s">
        <v>31</v>
      </c>
      <c r="C10" s="1">
        <v>4</v>
      </c>
      <c r="D10" s="1">
        <v>9.5</v>
      </c>
      <c r="E10" s="1">
        <f>Table14[[#This Row],[capacity (A*hr)]]*Table14[[#This Row],['# series]]*3.7</f>
        <v>140.6</v>
      </c>
      <c r="F10" s="1">
        <v>90</v>
      </c>
      <c r="G10" s="1">
        <v>775</v>
      </c>
      <c r="H10" s="1">
        <f>0.042*0.048*0.18</f>
        <v>3.6288E-4</v>
      </c>
      <c r="I10" s="1">
        <f>Table14[[#This Row],[mass (g)]]/1000/Table14[[#This Row],[nom energy (W*hr)]]</f>
        <v>5.5120910384068283E-3</v>
      </c>
      <c r="J10" s="1">
        <f>Table14[[#This Row],[mass (g)]]/1000/Table14[[#This Row],[volume (m^3)]]</f>
        <v>2135.6922398589068</v>
      </c>
    </row>
    <row r="11" spans="1:10" x14ac:dyDescent="0.2">
      <c r="A11" s="1"/>
      <c r="B11" s="1"/>
      <c r="C11" s="1"/>
      <c r="D11" s="1"/>
      <c r="E11" s="1">
        <f>Table14[[#This Row],[capacity (A*hr)]]*Table14[[#This Row],['# series]]*3.7</f>
        <v>0</v>
      </c>
      <c r="F11" s="1"/>
      <c r="G11" s="1"/>
      <c r="H11" s="1"/>
      <c r="I11" s="1"/>
      <c r="J11" s="1"/>
    </row>
    <row r="12" spans="1:10" x14ac:dyDescent="0.2">
      <c r="A12" s="1"/>
      <c r="B12" s="1"/>
      <c r="C12" s="1"/>
      <c r="D12" s="1"/>
      <c r="E12" s="1">
        <f>Table14[[#This Row],[capacity (A*hr)]]*Table14[[#This Row],['# series]]*3.7</f>
        <v>0</v>
      </c>
      <c r="F12" s="1"/>
      <c r="G12" s="1"/>
      <c r="H12" s="1"/>
      <c r="I12" s="1"/>
      <c r="J12" s="1"/>
    </row>
    <row r="13" spans="1:10" x14ac:dyDescent="0.2">
      <c r="A13" s="1"/>
      <c r="B13" s="1"/>
      <c r="C13" s="1"/>
      <c r="D13" s="1"/>
      <c r="E13" s="1">
        <f>Table14[[#This Row],[capacity (A*hr)]]*Table14[[#This Row],['# series]]*3.7</f>
        <v>0</v>
      </c>
      <c r="F13" s="1"/>
      <c r="G13" s="1"/>
      <c r="H13" s="1"/>
      <c r="I13" s="1"/>
      <c r="J13" s="1"/>
    </row>
    <row r="14" spans="1:10" ht="17" x14ac:dyDescent="0.2">
      <c r="A14" s="1" t="s">
        <v>12</v>
      </c>
      <c r="B14" s="1"/>
      <c r="C14" s="1"/>
      <c r="D14" s="1"/>
      <c r="E14" s="1"/>
      <c r="F14" s="1"/>
      <c r="G14" s="1">
        <f>SUBTOTAL(101,Table14[mass (g)])</f>
        <v>420.81111111111113</v>
      </c>
      <c r="H14" s="1">
        <f>SUBTOTAL(101,Table14[volume (m^3)])</f>
        <v>2.0648222222222222E-4</v>
      </c>
      <c r="I14" s="1">
        <f>SUBTOTAL(101,Table14[energy density (kg/Whr)])</f>
        <v>6.1380544604228808E-3</v>
      </c>
      <c r="J14" s="1">
        <f>SUBTOTAL(101,Table14[mass density (kg/m^3)])</f>
        <v>1982.5668938165868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</vt:lpstr>
      <vt:lpstr>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Edgar E</dc:creator>
  <cp:lastModifiedBy>Hernandez, Edgar E</cp:lastModifiedBy>
  <dcterms:created xsi:type="dcterms:W3CDTF">2025-09-16T22:19:47Z</dcterms:created>
  <dcterms:modified xsi:type="dcterms:W3CDTF">2025-09-20T23:50:20Z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3649dc-6fee-4eb8-a128-734c3c842ea8_Enabled">
    <vt:lpwstr>true</vt:lpwstr>
  </property>
  <property fmtid="{D5CDD505-2E9C-101B-9397-08002B2CF9AE}" pid="3" name="MSIP_Label_b73649dc-6fee-4eb8-a128-734c3c842ea8_SetDate">
    <vt:lpwstr>2025-09-16T22:20:51Z</vt:lpwstr>
  </property>
  <property fmtid="{D5CDD505-2E9C-101B-9397-08002B2CF9AE}" pid="4" name="MSIP_Label_b73649dc-6fee-4eb8-a128-734c3c842ea8_Method">
    <vt:lpwstr>Standard</vt:lpwstr>
  </property>
  <property fmtid="{D5CDD505-2E9C-101B-9397-08002B2CF9AE}" pid="5" name="MSIP_Label_b73649dc-6fee-4eb8-a128-734c3c842ea8_Name">
    <vt:lpwstr>defa4170-0d19-0005-0004-bc88714345d2</vt:lpwstr>
  </property>
  <property fmtid="{D5CDD505-2E9C-101B-9397-08002B2CF9AE}" pid="6" name="MSIP_Label_b73649dc-6fee-4eb8-a128-734c3c842ea8_SiteId">
    <vt:lpwstr>857c21d2-1a16-43a4-90cf-d57f3fab9d2f</vt:lpwstr>
  </property>
  <property fmtid="{D5CDD505-2E9C-101B-9397-08002B2CF9AE}" pid="7" name="MSIP_Label_b73649dc-6fee-4eb8-a128-734c3c842ea8_ActionId">
    <vt:lpwstr>98de602e-586c-4425-899b-74da0aa6db99</vt:lpwstr>
  </property>
  <property fmtid="{D5CDD505-2E9C-101B-9397-08002B2CF9AE}" pid="8" name="MSIP_Label_b73649dc-6fee-4eb8-a128-734c3c842ea8_ContentBits">
    <vt:lpwstr>0</vt:lpwstr>
  </property>
  <property fmtid="{D5CDD505-2E9C-101B-9397-08002B2CF9AE}" pid="9" name="MSIP_Label_b73649dc-6fee-4eb8-a128-734c3c842ea8_Tag">
    <vt:lpwstr>50, 3, 0, 1</vt:lpwstr>
  </property>
</Properties>
</file>