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gar/Developer/DBF-projects/dbf_2026/docs/research/"/>
    </mc:Choice>
  </mc:AlternateContent>
  <xr:revisionPtr revIDLastSave="0" documentId="13_ncr:1_{0A147F64-7760-FF4B-B3ED-50C8E060E4DB}" xr6:coauthVersionLast="47" xr6:coauthVersionMax="47" xr10:uidLastSave="{00000000-0000-0000-0000-000000000000}"/>
  <bookViews>
    <workbookView xWindow="0" yWindow="0" windowWidth="19320" windowHeight="21600" activeTab="1" xr2:uid="{DBAD81ED-887D-9B45-868A-CEC70658A2A1}"/>
  </bookViews>
  <sheets>
    <sheet name="best_roc_aspd" sheetId="2" r:id="rId1"/>
    <sheet name="mass facto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I2" i="1" s="1"/>
  <c r="E3" i="1"/>
  <c r="I3" i="1" s="1"/>
  <c r="G3" i="1"/>
  <c r="H3" i="1"/>
  <c r="F3" i="1"/>
  <c r="D3" i="1"/>
  <c r="B3" i="1"/>
  <c r="C2" i="2"/>
  <c r="C3" i="2"/>
  <c r="B3" i="2"/>
  <c r="H2" i="1"/>
  <c r="G2" i="1"/>
  <c r="D4" i="2"/>
  <c r="C4" i="2"/>
  <c r="B4" i="2"/>
  <c r="E4" i="2"/>
  <c r="D2" i="2"/>
  <c r="E2" i="2" s="1"/>
</calcChain>
</file>

<file path=xl/sharedStrings.xml><?xml version="1.0" encoding="utf-8"?>
<sst xmlns="http://schemas.openxmlformats.org/spreadsheetml/2006/main" count="20" uniqueCount="16">
  <si>
    <t>wing area (m^2)</t>
  </si>
  <si>
    <t>mtow (kg)</t>
  </si>
  <si>
    <t>Vx/(W/S) m/s/N*m^2</t>
  </si>
  <si>
    <t>UNI YEAR</t>
  </si>
  <si>
    <t>Vx (m/s)</t>
  </si>
  <si>
    <t>Average</t>
  </si>
  <si>
    <t>USC 2020</t>
  </si>
  <si>
    <t>wing mass (kg)</t>
  </si>
  <si>
    <t>tail mass (kg)</t>
  </si>
  <si>
    <t>wing density (kg/m^2)</t>
  </si>
  <si>
    <t>tail density (kg/m^2)</t>
  </si>
  <si>
    <t>banner area (m^2)</t>
  </si>
  <si>
    <t>banner mass (kg)</t>
  </si>
  <si>
    <t>banner density (kg/m^2)</t>
  </si>
  <si>
    <t>GIT 202</t>
  </si>
  <si>
    <t>GIT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</si>
</sst>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3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alignment horizontal="center" vertical="center" textRotation="0" wrapText="1" indent="0" justifyLastLine="0" shrinkToFit="0" readingOrder="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EFC320-62D7-A246-8A57-1B8597A0CCB7}" name="Table2" displayName="Table2" ref="A1:E4" totalsRowCount="1">
  <autoFilter ref="A1:E3" xr:uid="{F5EFC320-62D7-A246-8A57-1B8597A0CC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9E8BE986-3445-B24A-8BC9-B1352F844E68}" name="UNI YEAR" totalsRowLabel="Average" dataDxfId="22" totalsRowDxfId="10"/>
    <tableColumn id="1" xr3:uid="{70FE5D87-1609-D14E-8CEE-0040E5032A93}" name="wing area (m^2)" totalsRowFunction="average" dataDxfId="21" totalsRowDxfId="9"/>
    <tableColumn id="2" xr3:uid="{7D322A17-47DD-954B-A229-69D553F7265A}" name="mtow (kg)" totalsRowFunction="average" dataDxfId="6">
      <calculatedColumnFormula>25.44/2.205</calculatedColumnFormula>
    </tableColumn>
    <tableColumn id="3" xr3:uid="{8F733579-19D8-3C45-AC8D-C6E3673F6E9F}" name="Vx (m/s)" totalsRowFunction="average" dataDxfId="20" totalsRowDxfId="8">
      <calculatedColumnFormula>45.91/3.281</calculatedColumnFormula>
    </tableColumn>
    <tableColumn id="4" xr3:uid="{1A13A37B-456A-5A42-8F1F-AE91A9D753D9}" name="Vx/(W/S) m/s/N*m^2" totalsRowFunction="average" dataDxfId="19" totalsRowDxfId="7">
      <calculatedColumnFormula>Table2[[#This Row],[Vx (m/s)]]/(Table2[[#This Row],[wing area (m^2)]]/Table2[[#This Row],[mtow (kg)]]/9.81)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4DE73-97EC-AB4F-B7F6-EE70E83515EF}" name="Table1" displayName="Table1" ref="A1:I4" totalsRowCount="1" headerRowDxfId="18">
  <autoFilter ref="A1:I3" xr:uid="{C224DE73-97EC-AB4F-B7F6-EE70E83515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4" xr3:uid="{79FFAD99-1548-8848-9F9F-1C799E3930CB}" name="UNI YEAR" totalsRowLabel="Average"/>
    <tableColumn id="1" xr3:uid="{1A5B1F9B-5DD0-1445-B8D7-D8E5CE39C701}" name="wing mass (kg)" dataDxfId="17" totalsRowDxfId="5"/>
    <tableColumn id="2" xr3:uid="{9FD48261-3940-4244-B0F6-D99309F450A0}" name="wing area (m^2)" dataDxfId="16" totalsRowDxfId="4"/>
    <tableColumn id="5" xr3:uid="{19FE2D3A-57F6-2E44-BDE9-0601DBAE5CB3}" name="tail mass (kg)" dataDxfId="15" totalsRowDxfId="3"/>
    <tableColumn id="6" xr3:uid="{ACE364F1-C7CD-EE49-94FF-757B752B4260}" name="banner area (m^2)" dataDxfId="0" totalsRowDxfId="2">
      <calculatedColumnFormula>7.6*1.5</calculatedColumnFormula>
    </tableColumn>
    <tableColumn id="3" xr3:uid="{AD092908-1241-C24B-89BE-8D85761F6258}" name="banner mass (kg)" dataDxfId="14" totalsRowDxfId="1"/>
    <tableColumn id="7" xr3:uid="{CD348AEC-AF58-3B4C-B698-62A8C6640BF1}" name="tail density (kg/m^2)" dataDxfId="13"/>
    <tableColumn id="8" xr3:uid="{FA7F2A79-C290-9648-96A9-4E839FAD40EA}" name="wing density (kg/m^2)" dataDxfId="12"/>
    <tableColumn id="9" xr3:uid="{A555C1E9-5A6E-8E42-A758-1CF334058C29}" name="banner density (kg/m^2)" dataDxfId="11">
      <calculatedColumnFormula>Table1[[#This Row],[banner mass (kg)]]/Table1[[#This Row],[banner area (m^2)]]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6101-65BC-4844-A4CB-91DB30C44B50}">
  <dimension ref="A1:E4"/>
  <sheetViews>
    <sheetView workbookViewId="0">
      <selection activeCell="D1" sqref="D1"/>
    </sheetView>
  </sheetViews>
  <sheetFormatPr baseColWidth="10" defaultRowHeight="16" x14ac:dyDescent="0.2"/>
  <cols>
    <col min="1" max="1" width="16" customWidth="1"/>
    <col min="2" max="2" width="19.1640625" customWidth="1"/>
    <col min="3" max="3" width="16.5" customWidth="1"/>
    <col min="4" max="4" width="20.83203125" customWidth="1"/>
    <col min="5" max="5" width="20.5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4</v>
      </c>
      <c r="E1" t="s">
        <v>2</v>
      </c>
    </row>
    <row r="2" spans="1:5" x14ac:dyDescent="0.2">
      <c r="A2" s="1" t="s">
        <v>6</v>
      </c>
      <c r="B2" s="2">
        <v>0.46</v>
      </c>
      <c r="C2" s="2">
        <f t="shared" ref="C2" si="0">25.44/2.205</f>
        <v>11.537414965986395</v>
      </c>
      <c r="D2" s="2">
        <f t="shared" ref="D2" si="1">45.91/3.281</f>
        <v>13.992685156964338</v>
      </c>
      <c r="E2" s="2">
        <f>Table2[[#This Row],[Vx (m/s)]]/(Table2[[#This Row],[wing area (m^2)]]/Table2[[#This Row],[mtow (kg)]]/9.81)</f>
        <v>3442.8710055772699</v>
      </c>
    </row>
    <row r="3" spans="1:5" x14ac:dyDescent="0.2">
      <c r="A3" s="1" t="s">
        <v>14</v>
      </c>
      <c r="B3" s="2">
        <f>8.5/10.764</f>
        <v>0.78966926793013759</v>
      </c>
      <c r="C3" s="2">
        <f>20.77/2.205</f>
        <v>9.4195011337868468</v>
      </c>
      <c r="D3" s="2"/>
      <c r="E3" s="2"/>
    </row>
    <row r="4" spans="1:5" x14ac:dyDescent="0.2">
      <c r="A4" s="1" t="s">
        <v>5</v>
      </c>
      <c r="B4" s="2">
        <f>SUBTOTAL(101,Table2[wing area (m^2)])</f>
        <v>0.62483463396506878</v>
      </c>
      <c r="C4" s="2">
        <f>SUBTOTAL(101,Table2[mtow (kg)])</f>
        <v>10.478458049886621</v>
      </c>
      <c r="D4" s="2">
        <f>SUBTOTAL(101,Table2[Vx (m/s)])</f>
        <v>13.992685156964338</v>
      </c>
      <c r="E4" s="2">
        <f>SUBTOTAL(101,Table2[Vx/(W/S) m/s/N*m^2])</f>
        <v>3442.8710055772699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2DD7-202F-634C-AC30-3CABF0D778D1}">
  <dimension ref="A1:I4"/>
  <sheetViews>
    <sheetView tabSelected="1" workbookViewId="0">
      <selection activeCell="E4" sqref="E4"/>
    </sheetView>
  </sheetViews>
  <sheetFormatPr baseColWidth="10" defaultRowHeight="16" x14ac:dyDescent="0.2"/>
  <cols>
    <col min="1" max="1" width="14.33203125" customWidth="1"/>
    <col min="2" max="2" width="15.5" customWidth="1"/>
    <col min="3" max="3" width="17.5" customWidth="1"/>
    <col min="4" max="4" width="16.1640625" customWidth="1"/>
    <col min="5" max="5" width="16" customWidth="1"/>
    <col min="6" max="6" width="16.5" customWidth="1"/>
    <col min="7" max="7" width="15.33203125" customWidth="1"/>
    <col min="8" max="8" width="15.6640625" customWidth="1"/>
    <col min="9" max="9" width="15.5" customWidth="1"/>
  </cols>
  <sheetData>
    <row r="1" spans="1:9" ht="51" x14ac:dyDescent="0.2">
      <c r="A1" s="3" t="s">
        <v>3</v>
      </c>
      <c r="B1" s="3" t="s">
        <v>7</v>
      </c>
      <c r="C1" s="3" t="s">
        <v>0</v>
      </c>
      <c r="D1" s="3" t="s">
        <v>8</v>
      </c>
      <c r="E1" s="3" t="s">
        <v>11</v>
      </c>
      <c r="F1" s="3" t="s">
        <v>12</v>
      </c>
      <c r="G1" s="3" t="s">
        <v>10</v>
      </c>
      <c r="H1" s="3" t="s">
        <v>9</v>
      </c>
      <c r="I1" s="3" t="s">
        <v>13</v>
      </c>
    </row>
    <row r="2" spans="1:9" x14ac:dyDescent="0.2">
      <c r="A2" t="s">
        <v>6</v>
      </c>
      <c r="B2" s="1">
        <v>1.002</v>
      </c>
      <c r="C2" s="1">
        <v>0.46</v>
      </c>
      <c r="D2" s="1">
        <v>8.4000000000000005E-2</v>
      </c>
      <c r="E2" s="1">
        <f t="shared" ref="E2:E3" si="0">7.6*1.5</f>
        <v>11.399999999999999</v>
      </c>
      <c r="F2" s="1">
        <v>0.48599999999999999</v>
      </c>
      <c r="G2" s="1">
        <f>Table1[[#This Row],[tail mass (kg)]]/Table1[[#This Row],[wing area (m^2)]]</f>
        <v>0.18260869565217391</v>
      </c>
      <c r="H2" s="1">
        <f>Table1[[#This Row],[wing mass (kg)]]/Table1[[#This Row],[wing area (m^2)]]</f>
        <v>2.1782608695652175</v>
      </c>
      <c r="I2" s="1">
        <f>Table1[[#This Row],[banner mass (kg)]]/Table1[[#This Row],[banner area (m^2)]]</f>
        <v>4.2631578947368423E-2</v>
      </c>
    </row>
    <row r="3" spans="1:9" x14ac:dyDescent="0.2">
      <c r="A3" t="s">
        <v>15</v>
      </c>
      <c r="B3" s="1">
        <f>1.8/2.205</f>
        <v>0.81632653061224492</v>
      </c>
      <c r="C3" s="1">
        <v>0.79</v>
      </c>
      <c r="D3" s="1">
        <f>0.6/2.205</f>
        <v>0.27210884353741494</v>
      </c>
      <c r="E3" s="1">
        <f t="shared" si="0"/>
        <v>11.399999999999999</v>
      </c>
      <c r="F3" s="1">
        <f>0.91/2.206</f>
        <v>0.41251133272892115</v>
      </c>
      <c r="G3" s="1">
        <f>Table1[[#This Row],[tail mass (kg)]]/Table1[[#This Row],[wing area (m^2)]]</f>
        <v>0.34444157409799359</v>
      </c>
      <c r="H3" s="1">
        <f>Table1[[#This Row],[wing mass (kg)]]/Table1[[#This Row],[wing area (m^2)]]</f>
        <v>1.0333247222939808</v>
      </c>
      <c r="I3" s="1">
        <f>Table1[[#This Row],[banner mass (kg)]]/Table1[[#This Row],[banner area (m^2)]]</f>
        <v>3.6185204625343963E-2</v>
      </c>
    </row>
    <row r="4" spans="1:9" x14ac:dyDescent="0.2">
      <c r="A4" t="s">
        <v>5</v>
      </c>
      <c r="B4" s="1"/>
      <c r="C4" s="1"/>
      <c r="D4" s="1"/>
      <c r="E4" s="1"/>
      <c r="F4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best_roc_aspd</vt:lpstr>
      <vt:lpstr>mass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Edgar E</dc:creator>
  <cp:lastModifiedBy>Hernandez, Edgar E</cp:lastModifiedBy>
  <dcterms:created xsi:type="dcterms:W3CDTF">2025-09-16T22:45:28Z</dcterms:created>
  <dcterms:modified xsi:type="dcterms:W3CDTF">2025-09-21T20:01:26Z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2025-09-16T22:45:35Z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d7793480-7c61-4bea-9003-521d86a4cc2f</vt:lpwstr>
  </property>
  <property fmtid="{D5CDD505-2E9C-101B-9397-08002B2CF9AE}" pid="8" name="MSIP_Label_b73649dc-6fee-4eb8-a128-734c3c842ea8_ContentBits">
    <vt:lpwstr>0</vt:lpwstr>
  </property>
  <property fmtid="{D5CDD505-2E9C-101B-9397-08002B2CF9AE}" pid="9" name="MSIP_Label_b73649dc-6fee-4eb8-a128-734c3c842ea8_Tag">
    <vt:lpwstr>50, 3, 0, 1</vt:lpwstr>
  </property>
</Properties>
</file>