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\Descargas\"/>
    </mc:Choice>
  </mc:AlternateContent>
  <bookViews>
    <workbookView xWindow="0" yWindow="495" windowWidth="28800" windowHeight="15060"/>
  </bookViews>
  <sheets>
    <sheet name="Presupuesto por mes" sheetId="4" r:id="rId1"/>
    <sheet name="Ingresos" sheetId="17" r:id="rId2"/>
    <sheet name="Ene" sheetId="5" r:id="rId3"/>
    <sheet name="Feb" sheetId="6" r:id="rId4"/>
    <sheet name="Mar" sheetId="7" r:id="rId5"/>
    <sheet name="Abr" sheetId="8" r:id="rId6"/>
    <sheet name="May" sheetId="9" r:id="rId7"/>
    <sheet name="Jun" sheetId="10" r:id="rId8"/>
    <sheet name="Jul" sheetId="11" r:id="rId9"/>
    <sheet name="Ago" sheetId="12" r:id="rId10"/>
    <sheet name="Sep" sheetId="13" r:id="rId11"/>
    <sheet name="Oct" sheetId="14" r:id="rId12"/>
    <sheet name="Nov" sheetId="15" r:id="rId13"/>
    <sheet name="Dic" sheetId="16" r:id="rId14"/>
  </sheets>
  <definedNames>
    <definedName name="Listado_de_Items" comment="Listado de gastos e ingresos para usar">'Presupuesto por mes'!$B$14:$B$29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4" l="1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4" i="4"/>
  <c r="C34" i="4"/>
  <c r="D34" i="4"/>
  <c r="E34" i="4"/>
  <c r="F34" i="4"/>
  <c r="G34" i="4"/>
  <c r="C35" i="4"/>
  <c r="D35" i="4"/>
  <c r="E35" i="4"/>
  <c r="F35" i="4"/>
  <c r="G35" i="4"/>
  <c r="C36" i="4"/>
  <c r="D36" i="4"/>
  <c r="E36" i="4"/>
  <c r="F36" i="4"/>
  <c r="G36" i="4"/>
  <c r="C37" i="4"/>
  <c r="D37" i="4"/>
  <c r="E37" i="4"/>
  <c r="F37" i="4"/>
  <c r="G37" i="4"/>
  <c r="C38" i="4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E43" i="4"/>
  <c r="F43" i="4"/>
  <c r="G43" i="4"/>
  <c r="C44" i="4"/>
  <c r="D44" i="4"/>
  <c r="E44" i="4"/>
  <c r="F44" i="4"/>
  <c r="G44" i="4"/>
  <c r="C45" i="4"/>
  <c r="D45" i="4"/>
  <c r="E45" i="4"/>
  <c r="F45" i="4"/>
  <c r="G45" i="4"/>
  <c r="C46" i="4"/>
  <c r="D46" i="4"/>
  <c r="E46" i="4"/>
  <c r="F46" i="4"/>
  <c r="G46" i="4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O49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F15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14" i="4"/>
  <c r="C15" i="4"/>
  <c r="O15" i="4" s="1"/>
  <c r="C16" i="4"/>
  <c r="O16" i="4" s="1"/>
  <c r="C17" i="4"/>
  <c r="O17" i="4" s="1"/>
  <c r="C18" i="4"/>
  <c r="O18" i="4" s="1"/>
  <c r="C19" i="4"/>
  <c r="O19" i="4" s="1"/>
  <c r="C20" i="4"/>
  <c r="O20" i="4" s="1"/>
  <c r="C21" i="4"/>
  <c r="O21" i="4" s="1"/>
  <c r="C22" i="4"/>
  <c r="O22" i="4" s="1"/>
  <c r="C23" i="4"/>
  <c r="O23" i="4" s="1"/>
  <c r="C24" i="4"/>
  <c r="C25" i="4"/>
  <c r="O25" i="4" s="1"/>
  <c r="C26" i="4"/>
  <c r="O26" i="4" s="1"/>
  <c r="C27" i="4"/>
  <c r="O27" i="4" s="1"/>
  <c r="C28" i="4"/>
  <c r="O28" i="4" s="1"/>
  <c r="C29" i="4"/>
  <c r="O29" i="4" s="1"/>
  <c r="G50" i="4" l="1"/>
  <c r="O45" i="4"/>
  <c r="O41" i="4"/>
  <c r="O14" i="4"/>
  <c r="O47" i="4"/>
  <c r="O37" i="4"/>
  <c r="O36" i="4"/>
  <c r="J50" i="4"/>
  <c r="M50" i="4"/>
  <c r="O40" i="4"/>
  <c r="N50" i="4"/>
  <c r="O39" i="4"/>
  <c r="O35" i="4"/>
  <c r="L50" i="4"/>
  <c r="O48" i="4"/>
  <c r="O44" i="4"/>
  <c r="O43" i="4"/>
  <c r="K50" i="4"/>
  <c r="I50" i="4"/>
  <c r="O34" i="4"/>
  <c r="O46" i="4"/>
  <c r="O42" i="4"/>
  <c r="O38" i="4"/>
  <c r="H50" i="4"/>
  <c r="F50" i="4"/>
  <c r="E50" i="4"/>
  <c r="O24" i="4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4" i="5"/>
  <c r="E4" i="6"/>
  <c r="E5" i="6"/>
  <c r="E6" i="6"/>
  <c r="E7" i="6"/>
  <c r="D43" i="4" s="1"/>
  <c r="D50" i="4" s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C31" i="16"/>
  <c r="C31" i="15"/>
  <c r="C31" i="14"/>
  <c r="C31" i="13"/>
  <c r="C31" i="12"/>
  <c r="C31" i="11"/>
  <c r="C31" i="10"/>
  <c r="C31" i="9"/>
  <c r="C31" i="8"/>
  <c r="E5" i="17"/>
  <c r="C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4" i="17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C31" i="7"/>
  <c r="C31" i="6"/>
  <c r="C31" i="5"/>
  <c r="C50" i="4" l="1"/>
  <c r="O50" i="4" s="1"/>
  <c r="C7" i="4" s="1"/>
  <c r="E31" i="14"/>
  <c r="E31" i="11"/>
  <c r="E31" i="9"/>
  <c r="E31" i="8"/>
  <c r="E31" i="6"/>
  <c r="E31" i="16"/>
  <c r="E31" i="15"/>
  <c r="E31" i="13"/>
  <c r="E31" i="12"/>
  <c r="E31" i="10"/>
  <c r="E31" i="17"/>
  <c r="E31" i="5"/>
  <c r="E31" i="7"/>
  <c r="D30" i="4"/>
  <c r="E30" i="4"/>
  <c r="F30" i="4"/>
  <c r="G30" i="4"/>
  <c r="H30" i="4"/>
  <c r="I30" i="4"/>
  <c r="J30" i="4"/>
  <c r="K30" i="4"/>
  <c r="L30" i="4"/>
  <c r="M30" i="4"/>
  <c r="N30" i="4"/>
  <c r="C30" i="4"/>
  <c r="O30" i="4" l="1"/>
  <c r="C4" i="4" s="1"/>
</calcChain>
</file>

<file path=xl/sharedStrings.xml><?xml version="1.0" encoding="utf-8"?>
<sst xmlns="http://schemas.openxmlformats.org/spreadsheetml/2006/main" count="219" uniqueCount="49">
  <si>
    <t>RESUMEN</t>
  </si>
  <si>
    <t>Total de gastos mensuales</t>
  </si>
  <si>
    <t>Elemento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</si>
  <si>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</si>
  <si>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</si>
  <si>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</si>
  <si>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</si>
  <si>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</si>
  <si>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</si>
  <si>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</si>
  <si>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</si>
  <si>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</si>
  <si>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</si>
  <si>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</si>
  <si>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</si>
  <si>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GASTOS OBRA</t>
  </si>
  <si>
    <t>ENERO</t>
  </si>
  <si>
    <t>FECHA</t>
  </si>
  <si>
    <t>DETALLE</t>
  </si>
  <si>
    <t>MONTO $AR</t>
  </si>
  <si>
    <t>GASTOS:</t>
  </si>
  <si>
    <t>COTIZ U$s</t>
  </si>
  <si>
    <t>MONTO U$s</t>
  </si>
  <si>
    <t>TOTAL</t>
  </si>
  <si>
    <t xml:space="preserve"> Totales </t>
  </si>
  <si>
    <t>Total Pesos AR</t>
  </si>
  <si>
    <t>FEBRERO</t>
  </si>
  <si>
    <t>MARZO</t>
  </si>
  <si>
    <t>INGRESOS</t>
  </si>
  <si>
    <t>ABRIL</t>
  </si>
  <si>
    <t>Luz</t>
  </si>
  <si>
    <t>Alquiler mensual</t>
  </si>
  <si>
    <t>Aguas Mendocinas</t>
  </si>
  <si>
    <t>Teléfono</t>
  </si>
  <si>
    <t>Internet</t>
  </si>
  <si>
    <t>Gastos de Plomería</t>
  </si>
  <si>
    <t>Gastos de Mantenimiento de Gas</t>
  </si>
  <si>
    <t>Gastos de reparación general</t>
  </si>
  <si>
    <t>Jardinería</t>
  </si>
  <si>
    <t>Pintura</t>
  </si>
  <si>
    <t>Papelería comercial</t>
  </si>
  <si>
    <t>Expensas</t>
  </si>
  <si>
    <t>Impuestos Municipales</t>
  </si>
  <si>
    <t>Impuestos Provinciales</t>
  </si>
  <si>
    <t>Cloacas</t>
  </si>
  <si>
    <t>GASTOS EN PESOS</t>
  </si>
  <si>
    <t>GASTOS EN DOLARES</t>
  </si>
  <si>
    <t>Total Dólares</t>
  </si>
  <si>
    <t>Total en dólares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</si>
</sst>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* #,##0\ &quot;€&quot;_-;\-* #,##0\ &quot;€&quot;_-;_-* &quot;-&quot;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  <numFmt numFmtId="167" formatCode="_-[$$-2C0A]\ * #,##0.00_-;\-[$$-2C0A]\ * #,##0.00_-;_-[$$-2C0A]\ * &quot;-&quot;??_-;_-@_-"/>
    <numFmt numFmtId="168" formatCode="dd/mm/yy;@"/>
    <numFmt numFmtId="169" formatCode="&quot;U$s&quot;* #,##0.00"/>
  </numFmts>
  <fonts count="39">
    <font>
      <sz val="11"/>
      <color theme="1"/>
      <name val="Century Gothic"/>
      <family val="2"/>
      <scheme val="minor"/>
    </font>
    <font>
      <sz val="11"/>
      <color theme="1"/>
      <name val="Aptos"/>
      <family val="2"/>
    </font>
    <font>
      <sz val="10"/>
      <color theme="1" tint="4.9989318521683403E-2"/>
      <name val="Century Gothic"/>
      <family val="1"/>
      <scheme val="minor"/>
    </font>
    <font>
      <sz val="11"/>
      <color theme="1" tint="4.9989318521683403E-2"/>
      <name val="Aptos"/>
      <family val="2"/>
    </font>
    <font>
      <b/>
      <sz val="11"/>
      <color theme="0"/>
      <name val="Century Gothic"/>
      <family val="1"/>
      <scheme val="major"/>
    </font>
    <font>
      <sz val="11"/>
      <name val="Century Gothic"/>
      <family val="2"/>
      <scheme val="minor"/>
    </font>
    <font>
      <b/>
      <sz val="14"/>
      <color theme="1" tint="4.9989318521683403E-2"/>
      <name val="Century Gothic"/>
      <family val="2"/>
      <scheme val="minor"/>
    </font>
    <font>
      <sz val="11"/>
      <color theme="0"/>
      <name val="Century Gothic"/>
      <family val="1"/>
      <scheme val="minor"/>
    </font>
    <font>
      <sz val="32"/>
      <color theme="0"/>
      <name val="Century Gothic"/>
      <family val="1"/>
      <scheme val="major"/>
    </font>
    <font>
      <sz val="11"/>
      <color theme="1"/>
      <name val="Century Gothic"/>
      <family val="1"/>
      <scheme val="minor"/>
    </font>
    <font>
      <sz val="32"/>
      <color theme="1"/>
      <name val="Century Gothic"/>
      <family val="1"/>
      <scheme val="minor"/>
    </font>
    <font>
      <b/>
      <sz val="16"/>
      <color theme="1"/>
      <name val="Century Gothic"/>
      <family val="1"/>
      <scheme val="minor"/>
    </font>
    <font>
      <b/>
      <sz val="14"/>
      <color theme="1"/>
      <name val="Century Gothic"/>
      <family val="1"/>
      <scheme val="minor"/>
    </font>
    <font>
      <sz val="14"/>
      <color theme="1"/>
      <name val="Century Gothic"/>
      <family val="1"/>
      <scheme val="minor"/>
    </font>
    <font>
      <b/>
      <sz val="24"/>
      <color theme="1"/>
      <name val="Century Gothic"/>
      <family val="1"/>
      <scheme val="minor"/>
    </font>
    <font>
      <b/>
      <sz val="36"/>
      <color theme="1"/>
      <name val="Century Gothic"/>
      <family val="1"/>
      <scheme val="major"/>
    </font>
    <font>
      <b/>
      <sz val="16"/>
      <color theme="1"/>
      <name val="Century Gothic"/>
      <family val="1"/>
      <scheme val="major"/>
    </font>
    <font>
      <b/>
      <sz val="24"/>
      <color theme="1"/>
      <name val="Century Gothic"/>
      <family val="1"/>
      <scheme val="major"/>
    </font>
    <font>
      <sz val="14"/>
      <color theme="1"/>
      <name val="Century Gothic"/>
      <family val="1"/>
      <scheme val="maj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4"/>
      <color theme="1"/>
      <name val="Century Gothic"/>
      <family val="2"/>
      <scheme val="major"/>
    </font>
    <font>
      <b/>
      <sz val="14"/>
      <color theme="1"/>
      <name val="Arial Black"/>
      <family val="2"/>
    </font>
    <font>
      <sz val="14"/>
      <color theme="1"/>
      <name val="Century Gothic"/>
      <scheme val="minor"/>
    </font>
    <font>
      <b/>
      <sz val="14"/>
      <color theme="1"/>
      <name val="Century Gothic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/>
      <top/>
      <bottom style="medium">
        <color theme="0"/>
      </bottom>
      <diagonal/>
    </border>
    <border>
      <left/>
      <right/>
      <top style="dashed">
        <color theme="7"/>
      </top>
      <bottom style="dashed">
        <color theme="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59996337778862885"/>
      </right>
      <top/>
      <bottom style="thick">
        <color theme="0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ck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166" fontId="2" fillId="0" borderId="0" applyFont="0" applyFill="0" applyBorder="0" applyProtection="0">
      <alignment horizontal="right" vertical="center" indent="1"/>
    </xf>
    <xf numFmtId="0" fontId="1" fillId="0" borderId="0"/>
    <xf numFmtId="0" fontId="3" fillId="0" borderId="0">
      <alignment horizontal="left" vertical="center" wrapText="1" indent="1"/>
    </xf>
    <xf numFmtId="0" fontId="4" fillId="3" borderId="1" applyNumberFormat="0" applyProtection="0">
      <alignment horizontal="center" vertical="center"/>
    </xf>
    <xf numFmtId="0" fontId="5" fillId="0" borderId="3" applyNumberFormat="0" applyFont="0" applyAlignment="0" applyProtection="0"/>
    <xf numFmtId="0" fontId="4" fillId="3" borderId="0" applyNumberFormat="0" applyBorder="0" applyProtection="0">
      <alignment horizontal="left" vertical="center" indent="1"/>
    </xf>
    <xf numFmtId="9" fontId="6" fillId="0" borderId="0" applyFont="0" applyFill="0" applyBorder="0" applyProtection="0">
      <alignment horizontal="center" vertical="center"/>
    </xf>
    <xf numFmtId="0" fontId="7" fillId="0" borderId="0" applyNumberFormat="0" applyFill="0" applyBorder="0" applyAlignment="0">
      <alignment horizontal="left" vertical="center" wrapText="1" indent="1"/>
    </xf>
    <xf numFmtId="0" fontId="8" fillId="2" borderId="4" applyNumberFormat="0" applyProtection="0">
      <alignment horizontal="left" vertical="center" indent="3"/>
    </xf>
    <xf numFmtId="0" fontId="4" fillId="5" borderId="2" applyNumberFormat="0" applyProtection="0">
      <alignment horizontal="center" vertical="center"/>
    </xf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0" fontId="26" fillId="9" borderId="8" applyNumberFormat="0" applyAlignment="0" applyProtection="0"/>
    <xf numFmtId="0" fontId="27" fillId="10" borderId="9" applyNumberFormat="0" applyAlignment="0" applyProtection="0"/>
    <xf numFmtId="0" fontId="28" fillId="10" borderId="8" applyNumberFormat="0" applyAlignment="0" applyProtection="0"/>
    <xf numFmtId="0" fontId="29" fillId="0" borderId="10" applyNumberFormat="0" applyFill="0" applyAlignment="0" applyProtection="0"/>
    <xf numFmtId="0" fontId="30" fillId="11" borderId="11" applyNumberFormat="0" applyAlignment="0" applyProtection="0"/>
    <xf numFmtId="0" fontId="31" fillId="0" borderId="0" applyNumberFormat="0" applyFill="0" applyBorder="0" applyAlignment="0" applyProtection="0"/>
    <xf numFmtId="0" fontId="19" fillId="12" borderId="12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4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</cellStyleXfs>
  <cellXfs count="38">
    <xf numFmtId="0" fontId="0" fillId="0" borderId="0" xfId="0"/>
    <xf numFmtId="167" fontId="9" fillId="0" borderId="0" xfId="3" applyNumberFormat="1" applyFont="1">
      <alignment horizontal="left" vertical="center" wrapText="1" indent="1"/>
    </xf>
    <xf numFmtId="167" fontId="15" fillId="0" borderId="6" xfId="10" applyNumberFormat="1" applyFont="1" applyFill="1" applyBorder="1" applyAlignment="1">
      <alignment horizontal="left" vertical="center"/>
    </xf>
    <xf numFmtId="167" fontId="10" fillId="0" borderId="6" xfId="9" applyNumberFormat="1" applyFont="1" applyFill="1" applyBorder="1">
      <alignment horizontal="left" vertical="center" indent="3"/>
    </xf>
    <xf numFmtId="167" fontId="10" fillId="0" borderId="0" xfId="9" applyNumberFormat="1" applyFont="1" applyFill="1" applyBorder="1" applyAlignment="1">
      <alignment horizontal="left" vertical="center" indent="1"/>
    </xf>
    <xf numFmtId="167" fontId="10" fillId="0" borderId="0" xfId="9" applyNumberFormat="1" applyFont="1" applyFill="1" applyBorder="1">
      <alignment horizontal="left" vertical="center" indent="3"/>
    </xf>
    <xf numFmtId="167" fontId="10" fillId="0" borderId="4" xfId="9" applyNumberFormat="1" applyFont="1" applyFill="1">
      <alignment horizontal="left" vertical="center" indent="3"/>
    </xf>
    <xf numFmtId="167" fontId="16" fillId="4" borderId="0" xfId="4" applyNumberFormat="1" applyFont="1" applyFill="1" applyBorder="1" applyAlignment="1">
      <alignment horizontal="left" vertical="center" indent="1"/>
    </xf>
    <xf numFmtId="167" fontId="12" fillId="4" borderId="0" xfId="4" applyNumberFormat="1" applyFont="1" applyFill="1" applyBorder="1" applyAlignment="1">
      <alignment horizontal="right" vertical="center" indent="1"/>
    </xf>
    <xf numFmtId="167" fontId="13" fillId="0" borderId="5" xfId="5" applyNumberFormat="1" applyFont="1" applyBorder="1" applyAlignment="1">
      <alignment horizontal="left" vertical="center" indent="1"/>
    </xf>
    <xf numFmtId="167" fontId="13" fillId="0" borderId="5" xfId="1" applyNumberFormat="1" applyFont="1" applyBorder="1">
      <alignment horizontal="right" vertical="center" indent="1"/>
    </xf>
    <xf numFmtId="167" fontId="9" fillId="0" borderId="0" xfId="3" applyNumberFormat="1" applyFont="1" applyAlignment="1">
      <alignment horizontal="right" vertical="center" wrapText="1" indent="1"/>
    </xf>
    <xf numFmtId="167" fontId="11" fillId="4" borderId="0" xfId="1" applyNumberFormat="1" applyFont="1" applyFill="1" applyBorder="1">
      <alignment horizontal="right" vertical="center" indent="1"/>
    </xf>
    <xf numFmtId="167" fontId="11" fillId="4" borderId="0" xfId="7" applyNumberFormat="1" applyFont="1" applyFill="1" applyBorder="1" applyAlignment="1">
      <alignment horizontal="right" vertical="center" indent="1"/>
    </xf>
    <xf numFmtId="167" fontId="17" fillId="0" borderId="0" xfId="10" applyNumberFormat="1" applyFont="1" applyFill="1" applyBorder="1" applyAlignment="1">
      <alignment horizontal="left" vertical="center"/>
    </xf>
    <xf numFmtId="167" fontId="14" fillId="0" borderId="0" xfId="10" applyNumberFormat="1" applyFont="1" applyFill="1" applyBorder="1" applyAlignment="1">
      <alignment vertical="center"/>
    </xf>
    <xf numFmtId="167" fontId="18" fillId="0" borderId="0" xfId="3" applyNumberFormat="1" applyFont="1" applyAlignment="1">
      <alignment horizontal="left" vertical="center" indent="1"/>
    </xf>
    <xf numFmtId="167" fontId="18" fillId="0" borderId="0" xfId="3" applyNumberFormat="1" applyFont="1">
      <alignment horizontal="left" vertical="center" wrapText="1" indent="1"/>
    </xf>
    <xf numFmtId="167" fontId="13" fillId="0" borderId="0" xfId="3" applyNumberFormat="1" applyFont="1">
      <alignment horizontal="left" vertical="center" wrapText="1" indent="1"/>
    </xf>
    <xf numFmtId="167" fontId="13" fillId="0" borderId="0" xfId="1" applyNumberFormat="1" applyFont="1" applyFill="1" applyBorder="1" applyAlignment="1">
      <alignment horizontal="left" vertical="center" indent="1"/>
    </xf>
    <xf numFmtId="168" fontId="9" fillId="0" borderId="0" xfId="3" applyNumberFormat="1" applyFont="1">
      <alignment horizontal="left" vertical="center" wrapText="1" indent="1"/>
    </xf>
    <xf numFmtId="0" fontId="33" fillId="0" borderId="0" xfId="0" applyFont="1" applyAlignment="1">
      <alignment horizontal="right"/>
    </xf>
    <xf numFmtId="0" fontId="36" fillId="0" borderId="0" xfId="0" applyFont="1"/>
    <xf numFmtId="167" fontId="35" fillId="4" borderId="14" xfId="3" applyNumberFormat="1" applyFont="1" applyFill="1" applyBorder="1" applyAlignment="1">
      <alignment horizontal="left" vertical="center" indent="1"/>
    </xf>
    <xf numFmtId="167" fontId="35" fillId="4" borderId="15" xfId="3" applyNumberFormat="1" applyFont="1" applyFill="1" applyBorder="1" applyAlignment="1">
      <alignment horizontal="left" vertical="center" indent="1"/>
    </xf>
    <xf numFmtId="167" fontId="0" fillId="0" borderId="0" xfId="0" applyNumberFormat="1"/>
    <xf numFmtId="169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7" fontId="37" fillId="0" borderId="0" xfId="0" applyNumberFormat="1" applyFont="1" applyAlignment="1">
      <alignment horizontal="left" vertical="center" wrapText="1" indent="1"/>
    </xf>
    <xf numFmtId="167" fontId="37" fillId="0" borderId="0" xfId="0" applyNumberFormat="1" applyFont="1" applyAlignment="1">
      <alignment horizontal="left" vertical="center" indent="1"/>
    </xf>
    <xf numFmtId="167" fontId="37" fillId="0" borderId="0" xfId="1" applyNumberFormat="1" applyFont="1" applyFill="1" applyBorder="1" applyAlignment="1">
      <alignment horizontal="left" vertical="center" indent="1"/>
    </xf>
    <xf numFmtId="167" fontId="37" fillId="0" borderId="0" xfId="3" applyNumberFormat="1" applyFont="1" applyAlignment="1">
      <alignment horizontal="left" vertical="center" wrapText="1" indent="1"/>
    </xf>
    <xf numFmtId="169" fontId="13" fillId="0" borderId="0" xfId="1" applyNumberFormat="1" applyFont="1" applyFill="1" applyBorder="1" applyAlignment="1">
      <alignment horizontal="left" vertical="center" indent="1"/>
    </xf>
    <xf numFmtId="169" fontId="11" fillId="4" borderId="0" xfId="1" applyNumberFormat="1" applyFont="1" applyFill="1" applyBorder="1">
      <alignment horizontal="right" vertical="center" indent="1"/>
    </xf>
    <xf numFmtId="167" fontId="38" fillId="0" borderId="16" xfId="0" applyNumberFormat="1" applyFont="1" applyBorder="1" applyAlignment="1">
      <alignment horizontal="left" vertical="center" wrapText="1" indent="1"/>
    </xf>
    <xf numFmtId="169" fontId="38" fillId="0" borderId="16" xfId="0" applyNumberFormat="1" applyFont="1" applyBorder="1" applyAlignment="1">
      <alignment horizontal="left" vertical="center" indent="1"/>
    </xf>
    <xf numFmtId="169" fontId="38" fillId="0" borderId="16" xfId="1" applyNumberFormat="1" applyFont="1" applyFill="1" applyBorder="1" applyAlignment="1">
      <alignment horizontal="left" vertical="center" indent="1"/>
    </xf>
  </cellXfs>
  <cellStyles count="55">
    <cellStyle name="20% - Énfasis1" xfId="32" builtinId="30" customBuiltin="1"/>
    <cellStyle name="20% - Énfasis2" xfId="36" builtinId="34" customBuiltin="1"/>
    <cellStyle name="20% - Énfasis3" xfId="40" builtinId="38" customBuiltin="1"/>
    <cellStyle name="20% - Énfasis4" xfId="44" builtinId="42" customBuiltin="1"/>
    <cellStyle name="20% - Énfasis5" xfId="48" builtinId="46" customBuiltin="1"/>
    <cellStyle name="20% - Énfasis6" xfId="52" builtinId="50" customBuiltin="1"/>
    <cellStyle name="40% - Énfasis1" xfId="33" builtinId="31" customBuiltin="1"/>
    <cellStyle name="40% - Énfasis2" xfId="37" builtinId="35" customBuiltin="1"/>
    <cellStyle name="40% - Énfasis3" xfId="41" builtinId="39" customBuiltin="1"/>
    <cellStyle name="40% - Énfasis4" xfId="45" builtinId="43" customBuiltin="1"/>
    <cellStyle name="40% - Énfasis5" xfId="49" builtinId="47" customBuiltin="1"/>
    <cellStyle name="40% - Énfasis6" xfId="53" builtinId="51" customBuiltin="1"/>
    <cellStyle name="60% - Énfasis1" xfId="34" builtinId="32" customBuiltin="1"/>
    <cellStyle name="60% - Énfasis2" xfId="38" builtinId="36" customBuiltin="1"/>
    <cellStyle name="60% - Énfasis3" xfId="42" builtinId="40" customBuiltin="1"/>
    <cellStyle name="60% - Énfasis4" xfId="46" builtinId="44" customBuiltin="1"/>
    <cellStyle name="60% - Énfasis5" xfId="50" builtinId="48" customBuiltin="1"/>
    <cellStyle name="60% - Énfasis6" xfId="54" builtinId="52" customBuiltin="1"/>
    <cellStyle name="Año" xfId="8"/>
    <cellStyle name="Bueno" xfId="19" builtinId="26" customBuiltin="1"/>
    <cellStyle name="Cálculo" xfId="24" builtinId="22" customBuiltin="1"/>
    <cellStyle name="Celda de comprobación" xfId="26" builtinId="23" customBuiltin="1"/>
    <cellStyle name="Celda vinculada" xfId="25" builtinId="24" customBuiltin="1"/>
    <cellStyle name="Encabezado 1" xfId="16" builtinId="16" customBuiltin="1"/>
    <cellStyle name="Encabezado 1 2" xfId="10"/>
    <cellStyle name="Encabezado 2 2" xfId="4"/>
    <cellStyle name="Encabezado 4" xfId="18" builtinId="19" customBuiltin="1"/>
    <cellStyle name="Énfasis1" xfId="31" builtinId="29" customBuiltin="1"/>
    <cellStyle name="Énfasis2" xfId="35" builtinId="33" customBuiltin="1"/>
    <cellStyle name="Énfasis3" xfId="39" builtinId="37" customBuiltin="1"/>
    <cellStyle name="Énfasis4" xfId="43" builtinId="41" customBuiltin="1"/>
    <cellStyle name="Énfasis5" xfId="47" builtinId="45" customBuiltin="1"/>
    <cellStyle name="Énfasis6" xfId="51" builtinId="49" customBuiltin="1"/>
    <cellStyle name="Entrada" xfId="22" builtinId="20" customBuiltin="1"/>
    <cellStyle name="Entrada 2" xfId="5"/>
    <cellStyle name="Incorrecto" xfId="20" builtinId="27" customBuiltin="1"/>
    <cellStyle name="Millares" xfId="11" builtinId="3" customBuiltin="1"/>
    <cellStyle name="Millares [0]" xfId="12" builtinId="6" customBuiltin="1"/>
    <cellStyle name="Moneda" xfId="1" builtinId="4" customBuiltin="1"/>
    <cellStyle name="Moneda [0]" xfId="13" builtinId="7" customBuiltin="1"/>
    <cellStyle name="Neutral" xfId="21" builtinId="28" customBuiltin="1"/>
    <cellStyle name="Normal" xfId="0" builtinId="0" customBuiltin="1"/>
    <cellStyle name="Normal 2" xfId="2"/>
    <cellStyle name="Normal 3" xfId="3"/>
    <cellStyle name="Notas" xfId="28" builtinId="10" customBuiltin="1"/>
    <cellStyle name="Porcentaje" xfId="14" builtinId="5" customBuiltin="1"/>
    <cellStyle name="Porcentaje 2" xfId="7"/>
    <cellStyle name="Salida" xfId="23" builtinId="21" customBuiltin="1"/>
    <cellStyle name="Texto de advertencia" xfId="27" builtinId="11" customBuiltin="1"/>
    <cellStyle name="Texto explicativo" xfId="29" builtinId="53" customBuiltin="1"/>
    <cellStyle name="Título" xfId="15" builtinId="15" customBuiltin="1"/>
    <cellStyle name="Título 2" xfId="9" builtinId="17" customBuiltin="1"/>
    <cellStyle name="Título 3" xfId="17" builtinId="18" customBuiltin="1"/>
    <cellStyle name="Título 3 2" xfId="6"/>
    <cellStyle name="Total" xfId="30" builtinId="25" customBuiltin="1"/>
  </cellStyles>
  <dxfs count="227"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numFmt numFmtId="169" formatCode="&quot;U$s&quot;* #,##0.00"/>
    </dxf>
    <dxf>
      <numFmt numFmtId="169" formatCode="&quot;U$s&quot;* #,##0.00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numFmt numFmtId="167" formatCode="_-[$$-2C0A]\ * #,##0.00_-;\-[$$-2C0A]\ * #,##0.00_-;_-[$$-2C0A]\ * &quot;-&quot;??_-;_-@_-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border outline="0">
        <top style="thick">
          <color theme="0"/>
        </top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4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9" formatCode="&quot;U$s&quot;* 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</dxf>
    <dxf>
      <border outline="0">
        <top style="thick">
          <color theme="0"/>
        </top>
        <bottom style="thick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alignment horizontal="left" vertical="center" textRotation="0" wrapText="1" indent="1" justifyLastLine="0" shrinkToFit="0" readingOrder="0"/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fill>
        <patternFill patternType="none">
          <fgColor indexed="64"/>
          <bgColor indexed="65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inor"/>
      </font>
      <numFmt numFmtId="167" formatCode="_-[$$-2C0A]\ * #,##0.00_-;\-[$$-2C0A]\ * #,##0.00_-;_-[$$-2C0A]\ * &quot;-&quot;??_-;_-@_-"/>
    </dxf>
    <dxf>
      <border>
        <bottom style="thick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/>
        <name val="Century Gothic"/>
        <scheme val="major"/>
      </font>
      <numFmt numFmtId="167" formatCode="_-[$$-2C0A]\ * #,##0.00_-;\-[$$-2C0A]\ * #,##0.00_-;_-[$$-2C0A]\ * &quot;-&quot;??_-;_-@_-"/>
      <fill>
        <patternFill patternType="solid">
          <fgColor indexed="64"/>
          <bgColor theme="5" tint="0.39994506668294322"/>
        </patternFill>
      </fill>
    </dxf>
    <dxf>
      <fill>
        <patternFill patternType="none">
          <bgColor auto="1"/>
        </patternFill>
      </fill>
      <border>
        <top style="dotted">
          <color theme="5"/>
        </top>
        <bottom style="dotted">
          <color theme="5"/>
        </bottom>
        <horizontal style="dotted">
          <color theme="5"/>
        </horizontal>
      </border>
    </dxf>
    <dxf>
      <font>
        <color theme="0" tint="-4.9989318521683403E-2"/>
      </font>
      <fill>
        <patternFill>
          <bgColor theme="4" tint="0.79998168889431442"/>
        </patternFill>
      </fill>
      <border>
        <top/>
      </border>
    </dxf>
    <dxf>
      <font>
        <b/>
        <i val="0"/>
        <color theme="1"/>
      </font>
      <fill>
        <patternFill>
          <bgColor theme="4" tint="0.79998168889431442"/>
        </patternFill>
      </fill>
      <border diagonalUp="0" diagonalDown="0">
        <left/>
        <right/>
        <top style="thick">
          <color theme="0"/>
        </top>
        <bottom style="thick">
          <color theme="0"/>
        </bottom>
        <vertical/>
        <horizontal/>
      </border>
    </dxf>
    <dxf>
      <border>
        <bottom style="medium">
          <color theme="7"/>
        </bottom>
      </border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  <border>
        <top/>
        <bottom style="thick">
          <color theme="4"/>
        </bottom>
        <vertical style="thin">
          <color theme="4" tint="0.59996337778862885"/>
        </vertical>
      </border>
    </dxf>
    <dxf>
      <font>
        <b/>
        <i val="0"/>
        <color theme="1"/>
      </font>
      <fill>
        <patternFill>
          <bgColor theme="4" tint="0.79998168889431442"/>
        </patternFill>
      </fill>
      <border diagonalUp="0" diagonalDown="0">
        <left/>
        <right/>
        <top style="thick">
          <color theme="0"/>
        </top>
        <bottom style="thick">
          <color theme="0"/>
        </bottom>
        <vertical style="thin">
          <color theme="4" tint="0.59996337778862885"/>
        </vertical>
        <horizontal/>
      </border>
    </dxf>
    <dxf>
      <border>
        <left/>
        <bottom style="medium">
          <color theme="4"/>
        </bottom>
        <vertical style="thin">
          <color theme="4" tint="0.79998168889431442"/>
        </vertical>
      </border>
    </dxf>
  </dxfs>
  <tableStyles count="2" defaultTableStyle="TableStyleMedium2" defaultPivotStyle="PivotStyleLight16">
    <tableStyle name="Presupuesto mensual simple 2" pivot="0" count="4">
      <tableStyleElement type="wholeTable" dxfId="226"/>
      <tableStyleElement type="headerRow" dxfId="225"/>
      <tableStyleElement type="totalRow" dxfId="224"/>
      <tableStyleElement type="firstRowStripe" dxfId="223"/>
    </tableStyle>
    <tableStyle name="Presupuesto mensual simple 2 2" pivot="0" count="4">
      <tableStyleElement type="wholeTable" dxfId="222"/>
      <tableStyleElement type="headerRow" dxfId="221"/>
      <tableStyleElement type="totalRow" dxfId="220"/>
      <tableStyleElement type="firstRowStripe" dxfId="2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Gastos" displayName="Gastos" ref="B13:O30" totalsRowCount="1" headerRowDxfId="218" dataDxfId="216" totalsRowDxfId="215" headerRowBorderDxfId="217">
  <autoFilter ref="B13:O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Elemento" totalsRowLabel=" Totales " dataDxfId="214" totalsRowDxfId="213" dataCellStyle="Normal"/>
    <tableColumn id="2" name="Ene" totalsRowFunction="sum" dataDxfId="212" totalsRowDxfId="211">
      <calculatedColumnFormula>IFERROR(VLOOKUP(Gastos[[#This Row],[Elemento]],Tabla2[[DETALLE]:[MONTO U$s]],2,FALSE),"")</calculatedColumnFormula>
    </tableColumn>
    <tableColumn id="3" name="Feb" totalsRowFunction="sum" dataDxfId="210" totalsRowDxfId="209" dataCellStyle="Moneda">
      <calculatedColumnFormula>IFERROR(VLOOKUP(Gastos[[#This Row],[Elemento]],Tabla24[[DETALLE]:[MONTO U$s]],2,FALSE),"")</calculatedColumnFormula>
    </tableColumn>
    <tableColumn id="4" name="Mar" totalsRowFunction="sum" dataDxfId="208" totalsRowDxfId="207" dataCellStyle="Moneda">
      <calculatedColumnFormula>IFERROR(VLOOKUP(Gastos[[#This Row],[Elemento]],Tabla26[[DETALLE]:[MONTO U$s]],2,FALSE),"")</calculatedColumnFormula>
    </tableColumn>
    <tableColumn id="5" name="Abr" totalsRowFunction="sum" dataDxfId="206" totalsRowDxfId="205">
      <calculatedColumnFormula>IFERROR(VLOOKUP(Gastos[[#This Row],[Elemento]],Tabla268[[DETALLE]:[MONTO U$s]],2,FALSE),"")</calculatedColumnFormula>
    </tableColumn>
    <tableColumn id="6" name="May" totalsRowFunction="sum" dataDxfId="204" totalsRowDxfId="203">
      <calculatedColumnFormula>IFERROR(VLOOKUP(Gastos[[#This Row],[Elemento]],Tabla2689[[DETALLE]:[MONTO U$s]],2,FALSE),"")</calculatedColumnFormula>
    </tableColumn>
    <tableColumn id="7" name="Jun" totalsRowFunction="sum" dataDxfId="202" totalsRowDxfId="201">
      <calculatedColumnFormula>IFERROR(VLOOKUP(Gastos[[#This Row],[Elemento]],Tabla26810[[DETALLE]:[MONTO U$s]],2,FALSE),"")</calculatedColumnFormula>
    </tableColumn>
    <tableColumn id="8" name="Jul" totalsRowFunction="sum" dataDxfId="200" totalsRowDxfId="199">
      <calculatedColumnFormula>IFERROR(VLOOKUP(Gastos[[#This Row],[Elemento]],Tabla26811[[DETALLE]:[MONTO U$s]],2,FALSE),"")</calculatedColumnFormula>
    </tableColumn>
    <tableColumn id="9" name="Ago" totalsRowFunction="sum" dataDxfId="198" totalsRowDxfId="197">
      <calculatedColumnFormula>IFERROR(VLOOKUP(Gastos[[#This Row],[Elemento]],Tabla26812[[DETALLE]:[MONTO U$s]],2,FALSE),"")</calculatedColumnFormula>
    </tableColumn>
    <tableColumn id="10" name="Sep" totalsRowFunction="sum" dataDxfId="196" totalsRowDxfId="195">
      <calculatedColumnFormula>IFERROR(VLOOKUP(Gastos[[#This Row],[Elemento]],Tabla26813[[DETALLE]:[MONTO U$s]],2,FALSE),"")</calculatedColumnFormula>
    </tableColumn>
    <tableColumn id="11" name="Oct" totalsRowFunction="sum" dataDxfId="194" totalsRowDxfId="193">
      <calculatedColumnFormula>IFERROR(VLOOKUP(Gastos[[#This Row],[Elemento]],Tabla26814[[DETALLE]:[MONTO U$s]],2,FALSE),"")</calculatedColumnFormula>
    </tableColumn>
    <tableColumn id="12" name="Nov" totalsRowFunction="sum" dataDxfId="192" totalsRowDxfId="191">
      <calculatedColumnFormula>IFERROR(VLOOKUP(Gastos[[#This Row],[Elemento]],Tabla26815[[DETALLE]:[MONTO U$s]],2,FALSE),"")</calculatedColumnFormula>
    </tableColumn>
    <tableColumn id="13" name="Dic" totalsRowFunction="sum" dataDxfId="190" totalsRowDxfId="189">
      <calculatedColumnFormula>IFERROR(VLOOKUP(Gastos[[#This Row],[Elemento]],Tabla26816[[DETALLE]:[MONTO U$s]],2,FALSE),"")</calculatedColumnFormula>
    </tableColumn>
    <tableColumn id="14" name="Total Pesos AR" totalsRowFunction="sum" dataDxfId="188" totalsRowDxfId="187">
      <calculatedColumnFormula>IF(SUM(Gastos[[#This Row],[Ene]:[Dic]])=0,"",SUM(Gastos[[#This Row],[Ene]:[Dic]]))</calculatedColumnFormula>
    </tableColumn>
  </tableColumns>
  <tableStyleInfo name="Presupuesto mensual simple 2" showFirstColumn="0" showLastColumn="0" showRowStripes="1" showColumnStripes="0"/>
  <extLst>
    <ext xmlns:x14="http://schemas.microsoft.com/office/spreadsheetml/2009/9/main" uri="{504A1905-F514-4f6f-8877-14C23A59335A}">
      <x14:table altTextSummary="Escriba los elementos de gastos mensuales y los importes correspondientes en esta tabla."/>
    </ext>
  </extLst>
</table>
</file>

<file path=xl/tables/table10.xml><?xml version="1.0" encoding="utf-8"?>
<table xmlns="http://schemas.openxmlformats.org/spreadsheetml/2006/main" id="10" name="Tabla26811" displayName="Tabla26811" ref="A3:E31" totalsRowCount="1" headerRowDxfId="77" headerRowBorderDxfId="76" tableBorderDxfId="75" headerRowCellStyle="Normal 3">
  <autoFilter ref="A3:E30"/>
  <tableColumns count="5">
    <tableColumn id="1" name="FECHA" dataDxfId="74" totalsRowDxfId="73"/>
    <tableColumn id="2" name="DETALLE" totalsRowLabel="TOTAL" dataDxfId="72" totalsRowDxfId="71"/>
    <tableColumn id="3" name="MONTO $AR" totalsRowFunction="sum" dataDxfId="70" totalsRowDxfId="69"/>
    <tableColumn id="4" name="COTIZ U$s" dataDxfId="68" totalsRowDxfId="67"/>
    <tableColumn id="5" name="MONTO U$s" totalsRowFunction="sum" dataDxfId="66" totalsRowDxfId="65">
      <calculatedColumnFormula>IF(Tabla26811[[#This Row],[COTIZ U$s]]="","",Tabla26811[[#This Row],[MONTO $AR]]/Tabla26811[[#This Row],[COTIZ U$s]])</calculatedColumnFormula>
    </tableColumn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11" name="Tabla26812" displayName="Tabla26812" ref="A3:E31" totalsRowCount="1" headerRowDxfId="64" headerRowBorderDxfId="63" tableBorderDxfId="62" headerRowCellStyle="Normal 3">
  <autoFilter ref="A3:E30"/>
  <tableColumns count="5">
    <tableColumn id="1" name="FECHA" dataDxfId="61" totalsRowDxfId="60"/>
    <tableColumn id="2" name="DETALLE" totalsRowLabel="TOTAL" dataDxfId="59" totalsRowDxfId="58"/>
    <tableColumn id="3" name="MONTO $AR" totalsRowFunction="sum" dataDxfId="57" totalsRowDxfId="56"/>
    <tableColumn id="4" name="COTIZ U$s" dataDxfId="55" totalsRowDxfId="54"/>
    <tableColumn id="5" name="MONTO U$s" totalsRowFunction="sum" dataDxfId="53" totalsRowDxfId="52">
      <calculatedColumnFormula>IF(Tabla26812[[#This Row],[COTIZ U$s]]="","",Tabla26812[[#This Row],[MONTO $AR]]/Tabla26812[[#This Row],[COTIZ U$s]])</calculatedColumnFormula>
    </tableColumn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12" name="Tabla26813" displayName="Tabla26813" ref="A3:E31" totalsRowCount="1" headerRowDxfId="51" headerRowBorderDxfId="50" tableBorderDxfId="49" headerRowCellStyle="Normal 3">
  <autoFilter ref="A3:E30"/>
  <tableColumns count="5">
    <tableColumn id="1" name="FECHA" dataDxfId="48" totalsRowDxfId="47"/>
    <tableColumn id="2" name="DETALLE" totalsRowLabel="TOTAL" dataDxfId="46" totalsRowDxfId="45"/>
    <tableColumn id="3" name="MONTO $AR" totalsRowFunction="sum" dataDxfId="44" totalsRowDxfId="43"/>
    <tableColumn id="4" name="COTIZ U$s" dataDxfId="42" totalsRowDxfId="41"/>
    <tableColumn id="5" name="MONTO U$s" totalsRowFunction="sum" dataDxfId="40" totalsRowDxfId="39">
      <calculatedColumnFormula>IF(Tabla26813[[#This Row],[COTIZ U$s]]="","",Tabla26813[[#This Row],[MONTO $AR]]/Tabla26813[[#This Row],[COTIZ U$s]])</calculatedColumnFormula>
    </tableColumn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3" name="Tabla26814" displayName="Tabla26814" ref="A3:E31" totalsRowCount="1" headerRowDxfId="38" headerRowBorderDxfId="37" tableBorderDxfId="36" headerRowCellStyle="Normal 3">
  <autoFilter ref="A3:E30"/>
  <tableColumns count="5">
    <tableColumn id="1" name="FECHA" dataDxfId="35" totalsRowDxfId="34"/>
    <tableColumn id="2" name="DETALLE" totalsRowLabel="TOTAL" dataDxfId="33" totalsRowDxfId="32"/>
    <tableColumn id="3" name="MONTO $AR" totalsRowFunction="sum" dataDxfId="31" totalsRowDxfId="30"/>
    <tableColumn id="4" name="COTIZ U$s" dataDxfId="29" totalsRowDxfId="28"/>
    <tableColumn id="5" name="MONTO U$s" totalsRowFunction="sum" dataDxfId="27" totalsRowDxfId="26">
      <calculatedColumnFormula>IF(Tabla26814[[#This Row],[COTIZ U$s]]="","",Tabla26814[[#This Row],[MONTO $AR]]/Tabla26814[[#This Row],[COTIZ U$s]])</calculatedColumnFormula>
    </tableColumn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id="14" name="Tabla26815" displayName="Tabla26815" ref="A3:E31" totalsRowCount="1" headerRowDxfId="25" headerRowBorderDxfId="24" tableBorderDxfId="23" headerRowCellStyle="Normal 3">
  <autoFilter ref="A3:E30"/>
  <tableColumns count="5">
    <tableColumn id="1" name="FECHA" dataDxfId="22" totalsRowDxfId="21"/>
    <tableColumn id="2" name="DETALLE" totalsRowLabel="TOTAL" dataDxfId="20" totalsRowDxfId="19"/>
    <tableColumn id="3" name="MONTO $AR" totalsRowFunction="sum" dataDxfId="18" totalsRowDxfId="17"/>
    <tableColumn id="4" name="COTIZ U$s" dataDxfId="16" totalsRowDxfId="15"/>
    <tableColumn id="5" name="MONTO U$s" totalsRowFunction="sum" dataDxfId="14" totalsRowDxfId="13">
      <calculatedColumnFormula>IF(Tabla26815[[#This Row],[COTIZ U$s]]="","",Tabla26815[[#This Row],[MONTO $AR]]/Tabla26815[[#This Row],[COTIZ U$s]])</calculatedColumnFormula>
    </tableColumn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id="15" name="Tabla26816" displayName="Tabla26816" ref="A3:E31" totalsRowCount="1" headerRowDxfId="12" headerRowBorderDxfId="11" tableBorderDxfId="10" headerRowCellStyle="Normal 3">
  <autoFilter ref="A3:E30"/>
  <tableColumns count="5">
    <tableColumn id="1" name="FECHA" dataDxfId="9" totalsRowDxfId="8"/>
    <tableColumn id="2" name="DETALLE" totalsRowLabel="TOTAL" dataDxfId="7" totalsRowDxfId="6"/>
    <tableColumn id="3" name="MONTO $AR" totalsRowFunction="sum" dataDxfId="5" totalsRowDxfId="4"/>
    <tableColumn id="4" name="COTIZ U$s" dataDxfId="3" totalsRowDxfId="2"/>
    <tableColumn id="5" name="MONTO U$s" totalsRowFunction="sum" dataDxfId="1" totalsRowDxfId="0">
      <calculatedColumnFormula>IF(Tabla26816[[#This Row],[COTIZ U$s]]="","",Tabla26816[[#This Row],[MONTO $AR]]/Tabla26816[[#This Row],[COTIZ U$s]])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33:O50" totalsRowShown="0" headerRowDxfId="186" dataDxfId="184" headerRowBorderDxfId="185" tableBorderDxfId="183" headerRowCellStyle="Normal 3" dataCellStyle="Normal 3">
  <tableColumns count="14">
    <tableColumn id="1" name="Elemento" dataDxfId="182" dataCellStyle="Normal 3"/>
    <tableColumn id="2" name="Ene" dataDxfId="181" dataCellStyle="Moneda"/>
    <tableColumn id="3" name="Feb" dataDxfId="180" dataCellStyle="Moneda"/>
    <tableColumn id="4" name="Mar" dataDxfId="179" dataCellStyle="Moneda"/>
    <tableColumn id="5" name="Abr" dataDxfId="178" dataCellStyle="Normal 3"/>
    <tableColumn id="6" name="May" dataDxfId="177" dataCellStyle="Normal 3"/>
    <tableColumn id="7" name="Jun" dataDxfId="176" dataCellStyle="Normal 3"/>
    <tableColumn id="8" name="Jul" dataDxfId="175" dataCellStyle="Normal 3"/>
    <tableColumn id="9" name="Ago" dataDxfId="174" dataCellStyle="Normal 3"/>
    <tableColumn id="10" name="Sep" dataDxfId="173" dataCellStyle="Normal 3"/>
    <tableColumn id="11" name="Oct" dataDxfId="172" dataCellStyle="Normal 3"/>
    <tableColumn id="12" name="Nov" dataDxfId="171" dataCellStyle="Normal 3"/>
    <tableColumn id="13" name="Dic" dataDxfId="170" dataCellStyle="Normal 3"/>
    <tableColumn id="14" name="Total Dólares" dataDxfId="169" dataCellStyle="Moneda">
      <calculatedColumnFormula>IF(SUM(Tabla4[[#This Row],[Ene]:[Dic]])="","",SUM(Tabla4[[#This Row],[Ene]:[Dic]]))</calculatedColumnFormula>
    </tableColumn>
  </tableColumns>
  <tableStyleInfo name="Presupuesto mensual simple 2" showFirstColumn="0" showLastColumn="0" showRowStripes="1" showColumnStripes="0"/>
</table>
</file>

<file path=xl/tables/table3.xml><?xml version="1.0" encoding="utf-8"?>
<table xmlns="http://schemas.openxmlformats.org/spreadsheetml/2006/main" id="6" name="Tabla27" displayName="Tabla27" ref="A3:E31" totalsRowCount="1" headerRowDxfId="168" headerRowBorderDxfId="167" tableBorderDxfId="166" headerRowCellStyle="Normal 3">
  <autoFilter ref="A3:E30"/>
  <tableColumns count="5">
    <tableColumn id="1" name="FECHA" dataDxfId="165" totalsRowDxfId="164"/>
    <tableColumn id="2" name="DETALLE" totalsRowLabel="TOTAL" dataDxfId="163" totalsRowDxfId="162"/>
    <tableColumn id="3" name="MONTO $AR" totalsRowFunction="sum" dataDxfId="161" totalsRowDxfId="160"/>
    <tableColumn id="4" name="COTIZ U$s" dataDxfId="159" totalsRowDxfId="158"/>
    <tableColumn id="5" name="MONTO U$s" totalsRowFunction="sum" dataDxfId="157" totalsRowDxfId="156">
      <calculatedColumnFormula>IF(Tabla27[[#This Row],[COTIZ U$s]]="","",Tabla27[[#This Row],[MONTO $AR]]/Tabla27[[#This Row],[COTIZ U$s]])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3:E31" totalsRowCount="1" headerRowDxfId="155" headerRowBorderDxfId="154" tableBorderDxfId="153" headerRowCellStyle="Normal 3">
  <autoFilter ref="A3:E30"/>
  <tableColumns count="5">
    <tableColumn id="1" name="FECHA" dataDxfId="152" totalsRowDxfId="151"/>
    <tableColumn id="2" name="DETALLE" totalsRowLabel="TOTAL" dataDxfId="150" totalsRowDxfId="149"/>
    <tableColumn id="3" name="MONTO $AR" totalsRowFunction="sum" dataDxfId="148" totalsRowDxfId="147"/>
    <tableColumn id="4" name="COTIZ U$s" dataDxfId="146" totalsRowDxfId="145"/>
    <tableColumn id="5" name="MONTO U$s" totalsRowFunction="sum" dataDxfId="144" totalsRowDxfId="143">
      <calculatedColumnFormula>IF(Tabla2[[#This Row],[COTIZ U$s]]="","",Tabla2[[#This Row],[MONTO $AR]]/Tabla2[[#This Row],[COTIZ U$s]])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3" name="Tabla24" displayName="Tabla24" ref="A3:E31" totalsRowCount="1" headerRowDxfId="142" headerRowBorderDxfId="141" tableBorderDxfId="140" headerRowCellStyle="Normal 3">
  <autoFilter ref="A3:E30"/>
  <tableColumns count="5">
    <tableColumn id="1" name="FECHA" dataDxfId="139" totalsRowDxfId="138"/>
    <tableColumn id="2" name="DETALLE" totalsRowLabel="TOTAL" dataDxfId="137" totalsRowDxfId="136"/>
    <tableColumn id="3" name="MONTO $AR" totalsRowFunction="sum" dataDxfId="135" totalsRowDxfId="134"/>
    <tableColumn id="4" name="COTIZ U$s" dataDxfId="133" totalsRowDxfId="132"/>
    <tableColumn id="5" name="MONTO U$s" totalsRowFunction="sum" dataDxfId="131" totalsRowDxfId="130">
      <calculatedColumnFormula>IF(Tabla24[[#This Row],[COTIZ U$s]]="","",Tabla24[[#This Row],[MONTO $AR]]/Tabla24[[#This Row],[COTIZ U$s]])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5" name="Tabla26" displayName="Tabla26" ref="A3:E31" totalsRowCount="1" headerRowDxfId="129" headerRowBorderDxfId="128" tableBorderDxfId="127" headerRowCellStyle="Normal 3">
  <autoFilter ref="A3:E30"/>
  <tableColumns count="5">
    <tableColumn id="1" name="FECHA" dataDxfId="126" totalsRowDxfId="125"/>
    <tableColumn id="2" name="DETALLE" totalsRowLabel="TOTAL" dataDxfId="124" totalsRowDxfId="123"/>
    <tableColumn id="3" name="MONTO $AR" totalsRowFunction="sum" dataDxfId="122" totalsRowDxfId="121"/>
    <tableColumn id="4" name="COTIZ U$s" dataDxfId="120" totalsRowDxfId="119"/>
    <tableColumn id="5" name="MONTO U$s" totalsRowFunction="sum" dataDxfId="118" totalsRowDxfId="117">
      <calculatedColumnFormula>IF(Tabla26[[#This Row],[COTIZ U$s]]="","",Tabla26[[#This Row],[MONTO $AR]]/Tabla26[[#This Row],[COTIZ U$s]])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a268" displayName="Tabla268" ref="A3:E31" totalsRowCount="1" headerRowDxfId="116" headerRowBorderDxfId="115" tableBorderDxfId="114" headerRowCellStyle="Normal 3">
  <autoFilter ref="A3:E30"/>
  <tableColumns count="5">
    <tableColumn id="1" name="FECHA" dataDxfId="113" totalsRowDxfId="112"/>
    <tableColumn id="2" name="DETALLE" totalsRowLabel="TOTAL" dataDxfId="111" totalsRowDxfId="110"/>
    <tableColumn id="3" name="MONTO $AR" totalsRowFunction="sum" dataDxfId="109" totalsRowDxfId="108"/>
    <tableColumn id="4" name="COTIZ U$s" dataDxfId="107" totalsRowDxfId="106"/>
    <tableColumn id="5" name="MONTO U$s" totalsRowFunction="sum" dataDxfId="105" totalsRowDxfId="104">
      <calculatedColumnFormula>IF(Tabla268[[#This Row],[COTIZ U$s]]="","",Tabla268[[#This Row],[MONTO $AR]]/Tabla268[[#This Row],[COTIZ U$s]])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8" name="Tabla2689" displayName="Tabla2689" ref="A3:E31" totalsRowCount="1" headerRowDxfId="103" headerRowBorderDxfId="102" tableBorderDxfId="101" headerRowCellStyle="Normal 3">
  <autoFilter ref="A3:E30"/>
  <tableColumns count="5">
    <tableColumn id="1" name="FECHA" dataDxfId="100" totalsRowDxfId="99"/>
    <tableColumn id="2" name="DETALLE" totalsRowLabel="TOTAL" dataDxfId="98" totalsRowDxfId="97"/>
    <tableColumn id="3" name="MONTO $AR" totalsRowFunction="sum" dataDxfId="96" totalsRowDxfId="95"/>
    <tableColumn id="4" name="COTIZ U$s" dataDxfId="94" totalsRowDxfId="93"/>
    <tableColumn id="5" name="MONTO U$s" totalsRowFunction="sum" dataDxfId="92" totalsRowDxfId="91">
      <calculatedColumnFormula>IF(Tabla2689[[#This Row],[COTIZ U$s]]="","",Tabla2689[[#This Row],[MONTO $AR]]/Tabla2689[[#This Row],[COTIZ U$s]])</calculatedColumnFormula>
    </tableColumn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id="9" name="Tabla26810" displayName="Tabla26810" ref="A3:E31" totalsRowCount="1" headerRowDxfId="90" headerRowBorderDxfId="89" tableBorderDxfId="88" headerRowCellStyle="Normal 3">
  <autoFilter ref="A3:E30"/>
  <tableColumns count="5">
    <tableColumn id="1" name="FECHA" dataDxfId="87" totalsRowDxfId="86"/>
    <tableColumn id="2" name="DETALLE" totalsRowLabel="TOTAL" dataDxfId="85" totalsRowDxfId="84"/>
    <tableColumn id="3" name="MONTO $AR" totalsRowFunction="sum" dataDxfId="83" totalsRowDxfId="82"/>
    <tableColumn id="4" name="COTIZ U$s" dataDxfId="81" totalsRowDxfId="80"/>
    <tableColumn id="5" name="MONTO U$s" totalsRowFunction="sum" dataDxfId="79" totalsRowDxfId="78">
      <calculatedColumnFormula>IF(Tabla26810[[#This Row],[COTIZ U$s]]="","",Tabla26810[[#This Row],[MONTO $AR]]/Tabla26810[[#This Row],[COTIZ U$s]])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ustom 4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O58"/>
  <sheetViews>
    <sheetView tabSelected="1" topLeftCell="B7" zoomScale="70" zoomScaleNormal="70" workbookViewId="0">
      <selection activeCell="G27" sqref="G27"/>
    </sheetView>
  </sheetViews>
  <sheetFormatPr baseColWidth="10" defaultColWidth="8.875" defaultRowHeight="16.5"/>
  <cols>
    <col min="1" max="1" width="6.625" style="1" customWidth="1"/>
    <col min="2" max="2" width="53.125" style="1" customWidth="1"/>
    <col min="3" max="3" width="26.875" style="1" customWidth="1"/>
    <col min="4" max="5" width="21" style="1" customWidth="1"/>
    <col min="6" max="9" width="25.875" style="1" customWidth="1"/>
    <col min="10" max="10" width="25.875" style="1" bestFit="1" customWidth="1"/>
    <col min="11" max="14" width="25.875" style="1" customWidth="1"/>
    <col min="15" max="15" width="27.375" style="1" bestFit="1" customWidth="1"/>
    <col min="16" max="16384" width="8.875" style="1"/>
  </cols>
  <sheetData>
    <row r="1" spans="1:15" ht="25.35" customHeight="1"/>
    <row r="2" spans="1:15" ht="60" customHeight="1" thickBot="1">
      <c r="B2" s="2" t="s">
        <v>15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20.100000000000001" customHeight="1" thickTop="1" thickBot="1">
      <c r="B3" s="4"/>
      <c r="C3" s="5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35.1" customHeight="1">
      <c r="B4" s="7" t="s">
        <v>0</v>
      </c>
      <c r="C4" s="8">
        <f>Gastos[[#Totals],[Total Pesos AR]]</f>
        <v>9830491183</v>
      </c>
      <c r="D4" s="8"/>
      <c r="E4" s="8"/>
    </row>
    <row r="5" spans="1:15" ht="30" customHeight="1">
      <c r="B5" s="9" t="s">
        <v>1</v>
      </c>
      <c r="C5" s="10"/>
      <c r="D5" s="10"/>
      <c r="E5" s="10"/>
    </row>
    <row r="6" spans="1:15" ht="20.100000000000001" customHeight="1">
      <c r="C6" s="11"/>
      <c r="D6" s="11"/>
      <c r="E6" s="11"/>
    </row>
    <row r="7" spans="1:15" ht="35.1" customHeight="1">
      <c r="B7" s="7" t="s">
        <v>48</v>
      </c>
      <c r="C7" s="34">
        <f>O50</f>
        <v>9417184.1022125036</v>
      </c>
      <c r="D7" s="12"/>
      <c r="E7" s="12"/>
    </row>
    <row r="8" spans="1:15" ht="20.100000000000001" customHeight="1">
      <c r="C8" s="11"/>
      <c r="D8" s="11"/>
      <c r="E8" s="11"/>
    </row>
    <row r="9" spans="1:15" ht="35.1" customHeight="1">
      <c r="B9" s="7"/>
      <c r="C9" s="13"/>
      <c r="D9" s="13"/>
      <c r="E9" s="13"/>
    </row>
    <row r="10" spans="1:15" ht="20.100000000000001" customHeight="1">
      <c r="C10" s="11"/>
      <c r="D10" s="11"/>
      <c r="E10" s="11"/>
    </row>
    <row r="11" spans="1:15" ht="20.100000000000001" customHeight="1"/>
    <row r="12" spans="1:15" ht="60" customHeight="1">
      <c r="B12" s="14" t="s">
        <v>45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ht="35.1" customHeight="1">
      <c r="B13" s="16" t="s">
        <v>2</v>
      </c>
      <c r="C13" s="16" t="s">
        <v>3</v>
      </c>
      <c r="D13" s="16" t="s">
        <v>4</v>
      </c>
      <c r="E13" s="16" t="s">
        <v>5</v>
      </c>
      <c r="F13" s="17" t="s">
        <v>6</v>
      </c>
      <c r="G13" s="17" t="s">
        <v>7</v>
      </c>
      <c r="H13" s="17" t="s">
        <v>8</v>
      </c>
      <c r="I13" s="17" t="s">
        <v>9</v>
      </c>
      <c r="J13" s="17" t="s">
        <v>10</v>
      </c>
      <c r="K13" s="17" t="s">
        <v>11</v>
      </c>
      <c r="L13" s="17" t="s">
        <v>12</v>
      </c>
      <c r="M13" s="17" t="s">
        <v>13</v>
      </c>
      <c r="N13" s="17" t="s">
        <v>14</v>
      </c>
      <c r="O13" s="17" t="s">
        <v>25</v>
      </c>
    </row>
    <row r="14" spans="1:15" ht="30" customHeight="1">
      <c r="A14" s="20"/>
      <c r="B14" s="18" t="s">
        <v>44</v>
      </c>
      <c r="C14" s="19">
        <f>IFERROR(VLOOKUP(Gastos[[#This Row],[Elemento]],Tabla2[[DETALLE]:[MONTO U$s]],2,FALSE),"")</f>
        <v>654654</v>
      </c>
      <c r="D14" s="19" t="str">
        <f>IFERROR(VLOOKUP(Gastos[[#This Row],[Elemento]],Tabla24[[DETALLE]:[MONTO U$s]],2,FALSE),"")</f>
        <v/>
      </c>
      <c r="E14" s="19" t="str">
        <f>IFERROR(VLOOKUP(Gastos[[#This Row],[Elemento]],Tabla26[[DETALLE]:[MONTO U$s]],2,FALSE),"")</f>
        <v/>
      </c>
      <c r="F14" s="19" t="str">
        <f>IFERROR(VLOOKUP(Gastos[[#This Row],[Elemento]],Tabla268[[DETALLE]:[MONTO U$s]],2,FALSE),"")</f>
        <v/>
      </c>
      <c r="G14" s="19" t="str">
        <f>IFERROR(VLOOKUP(Gastos[[#This Row],[Elemento]],Tabla2689[[DETALLE]:[MONTO U$s]],2,FALSE),"")</f>
        <v/>
      </c>
      <c r="H14" s="19" t="str">
        <f>IFERROR(VLOOKUP(Gastos[[#This Row],[Elemento]],Tabla26810[[DETALLE]:[MONTO U$s]],2,FALSE),"")</f>
        <v/>
      </c>
      <c r="I14" s="19" t="str">
        <f>IFERROR(VLOOKUP(Gastos[[#This Row],[Elemento]],Tabla26811[[DETALLE]:[MONTO U$s]],2,FALSE),"")</f>
        <v/>
      </c>
      <c r="J14" s="19" t="str">
        <f>IFERROR(VLOOKUP(Gastos[[#This Row],[Elemento]],Tabla26812[[DETALLE]:[MONTO U$s]],2,FALSE),"")</f>
        <v/>
      </c>
      <c r="K14" s="19" t="str">
        <f>IFERROR(VLOOKUP(Gastos[[#This Row],[Elemento]],Tabla26813[[DETALLE]:[MONTO U$s]],2,FALSE),"")</f>
        <v/>
      </c>
      <c r="L14" s="19" t="str">
        <f>IFERROR(VLOOKUP(Gastos[[#This Row],[Elemento]],Tabla26814[[DETALLE]:[MONTO U$s]],2,FALSE),"")</f>
        <v/>
      </c>
      <c r="M14" s="19" t="str">
        <f>IFERROR(VLOOKUP(Gastos[[#This Row],[Elemento]],Tabla26815[[DETALLE]:[MONTO U$s]],2,FALSE),"")</f>
        <v/>
      </c>
      <c r="N14" s="19" t="str">
        <f>IFERROR(VLOOKUP(Gastos[[#This Row],[Elemento]],Tabla26816[[DETALLE]:[MONTO U$s]],2,FALSE),"")</f>
        <v/>
      </c>
      <c r="O14" s="19">
        <f>IF(SUM(Gastos[[#This Row],[Ene]:[Dic]])=0,"",SUM(Gastos[[#This Row],[Ene]:[Dic]]))</f>
        <v>654654</v>
      </c>
    </row>
    <row r="15" spans="1:15" ht="30" customHeight="1">
      <c r="A15" s="20"/>
      <c r="B15" s="18" t="s">
        <v>32</v>
      </c>
      <c r="C15" s="19" t="str">
        <f>IFERROR(VLOOKUP(Gastos[[#This Row],[Elemento]],Tabla2[[DETALLE]:[MONTO U$s]],2,FALSE),"")</f>
        <v/>
      </c>
      <c r="D15" s="19" t="str">
        <f>IFERROR(VLOOKUP(Gastos[[#This Row],[Elemento]],Tabla24[[DETALLE]:[MONTO U$s]],2,FALSE),"")</f>
        <v/>
      </c>
      <c r="E15" s="19" t="str">
        <f>IFERROR(VLOOKUP(Gastos[[#This Row],[Elemento]],Tabla26[[DETALLE]:[MONTO U$s]],2,FALSE),"")</f>
        <v/>
      </c>
      <c r="F15" s="19" t="str">
        <f>IFERROR(VLOOKUP(Gastos[[#This Row],[Elemento]],Tabla268[[DETALLE]:[MONTO U$s]],2,FALSE),"")</f>
        <v/>
      </c>
      <c r="G15" s="18" t="str">
        <f>IFERROR(VLOOKUP(Gastos[[#This Row],[Elemento]],Tabla2689[[DETALLE]:[MONTO U$s]],2,FALSE),"")</f>
        <v/>
      </c>
      <c r="H15" s="18" t="str">
        <f>IFERROR(VLOOKUP(Gastos[[#This Row],[Elemento]],Tabla26810[[DETALLE]:[MONTO U$s]],2,FALSE),"")</f>
        <v/>
      </c>
      <c r="I15" s="18" t="str">
        <f>IFERROR(VLOOKUP(Gastos[[#This Row],[Elemento]],Tabla26811[[DETALLE]:[MONTO U$s]],2,FALSE),"")</f>
        <v/>
      </c>
      <c r="J15" s="18" t="str">
        <f>IFERROR(VLOOKUP(Gastos[[#This Row],[Elemento]],Tabla26812[[DETALLE]:[MONTO U$s]],2,FALSE),"")</f>
        <v/>
      </c>
      <c r="K15" s="18" t="str">
        <f>IFERROR(VLOOKUP(Gastos[[#This Row],[Elemento]],Tabla26813[[DETALLE]:[MONTO U$s]],2,FALSE),"")</f>
        <v/>
      </c>
      <c r="L15" s="18" t="str">
        <f>IFERROR(VLOOKUP(Gastos[[#This Row],[Elemento]],Tabla26814[[DETALLE]:[MONTO U$s]],2,FALSE),"")</f>
        <v/>
      </c>
      <c r="M15" s="18" t="str">
        <f>IFERROR(VLOOKUP(Gastos[[#This Row],[Elemento]],Tabla26815[[DETALLE]:[MONTO U$s]],2,FALSE),"")</f>
        <v/>
      </c>
      <c r="N15" s="18" t="str">
        <f>IFERROR(VLOOKUP(Gastos[[#This Row],[Elemento]],Tabla26816[[DETALLE]:[MONTO U$s]],2,FALSE),"")</f>
        <v/>
      </c>
      <c r="O15" s="19" t="str">
        <f>IF(SUM(Gastos[[#This Row],[Ene]:[Dic]])=0,"",SUM(Gastos[[#This Row],[Ene]:[Dic]]))</f>
        <v/>
      </c>
    </row>
    <row r="16" spans="1:15" ht="30" customHeight="1">
      <c r="A16" s="20"/>
      <c r="B16" s="18" t="s">
        <v>30</v>
      </c>
      <c r="C16" s="19">
        <f>IFERROR(VLOOKUP(Gastos[[#This Row],[Elemento]],Tabla2[[DETALLE]:[MONTO U$s]],2,FALSE),"")</f>
        <v>50000</v>
      </c>
      <c r="D16" s="19">
        <f>IFERROR(VLOOKUP(Gastos[[#This Row],[Elemento]],Tabla24[[DETALLE]:[MONTO U$s]],2,FALSE),"")</f>
        <v>10000</v>
      </c>
      <c r="E16" s="19">
        <f>IFERROR(VLOOKUP(Gastos[[#This Row],[Elemento]],Tabla26[[DETALLE]:[MONTO U$s]],2,FALSE),"")</f>
        <v>10000</v>
      </c>
      <c r="F16" s="18">
        <f>IFERROR(VLOOKUP(Gastos[[#This Row],[Elemento]],Tabla268[[DETALLE]:[MONTO U$s]],2,FALSE),"")</f>
        <v>50000</v>
      </c>
      <c r="G16" s="18">
        <f>IFERROR(VLOOKUP(Gastos[[#This Row],[Elemento]],Tabla2689[[DETALLE]:[MONTO U$s]],2,FALSE),"")</f>
        <v>50000</v>
      </c>
      <c r="H16" s="18">
        <f>IFERROR(VLOOKUP(Gastos[[#This Row],[Elemento]],Tabla26810[[DETALLE]:[MONTO U$s]],2,FALSE),"")</f>
        <v>50000</v>
      </c>
      <c r="I16" s="18">
        <f>IFERROR(VLOOKUP(Gastos[[#This Row],[Elemento]],Tabla26811[[DETALLE]:[MONTO U$s]],2,FALSE),"")</f>
        <v>50000</v>
      </c>
      <c r="J16" s="18">
        <f>IFERROR(VLOOKUP(Gastos[[#This Row],[Elemento]],Tabla26812[[DETALLE]:[MONTO U$s]],2,FALSE),"")</f>
        <v>50000</v>
      </c>
      <c r="K16" s="18">
        <f>IFERROR(VLOOKUP(Gastos[[#This Row],[Elemento]],Tabla26813[[DETALLE]:[MONTO U$s]],2,FALSE),"")</f>
        <v>50000</v>
      </c>
      <c r="L16" s="18">
        <f>IFERROR(VLOOKUP(Gastos[[#This Row],[Elemento]],Tabla26814[[DETALLE]:[MONTO U$s]],2,FALSE),"")</f>
        <v>50000</v>
      </c>
      <c r="M16" s="18">
        <f>IFERROR(VLOOKUP(Gastos[[#This Row],[Elemento]],Tabla26815[[DETALLE]:[MONTO U$s]],2,FALSE),"")</f>
        <v>654321354</v>
      </c>
      <c r="N16" s="18">
        <f>IFERROR(VLOOKUP(Gastos[[#This Row],[Elemento]],Tabla26816[[DETALLE]:[MONTO U$s]],2,FALSE),"")</f>
        <v>654321354</v>
      </c>
      <c r="O16" s="19">
        <f>IF(SUM(Gastos[[#This Row],[Ene]:[Dic]])=0,"",SUM(Gastos[[#This Row],[Ene]:[Dic]]))</f>
        <v>1309062708</v>
      </c>
    </row>
    <row r="17" spans="1:15" ht="30" customHeight="1">
      <c r="A17" s="20"/>
      <c r="B17" s="18" t="s">
        <v>33</v>
      </c>
      <c r="C17" s="19" t="str">
        <f>IFERROR(VLOOKUP(Gastos[[#This Row],[Elemento]],Tabla2[[DETALLE]:[MONTO U$s]],2,FALSE),"")</f>
        <v/>
      </c>
      <c r="D17" s="19" t="str">
        <f>IFERROR(VLOOKUP(Gastos[[#This Row],[Elemento]],Tabla24[[DETALLE]:[MONTO U$s]],2,FALSE),"")</f>
        <v/>
      </c>
      <c r="E17" s="19" t="str">
        <f>IFERROR(VLOOKUP(Gastos[[#This Row],[Elemento]],Tabla26[[DETALLE]:[MONTO U$s]],2,FALSE),"")</f>
        <v/>
      </c>
      <c r="F17" s="18" t="str">
        <f>IFERROR(VLOOKUP(Gastos[[#This Row],[Elemento]],Tabla268[[DETALLE]:[MONTO U$s]],2,FALSE),"")</f>
        <v/>
      </c>
      <c r="G17" s="18" t="str">
        <f>IFERROR(VLOOKUP(Gastos[[#This Row],[Elemento]],Tabla2689[[DETALLE]:[MONTO U$s]],2,FALSE),"")</f>
        <v/>
      </c>
      <c r="H17" s="18" t="str">
        <f>IFERROR(VLOOKUP(Gastos[[#This Row],[Elemento]],Tabla26810[[DETALLE]:[MONTO U$s]],2,FALSE),"")</f>
        <v/>
      </c>
      <c r="I17" s="18" t="str">
        <f>IFERROR(VLOOKUP(Gastos[[#This Row],[Elemento]],Tabla26811[[DETALLE]:[MONTO U$s]],2,FALSE),"")</f>
        <v/>
      </c>
      <c r="J17" s="18" t="str">
        <f>IFERROR(VLOOKUP(Gastos[[#This Row],[Elemento]],Tabla26812[[DETALLE]:[MONTO U$s]],2,FALSE),"")</f>
        <v/>
      </c>
      <c r="K17" s="18" t="str">
        <f>IFERROR(VLOOKUP(Gastos[[#This Row],[Elemento]],Tabla26813[[DETALLE]:[MONTO U$s]],2,FALSE),"")</f>
        <v/>
      </c>
      <c r="L17" s="18" t="str">
        <f>IFERROR(VLOOKUP(Gastos[[#This Row],[Elemento]],Tabla26814[[DETALLE]:[MONTO U$s]],2,FALSE),"")</f>
        <v/>
      </c>
      <c r="M17" s="18" t="str">
        <f>IFERROR(VLOOKUP(Gastos[[#This Row],[Elemento]],Tabla26815[[DETALLE]:[MONTO U$s]],2,FALSE),"")</f>
        <v/>
      </c>
      <c r="N17" s="18" t="str">
        <f>IFERROR(VLOOKUP(Gastos[[#This Row],[Elemento]],Tabla26816[[DETALLE]:[MONTO U$s]],2,FALSE),"")</f>
        <v/>
      </c>
      <c r="O17" s="19" t="str">
        <f>IF(SUM(Gastos[[#This Row],[Ene]:[Dic]])=0,"",SUM(Gastos[[#This Row],[Ene]:[Dic]]))</f>
        <v/>
      </c>
    </row>
    <row r="18" spans="1:15" ht="30" customHeight="1">
      <c r="A18" s="20"/>
      <c r="B18" s="18" t="s">
        <v>34</v>
      </c>
      <c r="C18" s="31" t="str">
        <f>IFERROR(VLOOKUP(Gastos[[#This Row],[Elemento]],Tabla2[[DETALLE]:[MONTO U$s]],2,FALSE),"")</f>
        <v/>
      </c>
      <c r="D18" s="31" t="str">
        <f>IFERROR(VLOOKUP(Gastos[[#This Row],[Elemento]],Tabla24[[DETALLE]:[MONTO U$s]],2,FALSE),"")</f>
        <v/>
      </c>
      <c r="E18" s="31" t="str">
        <f>IFERROR(VLOOKUP(Gastos[[#This Row],[Elemento]],Tabla26[[DETALLE]:[MONTO U$s]],2,FALSE),"")</f>
        <v/>
      </c>
      <c r="F18" s="32" t="str">
        <f>IFERROR(VLOOKUP(Gastos[[#This Row],[Elemento]],Tabla268[[DETALLE]:[MONTO U$s]],2,FALSE),"")</f>
        <v/>
      </c>
      <c r="G18" s="32" t="str">
        <f>IFERROR(VLOOKUP(Gastos[[#This Row],[Elemento]],Tabla2689[[DETALLE]:[MONTO U$s]],2,FALSE),"")</f>
        <v/>
      </c>
      <c r="H18" s="32" t="str">
        <f>IFERROR(VLOOKUP(Gastos[[#This Row],[Elemento]],Tabla26810[[DETALLE]:[MONTO U$s]],2,FALSE),"")</f>
        <v/>
      </c>
      <c r="I18" s="32" t="str">
        <f>IFERROR(VLOOKUP(Gastos[[#This Row],[Elemento]],Tabla26811[[DETALLE]:[MONTO U$s]],2,FALSE),"")</f>
        <v/>
      </c>
      <c r="J18" s="32" t="str">
        <f>IFERROR(VLOOKUP(Gastos[[#This Row],[Elemento]],Tabla26812[[DETALLE]:[MONTO U$s]],2,FALSE),"")</f>
        <v/>
      </c>
      <c r="K18" s="32" t="str">
        <f>IFERROR(VLOOKUP(Gastos[[#This Row],[Elemento]],Tabla26813[[DETALLE]:[MONTO U$s]],2,FALSE),"")</f>
        <v/>
      </c>
      <c r="L18" s="32" t="str">
        <f>IFERROR(VLOOKUP(Gastos[[#This Row],[Elemento]],Tabla26814[[DETALLE]:[MONTO U$s]],2,FALSE),"")</f>
        <v/>
      </c>
      <c r="M18" s="32" t="str">
        <f>IFERROR(VLOOKUP(Gastos[[#This Row],[Elemento]],Tabla26815[[DETALLE]:[MONTO U$s]],2,FALSE),"")</f>
        <v/>
      </c>
      <c r="N18" s="32" t="str">
        <f>IFERROR(VLOOKUP(Gastos[[#This Row],[Elemento]],Tabla26816[[DETALLE]:[MONTO U$s]],2,FALSE),"")</f>
        <v/>
      </c>
      <c r="O18" s="31" t="str">
        <f>IF(SUM(Gastos[[#This Row],[Ene]:[Dic]])=0,"",SUM(Gastos[[#This Row],[Ene]:[Dic]]))</f>
        <v/>
      </c>
    </row>
    <row r="19" spans="1:15" ht="30" customHeight="1">
      <c r="A19" s="20"/>
      <c r="B19" s="18" t="s">
        <v>35</v>
      </c>
      <c r="C19" s="31">
        <f>IFERROR(VLOOKUP(Gastos[[#This Row],[Elemento]],Tabla2[[DETALLE]:[MONTO U$s]],2,FALSE),"")</f>
        <v>452000</v>
      </c>
      <c r="D19" s="31">
        <f>IFERROR(VLOOKUP(Gastos[[#This Row],[Elemento]],Tabla24[[DETALLE]:[MONTO U$s]],2,FALSE),"")</f>
        <v>25000</v>
      </c>
      <c r="E19" s="31">
        <f>IFERROR(VLOOKUP(Gastos[[#This Row],[Elemento]],Tabla26[[DETALLE]:[MONTO U$s]],2,FALSE),"")</f>
        <v>25000</v>
      </c>
      <c r="F19" s="32">
        <f>IFERROR(VLOOKUP(Gastos[[#This Row],[Elemento]],Tabla268[[DETALLE]:[MONTO U$s]],2,FALSE),"")</f>
        <v>452000</v>
      </c>
      <c r="G19" s="32">
        <f>IFERROR(VLOOKUP(Gastos[[#This Row],[Elemento]],Tabla2689[[DETALLE]:[MONTO U$s]],2,FALSE),"")</f>
        <v>452000</v>
      </c>
      <c r="H19" s="32">
        <f>IFERROR(VLOOKUP(Gastos[[#This Row],[Elemento]],Tabla26810[[DETALLE]:[MONTO U$s]],2,FALSE),"")</f>
        <v>452000</v>
      </c>
      <c r="I19" s="32">
        <f>IFERROR(VLOOKUP(Gastos[[#This Row],[Elemento]],Tabla26811[[DETALLE]:[MONTO U$s]],2,FALSE),"")</f>
        <v>452000</v>
      </c>
      <c r="J19" s="32">
        <f>IFERROR(VLOOKUP(Gastos[[#This Row],[Elemento]],Tabla26812[[DETALLE]:[MONTO U$s]],2,FALSE),"")</f>
        <v>452000</v>
      </c>
      <c r="K19" s="32">
        <f>IFERROR(VLOOKUP(Gastos[[#This Row],[Elemento]],Tabla26813[[DETALLE]:[MONTO U$s]],2,FALSE),"")</f>
        <v>452000</v>
      </c>
      <c r="L19" s="32">
        <f>IFERROR(VLOOKUP(Gastos[[#This Row],[Elemento]],Tabla26814[[DETALLE]:[MONTO U$s]],2,FALSE),"")</f>
        <v>452000</v>
      </c>
      <c r="M19" s="32">
        <f>IFERROR(VLOOKUP(Gastos[[#This Row],[Elemento]],Tabla26815[[DETALLE]:[MONTO U$s]],2,FALSE),"")</f>
        <v>654321354</v>
      </c>
      <c r="N19" s="32">
        <f>IFERROR(VLOOKUP(Gastos[[#This Row],[Elemento]],Tabla26816[[DETALLE]:[MONTO U$s]],2,FALSE),"")</f>
        <v>6546301354</v>
      </c>
      <c r="O19" s="31">
        <f>IF(SUM(Gastos[[#This Row],[Ene]:[Dic]])=0,"",SUM(Gastos[[#This Row],[Ene]:[Dic]]))</f>
        <v>7204288708</v>
      </c>
    </row>
    <row r="20" spans="1:15" ht="30" customHeight="1">
      <c r="A20" s="20"/>
      <c r="B20" s="18" t="s">
        <v>36</v>
      </c>
      <c r="C20" s="31">
        <f>IFERROR(VLOOKUP(Gastos[[#This Row],[Elemento]],Tabla2[[DETALLE]:[MONTO U$s]],2,FALSE),"")</f>
        <v>50000</v>
      </c>
      <c r="D20" s="31">
        <f>IFERROR(VLOOKUP(Gastos[[#This Row],[Elemento]],Tabla24[[DETALLE]:[MONTO U$s]],2,FALSE),"")</f>
        <v>10000</v>
      </c>
      <c r="E20" s="31">
        <f>IFERROR(VLOOKUP(Gastos[[#This Row],[Elemento]],Tabla26[[DETALLE]:[MONTO U$s]],2,FALSE),"")</f>
        <v>10000</v>
      </c>
      <c r="F20" s="32">
        <f>IFERROR(VLOOKUP(Gastos[[#This Row],[Elemento]],Tabla268[[DETALLE]:[MONTO U$s]],2,FALSE),"")</f>
        <v>50000</v>
      </c>
      <c r="G20" s="32">
        <f>IFERROR(VLOOKUP(Gastos[[#This Row],[Elemento]],Tabla2689[[DETALLE]:[MONTO U$s]],2,FALSE),"")</f>
        <v>50000</v>
      </c>
      <c r="H20" s="32">
        <f>IFERROR(VLOOKUP(Gastos[[#This Row],[Elemento]],Tabla26810[[DETALLE]:[MONTO U$s]],2,FALSE),"")</f>
        <v>50000</v>
      </c>
      <c r="I20" s="32">
        <f>IFERROR(VLOOKUP(Gastos[[#This Row],[Elemento]],Tabla26811[[DETALLE]:[MONTO U$s]],2,FALSE),"")</f>
        <v>50000</v>
      </c>
      <c r="J20" s="32">
        <f>IFERROR(VLOOKUP(Gastos[[#This Row],[Elemento]],Tabla26812[[DETALLE]:[MONTO U$s]],2,FALSE),"")</f>
        <v>50000</v>
      </c>
      <c r="K20" s="32">
        <f>IFERROR(VLOOKUP(Gastos[[#This Row],[Elemento]],Tabla26813[[DETALLE]:[MONTO U$s]],2,FALSE),"")</f>
        <v>50000</v>
      </c>
      <c r="L20" s="32">
        <f>IFERROR(VLOOKUP(Gastos[[#This Row],[Elemento]],Tabla26814[[DETALLE]:[MONTO U$s]],2,FALSE),"")</f>
        <v>3205050</v>
      </c>
      <c r="M20" s="32">
        <f>IFERROR(VLOOKUP(Gastos[[#This Row],[Elemento]],Tabla26815[[DETALLE]:[MONTO U$s]],2,FALSE),"")</f>
        <v>654321354</v>
      </c>
      <c r="N20" s="32">
        <f>IFERROR(VLOOKUP(Gastos[[#This Row],[Elemento]],Tabla26816[[DETALLE]:[MONTO U$s]],2,FALSE),"")</f>
        <v>454987</v>
      </c>
      <c r="O20" s="31">
        <f>IF(SUM(Gastos[[#This Row],[Ene]:[Dic]])=0,"",SUM(Gastos[[#This Row],[Ene]:[Dic]]))</f>
        <v>658351391</v>
      </c>
    </row>
    <row r="21" spans="1:15" ht="30" customHeight="1">
      <c r="A21" s="20"/>
      <c r="B21" s="18" t="s">
        <v>37</v>
      </c>
      <c r="C21" s="31" t="str">
        <f>IFERROR(VLOOKUP(Gastos[[#This Row],[Elemento]],Tabla2[[DETALLE]:[MONTO U$s]],2,FALSE),"")</f>
        <v/>
      </c>
      <c r="D21" s="31" t="str">
        <f>IFERROR(VLOOKUP(Gastos[[#This Row],[Elemento]],Tabla24[[DETALLE]:[MONTO U$s]],2,FALSE),"")</f>
        <v/>
      </c>
      <c r="E21" s="31" t="str">
        <f>IFERROR(VLOOKUP(Gastos[[#This Row],[Elemento]],Tabla26[[DETALLE]:[MONTO U$s]],2,FALSE),"")</f>
        <v/>
      </c>
      <c r="F21" s="32" t="str">
        <f>IFERROR(VLOOKUP(Gastos[[#This Row],[Elemento]],Tabla268[[DETALLE]:[MONTO U$s]],2,FALSE),"")</f>
        <v/>
      </c>
      <c r="G21" s="32" t="str">
        <f>IFERROR(VLOOKUP(Gastos[[#This Row],[Elemento]],Tabla2689[[DETALLE]:[MONTO U$s]],2,FALSE),"")</f>
        <v/>
      </c>
      <c r="H21" s="32" t="str">
        <f>IFERROR(VLOOKUP(Gastos[[#This Row],[Elemento]],Tabla26810[[DETALLE]:[MONTO U$s]],2,FALSE),"")</f>
        <v/>
      </c>
      <c r="I21" s="32" t="str">
        <f>IFERROR(VLOOKUP(Gastos[[#This Row],[Elemento]],Tabla26811[[DETALLE]:[MONTO U$s]],2,FALSE),"")</f>
        <v/>
      </c>
      <c r="J21" s="32" t="str">
        <f>IFERROR(VLOOKUP(Gastos[[#This Row],[Elemento]],Tabla26812[[DETALLE]:[MONTO U$s]],2,FALSE),"")</f>
        <v/>
      </c>
      <c r="K21" s="32" t="str">
        <f>IFERROR(VLOOKUP(Gastos[[#This Row],[Elemento]],Tabla26813[[DETALLE]:[MONTO U$s]],2,FALSE),"")</f>
        <v/>
      </c>
      <c r="L21" s="32" t="str">
        <f>IFERROR(VLOOKUP(Gastos[[#This Row],[Elemento]],Tabla26814[[DETALLE]:[MONTO U$s]],2,FALSE),"")</f>
        <v/>
      </c>
      <c r="M21" s="32" t="str">
        <f>IFERROR(VLOOKUP(Gastos[[#This Row],[Elemento]],Tabla26815[[DETALLE]:[MONTO U$s]],2,FALSE),"")</f>
        <v/>
      </c>
      <c r="N21" s="32" t="str">
        <f>IFERROR(VLOOKUP(Gastos[[#This Row],[Elemento]],Tabla26816[[DETALLE]:[MONTO U$s]],2,FALSE),"")</f>
        <v/>
      </c>
      <c r="O21" s="31" t="str">
        <f>IF(SUM(Gastos[[#This Row],[Ene]:[Dic]])=0,"",SUM(Gastos[[#This Row],[Ene]:[Dic]]))</f>
        <v/>
      </c>
    </row>
    <row r="22" spans="1:15" ht="30" customHeight="1">
      <c r="A22" s="20"/>
      <c r="B22" s="18" t="s">
        <v>38</v>
      </c>
      <c r="C22" s="31" t="str">
        <f>IFERROR(VLOOKUP(Gastos[[#This Row],[Elemento]],Tabla2[[DETALLE]:[MONTO U$s]],2,FALSE),"")</f>
        <v/>
      </c>
      <c r="D22" s="31" t="str">
        <f>IFERROR(VLOOKUP(Gastos[[#This Row],[Elemento]],Tabla24[[DETALLE]:[MONTO U$s]],2,FALSE),"")</f>
        <v/>
      </c>
      <c r="E22" s="31" t="str">
        <f>IFERROR(VLOOKUP(Gastos[[#This Row],[Elemento]],Tabla26[[DETALLE]:[MONTO U$s]],2,FALSE),"")</f>
        <v/>
      </c>
      <c r="F22" s="32" t="str">
        <f>IFERROR(VLOOKUP(Gastos[[#This Row],[Elemento]],Tabla268[[DETALLE]:[MONTO U$s]],2,FALSE),"")</f>
        <v/>
      </c>
      <c r="G22" s="32" t="str">
        <f>IFERROR(VLOOKUP(Gastos[[#This Row],[Elemento]],Tabla2689[[DETALLE]:[MONTO U$s]],2,FALSE),"")</f>
        <v/>
      </c>
      <c r="H22" s="32" t="str">
        <f>IFERROR(VLOOKUP(Gastos[[#This Row],[Elemento]],Tabla26810[[DETALLE]:[MONTO U$s]],2,FALSE),"")</f>
        <v/>
      </c>
      <c r="I22" s="32" t="str">
        <f>IFERROR(VLOOKUP(Gastos[[#This Row],[Elemento]],Tabla26811[[DETALLE]:[MONTO U$s]],2,FALSE),"")</f>
        <v/>
      </c>
      <c r="J22" s="32" t="str">
        <f>IFERROR(VLOOKUP(Gastos[[#This Row],[Elemento]],Tabla26812[[DETALLE]:[MONTO U$s]],2,FALSE),"")</f>
        <v/>
      </c>
      <c r="K22" s="32" t="str">
        <f>IFERROR(VLOOKUP(Gastos[[#This Row],[Elemento]],Tabla26813[[DETALLE]:[MONTO U$s]],2,FALSE),"")</f>
        <v/>
      </c>
      <c r="L22" s="32" t="str">
        <f>IFERROR(VLOOKUP(Gastos[[#This Row],[Elemento]],Tabla26814[[DETALLE]:[MONTO U$s]],2,FALSE),"")</f>
        <v/>
      </c>
      <c r="M22" s="32" t="str">
        <f>IFERROR(VLOOKUP(Gastos[[#This Row],[Elemento]],Tabla26815[[DETALLE]:[MONTO U$s]],2,FALSE),"")</f>
        <v/>
      </c>
      <c r="N22" s="32" t="str">
        <f>IFERROR(VLOOKUP(Gastos[[#This Row],[Elemento]],Tabla26816[[DETALLE]:[MONTO U$s]],2,FALSE),"")</f>
        <v/>
      </c>
      <c r="O22" s="31" t="str">
        <f>IF(SUM(Gastos[[#This Row],[Ene]:[Dic]])=0,"",SUM(Gastos[[#This Row],[Ene]:[Dic]]))</f>
        <v/>
      </c>
    </row>
    <row r="23" spans="1:15" ht="30" customHeight="1">
      <c r="A23" s="20"/>
      <c r="B23" s="18" t="s">
        <v>39</v>
      </c>
      <c r="C23" s="31">
        <f>IFERROR(VLOOKUP(Gastos[[#This Row],[Elemento]],Tabla2[[DETALLE]:[MONTO U$s]],2,FALSE),"")</f>
        <v>452000</v>
      </c>
      <c r="D23" s="31">
        <f>IFERROR(VLOOKUP(Gastos[[#This Row],[Elemento]],Tabla24[[DETALLE]:[MONTO U$s]],2,FALSE),"")</f>
        <v>65468</v>
      </c>
      <c r="E23" s="31">
        <f>IFERROR(VLOOKUP(Gastos[[#This Row],[Elemento]],Tabla26[[DETALLE]:[MONTO U$s]],2,FALSE),"")</f>
        <v>65468</v>
      </c>
      <c r="F23" s="32">
        <f>IFERROR(VLOOKUP(Gastos[[#This Row],[Elemento]],Tabla268[[DETALLE]:[MONTO U$s]],2,FALSE),"")</f>
        <v>452000</v>
      </c>
      <c r="G23" s="32">
        <f>IFERROR(VLOOKUP(Gastos[[#This Row],[Elemento]],Tabla2689[[DETALLE]:[MONTO U$s]],2,FALSE),"")</f>
        <v>452000</v>
      </c>
      <c r="H23" s="32">
        <f>IFERROR(VLOOKUP(Gastos[[#This Row],[Elemento]],Tabla26810[[DETALLE]:[MONTO U$s]],2,FALSE),"")</f>
        <v>452000</v>
      </c>
      <c r="I23" s="32">
        <f>IFERROR(VLOOKUP(Gastos[[#This Row],[Elemento]],Tabla26811[[DETALLE]:[MONTO U$s]],2,FALSE),"")</f>
        <v>452000</v>
      </c>
      <c r="J23" s="32">
        <f>IFERROR(VLOOKUP(Gastos[[#This Row],[Elemento]],Tabla26812[[DETALLE]:[MONTO U$s]],2,FALSE),"")</f>
        <v>452000</v>
      </c>
      <c r="K23" s="32">
        <f>IFERROR(VLOOKUP(Gastos[[#This Row],[Elemento]],Tabla26813[[DETALLE]:[MONTO U$s]],2,FALSE),"")</f>
        <v>452000</v>
      </c>
      <c r="L23" s="32">
        <f>IFERROR(VLOOKUP(Gastos[[#This Row],[Elemento]],Tabla26814[[DETALLE]:[MONTO U$s]],2,FALSE),"")</f>
        <v>452000</v>
      </c>
      <c r="M23" s="32">
        <f>IFERROR(VLOOKUP(Gastos[[#This Row],[Elemento]],Tabla26815[[DETALLE]:[MONTO U$s]],2,FALSE),"")</f>
        <v>654321354</v>
      </c>
      <c r="N23" s="32">
        <f>IFERROR(VLOOKUP(Gastos[[#This Row],[Elemento]],Tabla26816[[DETALLE]:[MONTO U$s]],2,FALSE),"")</f>
        <v>65432</v>
      </c>
      <c r="O23" s="31">
        <f>IF(SUM(Gastos[[#This Row],[Ene]:[Dic]])=0,"",SUM(Gastos[[#This Row],[Ene]:[Dic]]))</f>
        <v>658133722</v>
      </c>
    </row>
    <row r="24" spans="1:15" ht="30" customHeight="1">
      <c r="A24" s="20"/>
      <c r="B24" s="18" t="s">
        <v>40</v>
      </c>
      <c r="C24" s="31" t="str">
        <f>IFERROR(VLOOKUP(Gastos[[#This Row],[Elemento]],Tabla2[[DETALLE]:[MONTO U$s]],2,FALSE),"")</f>
        <v/>
      </c>
      <c r="D24" s="31" t="str">
        <f>IFERROR(VLOOKUP(Gastos[[#This Row],[Elemento]],Tabla24[[DETALLE]:[MONTO U$s]],2,FALSE),"")</f>
        <v/>
      </c>
      <c r="E24" s="31" t="str">
        <f>IFERROR(VLOOKUP(Gastos[[#This Row],[Elemento]],Tabla26[[DETALLE]:[MONTO U$s]],2,FALSE),"")</f>
        <v/>
      </c>
      <c r="F24" s="32" t="str">
        <f>IFERROR(VLOOKUP(Gastos[[#This Row],[Elemento]],Tabla268[[DETALLE]:[MONTO U$s]],2,FALSE),"")</f>
        <v/>
      </c>
      <c r="G24" s="32" t="str">
        <f>IFERROR(VLOOKUP(Gastos[[#This Row],[Elemento]],Tabla2689[[DETALLE]:[MONTO U$s]],2,FALSE),"")</f>
        <v/>
      </c>
      <c r="H24" s="32" t="str">
        <f>IFERROR(VLOOKUP(Gastos[[#This Row],[Elemento]],Tabla26810[[DETALLE]:[MONTO U$s]],2,FALSE),"")</f>
        <v/>
      </c>
      <c r="I24" s="32" t="str">
        <f>IFERROR(VLOOKUP(Gastos[[#This Row],[Elemento]],Tabla26811[[DETALLE]:[MONTO U$s]],2,FALSE),"")</f>
        <v/>
      </c>
      <c r="J24" s="32" t="str">
        <f>IFERROR(VLOOKUP(Gastos[[#This Row],[Elemento]],Tabla26812[[DETALLE]:[MONTO U$s]],2,FALSE),"")</f>
        <v/>
      </c>
      <c r="K24" s="32" t="str">
        <f>IFERROR(VLOOKUP(Gastos[[#This Row],[Elemento]],Tabla26813[[DETALLE]:[MONTO U$s]],2,FALSE),"")</f>
        <v/>
      </c>
      <c r="L24" s="32" t="str">
        <f>IFERROR(VLOOKUP(Gastos[[#This Row],[Elemento]],Tabla26814[[DETALLE]:[MONTO U$s]],2,FALSE),"")</f>
        <v/>
      </c>
      <c r="M24" s="32" t="str">
        <f>IFERROR(VLOOKUP(Gastos[[#This Row],[Elemento]],Tabla26815[[DETALLE]:[MONTO U$s]],2,FALSE),"")</f>
        <v/>
      </c>
      <c r="N24" s="32" t="str">
        <f>IFERROR(VLOOKUP(Gastos[[#This Row],[Elemento]],Tabla26816[[DETALLE]:[MONTO U$s]],2,FALSE),"")</f>
        <v/>
      </c>
      <c r="O24" s="31" t="str">
        <f>IF(SUM(Gastos[[#This Row],[Ene]:[Dic]])=0,"",SUM(Gastos[[#This Row],[Ene]:[Dic]]))</f>
        <v/>
      </c>
    </row>
    <row r="25" spans="1:15" ht="30" customHeight="1">
      <c r="A25" s="20"/>
      <c r="B25" s="18" t="s">
        <v>41</v>
      </c>
      <c r="C25" s="31" t="str">
        <f>IFERROR(VLOOKUP(Gastos[[#This Row],[Elemento]],Tabla2[[DETALLE]:[MONTO U$s]],2,FALSE),"")</f>
        <v/>
      </c>
      <c r="D25" s="31" t="str">
        <f>IFERROR(VLOOKUP(Gastos[[#This Row],[Elemento]],Tabla24[[DETALLE]:[MONTO U$s]],2,FALSE),"")</f>
        <v/>
      </c>
      <c r="E25" s="31" t="str">
        <f>IFERROR(VLOOKUP(Gastos[[#This Row],[Elemento]],Tabla26[[DETALLE]:[MONTO U$s]],2,FALSE),"")</f>
        <v/>
      </c>
      <c r="F25" s="32" t="str">
        <f>IFERROR(VLOOKUP(Gastos[[#This Row],[Elemento]],Tabla268[[DETALLE]:[MONTO U$s]],2,FALSE),"")</f>
        <v/>
      </c>
      <c r="G25" s="32" t="str">
        <f>IFERROR(VLOOKUP(Gastos[[#This Row],[Elemento]],Tabla2689[[DETALLE]:[MONTO U$s]],2,FALSE),"")</f>
        <v/>
      </c>
      <c r="H25" s="32" t="str">
        <f>IFERROR(VLOOKUP(Gastos[[#This Row],[Elemento]],Tabla26810[[DETALLE]:[MONTO U$s]],2,FALSE),"")</f>
        <v/>
      </c>
      <c r="I25" s="32" t="str">
        <f>IFERROR(VLOOKUP(Gastos[[#This Row],[Elemento]],Tabla26811[[DETALLE]:[MONTO U$s]],2,FALSE),"")</f>
        <v/>
      </c>
      <c r="J25" s="32" t="str">
        <f>IFERROR(VLOOKUP(Gastos[[#This Row],[Elemento]],Tabla26812[[DETALLE]:[MONTO U$s]],2,FALSE),"")</f>
        <v/>
      </c>
      <c r="K25" s="32" t="str">
        <f>IFERROR(VLOOKUP(Gastos[[#This Row],[Elemento]],Tabla26813[[DETALLE]:[MONTO U$s]],2,FALSE),"")</f>
        <v/>
      </c>
      <c r="L25" s="32" t="str">
        <f>IFERROR(VLOOKUP(Gastos[[#This Row],[Elemento]],Tabla26814[[DETALLE]:[MONTO U$s]],2,FALSE),"")</f>
        <v/>
      </c>
      <c r="M25" s="32" t="str">
        <f>IFERROR(VLOOKUP(Gastos[[#This Row],[Elemento]],Tabla26815[[DETALLE]:[MONTO U$s]],2,FALSE),"")</f>
        <v/>
      </c>
      <c r="N25" s="32" t="str">
        <f>IFERROR(VLOOKUP(Gastos[[#This Row],[Elemento]],Tabla26816[[DETALLE]:[MONTO U$s]],2,FALSE),"")</f>
        <v/>
      </c>
      <c r="O25" s="31" t="str">
        <f>IF(SUM(Gastos[[#This Row],[Ene]:[Dic]])=0,"",SUM(Gastos[[#This Row],[Ene]:[Dic]]))</f>
        <v/>
      </c>
    </row>
    <row r="26" spans="1:15" ht="30" customHeight="1">
      <c r="A26" s="20"/>
      <c r="B26" s="18" t="s">
        <v>42</v>
      </c>
      <c r="C26" s="31" t="str">
        <f>IFERROR(VLOOKUP(Gastos[[#This Row],[Elemento]],Tabla2[[DETALLE]:[MONTO U$s]],2,FALSE),"")</f>
        <v/>
      </c>
      <c r="D26" s="31" t="str">
        <f>IFERROR(VLOOKUP(Gastos[[#This Row],[Elemento]],Tabla24[[DETALLE]:[MONTO U$s]],2,FALSE),"")</f>
        <v/>
      </c>
      <c r="E26" s="31" t="str">
        <f>IFERROR(VLOOKUP(Gastos[[#This Row],[Elemento]],Tabla26[[DETALLE]:[MONTO U$s]],2,FALSE),"")</f>
        <v/>
      </c>
      <c r="F26" s="32" t="str">
        <f>IFERROR(VLOOKUP(Gastos[[#This Row],[Elemento]],Tabla268[[DETALLE]:[MONTO U$s]],2,FALSE),"")</f>
        <v/>
      </c>
      <c r="G26" s="32" t="str">
        <f>IFERROR(VLOOKUP(Gastos[[#This Row],[Elemento]],Tabla2689[[DETALLE]:[MONTO U$s]],2,FALSE),"")</f>
        <v/>
      </c>
      <c r="H26" s="32" t="str">
        <f>IFERROR(VLOOKUP(Gastos[[#This Row],[Elemento]],Tabla26810[[DETALLE]:[MONTO U$s]],2,FALSE),"")</f>
        <v/>
      </c>
      <c r="I26" s="32" t="str">
        <f>IFERROR(VLOOKUP(Gastos[[#This Row],[Elemento]],Tabla26811[[DETALLE]:[MONTO U$s]],2,FALSE),"")</f>
        <v/>
      </c>
      <c r="J26" s="32" t="str">
        <f>IFERROR(VLOOKUP(Gastos[[#This Row],[Elemento]],Tabla26812[[DETALLE]:[MONTO U$s]],2,FALSE),"")</f>
        <v/>
      </c>
      <c r="K26" s="32" t="str">
        <f>IFERROR(VLOOKUP(Gastos[[#This Row],[Elemento]],Tabla26813[[DETALLE]:[MONTO U$s]],2,FALSE),"")</f>
        <v/>
      </c>
      <c r="L26" s="32" t="str">
        <f>IFERROR(VLOOKUP(Gastos[[#This Row],[Elemento]],Tabla26814[[DETALLE]:[MONTO U$s]],2,FALSE),"")</f>
        <v/>
      </c>
      <c r="M26" s="32" t="str">
        <f>IFERROR(VLOOKUP(Gastos[[#This Row],[Elemento]],Tabla26815[[DETALLE]:[MONTO U$s]],2,FALSE),"")</f>
        <v/>
      </c>
      <c r="N26" s="32" t="str">
        <f>IFERROR(VLOOKUP(Gastos[[#This Row],[Elemento]],Tabla26816[[DETALLE]:[MONTO U$s]],2,FALSE),"")</f>
        <v/>
      </c>
      <c r="O26" s="31" t="str">
        <f>IF(SUM(Gastos[[#This Row],[Ene]:[Dic]])=0,"",SUM(Gastos[[#This Row],[Ene]:[Dic]]))</f>
        <v/>
      </c>
    </row>
    <row r="27" spans="1:15" ht="30" customHeight="1">
      <c r="A27" s="20"/>
      <c r="B27" s="18" t="s">
        <v>43</v>
      </c>
      <c r="C27" s="31" t="str">
        <f>IFERROR(VLOOKUP(Gastos[[#This Row],[Elemento]],Tabla2[[DETALLE]:[MONTO U$s]],2,FALSE),"")</f>
        <v/>
      </c>
      <c r="D27" s="31" t="str">
        <f>IFERROR(VLOOKUP(Gastos[[#This Row],[Elemento]],Tabla24[[DETALLE]:[MONTO U$s]],2,FALSE),"")</f>
        <v/>
      </c>
      <c r="E27" s="31" t="str">
        <f>IFERROR(VLOOKUP(Gastos[[#This Row],[Elemento]],Tabla26[[DETALLE]:[MONTO U$s]],2,FALSE),"")</f>
        <v/>
      </c>
      <c r="F27" s="32" t="str">
        <f>IFERROR(VLOOKUP(Gastos[[#This Row],[Elemento]],Tabla268[[DETALLE]:[MONTO U$s]],2,FALSE),"")</f>
        <v/>
      </c>
      <c r="G27" s="32" t="str">
        <f>IFERROR(VLOOKUP(Gastos[[#This Row],[Elemento]],Tabla2689[[DETALLE]:[MONTO U$s]],2,FALSE),"")</f>
        <v/>
      </c>
      <c r="H27" s="32" t="str">
        <f>IFERROR(VLOOKUP(Gastos[[#This Row],[Elemento]],Tabla26810[[DETALLE]:[MONTO U$s]],2,FALSE),"")</f>
        <v/>
      </c>
      <c r="I27" s="32" t="str">
        <f>IFERROR(VLOOKUP(Gastos[[#This Row],[Elemento]],Tabla26811[[DETALLE]:[MONTO U$s]],2,FALSE),"")</f>
        <v/>
      </c>
      <c r="J27" s="32" t="str">
        <f>IFERROR(VLOOKUP(Gastos[[#This Row],[Elemento]],Tabla26812[[DETALLE]:[MONTO U$s]],2,FALSE),"")</f>
        <v/>
      </c>
      <c r="K27" s="32" t="str">
        <f>IFERROR(VLOOKUP(Gastos[[#This Row],[Elemento]],Tabla26813[[DETALLE]:[MONTO U$s]],2,FALSE),"")</f>
        <v/>
      </c>
      <c r="L27" s="32" t="str">
        <f>IFERROR(VLOOKUP(Gastos[[#This Row],[Elemento]],Tabla26814[[DETALLE]:[MONTO U$s]],2,FALSE),"")</f>
        <v/>
      </c>
      <c r="M27" s="32" t="str">
        <f>IFERROR(VLOOKUP(Gastos[[#This Row],[Elemento]],Tabla26815[[DETALLE]:[MONTO U$s]],2,FALSE),"")</f>
        <v/>
      </c>
      <c r="N27" s="32" t="str">
        <f>IFERROR(VLOOKUP(Gastos[[#This Row],[Elemento]],Tabla26816[[DETALLE]:[MONTO U$s]],2,FALSE),"")</f>
        <v/>
      </c>
      <c r="O27" s="31" t="str">
        <f>IF(SUM(Gastos[[#This Row],[Ene]:[Dic]])=0,"",SUM(Gastos[[#This Row],[Ene]:[Dic]]))</f>
        <v/>
      </c>
    </row>
    <row r="28" spans="1:15" ht="30" customHeight="1">
      <c r="A28" s="20"/>
      <c r="B28" s="18" t="s">
        <v>31</v>
      </c>
      <c r="C28" s="31" t="str">
        <f>IFERROR(VLOOKUP(Gastos[[#This Row],[Elemento]],Tabla2[[DETALLE]:[MONTO U$s]],2,FALSE),"")</f>
        <v/>
      </c>
      <c r="D28" s="31" t="str">
        <f>IFERROR(VLOOKUP(Gastos[[#This Row],[Elemento]],Tabla24[[DETALLE]:[MONTO U$s]],2,FALSE),"")</f>
        <v/>
      </c>
      <c r="E28" s="31" t="str">
        <f>IFERROR(VLOOKUP(Gastos[[#This Row],[Elemento]],Tabla26[[DETALLE]:[MONTO U$s]],2,FALSE),"")</f>
        <v/>
      </c>
      <c r="F28" s="32" t="str">
        <f>IFERROR(VLOOKUP(Gastos[[#This Row],[Elemento]],Tabla268[[DETALLE]:[MONTO U$s]],2,FALSE),"")</f>
        <v/>
      </c>
      <c r="G28" s="32" t="str">
        <f>IFERROR(VLOOKUP(Gastos[[#This Row],[Elemento]],Tabla2689[[DETALLE]:[MONTO U$s]],2,FALSE),"")</f>
        <v/>
      </c>
      <c r="H28" s="32" t="str">
        <f>IFERROR(VLOOKUP(Gastos[[#This Row],[Elemento]],Tabla26810[[DETALLE]:[MONTO U$s]],2,FALSE),"")</f>
        <v/>
      </c>
      <c r="I28" s="32" t="str">
        <f>IFERROR(VLOOKUP(Gastos[[#This Row],[Elemento]],Tabla26811[[DETALLE]:[MONTO U$s]],2,FALSE),"")</f>
        <v/>
      </c>
      <c r="J28" s="32" t="str">
        <f>IFERROR(VLOOKUP(Gastos[[#This Row],[Elemento]],Tabla26812[[DETALLE]:[MONTO U$s]],2,FALSE),"")</f>
        <v/>
      </c>
      <c r="K28" s="32" t="str">
        <f>IFERROR(VLOOKUP(Gastos[[#This Row],[Elemento]],Tabla26813[[DETALLE]:[MONTO U$s]],2,FALSE),"")</f>
        <v/>
      </c>
      <c r="L28" s="32" t="str">
        <f>IFERROR(VLOOKUP(Gastos[[#This Row],[Elemento]],Tabla26814[[DETALLE]:[MONTO U$s]],2,FALSE),"")</f>
        <v/>
      </c>
      <c r="M28" s="32" t="str">
        <f>IFERROR(VLOOKUP(Gastos[[#This Row],[Elemento]],Tabla26815[[DETALLE]:[MONTO U$s]],2,FALSE),"")</f>
        <v/>
      </c>
      <c r="N28" s="32" t="str">
        <f>IFERROR(VLOOKUP(Gastos[[#This Row],[Elemento]],Tabla26816[[DETALLE]:[MONTO U$s]],2,FALSE),"")</f>
        <v/>
      </c>
      <c r="O28" s="31" t="str">
        <f>IF(SUM(Gastos[[#This Row],[Ene]:[Dic]])=0,"",SUM(Gastos[[#This Row],[Ene]:[Dic]]))</f>
        <v/>
      </c>
    </row>
    <row r="29" spans="1:15" ht="30" customHeight="1">
      <c r="A29" s="20"/>
      <c r="B29" s="18"/>
      <c r="C29" s="31" t="str">
        <f>IFERROR(VLOOKUP(Gastos[[#This Row],[Elemento]],Tabla2[[DETALLE]:[MONTO U$s]],2,FALSE),"")</f>
        <v/>
      </c>
      <c r="D29" s="31" t="str">
        <f>IFERROR(VLOOKUP(Gastos[[#This Row],[Elemento]],Tabla24[[DETALLE]:[MONTO U$s]],2,FALSE),"")</f>
        <v/>
      </c>
      <c r="E29" s="31" t="str">
        <f>IFERROR(VLOOKUP(Gastos[[#This Row],[Elemento]],Tabla26[[DETALLE]:[MONTO U$s]],2,FALSE),"")</f>
        <v/>
      </c>
      <c r="F29" s="32" t="str">
        <f>IFERROR(VLOOKUP(Gastos[[#This Row],[Elemento]],Tabla268[[DETALLE]:[MONTO U$s]],2,FALSE),"")</f>
        <v/>
      </c>
      <c r="G29" s="32" t="str">
        <f>IFERROR(VLOOKUP(Gastos[[#This Row],[Elemento]],Tabla2689[[DETALLE]:[MONTO U$s]],2,FALSE),"")</f>
        <v/>
      </c>
      <c r="H29" s="32" t="str">
        <f>IFERROR(VLOOKUP(Gastos[[#This Row],[Elemento]],Tabla26810[[DETALLE]:[MONTO U$s]],2,FALSE),"")</f>
        <v/>
      </c>
      <c r="I29" s="32" t="str">
        <f>IFERROR(VLOOKUP(Gastos[[#This Row],[Elemento]],Tabla26811[[DETALLE]:[MONTO U$s]],2,FALSE),"")</f>
        <v/>
      </c>
      <c r="J29" s="32" t="str">
        <f>IFERROR(VLOOKUP(Gastos[[#This Row],[Elemento]],Tabla26812[[DETALLE]:[MONTO U$s]],2,FALSE),"")</f>
        <v/>
      </c>
      <c r="K29" s="32" t="str">
        <f>IFERROR(VLOOKUP(Gastos[[#This Row],[Elemento]],Tabla26813[[DETALLE]:[MONTO U$s]],2,FALSE),"")</f>
        <v/>
      </c>
      <c r="L29" s="32" t="str">
        <f>IFERROR(VLOOKUP(Gastos[[#This Row],[Elemento]],Tabla26814[[DETALLE]:[MONTO U$s]],2,FALSE),"")</f>
        <v/>
      </c>
      <c r="M29" s="32" t="str">
        <f>IFERROR(VLOOKUP(Gastos[[#This Row],[Elemento]],Tabla26815[[DETALLE]:[MONTO U$s]],2,FALSE),"")</f>
        <v/>
      </c>
      <c r="N29" s="32" t="str">
        <f>IFERROR(VLOOKUP(Gastos[[#This Row],[Elemento]],Tabla26816[[DETALLE]:[MONTO U$s]],2,FALSE),"")</f>
        <v/>
      </c>
      <c r="O29" s="31" t="str">
        <f>IF(SUM(Gastos[[#This Row],[Ene]:[Dic]])=0,"",SUM(Gastos[[#This Row],[Ene]:[Dic]]))</f>
        <v/>
      </c>
    </row>
    <row r="30" spans="1:15" ht="30" customHeight="1">
      <c r="B30" s="29" t="s">
        <v>24</v>
      </c>
      <c r="C30" s="30">
        <f>SUBTOTAL(109,Gastos[Ene])</f>
        <v>1658654</v>
      </c>
      <c r="D30" s="30">
        <f>SUBTOTAL(109,Gastos[Feb])</f>
        <v>110468</v>
      </c>
      <c r="E30" s="30">
        <f>SUBTOTAL(109,Gastos[Mar])</f>
        <v>110468</v>
      </c>
      <c r="F30" s="30">
        <f>SUBTOTAL(109,Gastos[Abr])</f>
        <v>1004000</v>
      </c>
      <c r="G30" s="30">
        <f>SUBTOTAL(109,Gastos[May])</f>
        <v>1004000</v>
      </c>
      <c r="H30" s="30">
        <f>SUBTOTAL(109,Gastos[Jun])</f>
        <v>1004000</v>
      </c>
      <c r="I30" s="30">
        <f>SUBTOTAL(109,Gastos[Jul])</f>
        <v>1004000</v>
      </c>
      <c r="J30" s="30">
        <f>SUBTOTAL(109,Gastos[Ago])</f>
        <v>1004000</v>
      </c>
      <c r="K30" s="30">
        <f>SUBTOTAL(109,Gastos[Sep])</f>
        <v>1004000</v>
      </c>
      <c r="L30" s="30">
        <f>SUBTOTAL(109,Gastos[Oct])</f>
        <v>4159050</v>
      </c>
      <c r="M30" s="30">
        <f>SUBTOTAL(109,Gastos[Nov])</f>
        <v>2617285416</v>
      </c>
      <c r="N30" s="30">
        <f>SUBTOTAL(109,Gastos[Dic])</f>
        <v>7201143127</v>
      </c>
      <c r="O30" s="30">
        <f>SUBTOTAL(109,Gastos[Total Pesos AR])</f>
        <v>9830491183</v>
      </c>
    </row>
    <row r="31" spans="1:15" ht="30" customHeight="1"/>
    <row r="32" spans="1:15" ht="30" customHeight="1">
      <c r="B32" s="14" t="s">
        <v>46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2:15" ht="30" customHeight="1">
      <c r="B33" s="16" t="s">
        <v>2</v>
      </c>
      <c r="C33" s="16" t="s">
        <v>3</v>
      </c>
      <c r="D33" s="16" t="s">
        <v>4</v>
      </c>
      <c r="E33" s="16" t="s">
        <v>5</v>
      </c>
      <c r="F33" s="17" t="s">
        <v>6</v>
      </c>
      <c r="G33" s="17" t="s">
        <v>7</v>
      </c>
      <c r="H33" s="17" t="s">
        <v>8</v>
      </c>
      <c r="I33" s="17" t="s">
        <v>9</v>
      </c>
      <c r="J33" s="17" t="s">
        <v>10</v>
      </c>
      <c r="K33" s="17" t="s">
        <v>11</v>
      </c>
      <c r="L33" s="17" t="s">
        <v>12</v>
      </c>
      <c r="M33" s="17" t="s">
        <v>13</v>
      </c>
      <c r="N33" s="17" t="s">
        <v>14</v>
      </c>
      <c r="O33" s="17" t="s">
        <v>47</v>
      </c>
    </row>
    <row r="34" spans="2:15" ht="30" customHeight="1">
      <c r="B34" s="18" t="s">
        <v>44</v>
      </c>
      <c r="C34" s="33">
        <f>IFERROR(VLOOKUP(Tabla4[[#This Row],[Elemento]],Tabla2[[DETALLE]:[MONTO U$s]],4,FALSE),"")</f>
        <v>749.03203661327234</v>
      </c>
      <c r="D34" s="33" t="str">
        <f>IFERROR(VLOOKUP(Tabla4[[#This Row],[Elemento]],Tabla24[[DETALLE]:[MONTO U$s]],4,FALSE),"")</f>
        <v/>
      </c>
      <c r="E34" s="33" t="str">
        <f>IFERROR(VLOOKUP(Tabla4[[#This Row],[Elemento]],Tabla26[[DETALLE]:[MONTO U$s]],4,FALSE),"")</f>
        <v/>
      </c>
      <c r="F34" s="33" t="str">
        <f>IFERROR(VLOOKUP(Tabla4[[#This Row],[Elemento]],Tabla268[[DETALLE]:[MONTO U$s]],4,FALSE),"")</f>
        <v/>
      </c>
      <c r="G34" s="33" t="str">
        <f>IFERROR(VLOOKUP(Tabla4[[#This Row],[Elemento]],Tabla2689[[DETALLE]:[MONTO U$s]],4,FALSE),"")</f>
        <v/>
      </c>
      <c r="H34" s="33" t="str">
        <f>IFERROR(VLOOKUP(Tabla4[[#This Row],[Elemento]],Tabla26810[[DETALLE]:[MONTO U$s]],4,FALSE),"")</f>
        <v/>
      </c>
      <c r="I34" s="33" t="str">
        <f>IFERROR(VLOOKUP(Tabla4[[#This Row],[Elemento]],Tabla26811[[DETALLE]:[MONTO U$s]],4,FALSE),"")</f>
        <v/>
      </c>
      <c r="J34" s="33" t="str">
        <f>IFERROR(VLOOKUP(Tabla4[[#This Row],[Elemento]],Tabla26812[[DETALLE]:[MONTO U$s]],4,FALSE),"")</f>
        <v/>
      </c>
      <c r="K34" s="33" t="str">
        <f>IFERROR(VLOOKUP(Tabla4[[#This Row],[Elemento]],Tabla26813[[DETALLE]:[MONTO U$s]],4,FALSE),"")</f>
        <v/>
      </c>
      <c r="L34" s="33" t="str">
        <f>IFERROR(VLOOKUP(Tabla4[[#This Row],[Elemento]],Tabla26814[[DETALLE]:[MONTO U$s]],4,FALSE),"")</f>
        <v/>
      </c>
      <c r="M34" s="33" t="str">
        <f>IFERROR(VLOOKUP(Tabla4[[#This Row],[Elemento]],Tabla26815[[DETALLE]:[MONTO U$s]],4,FALSE),"")</f>
        <v/>
      </c>
      <c r="N34" s="33" t="str">
        <f>IFERROR(VLOOKUP(Tabla4[[#This Row],[Elemento]],Tabla26816[[DETALLE]:[MONTO U$s]],4,FALSE),"")</f>
        <v/>
      </c>
      <c r="O34" s="33">
        <f>IF(SUM(Tabla4[[#This Row],[Ene]:[Dic]])="","",SUM(Tabla4[[#This Row],[Ene]:[Dic]]))</f>
        <v>749.03203661327234</v>
      </c>
    </row>
    <row r="35" spans="2:15" ht="30" customHeight="1">
      <c r="B35" s="18" t="s">
        <v>32</v>
      </c>
      <c r="C35" s="33" t="str">
        <f>IFERROR(VLOOKUP(Tabla4[[#This Row],[Elemento]],Tabla2[[DETALLE]:[MONTO U$s]],4,FALSE),"")</f>
        <v/>
      </c>
      <c r="D35" s="33" t="str">
        <f>IFERROR(VLOOKUP(Tabla4[[#This Row],[Elemento]],Tabla24[[DETALLE]:[MONTO U$s]],4,FALSE),"")</f>
        <v/>
      </c>
      <c r="E35" s="33" t="str">
        <f>IFERROR(VLOOKUP(Tabla4[[#This Row],[Elemento]],Tabla26[[DETALLE]:[MONTO U$s]],4,FALSE),"")</f>
        <v/>
      </c>
      <c r="F35" s="33" t="str">
        <f>IFERROR(VLOOKUP(Tabla4[[#This Row],[Elemento]],Tabla268[[DETALLE]:[MONTO U$s]],4,FALSE),"")</f>
        <v/>
      </c>
      <c r="G35" s="33" t="str">
        <f>IFERROR(VLOOKUP(Tabla4[[#This Row],[Elemento]],Tabla2689[[DETALLE]:[MONTO U$s]],4,FALSE),"")</f>
        <v/>
      </c>
      <c r="H35" s="33" t="str">
        <f>IFERROR(VLOOKUP(Tabla4[[#This Row],[Elemento]],Tabla26810[[DETALLE]:[MONTO U$s]],4,FALSE),"")</f>
        <v/>
      </c>
      <c r="I35" s="33" t="str">
        <f>IFERROR(VLOOKUP(Tabla4[[#This Row],[Elemento]],Tabla26811[[DETALLE]:[MONTO U$s]],4,FALSE),"")</f>
        <v/>
      </c>
      <c r="J35" s="33" t="str">
        <f>IFERROR(VLOOKUP(Tabla4[[#This Row],[Elemento]],Tabla26812[[DETALLE]:[MONTO U$s]],4,FALSE),"")</f>
        <v/>
      </c>
      <c r="K35" s="33" t="str">
        <f>IFERROR(VLOOKUP(Tabla4[[#This Row],[Elemento]],Tabla26813[[DETALLE]:[MONTO U$s]],4,FALSE),"")</f>
        <v/>
      </c>
      <c r="L35" s="33" t="str">
        <f>IFERROR(VLOOKUP(Tabla4[[#This Row],[Elemento]],Tabla26814[[DETALLE]:[MONTO U$s]],4,FALSE),"")</f>
        <v/>
      </c>
      <c r="M35" s="33" t="str">
        <f>IFERROR(VLOOKUP(Tabla4[[#This Row],[Elemento]],Tabla26815[[DETALLE]:[MONTO U$s]],4,FALSE),"")</f>
        <v/>
      </c>
      <c r="N35" s="33" t="str">
        <f>IFERROR(VLOOKUP(Tabla4[[#This Row],[Elemento]],Tabla26816[[DETALLE]:[MONTO U$s]],4,FALSE),"")</f>
        <v/>
      </c>
      <c r="O35" s="33">
        <f>IF(SUM(Tabla4[[#This Row],[Ene]:[Dic]])="","",SUM(Tabla4[[#This Row],[Ene]:[Dic]]))</f>
        <v>0</v>
      </c>
    </row>
    <row r="36" spans="2:15" ht="30" customHeight="1">
      <c r="B36" s="18" t="s">
        <v>30</v>
      </c>
      <c r="C36" s="33">
        <f>IFERROR(VLOOKUP(Tabla4[[#This Row],[Elemento]],Tabla2[[DETALLE]:[MONTO U$s]],4,FALSE),"")</f>
        <v>44.523597506678541</v>
      </c>
      <c r="D36" s="33">
        <f>IFERROR(VLOOKUP(Tabla4[[#This Row],[Elemento]],Tabla24[[DETALLE]:[MONTO U$s]],4,FALSE),"")</f>
        <v>8.9047195013357072</v>
      </c>
      <c r="E36" s="33">
        <f>IFERROR(VLOOKUP(Tabla4[[#This Row],[Elemento]],Tabla26[[DETALLE]:[MONTO U$s]],4,FALSE),"")</f>
        <v>8.9047195013357072</v>
      </c>
      <c r="F36" s="33">
        <f>IFERROR(VLOOKUP(Tabla4[[#This Row],[Elemento]],Tabla268[[DETALLE]:[MONTO U$s]],4,FALSE),"")</f>
        <v>44.523597506678541</v>
      </c>
      <c r="G36" s="33">
        <f>IFERROR(VLOOKUP(Tabla4[[#This Row],[Elemento]],Tabla2689[[DETALLE]:[MONTO U$s]],4,FALSE),"")</f>
        <v>44.523597506678541</v>
      </c>
      <c r="H36" s="33">
        <f>IFERROR(VLOOKUP(Tabla4[[#This Row],[Elemento]],Tabla26810[[DETALLE]:[MONTO U$s]],4,FALSE),"")</f>
        <v>44.523597506678541</v>
      </c>
      <c r="I36" s="33">
        <f>IFERROR(VLOOKUP(Tabla4[[#This Row],[Elemento]],Tabla26811[[DETALLE]:[MONTO U$s]],4,FALSE),"")</f>
        <v>44.523597506678541</v>
      </c>
      <c r="J36" s="33">
        <f>IFERROR(VLOOKUP(Tabla4[[#This Row],[Elemento]],Tabla26812[[DETALLE]:[MONTO U$s]],4,FALSE),"")</f>
        <v>44.523597506678541</v>
      </c>
      <c r="K36" s="33">
        <f>IFERROR(VLOOKUP(Tabla4[[#This Row],[Elemento]],Tabla26813[[DETALLE]:[MONTO U$s]],4,FALSE),"")</f>
        <v>44.523597506678541</v>
      </c>
      <c r="L36" s="33">
        <f>IFERROR(VLOOKUP(Tabla4[[#This Row],[Elemento]],Tabla26814[[DETALLE]:[MONTO U$s]],4,FALSE),"")</f>
        <v>44.523597506678541</v>
      </c>
      <c r="M36" s="33">
        <f>IFERROR(VLOOKUP(Tabla4[[#This Row],[Elemento]],Tabla26815[[DETALLE]:[MONTO U$s]],4,FALSE),"")</f>
        <v>582654.81211041857</v>
      </c>
      <c r="N36" s="33">
        <f>IFERROR(VLOOKUP(Tabla4[[#This Row],[Elemento]],Tabla26816[[DETALLE]:[MONTO U$s]],4,FALSE),"")</f>
        <v>582654.81211041857</v>
      </c>
      <c r="O36" s="33">
        <f>IF(SUM(Tabla4[[#This Row],[Ene]:[Dic]])="","",SUM(Tabla4[[#This Row],[Ene]:[Dic]]))</f>
        <v>1165683.6224398932</v>
      </c>
    </row>
    <row r="37" spans="2:15" ht="30" customHeight="1">
      <c r="B37" s="18" t="s">
        <v>33</v>
      </c>
      <c r="C37" s="33" t="str">
        <f>IFERROR(VLOOKUP(Tabla4[[#This Row],[Elemento]],Tabla2[[DETALLE]:[MONTO U$s]],4,FALSE),"")</f>
        <v/>
      </c>
      <c r="D37" s="33" t="str">
        <f>IFERROR(VLOOKUP(Tabla4[[#This Row],[Elemento]],Tabla24[[DETALLE]:[MONTO U$s]],4,FALSE),"")</f>
        <v/>
      </c>
      <c r="E37" s="33" t="str">
        <f>IFERROR(VLOOKUP(Tabla4[[#This Row],[Elemento]],Tabla26[[DETALLE]:[MONTO U$s]],4,FALSE),"")</f>
        <v/>
      </c>
      <c r="F37" s="33" t="str">
        <f>IFERROR(VLOOKUP(Tabla4[[#This Row],[Elemento]],Tabla268[[DETALLE]:[MONTO U$s]],4,FALSE),"")</f>
        <v/>
      </c>
      <c r="G37" s="33" t="str">
        <f>IFERROR(VLOOKUP(Tabla4[[#This Row],[Elemento]],Tabla2689[[DETALLE]:[MONTO U$s]],4,FALSE),"")</f>
        <v/>
      </c>
      <c r="H37" s="33" t="str">
        <f>IFERROR(VLOOKUP(Tabla4[[#This Row],[Elemento]],Tabla26810[[DETALLE]:[MONTO U$s]],4,FALSE),"")</f>
        <v/>
      </c>
      <c r="I37" s="33" t="str">
        <f>IFERROR(VLOOKUP(Tabla4[[#This Row],[Elemento]],Tabla26811[[DETALLE]:[MONTO U$s]],4,FALSE),"")</f>
        <v/>
      </c>
      <c r="J37" s="33" t="str">
        <f>IFERROR(VLOOKUP(Tabla4[[#This Row],[Elemento]],Tabla26812[[DETALLE]:[MONTO U$s]],4,FALSE),"")</f>
        <v/>
      </c>
      <c r="K37" s="33" t="str">
        <f>IFERROR(VLOOKUP(Tabla4[[#This Row],[Elemento]],Tabla26813[[DETALLE]:[MONTO U$s]],4,FALSE),"")</f>
        <v/>
      </c>
      <c r="L37" s="33" t="str">
        <f>IFERROR(VLOOKUP(Tabla4[[#This Row],[Elemento]],Tabla26814[[DETALLE]:[MONTO U$s]],4,FALSE),"")</f>
        <v/>
      </c>
      <c r="M37" s="33" t="str">
        <f>IFERROR(VLOOKUP(Tabla4[[#This Row],[Elemento]],Tabla26815[[DETALLE]:[MONTO U$s]],4,FALSE),"")</f>
        <v/>
      </c>
      <c r="N37" s="33" t="str">
        <f>IFERROR(VLOOKUP(Tabla4[[#This Row],[Elemento]],Tabla26816[[DETALLE]:[MONTO U$s]],4,FALSE),"")</f>
        <v/>
      </c>
      <c r="O37" s="33">
        <f>IF(SUM(Tabla4[[#This Row],[Ene]:[Dic]])="","",SUM(Tabla4[[#This Row],[Ene]:[Dic]]))</f>
        <v>0</v>
      </c>
    </row>
    <row r="38" spans="2:15" ht="30" customHeight="1">
      <c r="B38" s="18" t="s">
        <v>34</v>
      </c>
      <c r="C38" s="33" t="str">
        <f>IFERROR(VLOOKUP(Tabla4[[#This Row],[Elemento]],Tabla2[[DETALLE]:[MONTO U$s]],4,FALSE),"")</f>
        <v/>
      </c>
      <c r="D38" s="33" t="str">
        <f>IFERROR(VLOOKUP(Tabla4[[#This Row],[Elemento]],Tabla24[[DETALLE]:[MONTO U$s]],4,FALSE),"")</f>
        <v/>
      </c>
      <c r="E38" s="33" t="str">
        <f>IFERROR(VLOOKUP(Tabla4[[#This Row],[Elemento]],Tabla26[[DETALLE]:[MONTO U$s]],4,FALSE),"")</f>
        <v/>
      </c>
      <c r="F38" s="33" t="str">
        <f>IFERROR(VLOOKUP(Tabla4[[#This Row],[Elemento]],Tabla268[[DETALLE]:[MONTO U$s]],4,FALSE),"")</f>
        <v/>
      </c>
      <c r="G38" s="33" t="str">
        <f>IFERROR(VLOOKUP(Tabla4[[#This Row],[Elemento]],Tabla2689[[DETALLE]:[MONTO U$s]],4,FALSE),"")</f>
        <v/>
      </c>
      <c r="H38" s="33" t="str">
        <f>IFERROR(VLOOKUP(Tabla4[[#This Row],[Elemento]],Tabla26810[[DETALLE]:[MONTO U$s]],4,FALSE),"")</f>
        <v/>
      </c>
      <c r="I38" s="33" t="str">
        <f>IFERROR(VLOOKUP(Tabla4[[#This Row],[Elemento]],Tabla26811[[DETALLE]:[MONTO U$s]],4,FALSE),"")</f>
        <v/>
      </c>
      <c r="J38" s="33" t="str">
        <f>IFERROR(VLOOKUP(Tabla4[[#This Row],[Elemento]],Tabla26812[[DETALLE]:[MONTO U$s]],4,FALSE),"")</f>
        <v/>
      </c>
      <c r="K38" s="33" t="str">
        <f>IFERROR(VLOOKUP(Tabla4[[#This Row],[Elemento]],Tabla26813[[DETALLE]:[MONTO U$s]],4,FALSE),"")</f>
        <v/>
      </c>
      <c r="L38" s="33" t="str">
        <f>IFERROR(VLOOKUP(Tabla4[[#This Row],[Elemento]],Tabla26814[[DETALLE]:[MONTO U$s]],4,FALSE),"")</f>
        <v/>
      </c>
      <c r="M38" s="33" t="str">
        <f>IFERROR(VLOOKUP(Tabla4[[#This Row],[Elemento]],Tabla26815[[DETALLE]:[MONTO U$s]],4,FALSE),"")</f>
        <v/>
      </c>
      <c r="N38" s="33" t="str">
        <f>IFERROR(VLOOKUP(Tabla4[[#This Row],[Elemento]],Tabla26816[[DETALLE]:[MONTO U$s]],4,FALSE),"")</f>
        <v/>
      </c>
      <c r="O38" s="33">
        <f>IF(SUM(Tabla4[[#This Row],[Ene]:[Dic]])="","",SUM(Tabla4[[#This Row],[Ene]:[Dic]]))</f>
        <v>0</v>
      </c>
    </row>
    <row r="39" spans="2:15" ht="30" customHeight="1">
      <c r="B39" s="18" t="s">
        <v>35</v>
      </c>
      <c r="C39" s="33">
        <f>IFERROR(VLOOKUP(Tabla4[[#This Row],[Elemento]],Tabla2[[DETALLE]:[MONTO U$s]],4,FALSE),"")</f>
        <v>334.81481481481484</v>
      </c>
      <c r="D39" s="33">
        <f>IFERROR(VLOOKUP(Tabla4[[#This Row],[Elemento]],Tabla24[[DETALLE]:[MONTO U$s]],4,FALSE),"")</f>
        <v>19.700551615445232</v>
      </c>
      <c r="E39" s="33">
        <f>IFERROR(VLOOKUP(Tabla4[[#This Row],[Elemento]],Tabla26[[DETALLE]:[MONTO U$s]],4,FALSE),"")</f>
        <v>19.700551615445232</v>
      </c>
      <c r="F39" s="33">
        <f>IFERROR(VLOOKUP(Tabla4[[#This Row],[Elemento]],Tabla268[[DETALLE]:[MONTO U$s]],4,FALSE),"")</f>
        <v>334.81481481481484</v>
      </c>
      <c r="G39" s="33">
        <f>IFERROR(VLOOKUP(Tabla4[[#This Row],[Elemento]],Tabla2689[[DETALLE]:[MONTO U$s]],4,FALSE),"")</f>
        <v>334.81481481481484</v>
      </c>
      <c r="H39" s="33">
        <f>IFERROR(VLOOKUP(Tabla4[[#This Row],[Elemento]],Tabla26810[[DETALLE]:[MONTO U$s]],4,FALSE),"")</f>
        <v>334.81481481481484</v>
      </c>
      <c r="I39" s="33">
        <f>IFERROR(VLOOKUP(Tabla4[[#This Row],[Elemento]],Tabla26811[[DETALLE]:[MONTO U$s]],4,FALSE),"")</f>
        <v>334.81481481481484</v>
      </c>
      <c r="J39" s="33">
        <f>IFERROR(VLOOKUP(Tabla4[[#This Row],[Elemento]],Tabla26812[[DETALLE]:[MONTO U$s]],4,FALSE),"")</f>
        <v>334.81481481481484</v>
      </c>
      <c r="K39" s="33">
        <f>IFERROR(VLOOKUP(Tabla4[[#This Row],[Elemento]],Tabla26813[[DETALLE]:[MONTO U$s]],4,FALSE),"")</f>
        <v>334.81481481481484</v>
      </c>
      <c r="L39" s="33">
        <f>IFERROR(VLOOKUP(Tabla4[[#This Row],[Elemento]],Tabla26814[[DETALLE]:[MONTO U$s]],4,FALSE),"")</f>
        <v>334.81481481481484</v>
      </c>
      <c r="M39" s="33">
        <f>IFERROR(VLOOKUP(Tabla4[[#This Row],[Elemento]],Tabla26815[[DETALLE]:[MONTO U$s]],4,FALSE),"")</f>
        <v>582654.81211041857</v>
      </c>
      <c r="N39" s="33">
        <f>IFERROR(VLOOKUP(Tabla4[[#This Row],[Elemento]],Tabla26816[[DETALLE]:[MONTO U$s]],4,FALSE),"")</f>
        <v>6494346.5813492062</v>
      </c>
      <c r="O39" s="33">
        <f>IF(SUM(Tabla4[[#This Row],[Ene]:[Dic]])="","",SUM(Tabla4[[#This Row],[Ene]:[Dic]]))</f>
        <v>7079719.3130813744</v>
      </c>
    </row>
    <row r="40" spans="2:15" ht="30" customHeight="1">
      <c r="B40" s="18" t="s">
        <v>36</v>
      </c>
      <c r="C40" s="33">
        <f>IFERROR(VLOOKUP(Tabla4[[#This Row],[Elemento]],Tabla2[[DETALLE]:[MONTO U$s]],4,FALSE),"")</f>
        <v>40.883074407195423</v>
      </c>
      <c r="D40" s="33">
        <f>IFERROR(VLOOKUP(Tabla4[[#This Row],[Elemento]],Tabla24[[DETALLE]:[MONTO U$s]],4,FALSE),"")</f>
        <v>8.2034454470877769</v>
      </c>
      <c r="E40" s="33">
        <f>IFERROR(VLOOKUP(Tabla4[[#This Row],[Elemento]],Tabla26[[DETALLE]:[MONTO U$s]],4,FALSE),"")</f>
        <v>8.2034454470877769</v>
      </c>
      <c r="F40" s="33">
        <f>IFERROR(VLOOKUP(Tabla4[[#This Row],[Elemento]],Tabla268[[DETALLE]:[MONTO U$s]],4,FALSE),"")</f>
        <v>40.883074407195423</v>
      </c>
      <c r="G40" s="33">
        <f>IFERROR(VLOOKUP(Tabla4[[#This Row],[Elemento]],Tabla2689[[DETALLE]:[MONTO U$s]],4,FALSE),"")</f>
        <v>40.883074407195423</v>
      </c>
      <c r="H40" s="33">
        <f>IFERROR(VLOOKUP(Tabla4[[#This Row],[Elemento]],Tabla26810[[DETALLE]:[MONTO U$s]],4,FALSE),"")</f>
        <v>40.883074407195423</v>
      </c>
      <c r="I40" s="33">
        <f>IFERROR(VLOOKUP(Tabla4[[#This Row],[Elemento]],Tabla26811[[DETALLE]:[MONTO U$s]],4,FALSE),"")</f>
        <v>40.883074407195423</v>
      </c>
      <c r="J40" s="33">
        <f>IFERROR(VLOOKUP(Tabla4[[#This Row],[Elemento]],Tabla26812[[DETALLE]:[MONTO U$s]],4,FALSE),"")</f>
        <v>40.883074407195423</v>
      </c>
      <c r="K40" s="33">
        <f>IFERROR(VLOOKUP(Tabla4[[#This Row],[Elemento]],Tabla26813[[DETALLE]:[MONTO U$s]],4,FALSE),"")</f>
        <v>40.883074407195423</v>
      </c>
      <c r="L40" s="33">
        <f>IFERROR(VLOOKUP(Tabla4[[#This Row],[Elemento]],Tabla26814[[DETALLE]:[MONTO U$s]],4,FALSE),"")</f>
        <v>2131.0172872340427</v>
      </c>
      <c r="M40" s="33">
        <f>IFERROR(VLOOKUP(Tabla4[[#This Row],[Elemento]],Tabla26815[[DETALLE]:[MONTO U$s]],4,FALSE),"")</f>
        <v>582654.81211041857</v>
      </c>
      <c r="N40" s="33">
        <f>IFERROR(VLOOKUP(Tabla4[[#This Row],[Elemento]],Tabla26816[[DETALLE]:[MONTO U$s]],4,FALSE),"")</f>
        <v>368.41052631578947</v>
      </c>
      <c r="O40" s="33">
        <f>IF(SUM(Tabla4[[#This Row],[Ene]:[Dic]])="","",SUM(Tabla4[[#This Row],[Ene]:[Dic]]))</f>
        <v>585456.8283357129</v>
      </c>
    </row>
    <row r="41" spans="2:15" ht="30" customHeight="1">
      <c r="B41" s="18" t="s">
        <v>37</v>
      </c>
      <c r="C41" s="33" t="str">
        <f>IFERROR(VLOOKUP(Tabla4[[#This Row],[Elemento]],Tabla2[[DETALLE]:[MONTO U$s]],4,FALSE),"")</f>
        <v/>
      </c>
      <c r="D41" s="33" t="str">
        <f>IFERROR(VLOOKUP(Tabla4[[#This Row],[Elemento]],Tabla24[[DETALLE]:[MONTO U$s]],4,FALSE),"")</f>
        <v/>
      </c>
      <c r="E41" s="33" t="str">
        <f>IFERROR(VLOOKUP(Tabla4[[#This Row],[Elemento]],Tabla26[[DETALLE]:[MONTO U$s]],4,FALSE),"")</f>
        <v/>
      </c>
      <c r="F41" s="33" t="str">
        <f>IFERROR(VLOOKUP(Tabla4[[#This Row],[Elemento]],Tabla268[[DETALLE]:[MONTO U$s]],4,FALSE),"")</f>
        <v/>
      </c>
      <c r="G41" s="33" t="str">
        <f>IFERROR(VLOOKUP(Tabla4[[#This Row],[Elemento]],Tabla2689[[DETALLE]:[MONTO U$s]],4,FALSE),"")</f>
        <v/>
      </c>
      <c r="H41" s="33" t="str">
        <f>IFERROR(VLOOKUP(Tabla4[[#This Row],[Elemento]],Tabla26810[[DETALLE]:[MONTO U$s]],4,FALSE),"")</f>
        <v/>
      </c>
      <c r="I41" s="33" t="str">
        <f>IFERROR(VLOOKUP(Tabla4[[#This Row],[Elemento]],Tabla26811[[DETALLE]:[MONTO U$s]],4,FALSE),"")</f>
        <v/>
      </c>
      <c r="J41" s="33" t="str">
        <f>IFERROR(VLOOKUP(Tabla4[[#This Row],[Elemento]],Tabla26812[[DETALLE]:[MONTO U$s]],4,FALSE),"")</f>
        <v/>
      </c>
      <c r="K41" s="33" t="str">
        <f>IFERROR(VLOOKUP(Tabla4[[#This Row],[Elemento]],Tabla26813[[DETALLE]:[MONTO U$s]],4,FALSE),"")</f>
        <v/>
      </c>
      <c r="L41" s="33" t="str">
        <f>IFERROR(VLOOKUP(Tabla4[[#This Row],[Elemento]],Tabla26814[[DETALLE]:[MONTO U$s]],4,FALSE),"")</f>
        <v/>
      </c>
      <c r="M41" s="33" t="str">
        <f>IFERROR(VLOOKUP(Tabla4[[#This Row],[Elemento]],Tabla26815[[DETALLE]:[MONTO U$s]],4,FALSE),"")</f>
        <v/>
      </c>
      <c r="N41" s="33" t="str">
        <f>IFERROR(VLOOKUP(Tabla4[[#This Row],[Elemento]],Tabla26816[[DETALLE]:[MONTO U$s]],4,FALSE),"")</f>
        <v/>
      </c>
      <c r="O41" s="33">
        <f>IF(SUM(Tabla4[[#This Row],[Ene]:[Dic]])="","",SUM(Tabla4[[#This Row],[Ene]:[Dic]]))</f>
        <v>0</v>
      </c>
    </row>
    <row r="42" spans="2:15" ht="30" customHeight="1">
      <c r="B42" s="18" t="s">
        <v>38</v>
      </c>
      <c r="C42" s="33" t="str">
        <f>IFERROR(VLOOKUP(Tabla4[[#This Row],[Elemento]],Tabla2[[DETALLE]:[MONTO U$s]],4,FALSE),"")</f>
        <v/>
      </c>
      <c r="D42" s="33" t="str">
        <f>IFERROR(VLOOKUP(Tabla4[[#This Row],[Elemento]],Tabla24[[DETALLE]:[MONTO U$s]],4,FALSE),"")</f>
        <v/>
      </c>
      <c r="E42" s="33" t="str">
        <f>IFERROR(VLOOKUP(Tabla4[[#This Row],[Elemento]],Tabla26[[DETALLE]:[MONTO U$s]],4,FALSE),"")</f>
        <v/>
      </c>
      <c r="F42" s="33" t="str">
        <f>IFERROR(VLOOKUP(Tabla4[[#This Row],[Elemento]],Tabla268[[DETALLE]:[MONTO U$s]],4,FALSE),"")</f>
        <v/>
      </c>
      <c r="G42" s="33" t="str">
        <f>IFERROR(VLOOKUP(Tabla4[[#This Row],[Elemento]],Tabla2689[[DETALLE]:[MONTO U$s]],4,FALSE),"")</f>
        <v/>
      </c>
      <c r="H42" s="33" t="str">
        <f>IFERROR(VLOOKUP(Tabla4[[#This Row],[Elemento]],Tabla26810[[DETALLE]:[MONTO U$s]],4,FALSE),"")</f>
        <v/>
      </c>
      <c r="I42" s="33" t="str">
        <f>IFERROR(VLOOKUP(Tabla4[[#This Row],[Elemento]],Tabla26811[[DETALLE]:[MONTO U$s]],4,FALSE),"")</f>
        <v/>
      </c>
      <c r="J42" s="33" t="str">
        <f>IFERROR(VLOOKUP(Tabla4[[#This Row],[Elemento]],Tabla26812[[DETALLE]:[MONTO U$s]],4,FALSE),"")</f>
        <v/>
      </c>
      <c r="K42" s="33" t="str">
        <f>IFERROR(VLOOKUP(Tabla4[[#This Row],[Elemento]],Tabla26813[[DETALLE]:[MONTO U$s]],4,FALSE),"")</f>
        <v/>
      </c>
      <c r="L42" s="33" t="str">
        <f>IFERROR(VLOOKUP(Tabla4[[#This Row],[Elemento]],Tabla26814[[DETALLE]:[MONTO U$s]],4,FALSE),"")</f>
        <v/>
      </c>
      <c r="M42" s="33" t="str">
        <f>IFERROR(VLOOKUP(Tabla4[[#This Row],[Elemento]],Tabla26815[[DETALLE]:[MONTO U$s]],4,FALSE),"")</f>
        <v/>
      </c>
      <c r="N42" s="33" t="str">
        <f>IFERROR(VLOOKUP(Tabla4[[#This Row],[Elemento]],Tabla26816[[DETALLE]:[MONTO U$s]],4,FALSE),"")</f>
        <v/>
      </c>
      <c r="O42" s="33">
        <f>IF(SUM(Tabla4[[#This Row],[Ene]:[Dic]])="","",SUM(Tabla4[[#This Row],[Ene]:[Dic]]))</f>
        <v>0</v>
      </c>
    </row>
    <row r="43" spans="2:15" ht="30" customHeight="1">
      <c r="B43" s="18" t="s">
        <v>39</v>
      </c>
      <c r="C43" s="33">
        <f>IFERROR(VLOOKUP(Tabla4[[#This Row],[Elemento]],Tabla2[[DETALLE]:[MONTO U$s]],4,FALSE),"")</f>
        <v>341.90620272314675</v>
      </c>
      <c r="D43" s="33">
        <f>IFERROR(VLOOKUP(Tabla4[[#This Row],[Elemento]],Tabla24[[DETALLE]:[MONTO U$s]],4,FALSE),"")</f>
        <v>54.016501650165019</v>
      </c>
      <c r="E43" s="33">
        <f>IFERROR(VLOOKUP(Tabla4[[#This Row],[Elemento]],Tabla26[[DETALLE]:[MONTO U$s]],4,FALSE),"")</f>
        <v>65.599198396793582</v>
      </c>
      <c r="F43" s="33">
        <f>IFERROR(VLOOKUP(Tabla4[[#This Row],[Elemento]],Tabla268[[DETALLE]:[MONTO U$s]],4,FALSE),"")</f>
        <v>341.90620272314675</v>
      </c>
      <c r="G43" s="33">
        <f>IFERROR(VLOOKUP(Tabla4[[#This Row],[Elemento]],Tabla2689[[DETALLE]:[MONTO U$s]],4,FALSE),"")</f>
        <v>341.90620272314675</v>
      </c>
      <c r="H43" s="33">
        <f>IFERROR(VLOOKUP(Tabla4[[#This Row],[Elemento]],Tabla26810[[DETALLE]:[MONTO U$s]],4,FALSE),"")</f>
        <v>341.90620272314675</v>
      </c>
      <c r="I43" s="33">
        <f>IFERROR(VLOOKUP(Tabla4[[#This Row],[Elemento]],Tabla26811[[DETALLE]:[MONTO U$s]],4,FALSE),"")</f>
        <v>341.90620272314675</v>
      </c>
      <c r="J43" s="33">
        <f>IFERROR(VLOOKUP(Tabla4[[#This Row],[Elemento]],Tabla26812[[DETALLE]:[MONTO U$s]],4,FALSE),"")</f>
        <v>341.90620272314675</v>
      </c>
      <c r="K43" s="33">
        <f>IFERROR(VLOOKUP(Tabla4[[#This Row],[Elemento]],Tabla26813[[DETALLE]:[MONTO U$s]],4,FALSE),"")</f>
        <v>341.90620272314675</v>
      </c>
      <c r="L43" s="33">
        <f>IFERROR(VLOOKUP(Tabla4[[#This Row],[Elemento]],Tabla26814[[DETALLE]:[MONTO U$s]],4,FALSE),"")</f>
        <v>341.90620272314675</v>
      </c>
      <c r="M43" s="33">
        <f>IFERROR(VLOOKUP(Tabla4[[#This Row],[Elemento]],Tabla26815[[DETALLE]:[MONTO U$s]],4,FALSE),"")</f>
        <v>582654.81211041857</v>
      </c>
      <c r="N43" s="33">
        <f>IFERROR(VLOOKUP(Tabla4[[#This Row],[Elemento]],Tabla26816[[DETALLE]:[MONTO U$s]],4,FALSE),"")</f>
        <v>65.628886659979941</v>
      </c>
      <c r="O43" s="33">
        <f>IF(SUM(Tabla4[[#This Row],[Ene]:[Dic]])="","",SUM(Tabla4[[#This Row],[Ene]:[Dic]]))</f>
        <v>585575.30631891068</v>
      </c>
    </row>
    <row r="44" spans="2:15" ht="30" customHeight="1">
      <c r="B44" s="18" t="s">
        <v>40</v>
      </c>
      <c r="C44" s="33" t="str">
        <f>IFERROR(VLOOKUP(Tabla4[[#This Row],[Elemento]],Tabla2[[DETALLE]:[MONTO U$s]],4,FALSE),"")</f>
        <v/>
      </c>
      <c r="D44" s="33" t="str">
        <f>IFERROR(VLOOKUP(Tabla4[[#This Row],[Elemento]],Tabla24[[DETALLE]:[MONTO U$s]],4,FALSE),"")</f>
        <v/>
      </c>
      <c r="E44" s="33" t="str">
        <f>IFERROR(VLOOKUP(Tabla4[[#This Row],[Elemento]],Tabla26[[DETALLE]:[MONTO U$s]],4,FALSE),"")</f>
        <v/>
      </c>
      <c r="F44" s="33" t="str">
        <f>IFERROR(VLOOKUP(Tabla4[[#This Row],[Elemento]],Tabla268[[DETALLE]:[MONTO U$s]],4,FALSE),"")</f>
        <v/>
      </c>
      <c r="G44" s="33" t="str">
        <f>IFERROR(VLOOKUP(Tabla4[[#This Row],[Elemento]],Tabla2689[[DETALLE]:[MONTO U$s]],4,FALSE),"")</f>
        <v/>
      </c>
      <c r="H44" s="33" t="str">
        <f>IFERROR(VLOOKUP(Tabla4[[#This Row],[Elemento]],Tabla26810[[DETALLE]:[MONTO U$s]],4,FALSE),"")</f>
        <v/>
      </c>
      <c r="I44" s="33" t="str">
        <f>IFERROR(VLOOKUP(Tabla4[[#This Row],[Elemento]],Tabla26811[[DETALLE]:[MONTO U$s]],4,FALSE),"")</f>
        <v/>
      </c>
      <c r="J44" s="33" t="str">
        <f>IFERROR(VLOOKUP(Tabla4[[#This Row],[Elemento]],Tabla26812[[DETALLE]:[MONTO U$s]],4,FALSE),"")</f>
        <v/>
      </c>
      <c r="K44" s="33" t="str">
        <f>IFERROR(VLOOKUP(Tabla4[[#This Row],[Elemento]],Tabla26813[[DETALLE]:[MONTO U$s]],4,FALSE),"")</f>
        <v/>
      </c>
      <c r="L44" s="33" t="str">
        <f>IFERROR(VLOOKUP(Tabla4[[#This Row],[Elemento]],Tabla26814[[DETALLE]:[MONTO U$s]],4,FALSE),"")</f>
        <v/>
      </c>
      <c r="M44" s="33" t="str">
        <f>IFERROR(VLOOKUP(Tabla4[[#This Row],[Elemento]],Tabla26815[[DETALLE]:[MONTO U$s]],4,FALSE),"")</f>
        <v/>
      </c>
      <c r="N44" s="33" t="str">
        <f>IFERROR(VLOOKUP(Tabla4[[#This Row],[Elemento]],Tabla26816[[DETALLE]:[MONTO U$s]],4,FALSE),"")</f>
        <v/>
      </c>
      <c r="O44" s="33">
        <f>IF(SUM(Tabla4[[#This Row],[Ene]:[Dic]])="","",SUM(Tabla4[[#This Row],[Ene]:[Dic]]))</f>
        <v>0</v>
      </c>
    </row>
    <row r="45" spans="2:15" ht="30" customHeight="1">
      <c r="B45" s="18" t="s">
        <v>41</v>
      </c>
      <c r="C45" s="33" t="str">
        <f>IFERROR(VLOOKUP(Tabla4[[#This Row],[Elemento]],Tabla2[[DETALLE]:[MONTO U$s]],4,FALSE),"")</f>
        <v/>
      </c>
      <c r="D45" s="33" t="str">
        <f>IFERROR(VLOOKUP(Tabla4[[#This Row],[Elemento]],Tabla24[[DETALLE]:[MONTO U$s]],4,FALSE),"")</f>
        <v/>
      </c>
      <c r="E45" s="33" t="str">
        <f>IFERROR(VLOOKUP(Tabla4[[#This Row],[Elemento]],Tabla26[[DETALLE]:[MONTO U$s]],4,FALSE),"")</f>
        <v/>
      </c>
      <c r="F45" s="33" t="str">
        <f>IFERROR(VLOOKUP(Tabla4[[#This Row],[Elemento]],Tabla268[[DETALLE]:[MONTO U$s]],4,FALSE),"")</f>
        <v/>
      </c>
      <c r="G45" s="33" t="str">
        <f>IFERROR(VLOOKUP(Tabla4[[#This Row],[Elemento]],Tabla2689[[DETALLE]:[MONTO U$s]],4,FALSE),"")</f>
        <v/>
      </c>
      <c r="H45" s="33" t="str">
        <f>IFERROR(VLOOKUP(Tabla4[[#This Row],[Elemento]],Tabla26810[[DETALLE]:[MONTO U$s]],4,FALSE),"")</f>
        <v/>
      </c>
      <c r="I45" s="33" t="str">
        <f>IFERROR(VLOOKUP(Tabla4[[#This Row],[Elemento]],Tabla26811[[DETALLE]:[MONTO U$s]],4,FALSE),"")</f>
        <v/>
      </c>
      <c r="J45" s="33" t="str">
        <f>IFERROR(VLOOKUP(Tabla4[[#This Row],[Elemento]],Tabla26812[[DETALLE]:[MONTO U$s]],4,FALSE),"")</f>
        <v/>
      </c>
      <c r="K45" s="33" t="str">
        <f>IFERROR(VLOOKUP(Tabla4[[#This Row],[Elemento]],Tabla26813[[DETALLE]:[MONTO U$s]],4,FALSE),"")</f>
        <v/>
      </c>
      <c r="L45" s="33" t="str">
        <f>IFERROR(VLOOKUP(Tabla4[[#This Row],[Elemento]],Tabla26814[[DETALLE]:[MONTO U$s]],4,FALSE),"")</f>
        <v/>
      </c>
      <c r="M45" s="33" t="str">
        <f>IFERROR(VLOOKUP(Tabla4[[#This Row],[Elemento]],Tabla26815[[DETALLE]:[MONTO U$s]],4,FALSE),"")</f>
        <v/>
      </c>
      <c r="N45" s="33" t="str">
        <f>IFERROR(VLOOKUP(Tabla4[[#This Row],[Elemento]],Tabla26816[[DETALLE]:[MONTO U$s]],4,FALSE),"")</f>
        <v/>
      </c>
      <c r="O45" s="33">
        <f>IF(SUM(Tabla4[[#This Row],[Ene]:[Dic]])="","",SUM(Tabla4[[#This Row],[Ene]:[Dic]]))</f>
        <v>0</v>
      </c>
    </row>
    <row r="46" spans="2:15" ht="30" customHeight="1">
      <c r="B46" s="18" t="s">
        <v>42</v>
      </c>
      <c r="C46" s="33" t="str">
        <f>IFERROR(VLOOKUP(Tabla4[[#This Row],[Elemento]],Tabla2[[DETALLE]:[MONTO U$s]],4,FALSE),"")</f>
        <v/>
      </c>
      <c r="D46" s="33" t="str">
        <f>IFERROR(VLOOKUP(Tabla4[[#This Row],[Elemento]],Tabla24[[DETALLE]:[MONTO U$s]],4,FALSE),"")</f>
        <v/>
      </c>
      <c r="E46" s="33" t="str">
        <f>IFERROR(VLOOKUP(Tabla4[[#This Row],[Elemento]],Tabla26[[DETALLE]:[MONTO U$s]],4,FALSE),"")</f>
        <v/>
      </c>
      <c r="F46" s="33" t="str">
        <f>IFERROR(VLOOKUP(Tabla4[[#This Row],[Elemento]],Tabla268[[DETALLE]:[MONTO U$s]],4,FALSE),"")</f>
        <v/>
      </c>
      <c r="G46" s="33" t="str">
        <f>IFERROR(VLOOKUP(Tabla4[[#This Row],[Elemento]],Tabla2689[[DETALLE]:[MONTO U$s]],4,FALSE),"")</f>
        <v/>
      </c>
      <c r="H46" s="33" t="str">
        <f>IFERROR(VLOOKUP(Tabla4[[#This Row],[Elemento]],Tabla26810[[DETALLE]:[MONTO U$s]],4,FALSE),"")</f>
        <v/>
      </c>
      <c r="I46" s="33" t="str">
        <f>IFERROR(VLOOKUP(Tabla4[[#This Row],[Elemento]],Tabla26811[[DETALLE]:[MONTO U$s]],4,FALSE),"")</f>
        <v/>
      </c>
      <c r="J46" s="33" t="str">
        <f>IFERROR(VLOOKUP(Tabla4[[#This Row],[Elemento]],Tabla26812[[DETALLE]:[MONTO U$s]],4,FALSE),"")</f>
        <v/>
      </c>
      <c r="K46" s="33" t="str">
        <f>IFERROR(VLOOKUP(Tabla4[[#This Row],[Elemento]],Tabla26813[[DETALLE]:[MONTO U$s]],4,FALSE),"")</f>
        <v/>
      </c>
      <c r="L46" s="33" t="str">
        <f>IFERROR(VLOOKUP(Tabla4[[#This Row],[Elemento]],Tabla26814[[DETALLE]:[MONTO U$s]],4,FALSE),"")</f>
        <v/>
      </c>
      <c r="M46" s="33" t="str">
        <f>IFERROR(VLOOKUP(Tabla4[[#This Row],[Elemento]],Tabla26815[[DETALLE]:[MONTO U$s]],4,FALSE),"")</f>
        <v/>
      </c>
      <c r="N46" s="33" t="str">
        <f>IFERROR(VLOOKUP(Tabla4[[#This Row],[Elemento]],Tabla26816[[DETALLE]:[MONTO U$s]],4,FALSE),"")</f>
        <v/>
      </c>
      <c r="O46" s="33">
        <f>IF(SUM(Tabla4[[#This Row],[Ene]:[Dic]])="","",SUM(Tabla4[[#This Row],[Ene]:[Dic]]))</f>
        <v>0</v>
      </c>
    </row>
    <row r="47" spans="2:15" ht="30" customHeight="1">
      <c r="B47" s="18" t="s">
        <v>43</v>
      </c>
      <c r="C47" s="33" t="str">
        <f>IFERROR(VLOOKUP(Tabla4[[#This Row],[Elemento]],Tabla2[[DETALLE]:[MONTO U$s]],4,FALSE),"")</f>
        <v/>
      </c>
      <c r="D47" s="33" t="str">
        <f>IFERROR(VLOOKUP(Tabla4[[#This Row],[Elemento]],Tabla24[[DETALLE]:[MONTO U$s]],4,FALSE),"")</f>
        <v/>
      </c>
      <c r="E47" s="33" t="str">
        <f>IFERROR(VLOOKUP(Tabla4[[#This Row],[Elemento]],Tabla26[[DETALLE]:[MONTO U$s]],4,FALSE),"")</f>
        <v/>
      </c>
      <c r="F47" s="33" t="str">
        <f>IFERROR(VLOOKUP(Tabla4[[#This Row],[Elemento]],Tabla268[[DETALLE]:[MONTO U$s]],4,FALSE),"")</f>
        <v/>
      </c>
      <c r="G47" s="33" t="str">
        <f>IFERROR(VLOOKUP(Tabla4[[#This Row],[Elemento]],Tabla2689[[DETALLE]:[MONTO U$s]],4,FALSE),"")</f>
        <v/>
      </c>
      <c r="H47" s="33" t="str">
        <f>IFERROR(VLOOKUP(Tabla4[[#This Row],[Elemento]],Tabla26810[[DETALLE]:[MONTO U$s]],4,FALSE),"")</f>
        <v/>
      </c>
      <c r="I47" s="33" t="str">
        <f>IFERROR(VLOOKUP(Tabla4[[#This Row],[Elemento]],Tabla26811[[DETALLE]:[MONTO U$s]],4,FALSE),"")</f>
        <v/>
      </c>
      <c r="J47" s="33" t="str">
        <f>IFERROR(VLOOKUP(Tabla4[[#This Row],[Elemento]],Tabla26812[[DETALLE]:[MONTO U$s]],4,FALSE),"")</f>
        <v/>
      </c>
      <c r="K47" s="33" t="str">
        <f>IFERROR(VLOOKUP(Tabla4[[#This Row],[Elemento]],Tabla26813[[DETALLE]:[MONTO U$s]],4,FALSE),"")</f>
        <v/>
      </c>
      <c r="L47" s="33" t="str">
        <f>IFERROR(VLOOKUP(Tabla4[[#This Row],[Elemento]],Tabla26814[[DETALLE]:[MONTO U$s]],4,FALSE),"")</f>
        <v/>
      </c>
      <c r="M47" s="33" t="str">
        <f>IFERROR(VLOOKUP(Tabla4[[#This Row],[Elemento]],Tabla26815[[DETALLE]:[MONTO U$s]],4,FALSE),"")</f>
        <v/>
      </c>
      <c r="N47" s="33" t="str">
        <f>IFERROR(VLOOKUP(Tabla4[[#This Row],[Elemento]],Tabla26816[[DETALLE]:[MONTO U$s]],4,FALSE),"")</f>
        <v/>
      </c>
      <c r="O47" s="33">
        <f>IF(SUM(Tabla4[[#This Row],[Ene]:[Dic]])="","",SUM(Tabla4[[#This Row],[Ene]:[Dic]]))</f>
        <v>0</v>
      </c>
    </row>
    <row r="48" spans="2:15" ht="30" customHeight="1">
      <c r="B48" s="18" t="s">
        <v>31</v>
      </c>
      <c r="C48" s="33" t="str">
        <f>IFERROR(VLOOKUP(Tabla4[[#This Row],[Elemento]],Tabla2[[DETALLE]:[MONTO U$s]],4,FALSE),"")</f>
        <v/>
      </c>
      <c r="D48" s="33" t="str">
        <f>IFERROR(VLOOKUP(Tabla4[[#This Row],[Elemento]],Tabla24[[DETALLE]:[MONTO U$s]],4,FALSE),"")</f>
        <v/>
      </c>
      <c r="E48" s="33" t="str">
        <f>IFERROR(VLOOKUP(Tabla4[[#This Row],[Elemento]],Tabla26[[DETALLE]:[MONTO U$s]],4,FALSE),"")</f>
        <v/>
      </c>
      <c r="F48" s="33" t="str">
        <f>IFERROR(VLOOKUP(Tabla4[[#This Row],[Elemento]],Tabla268[[DETALLE]:[MONTO U$s]],4,FALSE),"")</f>
        <v/>
      </c>
      <c r="G48" s="33" t="str">
        <f>IFERROR(VLOOKUP(Tabla4[[#This Row],[Elemento]],Tabla2689[[DETALLE]:[MONTO U$s]],4,FALSE),"")</f>
        <v/>
      </c>
      <c r="H48" s="33" t="str">
        <f>IFERROR(VLOOKUP(Tabla4[[#This Row],[Elemento]],Tabla26810[[DETALLE]:[MONTO U$s]],4,FALSE),"")</f>
        <v/>
      </c>
      <c r="I48" s="33" t="str">
        <f>IFERROR(VLOOKUP(Tabla4[[#This Row],[Elemento]],Tabla26811[[DETALLE]:[MONTO U$s]],4,FALSE),"")</f>
        <v/>
      </c>
      <c r="J48" s="33" t="str">
        <f>IFERROR(VLOOKUP(Tabla4[[#This Row],[Elemento]],Tabla26812[[DETALLE]:[MONTO U$s]],4,FALSE),"")</f>
        <v/>
      </c>
      <c r="K48" s="33" t="str">
        <f>IFERROR(VLOOKUP(Tabla4[[#This Row],[Elemento]],Tabla26813[[DETALLE]:[MONTO U$s]],4,FALSE),"")</f>
        <v/>
      </c>
      <c r="L48" s="33" t="str">
        <f>IFERROR(VLOOKUP(Tabla4[[#This Row],[Elemento]],Tabla26814[[DETALLE]:[MONTO U$s]],4,FALSE),"")</f>
        <v/>
      </c>
      <c r="M48" s="33" t="str">
        <f>IFERROR(VLOOKUP(Tabla4[[#This Row],[Elemento]],Tabla26815[[DETALLE]:[MONTO U$s]],4,FALSE),"")</f>
        <v/>
      </c>
      <c r="N48" s="33" t="str">
        <f>IFERROR(VLOOKUP(Tabla4[[#This Row],[Elemento]],Tabla26816[[DETALLE]:[MONTO U$s]],4,FALSE),"")</f>
        <v/>
      </c>
      <c r="O48" s="33">
        <f>IF(SUM(Tabla4[[#This Row],[Ene]:[Dic]])="","",SUM(Tabla4[[#This Row],[Ene]:[Dic]]))</f>
        <v>0</v>
      </c>
    </row>
    <row r="49" spans="2:15" ht="30" customHeight="1">
      <c r="B49" s="18"/>
      <c r="C49" s="33" t="str">
        <f>IFERROR(VLOOKUP(Tabla4[[#This Row],[Elemento]],Tabla2[[DETALLE]:[MONTO U$s]],4,FALSE),"")</f>
        <v/>
      </c>
      <c r="D49" s="33" t="str">
        <f>IFERROR(VLOOKUP(Tabla4[[#This Row],[Elemento]],Tabla24[[DETALLE]:[MONTO U$s]],4,FALSE),"")</f>
        <v/>
      </c>
      <c r="E49" s="33" t="str">
        <f>IFERROR(VLOOKUP(Tabla4[[#This Row],[Elemento]],Tabla26[[DETALLE]:[MONTO U$s]],4,FALSE),"")</f>
        <v/>
      </c>
      <c r="F49" s="33" t="str">
        <f>IFERROR(VLOOKUP(Tabla4[[#This Row],[Elemento]],Tabla268[[DETALLE]:[MONTO U$s]],4,FALSE),"")</f>
        <v/>
      </c>
      <c r="G49" s="33" t="str">
        <f>IFERROR(VLOOKUP(Tabla4[[#This Row],[Elemento]],Tabla2689[[DETALLE]:[MONTO U$s]],4,FALSE),"")</f>
        <v/>
      </c>
      <c r="H49" s="33" t="str">
        <f>IFERROR(VLOOKUP(Tabla4[[#This Row],[Elemento]],Tabla26810[[DETALLE]:[MONTO U$s]],4,FALSE),"")</f>
        <v/>
      </c>
      <c r="I49" s="33" t="str">
        <f>IFERROR(VLOOKUP(Tabla4[[#This Row],[Elemento]],Tabla26811[[DETALLE]:[MONTO U$s]],4,FALSE),"")</f>
        <v/>
      </c>
      <c r="J49" s="33" t="str">
        <f>IFERROR(VLOOKUP(Tabla4[[#This Row],[Elemento]],Tabla26812[[DETALLE]:[MONTO U$s]],4,FALSE),"")</f>
        <v/>
      </c>
      <c r="K49" s="33" t="str">
        <f>IFERROR(VLOOKUP(Tabla4[[#This Row],[Elemento]],Tabla26813[[DETALLE]:[MONTO U$s]],4,FALSE),"")</f>
        <v/>
      </c>
      <c r="L49" s="33" t="str">
        <f>IFERROR(VLOOKUP(Tabla4[[#This Row],[Elemento]],Tabla26814[[DETALLE]:[MONTO U$s]],4,FALSE),"")</f>
        <v/>
      </c>
      <c r="M49" s="33" t="str">
        <f>IFERROR(VLOOKUP(Tabla4[[#This Row],[Elemento]],Tabla26815[[DETALLE]:[MONTO U$s]],4,FALSE),"")</f>
        <v/>
      </c>
      <c r="N49" s="33" t="str">
        <f>IFERROR(VLOOKUP(Tabla4[[#This Row],[Elemento]],Tabla26816[[DETALLE]:[MONTO U$s]],4,FALSE),"")</f>
        <v/>
      </c>
      <c r="O49" s="33">
        <f>IF(SUM(Tabla4[[#This Row],[Ene]:[Dic]])="","",SUM(Tabla4[[#This Row],[Ene]:[Dic]]))</f>
        <v>0</v>
      </c>
    </row>
    <row r="50" spans="2:15" ht="30" customHeight="1" thickBot="1">
      <c r="B50" s="35" t="s">
        <v>24</v>
      </c>
      <c r="C50" s="36">
        <f>SUBTOTAL(109,C34:C49)</f>
        <v>1511.1597260651079</v>
      </c>
      <c r="D50" s="36">
        <f t="shared" ref="D50:N50" si="0">SUBTOTAL(109,D34:D49)</f>
        <v>90.825218214033725</v>
      </c>
      <c r="E50" s="36">
        <f t="shared" si="0"/>
        <v>102.4079149606623</v>
      </c>
      <c r="F50" s="36">
        <f t="shared" si="0"/>
        <v>762.12768945183552</v>
      </c>
      <c r="G50" s="36">
        <f t="shared" si="0"/>
        <v>762.12768945183552</v>
      </c>
      <c r="H50" s="36">
        <f t="shared" si="0"/>
        <v>762.12768945183552</v>
      </c>
      <c r="I50" s="36">
        <f t="shared" si="0"/>
        <v>762.12768945183552</v>
      </c>
      <c r="J50" s="36">
        <f t="shared" si="0"/>
        <v>762.12768945183552</v>
      </c>
      <c r="K50" s="36">
        <f t="shared" si="0"/>
        <v>762.12768945183552</v>
      </c>
      <c r="L50" s="36">
        <f t="shared" si="0"/>
        <v>2852.2619022786826</v>
      </c>
      <c r="M50" s="36">
        <f t="shared" si="0"/>
        <v>2330619.2484416743</v>
      </c>
      <c r="N50" s="36">
        <f t="shared" si="0"/>
        <v>7077435.4328725999</v>
      </c>
      <c r="O50" s="37">
        <f>IF(SUM(Tabla4[[#This Row],[Ene]:[Dic]])="","",SUM(Tabla4[[#This Row],[Ene]:[Dic]]))</f>
        <v>9417184.1022125036</v>
      </c>
    </row>
    <row r="51" spans="2:15" ht="30" customHeight="1"/>
    <row r="52" spans="2:15" ht="30" customHeight="1"/>
    <row r="53" spans="2:15" ht="30" customHeight="1"/>
    <row r="54" spans="2:15" ht="30" customHeight="1"/>
    <row r="55" spans="2:15" ht="30" customHeight="1"/>
    <row r="56" spans="2:15" ht="30" customHeight="1"/>
    <row r="57" spans="2:15" ht="30" customHeight="1"/>
    <row r="58" spans="2:15" ht="30" customHeight="1"/>
  </sheetData>
  <dataValidations count="10">
    <dataValidation allowBlank="1" showInputMessage="1" showErrorMessage="1" prompt="El total de ingresos mensuales y el total de gastos mensuales se actualizan automáticamente en las celdas siguientes" sqref="C4"/>
    <dataValidation allowBlank="1" showInputMessage="1" showErrorMessage="1" prompt="El valor de Total de gastos mensuales se actualiza automáticamente en la celda de la derecha." sqref="B5"/>
    <dataValidation allowBlank="1" showInputMessage="1" showErrorMessage="1" prompt="El valor de Total de gastos mensuales se actualiza automáticamente en esta celda." sqref="C5"/>
    <dataValidation allowBlank="1" showInputMessage="1" showErrorMessage="1" prompt="El importe de Saldo se calcula automáticamente en la celda de la derecha." sqref="B7"/>
    <dataValidation allowBlank="1" showInputMessage="1" showErrorMessage="1" prompt="El importe de Saldo se calcula automáticamente en esta celda." sqref="C7"/>
    <dataValidation allowBlank="1" showInputMessage="1" showErrorMessage="1" prompt="Escriba el importe en esta columna con este título" sqref="C13 C33"/>
    <dataValidation allowBlank="1" showInputMessage="1" showErrorMessage="1" prompt="Escriba los elementos de gastos mensuales en la columna con este encabezado" sqref="B13 B33"/>
    <dataValidation allowBlank="1" showInputMessage="1" showErrorMessage="1" prompt="El título de esta hoja de cálculo se encuentra en esta celda. Escriba los ingresos mensuales en la tabla Ingresos y los gastos mensuales en la tabla Gastos" sqref="B2"/>
    <dataValidation allowBlank="1" showInputMessage="1" showErrorMessage="1" prompt="El porcentaje de ingresos gastados se calcula automáticamente en la celda a la derecha" sqref="B9"/>
    <dataValidation allowBlank="1" showInputMessage="1" showErrorMessage="1" prompt="El porcentaje de ingresos gastados se calcula automáticamente en esta celda" sqref="C9"/>
  </dataValidations>
  <pageMargins left="0.7" right="0.7" top="0.75" bottom="0.75" header="0.3" footer="0.3"/>
  <pageSetup paperSize="9" scale="54" fitToHeight="2" orientation="landscape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E31"/>
  <sheetViews>
    <sheetView workbookViewId="0">
      <selection activeCell="A2" sqref="A2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29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45662</v>
      </c>
      <c r="B4" s="28" t="s">
        <v>30</v>
      </c>
      <c r="C4" s="25">
        <v>50000</v>
      </c>
      <c r="D4" s="25">
        <v>1123</v>
      </c>
      <c r="E4" s="26">
        <f>IF(Tabla26812[[#This Row],[COTIZ U$s]]="","",Tabla26812[[#This Row],[MONTO $AR]]/Tabla26812[[#This Row],[COTIZ U$s]])</f>
        <v>44.523597506678541</v>
      </c>
    </row>
    <row r="5" spans="1:5">
      <c r="A5" s="27"/>
      <c r="B5" s="28" t="s">
        <v>35</v>
      </c>
      <c r="C5" s="25">
        <v>452000</v>
      </c>
      <c r="D5" s="25">
        <v>1350</v>
      </c>
      <c r="E5" s="26">
        <f>IF(Tabla26812[[#This Row],[COTIZ U$s]]="","",Tabla26812[[#This Row],[MONTO $AR]]/Tabla26812[[#This Row],[COTIZ U$s]])</f>
        <v>334.81481481481484</v>
      </c>
    </row>
    <row r="6" spans="1:5">
      <c r="A6" s="27"/>
      <c r="B6" s="28" t="s">
        <v>36</v>
      </c>
      <c r="C6" s="25">
        <v>50000</v>
      </c>
      <c r="D6" s="25">
        <v>1223</v>
      </c>
      <c r="E6" s="26">
        <f>IF(Tabla26812[[#This Row],[COTIZ U$s]]="","",Tabla26812[[#This Row],[MONTO $AR]]/Tabla26812[[#This Row],[COTIZ U$s]])</f>
        <v>40.883074407195423</v>
      </c>
    </row>
    <row r="7" spans="1:5">
      <c r="A7" s="27"/>
      <c r="B7" s="28" t="s">
        <v>39</v>
      </c>
      <c r="C7" s="25">
        <v>452000</v>
      </c>
      <c r="D7" s="25">
        <v>1322</v>
      </c>
      <c r="E7" s="26">
        <f>IF(Tabla26812[[#This Row],[COTIZ U$s]]="","",Tabla26812[[#This Row],[MONTO $AR]]/Tabla26812[[#This Row],[COTIZ U$s]])</f>
        <v>341.90620272314675</v>
      </c>
    </row>
    <row r="8" spans="1:5">
      <c r="A8" s="27"/>
      <c r="B8" s="28"/>
      <c r="C8" s="25"/>
      <c r="D8" s="25"/>
      <c r="E8" s="26" t="str">
        <f>IF(Tabla26812[[#This Row],[COTIZ U$s]]="","",Tabla26812[[#This Row],[MONTO $AR]]/Tabla26812[[#This Row],[COTIZ U$s]])</f>
        <v/>
      </c>
    </row>
    <row r="9" spans="1:5">
      <c r="A9" s="27"/>
      <c r="B9" s="28"/>
      <c r="C9" s="25"/>
      <c r="D9" s="25"/>
      <c r="E9" s="26" t="str">
        <f>IF(Tabla26812[[#This Row],[COTIZ U$s]]="","",Tabla26812[[#This Row],[MONTO $AR]]/Tabla26812[[#This Row],[COTIZ U$s]])</f>
        <v/>
      </c>
    </row>
    <row r="10" spans="1:5">
      <c r="A10" s="27"/>
      <c r="B10" s="28"/>
      <c r="C10" s="25"/>
      <c r="D10" s="25"/>
      <c r="E10" s="26" t="str">
        <f>IF(Tabla26812[[#This Row],[COTIZ U$s]]="","",Tabla26812[[#This Row],[MONTO $AR]]/Tabla26812[[#This Row],[COTIZ U$s]])</f>
        <v/>
      </c>
    </row>
    <row r="11" spans="1:5">
      <c r="A11" s="27"/>
      <c r="B11" s="28"/>
      <c r="C11" s="25"/>
      <c r="D11" s="25"/>
      <c r="E11" s="26" t="str">
        <f>IF(Tabla26812[[#This Row],[COTIZ U$s]]="","",Tabla26812[[#This Row],[MONTO $AR]]/Tabla26812[[#This Row],[COTIZ U$s]])</f>
        <v/>
      </c>
    </row>
    <row r="12" spans="1:5">
      <c r="A12" s="27"/>
      <c r="B12" s="28"/>
      <c r="C12" s="25"/>
      <c r="D12" s="25"/>
      <c r="E12" s="26" t="str">
        <f>IF(Tabla26812[[#This Row],[COTIZ U$s]]="","",Tabla26812[[#This Row],[MONTO $AR]]/Tabla26812[[#This Row],[COTIZ U$s]])</f>
        <v/>
      </c>
    </row>
    <row r="13" spans="1:5">
      <c r="A13" s="27"/>
      <c r="B13" s="28"/>
      <c r="C13" s="25"/>
      <c r="D13" s="25"/>
      <c r="E13" s="26" t="str">
        <f>IF(Tabla26812[[#This Row],[COTIZ U$s]]="","",Tabla26812[[#This Row],[MONTO $AR]]/Tabla26812[[#This Row],[COTIZ U$s]])</f>
        <v/>
      </c>
    </row>
    <row r="14" spans="1:5">
      <c r="A14" s="27"/>
      <c r="B14" s="28"/>
      <c r="C14" s="25"/>
      <c r="D14" s="25"/>
      <c r="E14" s="26" t="str">
        <f>IF(Tabla26812[[#This Row],[COTIZ U$s]]="","",Tabla26812[[#This Row],[MONTO $AR]]/Tabla26812[[#This Row],[COTIZ U$s]])</f>
        <v/>
      </c>
    </row>
    <row r="15" spans="1:5">
      <c r="A15" s="27"/>
      <c r="B15" s="28"/>
      <c r="C15" s="25"/>
      <c r="D15" s="25"/>
      <c r="E15" s="26" t="str">
        <f>IF(Tabla26812[[#This Row],[COTIZ U$s]]="","",Tabla26812[[#This Row],[MONTO $AR]]/Tabla26812[[#This Row],[COTIZ U$s]])</f>
        <v/>
      </c>
    </row>
    <row r="16" spans="1:5">
      <c r="A16" s="27"/>
      <c r="B16" s="28"/>
      <c r="C16" s="25"/>
      <c r="D16" s="25"/>
      <c r="E16" s="26" t="str">
        <f>IF(Tabla26812[[#This Row],[COTIZ U$s]]="","",Tabla26812[[#This Row],[MONTO $AR]]/Tabla26812[[#This Row],[COTIZ U$s]])</f>
        <v/>
      </c>
    </row>
    <row r="17" spans="1:5">
      <c r="A17" s="27"/>
      <c r="B17" s="28"/>
      <c r="C17" s="25"/>
      <c r="D17" s="25"/>
      <c r="E17" s="26" t="str">
        <f>IF(Tabla26812[[#This Row],[COTIZ U$s]]="","",Tabla26812[[#This Row],[MONTO $AR]]/Tabla26812[[#This Row],[COTIZ U$s]])</f>
        <v/>
      </c>
    </row>
    <row r="18" spans="1:5">
      <c r="A18" s="27"/>
      <c r="B18" s="28"/>
      <c r="C18" s="25"/>
      <c r="D18" s="25"/>
      <c r="E18" s="26" t="str">
        <f>IF(Tabla26812[[#This Row],[COTIZ U$s]]="","",Tabla26812[[#This Row],[MONTO $AR]]/Tabla26812[[#This Row],[COTIZ U$s]])</f>
        <v/>
      </c>
    </row>
    <row r="19" spans="1:5">
      <c r="A19" s="27"/>
      <c r="B19" s="28"/>
      <c r="C19" s="25"/>
      <c r="D19" s="25"/>
      <c r="E19" s="26" t="str">
        <f>IF(Tabla26812[[#This Row],[COTIZ U$s]]="","",Tabla26812[[#This Row],[MONTO $AR]]/Tabla26812[[#This Row],[COTIZ U$s]])</f>
        <v/>
      </c>
    </row>
    <row r="20" spans="1:5">
      <c r="A20" s="27"/>
      <c r="B20" s="28"/>
      <c r="C20" s="25"/>
      <c r="D20" s="25"/>
      <c r="E20" s="26" t="str">
        <f>IF(Tabla26812[[#This Row],[COTIZ U$s]]="","",Tabla26812[[#This Row],[MONTO $AR]]/Tabla26812[[#This Row],[COTIZ U$s]])</f>
        <v/>
      </c>
    </row>
    <row r="21" spans="1:5">
      <c r="A21" s="27"/>
      <c r="B21" s="28"/>
      <c r="C21" s="25"/>
      <c r="D21" s="25"/>
      <c r="E21" s="26" t="str">
        <f>IF(Tabla26812[[#This Row],[COTIZ U$s]]="","",Tabla26812[[#This Row],[MONTO $AR]]/Tabla26812[[#This Row],[COTIZ U$s]])</f>
        <v/>
      </c>
    </row>
    <row r="22" spans="1:5">
      <c r="A22" s="27"/>
      <c r="B22" s="28"/>
      <c r="C22" s="25"/>
      <c r="D22" s="25"/>
      <c r="E22" s="26" t="str">
        <f>IF(Tabla26812[[#This Row],[COTIZ U$s]]="","",Tabla26812[[#This Row],[MONTO $AR]]/Tabla26812[[#This Row],[COTIZ U$s]])</f>
        <v/>
      </c>
    </row>
    <row r="23" spans="1:5">
      <c r="A23" s="27"/>
      <c r="B23" s="28"/>
      <c r="C23" s="25"/>
      <c r="D23" s="25"/>
      <c r="E23" s="26" t="str">
        <f>IF(Tabla26812[[#This Row],[COTIZ U$s]]="","",Tabla26812[[#This Row],[MONTO $AR]]/Tabla26812[[#This Row],[COTIZ U$s]])</f>
        <v/>
      </c>
    </row>
    <row r="24" spans="1:5">
      <c r="A24" s="27"/>
      <c r="B24" s="28"/>
      <c r="C24" s="25"/>
      <c r="D24" s="25"/>
      <c r="E24" s="26" t="str">
        <f>IF(Tabla26812[[#This Row],[COTIZ U$s]]="","",Tabla26812[[#This Row],[MONTO $AR]]/Tabla26812[[#This Row],[COTIZ U$s]])</f>
        <v/>
      </c>
    </row>
    <row r="25" spans="1:5">
      <c r="A25" s="27"/>
      <c r="B25" s="28"/>
      <c r="C25" s="25"/>
      <c r="D25" s="25"/>
      <c r="E25" s="26" t="str">
        <f>IF(Tabla26812[[#This Row],[COTIZ U$s]]="","",Tabla26812[[#This Row],[MONTO $AR]]/Tabla26812[[#This Row],[COTIZ U$s]])</f>
        <v/>
      </c>
    </row>
    <row r="26" spans="1:5">
      <c r="A26" s="27"/>
      <c r="B26" s="28"/>
      <c r="C26" s="25"/>
      <c r="D26" s="25"/>
      <c r="E26" s="26" t="str">
        <f>IF(Tabla26812[[#This Row],[COTIZ U$s]]="","",Tabla26812[[#This Row],[MONTO $AR]]/Tabla26812[[#This Row],[COTIZ U$s]])</f>
        <v/>
      </c>
    </row>
    <row r="27" spans="1:5">
      <c r="A27" s="27"/>
      <c r="B27" s="28"/>
      <c r="C27" s="25"/>
      <c r="D27" s="25"/>
      <c r="E27" s="26" t="str">
        <f>IF(Tabla26812[[#This Row],[COTIZ U$s]]="","",Tabla26812[[#This Row],[MONTO $AR]]/Tabla26812[[#This Row],[COTIZ U$s]])</f>
        <v/>
      </c>
    </row>
    <row r="28" spans="1:5">
      <c r="A28" s="27"/>
      <c r="B28" s="28"/>
      <c r="C28" s="25"/>
      <c r="D28" s="25"/>
      <c r="E28" s="26" t="str">
        <f>IF(Tabla26812[[#This Row],[COTIZ U$s]]="","",Tabla26812[[#This Row],[MONTO $AR]]/Tabla26812[[#This Row],[COTIZ U$s]])</f>
        <v/>
      </c>
    </row>
    <row r="29" spans="1:5">
      <c r="A29" s="27"/>
      <c r="B29" s="28"/>
      <c r="C29" s="25"/>
      <c r="D29" s="25"/>
      <c r="E29" s="26" t="str">
        <f>IF(Tabla26812[[#This Row],[COTIZ U$s]]="","",Tabla26812[[#This Row],[MONTO $AR]]/Tabla26812[[#This Row],[COTIZ U$s]])</f>
        <v/>
      </c>
    </row>
    <row r="30" spans="1:5">
      <c r="A30" s="27"/>
      <c r="B30" s="28"/>
      <c r="C30" s="25"/>
      <c r="D30" s="25"/>
      <c r="E30" s="26" t="str">
        <f>IF(Tabla26812[[#This Row],[COTIZ U$s]]="","",Tabla26812[[#This Row],[MONTO $AR]]/Tabla26812[[#This Row],[COTIZ U$s]])</f>
        <v/>
      </c>
    </row>
    <row r="31" spans="1:5">
      <c r="A31" s="27"/>
      <c r="B31" s="28" t="s">
        <v>23</v>
      </c>
      <c r="C31" s="25">
        <f>SUBTOTAL(109,Tabla26812[MONTO $AR])</f>
        <v>1004000</v>
      </c>
      <c r="D31" s="25"/>
      <c r="E31" s="26">
        <f>SUBTOTAL(109,Tabla26812[MONTO U$s])</f>
        <v>762.12768945183552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E31"/>
  <sheetViews>
    <sheetView workbookViewId="0">
      <selection activeCell="A2" sqref="A2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29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45662</v>
      </c>
      <c r="B4" s="28" t="s">
        <v>30</v>
      </c>
      <c r="C4" s="25">
        <v>50000</v>
      </c>
      <c r="D4" s="25">
        <v>1123</v>
      </c>
      <c r="E4" s="26">
        <f>IF(Tabla26813[[#This Row],[COTIZ U$s]]="","",Tabla26813[[#This Row],[MONTO $AR]]/Tabla26813[[#This Row],[COTIZ U$s]])</f>
        <v>44.523597506678541</v>
      </c>
    </row>
    <row r="5" spans="1:5">
      <c r="A5" s="27"/>
      <c r="B5" s="28" t="s">
        <v>35</v>
      </c>
      <c r="C5" s="25">
        <v>452000</v>
      </c>
      <c r="D5" s="25">
        <v>1350</v>
      </c>
      <c r="E5" s="26">
        <f>IF(Tabla26813[[#This Row],[COTIZ U$s]]="","",Tabla26813[[#This Row],[MONTO $AR]]/Tabla26813[[#This Row],[COTIZ U$s]])</f>
        <v>334.81481481481484</v>
      </c>
    </row>
    <row r="6" spans="1:5">
      <c r="A6" s="27"/>
      <c r="B6" s="28" t="s">
        <v>36</v>
      </c>
      <c r="C6" s="25">
        <v>50000</v>
      </c>
      <c r="D6" s="25">
        <v>1223</v>
      </c>
      <c r="E6" s="26">
        <f>IF(Tabla26813[[#This Row],[COTIZ U$s]]="","",Tabla26813[[#This Row],[MONTO $AR]]/Tabla26813[[#This Row],[COTIZ U$s]])</f>
        <v>40.883074407195423</v>
      </c>
    </row>
    <row r="7" spans="1:5">
      <c r="A7" s="27"/>
      <c r="B7" s="28" t="s">
        <v>39</v>
      </c>
      <c r="C7" s="25">
        <v>452000</v>
      </c>
      <c r="D7" s="25">
        <v>1322</v>
      </c>
      <c r="E7" s="26">
        <f>IF(Tabla26813[[#This Row],[COTIZ U$s]]="","",Tabla26813[[#This Row],[MONTO $AR]]/Tabla26813[[#This Row],[COTIZ U$s]])</f>
        <v>341.90620272314675</v>
      </c>
    </row>
    <row r="8" spans="1:5">
      <c r="A8" s="27"/>
      <c r="B8" s="28"/>
      <c r="C8" s="25"/>
      <c r="D8" s="25"/>
      <c r="E8" s="26" t="str">
        <f>IF(Tabla26813[[#This Row],[COTIZ U$s]]="","",Tabla26813[[#This Row],[MONTO $AR]]/Tabla26813[[#This Row],[COTIZ U$s]])</f>
        <v/>
      </c>
    </row>
    <row r="9" spans="1:5">
      <c r="A9" s="27"/>
      <c r="B9" s="28"/>
      <c r="C9" s="25"/>
      <c r="D9" s="25"/>
      <c r="E9" s="26" t="str">
        <f>IF(Tabla26813[[#This Row],[COTIZ U$s]]="","",Tabla26813[[#This Row],[MONTO $AR]]/Tabla26813[[#This Row],[COTIZ U$s]])</f>
        <v/>
      </c>
    </row>
    <row r="10" spans="1:5">
      <c r="A10" s="27"/>
      <c r="B10" s="28"/>
      <c r="C10" s="25"/>
      <c r="D10" s="25"/>
      <c r="E10" s="26" t="str">
        <f>IF(Tabla26813[[#This Row],[COTIZ U$s]]="","",Tabla26813[[#This Row],[MONTO $AR]]/Tabla26813[[#This Row],[COTIZ U$s]])</f>
        <v/>
      </c>
    </row>
    <row r="11" spans="1:5">
      <c r="A11" s="27"/>
      <c r="B11" s="28"/>
      <c r="C11" s="25"/>
      <c r="D11" s="25"/>
      <c r="E11" s="26" t="str">
        <f>IF(Tabla26813[[#This Row],[COTIZ U$s]]="","",Tabla26813[[#This Row],[MONTO $AR]]/Tabla26813[[#This Row],[COTIZ U$s]])</f>
        <v/>
      </c>
    </row>
    <row r="12" spans="1:5">
      <c r="A12" s="27"/>
      <c r="B12" s="28"/>
      <c r="C12" s="25"/>
      <c r="D12" s="25"/>
      <c r="E12" s="26" t="str">
        <f>IF(Tabla26813[[#This Row],[COTIZ U$s]]="","",Tabla26813[[#This Row],[MONTO $AR]]/Tabla26813[[#This Row],[COTIZ U$s]])</f>
        <v/>
      </c>
    </row>
    <row r="13" spans="1:5">
      <c r="A13" s="27"/>
      <c r="B13" s="28"/>
      <c r="C13" s="25"/>
      <c r="D13" s="25"/>
      <c r="E13" s="26" t="str">
        <f>IF(Tabla26813[[#This Row],[COTIZ U$s]]="","",Tabla26813[[#This Row],[MONTO $AR]]/Tabla26813[[#This Row],[COTIZ U$s]])</f>
        <v/>
      </c>
    </row>
    <row r="14" spans="1:5">
      <c r="A14" s="27"/>
      <c r="B14" s="28"/>
      <c r="C14" s="25"/>
      <c r="D14" s="25"/>
      <c r="E14" s="26" t="str">
        <f>IF(Tabla26813[[#This Row],[COTIZ U$s]]="","",Tabla26813[[#This Row],[MONTO $AR]]/Tabla26813[[#This Row],[COTIZ U$s]])</f>
        <v/>
      </c>
    </row>
    <row r="15" spans="1:5">
      <c r="A15" s="27"/>
      <c r="B15" s="28"/>
      <c r="C15" s="25"/>
      <c r="D15" s="25"/>
      <c r="E15" s="26" t="str">
        <f>IF(Tabla26813[[#This Row],[COTIZ U$s]]="","",Tabla26813[[#This Row],[MONTO $AR]]/Tabla26813[[#This Row],[COTIZ U$s]])</f>
        <v/>
      </c>
    </row>
    <row r="16" spans="1:5">
      <c r="A16" s="27"/>
      <c r="B16" s="28"/>
      <c r="C16" s="25"/>
      <c r="D16" s="25"/>
      <c r="E16" s="26" t="str">
        <f>IF(Tabla26813[[#This Row],[COTIZ U$s]]="","",Tabla26813[[#This Row],[MONTO $AR]]/Tabla26813[[#This Row],[COTIZ U$s]])</f>
        <v/>
      </c>
    </row>
    <row r="17" spans="1:5">
      <c r="A17" s="27"/>
      <c r="B17" s="28"/>
      <c r="C17" s="25"/>
      <c r="D17" s="25"/>
      <c r="E17" s="26" t="str">
        <f>IF(Tabla26813[[#This Row],[COTIZ U$s]]="","",Tabla26813[[#This Row],[MONTO $AR]]/Tabla26813[[#This Row],[COTIZ U$s]])</f>
        <v/>
      </c>
    </row>
    <row r="18" spans="1:5">
      <c r="A18" s="27"/>
      <c r="B18" s="28"/>
      <c r="C18" s="25"/>
      <c r="D18" s="25"/>
      <c r="E18" s="26" t="str">
        <f>IF(Tabla26813[[#This Row],[COTIZ U$s]]="","",Tabla26813[[#This Row],[MONTO $AR]]/Tabla26813[[#This Row],[COTIZ U$s]])</f>
        <v/>
      </c>
    </row>
    <row r="19" spans="1:5">
      <c r="A19" s="27"/>
      <c r="B19" s="28"/>
      <c r="C19" s="25"/>
      <c r="D19" s="25"/>
      <c r="E19" s="26" t="str">
        <f>IF(Tabla26813[[#This Row],[COTIZ U$s]]="","",Tabla26813[[#This Row],[MONTO $AR]]/Tabla26813[[#This Row],[COTIZ U$s]])</f>
        <v/>
      </c>
    </row>
    <row r="20" spans="1:5">
      <c r="A20" s="27"/>
      <c r="B20" s="28"/>
      <c r="C20" s="25"/>
      <c r="D20" s="25"/>
      <c r="E20" s="26" t="str">
        <f>IF(Tabla26813[[#This Row],[COTIZ U$s]]="","",Tabla26813[[#This Row],[MONTO $AR]]/Tabla26813[[#This Row],[COTIZ U$s]])</f>
        <v/>
      </c>
    </row>
    <row r="21" spans="1:5">
      <c r="A21" s="27"/>
      <c r="B21" s="28"/>
      <c r="C21" s="25"/>
      <c r="D21" s="25"/>
      <c r="E21" s="26" t="str">
        <f>IF(Tabla26813[[#This Row],[COTIZ U$s]]="","",Tabla26813[[#This Row],[MONTO $AR]]/Tabla26813[[#This Row],[COTIZ U$s]])</f>
        <v/>
      </c>
    </row>
    <row r="22" spans="1:5">
      <c r="A22" s="27"/>
      <c r="B22" s="28"/>
      <c r="C22" s="25"/>
      <c r="D22" s="25"/>
      <c r="E22" s="26" t="str">
        <f>IF(Tabla26813[[#This Row],[COTIZ U$s]]="","",Tabla26813[[#This Row],[MONTO $AR]]/Tabla26813[[#This Row],[COTIZ U$s]])</f>
        <v/>
      </c>
    </row>
    <row r="23" spans="1:5">
      <c r="A23" s="27"/>
      <c r="B23" s="28"/>
      <c r="C23" s="25"/>
      <c r="D23" s="25"/>
      <c r="E23" s="26" t="str">
        <f>IF(Tabla26813[[#This Row],[COTIZ U$s]]="","",Tabla26813[[#This Row],[MONTO $AR]]/Tabla26813[[#This Row],[COTIZ U$s]])</f>
        <v/>
      </c>
    </row>
    <row r="24" spans="1:5">
      <c r="A24" s="27"/>
      <c r="B24" s="28"/>
      <c r="C24" s="25"/>
      <c r="D24" s="25"/>
      <c r="E24" s="26" t="str">
        <f>IF(Tabla26813[[#This Row],[COTIZ U$s]]="","",Tabla26813[[#This Row],[MONTO $AR]]/Tabla26813[[#This Row],[COTIZ U$s]])</f>
        <v/>
      </c>
    </row>
    <row r="25" spans="1:5">
      <c r="A25" s="27"/>
      <c r="B25" s="28"/>
      <c r="C25" s="25"/>
      <c r="D25" s="25"/>
      <c r="E25" s="26" t="str">
        <f>IF(Tabla26813[[#This Row],[COTIZ U$s]]="","",Tabla26813[[#This Row],[MONTO $AR]]/Tabla26813[[#This Row],[COTIZ U$s]])</f>
        <v/>
      </c>
    </row>
    <row r="26" spans="1:5">
      <c r="A26" s="27"/>
      <c r="B26" s="28"/>
      <c r="C26" s="25"/>
      <c r="D26" s="25"/>
      <c r="E26" s="26" t="str">
        <f>IF(Tabla26813[[#This Row],[COTIZ U$s]]="","",Tabla26813[[#This Row],[MONTO $AR]]/Tabla26813[[#This Row],[COTIZ U$s]])</f>
        <v/>
      </c>
    </row>
    <row r="27" spans="1:5">
      <c r="A27" s="27"/>
      <c r="B27" s="28"/>
      <c r="C27" s="25"/>
      <c r="D27" s="25"/>
      <c r="E27" s="26" t="str">
        <f>IF(Tabla26813[[#This Row],[COTIZ U$s]]="","",Tabla26813[[#This Row],[MONTO $AR]]/Tabla26813[[#This Row],[COTIZ U$s]])</f>
        <v/>
      </c>
    </row>
    <row r="28" spans="1:5">
      <c r="A28" s="27"/>
      <c r="B28" s="28"/>
      <c r="C28" s="25"/>
      <c r="D28" s="25"/>
      <c r="E28" s="26" t="str">
        <f>IF(Tabla26813[[#This Row],[COTIZ U$s]]="","",Tabla26813[[#This Row],[MONTO $AR]]/Tabla26813[[#This Row],[COTIZ U$s]])</f>
        <v/>
      </c>
    </row>
    <row r="29" spans="1:5">
      <c r="A29" s="27"/>
      <c r="B29" s="28"/>
      <c r="C29" s="25"/>
      <c r="D29" s="25"/>
      <c r="E29" s="26" t="str">
        <f>IF(Tabla26813[[#This Row],[COTIZ U$s]]="","",Tabla26813[[#This Row],[MONTO $AR]]/Tabla26813[[#This Row],[COTIZ U$s]])</f>
        <v/>
      </c>
    </row>
    <row r="30" spans="1:5">
      <c r="A30" s="27"/>
      <c r="B30" s="28"/>
      <c r="C30" s="25"/>
      <c r="D30" s="25"/>
      <c r="E30" s="26" t="str">
        <f>IF(Tabla26813[[#This Row],[COTIZ U$s]]="","",Tabla26813[[#This Row],[MONTO $AR]]/Tabla26813[[#This Row],[COTIZ U$s]])</f>
        <v/>
      </c>
    </row>
    <row r="31" spans="1:5">
      <c r="A31" s="27"/>
      <c r="B31" s="28" t="s">
        <v>23</v>
      </c>
      <c r="C31" s="25">
        <f>SUBTOTAL(109,Tabla26813[MONTO $AR])</f>
        <v>1004000</v>
      </c>
      <c r="D31" s="25"/>
      <c r="E31" s="26">
        <f>SUBTOTAL(109,Tabla26813[MONTO U$s])</f>
        <v>762.12768945183552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E31"/>
  <sheetViews>
    <sheetView workbookViewId="0">
      <selection activeCell="A2" sqref="A2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29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45662</v>
      </c>
      <c r="B4" s="28"/>
      <c r="C4" s="25">
        <v>50000</v>
      </c>
      <c r="D4" s="25">
        <v>1123</v>
      </c>
      <c r="E4" s="26">
        <f>IF(Tabla26814[[#This Row],[COTIZ U$s]]="","",Tabla26814[[#This Row],[MONTO $AR]]/Tabla26814[[#This Row],[COTIZ U$s]])</f>
        <v>44.523597506678541</v>
      </c>
    </row>
    <row r="5" spans="1:5">
      <c r="A5" s="27">
        <v>45940</v>
      </c>
      <c r="B5" s="28"/>
      <c r="C5" s="25">
        <v>452000</v>
      </c>
      <c r="D5" s="25">
        <v>1350</v>
      </c>
      <c r="E5" s="26">
        <f>IF(Tabla26814[[#This Row],[COTIZ U$s]]="","",Tabla26814[[#This Row],[MONTO $AR]]/Tabla26814[[#This Row],[COTIZ U$s]])</f>
        <v>334.81481481481484</v>
      </c>
    </row>
    <row r="6" spans="1:5">
      <c r="A6" s="27">
        <v>45940</v>
      </c>
      <c r="B6" s="28"/>
      <c r="C6" s="25">
        <v>50000</v>
      </c>
      <c r="D6" s="25">
        <v>1223</v>
      </c>
      <c r="E6" s="26">
        <f>IF(Tabla26814[[#This Row],[COTIZ U$s]]="","",Tabla26814[[#This Row],[MONTO $AR]]/Tabla26814[[#This Row],[COTIZ U$s]])</f>
        <v>40.883074407195423</v>
      </c>
    </row>
    <row r="7" spans="1:5">
      <c r="A7" s="27">
        <v>45940</v>
      </c>
      <c r="B7" s="28" t="s">
        <v>39</v>
      </c>
      <c r="C7" s="25">
        <v>452000</v>
      </c>
      <c r="D7" s="25">
        <v>1322</v>
      </c>
      <c r="E7" s="26">
        <f>IF(Tabla26814[[#This Row],[COTIZ U$s]]="","",Tabla26814[[#This Row],[MONTO $AR]]/Tabla26814[[#This Row],[COTIZ U$s]])</f>
        <v>341.90620272314675</v>
      </c>
    </row>
    <row r="8" spans="1:5">
      <c r="A8" s="27">
        <v>45940</v>
      </c>
      <c r="B8" s="28" t="s">
        <v>30</v>
      </c>
      <c r="C8" s="25">
        <v>50000</v>
      </c>
      <c r="D8" s="25">
        <v>1123</v>
      </c>
      <c r="E8" s="26">
        <f>IF(Tabla26814[[#This Row],[COTIZ U$s]]="","",Tabla26814[[#This Row],[MONTO $AR]]/Tabla26814[[#This Row],[COTIZ U$s]])</f>
        <v>44.523597506678541</v>
      </c>
    </row>
    <row r="9" spans="1:5">
      <c r="A9" s="27">
        <v>45940</v>
      </c>
      <c r="B9" s="28" t="s">
        <v>35</v>
      </c>
      <c r="C9" s="25">
        <v>452000</v>
      </c>
      <c r="D9" s="25">
        <v>1350</v>
      </c>
      <c r="E9" s="26">
        <f>IF(Tabla26814[[#This Row],[COTIZ U$s]]="","",Tabla26814[[#This Row],[MONTO $AR]]/Tabla26814[[#This Row],[COTIZ U$s]])</f>
        <v>334.81481481481484</v>
      </c>
    </row>
    <row r="10" spans="1:5">
      <c r="A10" s="27">
        <v>45940</v>
      </c>
      <c r="B10" s="28" t="s">
        <v>36</v>
      </c>
      <c r="C10" s="25">
        <v>3205050</v>
      </c>
      <c r="D10" s="25">
        <v>1504</v>
      </c>
      <c r="E10" s="26">
        <f>IF(Tabla26814[[#This Row],[COTIZ U$s]]="","",Tabla26814[[#This Row],[MONTO $AR]]/Tabla26814[[#This Row],[COTIZ U$s]])</f>
        <v>2131.0172872340427</v>
      </c>
    </row>
    <row r="11" spans="1:5">
      <c r="A11" s="27"/>
      <c r="B11" s="28"/>
      <c r="C11" s="25"/>
      <c r="D11" s="25"/>
      <c r="E11" s="26" t="str">
        <f>IF(Tabla26814[[#This Row],[COTIZ U$s]]="","",Tabla26814[[#This Row],[MONTO $AR]]/Tabla26814[[#This Row],[COTIZ U$s]])</f>
        <v/>
      </c>
    </row>
    <row r="12" spans="1:5">
      <c r="A12" s="27"/>
      <c r="B12" s="28"/>
      <c r="C12" s="25"/>
      <c r="D12" s="25"/>
      <c r="E12" s="26" t="str">
        <f>IF(Tabla26814[[#This Row],[COTIZ U$s]]="","",Tabla26814[[#This Row],[MONTO $AR]]/Tabla26814[[#This Row],[COTIZ U$s]])</f>
        <v/>
      </c>
    </row>
    <row r="13" spans="1:5">
      <c r="A13" s="27"/>
      <c r="B13" s="28"/>
      <c r="C13" s="25"/>
      <c r="D13" s="25"/>
      <c r="E13" s="26" t="str">
        <f>IF(Tabla26814[[#This Row],[COTIZ U$s]]="","",Tabla26814[[#This Row],[MONTO $AR]]/Tabla26814[[#This Row],[COTIZ U$s]])</f>
        <v/>
      </c>
    </row>
    <row r="14" spans="1:5">
      <c r="A14" s="27"/>
      <c r="B14" s="28"/>
      <c r="C14" s="25"/>
      <c r="D14" s="25"/>
      <c r="E14" s="26" t="str">
        <f>IF(Tabla26814[[#This Row],[COTIZ U$s]]="","",Tabla26814[[#This Row],[MONTO $AR]]/Tabla26814[[#This Row],[COTIZ U$s]])</f>
        <v/>
      </c>
    </row>
    <row r="15" spans="1:5">
      <c r="A15" s="27"/>
      <c r="B15" s="28"/>
      <c r="C15" s="25"/>
      <c r="D15" s="25"/>
      <c r="E15" s="26" t="str">
        <f>IF(Tabla26814[[#This Row],[COTIZ U$s]]="","",Tabla26814[[#This Row],[MONTO $AR]]/Tabla26814[[#This Row],[COTIZ U$s]])</f>
        <v/>
      </c>
    </row>
    <row r="16" spans="1:5">
      <c r="A16" s="27"/>
      <c r="B16" s="28"/>
      <c r="C16" s="25"/>
      <c r="D16" s="25"/>
      <c r="E16" s="26" t="str">
        <f>IF(Tabla26814[[#This Row],[COTIZ U$s]]="","",Tabla26814[[#This Row],[MONTO $AR]]/Tabla26814[[#This Row],[COTIZ U$s]])</f>
        <v/>
      </c>
    </row>
    <row r="17" spans="1:5">
      <c r="A17" s="27"/>
      <c r="B17" s="28"/>
      <c r="C17" s="25"/>
      <c r="D17" s="25"/>
      <c r="E17" s="26" t="str">
        <f>IF(Tabla26814[[#This Row],[COTIZ U$s]]="","",Tabla26814[[#This Row],[MONTO $AR]]/Tabla26814[[#This Row],[COTIZ U$s]])</f>
        <v/>
      </c>
    </row>
    <row r="18" spans="1:5">
      <c r="A18" s="27"/>
      <c r="B18" s="28"/>
      <c r="C18" s="25"/>
      <c r="D18" s="25"/>
      <c r="E18" s="26" t="str">
        <f>IF(Tabla26814[[#This Row],[COTIZ U$s]]="","",Tabla26814[[#This Row],[MONTO $AR]]/Tabla26814[[#This Row],[COTIZ U$s]])</f>
        <v/>
      </c>
    </row>
    <row r="19" spans="1:5">
      <c r="A19" s="27"/>
      <c r="B19" s="28"/>
      <c r="C19" s="25"/>
      <c r="D19" s="25"/>
      <c r="E19" s="26" t="str">
        <f>IF(Tabla26814[[#This Row],[COTIZ U$s]]="","",Tabla26814[[#This Row],[MONTO $AR]]/Tabla26814[[#This Row],[COTIZ U$s]])</f>
        <v/>
      </c>
    </row>
    <row r="20" spans="1:5">
      <c r="A20" s="27"/>
      <c r="B20" s="28"/>
      <c r="C20" s="25"/>
      <c r="D20" s="25"/>
      <c r="E20" s="26" t="str">
        <f>IF(Tabla26814[[#This Row],[COTIZ U$s]]="","",Tabla26814[[#This Row],[MONTO $AR]]/Tabla26814[[#This Row],[COTIZ U$s]])</f>
        <v/>
      </c>
    </row>
    <row r="21" spans="1:5">
      <c r="A21" s="27"/>
      <c r="B21" s="28"/>
      <c r="C21" s="25"/>
      <c r="D21" s="25"/>
      <c r="E21" s="26" t="str">
        <f>IF(Tabla26814[[#This Row],[COTIZ U$s]]="","",Tabla26814[[#This Row],[MONTO $AR]]/Tabla26814[[#This Row],[COTIZ U$s]])</f>
        <v/>
      </c>
    </row>
    <row r="22" spans="1:5">
      <c r="A22" s="27"/>
      <c r="B22" s="28"/>
      <c r="C22" s="25"/>
      <c r="D22" s="25"/>
      <c r="E22" s="26" t="str">
        <f>IF(Tabla26814[[#This Row],[COTIZ U$s]]="","",Tabla26814[[#This Row],[MONTO $AR]]/Tabla26814[[#This Row],[COTIZ U$s]])</f>
        <v/>
      </c>
    </row>
    <row r="23" spans="1:5">
      <c r="A23" s="27"/>
      <c r="B23" s="28"/>
      <c r="C23" s="25"/>
      <c r="D23" s="25"/>
      <c r="E23" s="26" t="str">
        <f>IF(Tabla26814[[#This Row],[COTIZ U$s]]="","",Tabla26814[[#This Row],[MONTO $AR]]/Tabla26814[[#This Row],[COTIZ U$s]])</f>
        <v/>
      </c>
    </row>
    <row r="24" spans="1:5">
      <c r="A24" s="27"/>
      <c r="B24" s="28"/>
      <c r="C24" s="25"/>
      <c r="D24" s="25"/>
      <c r="E24" s="26" t="str">
        <f>IF(Tabla26814[[#This Row],[COTIZ U$s]]="","",Tabla26814[[#This Row],[MONTO $AR]]/Tabla26814[[#This Row],[COTIZ U$s]])</f>
        <v/>
      </c>
    </row>
    <row r="25" spans="1:5">
      <c r="A25" s="27"/>
      <c r="B25" s="28"/>
      <c r="C25" s="25"/>
      <c r="D25" s="25"/>
      <c r="E25" s="26" t="str">
        <f>IF(Tabla26814[[#This Row],[COTIZ U$s]]="","",Tabla26814[[#This Row],[MONTO $AR]]/Tabla26814[[#This Row],[COTIZ U$s]])</f>
        <v/>
      </c>
    </row>
    <row r="26" spans="1:5">
      <c r="A26" s="27"/>
      <c r="B26" s="28"/>
      <c r="C26" s="25"/>
      <c r="D26" s="25"/>
      <c r="E26" s="26" t="str">
        <f>IF(Tabla26814[[#This Row],[COTIZ U$s]]="","",Tabla26814[[#This Row],[MONTO $AR]]/Tabla26814[[#This Row],[COTIZ U$s]])</f>
        <v/>
      </c>
    </row>
    <row r="27" spans="1:5">
      <c r="A27" s="27"/>
      <c r="B27" s="28"/>
      <c r="C27" s="25"/>
      <c r="D27" s="25"/>
      <c r="E27" s="26" t="str">
        <f>IF(Tabla26814[[#This Row],[COTIZ U$s]]="","",Tabla26814[[#This Row],[MONTO $AR]]/Tabla26814[[#This Row],[COTIZ U$s]])</f>
        <v/>
      </c>
    </row>
    <row r="28" spans="1:5">
      <c r="A28" s="27"/>
      <c r="B28" s="28"/>
      <c r="C28" s="25"/>
      <c r="D28" s="25"/>
      <c r="E28" s="26" t="str">
        <f>IF(Tabla26814[[#This Row],[COTIZ U$s]]="","",Tabla26814[[#This Row],[MONTO $AR]]/Tabla26814[[#This Row],[COTIZ U$s]])</f>
        <v/>
      </c>
    </row>
    <row r="29" spans="1:5">
      <c r="A29" s="27"/>
      <c r="B29" s="28"/>
      <c r="C29" s="25"/>
      <c r="D29" s="25"/>
      <c r="E29" s="26" t="str">
        <f>IF(Tabla26814[[#This Row],[COTIZ U$s]]="","",Tabla26814[[#This Row],[MONTO $AR]]/Tabla26814[[#This Row],[COTIZ U$s]])</f>
        <v/>
      </c>
    </row>
    <row r="30" spans="1:5">
      <c r="A30" s="27"/>
      <c r="B30" s="28"/>
      <c r="C30" s="25"/>
      <c r="D30" s="25"/>
      <c r="E30" s="26" t="str">
        <f>IF(Tabla26814[[#This Row],[COTIZ U$s]]="","",Tabla26814[[#This Row],[MONTO $AR]]/Tabla26814[[#This Row],[COTIZ U$s]])</f>
        <v/>
      </c>
    </row>
    <row r="31" spans="1:5">
      <c r="A31" s="27"/>
      <c r="B31" s="28" t="s">
        <v>23</v>
      </c>
      <c r="C31" s="25">
        <f>SUBTOTAL(109,Tabla26814[MONTO $AR])</f>
        <v>4711050</v>
      </c>
      <c r="D31" s="25"/>
      <c r="E31" s="26">
        <f>SUBTOTAL(109,Tabla26814[MONTO U$s])</f>
        <v>3272.4833890073714</v>
      </c>
    </row>
  </sheetData>
  <dataValidations count="1">
    <dataValidation type="list" allowBlank="1" showInputMessage="1" showErrorMessage="1" sqref="B7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E31"/>
  <sheetViews>
    <sheetView workbookViewId="0">
      <selection activeCell="A2" sqref="A2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29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45662</v>
      </c>
      <c r="B4" s="28" t="s">
        <v>30</v>
      </c>
      <c r="C4" s="25">
        <v>654321354</v>
      </c>
      <c r="D4" s="25">
        <v>1123</v>
      </c>
      <c r="E4" s="26">
        <f>IF(Tabla26815[[#This Row],[COTIZ U$s]]="","",Tabla26815[[#This Row],[MONTO $AR]]/Tabla26815[[#This Row],[COTIZ U$s]])</f>
        <v>582654.81211041857</v>
      </c>
    </row>
    <row r="5" spans="1:5">
      <c r="A5" s="27">
        <v>45662</v>
      </c>
      <c r="B5" s="28" t="s">
        <v>35</v>
      </c>
      <c r="C5" s="25">
        <v>654321354</v>
      </c>
      <c r="D5" s="25">
        <v>1123</v>
      </c>
      <c r="E5" s="26">
        <f>IF(Tabla26815[[#This Row],[COTIZ U$s]]="","",Tabla26815[[#This Row],[MONTO $AR]]/Tabla26815[[#This Row],[COTIZ U$s]])</f>
        <v>582654.81211041857</v>
      </c>
    </row>
    <row r="6" spans="1:5">
      <c r="A6" s="27">
        <v>45662</v>
      </c>
      <c r="B6" s="28" t="s">
        <v>36</v>
      </c>
      <c r="C6" s="25">
        <v>654321354</v>
      </c>
      <c r="D6" s="25">
        <v>1123</v>
      </c>
      <c r="E6" s="26">
        <f>IF(Tabla26815[[#This Row],[COTIZ U$s]]="","",Tabla26815[[#This Row],[MONTO $AR]]/Tabla26815[[#This Row],[COTIZ U$s]])</f>
        <v>582654.81211041857</v>
      </c>
    </row>
    <row r="7" spans="1:5">
      <c r="A7" s="27">
        <v>45662</v>
      </c>
      <c r="B7" s="28" t="s">
        <v>39</v>
      </c>
      <c r="C7" s="25">
        <v>654321354</v>
      </c>
      <c r="D7" s="25">
        <v>1123</v>
      </c>
      <c r="E7" s="26">
        <f>IF(Tabla26815[[#This Row],[COTIZ U$s]]="","",Tabla26815[[#This Row],[MONTO $AR]]/Tabla26815[[#This Row],[COTIZ U$s]])</f>
        <v>582654.81211041857</v>
      </c>
    </row>
    <row r="8" spans="1:5">
      <c r="A8" s="27"/>
      <c r="B8" s="28"/>
      <c r="C8" s="25"/>
      <c r="D8" s="25"/>
      <c r="E8" s="26" t="str">
        <f>IF(Tabla26815[[#This Row],[COTIZ U$s]]="","",Tabla26815[[#This Row],[MONTO $AR]]/Tabla26815[[#This Row],[COTIZ U$s]])</f>
        <v/>
      </c>
    </row>
    <row r="9" spans="1:5">
      <c r="A9" s="27"/>
      <c r="B9" s="28"/>
      <c r="C9" s="25"/>
      <c r="D9" s="25"/>
      <c r="E9" s="26" t="str">
        <f>IF(Tabla26815[[#This Row],[COTIZ U$s]]="","",Tabla26815[[#This Row],[MONTO $AR]]/Tabla26815[[#This Row],[COTIZ U$s]])</f>
        <v/>
      </c>
    </row>
    <row r="10" spans="1:5">
      <c r="A10" s="27"/>
      <c r="B10" s="28"/>
      <c r="C10" s="25"/>
      <c r="D10" s="25"/>
      <c r="E10" s="26" t="str">
        <f>IF(Tabla26815[[#This Row],[COTIZ U$s]]="","",Tabla26815[[#This Row],[MONTO $AR]]/Tabla26815[[#This Row],[COTIZ U$s]])</f>
        <v/>
      </c>
    </row>
    <row r="11" spans="1:5">
      <c r="A11" s="27"/>
      <c r="B11" s="28"/>
      <c r="C11" s="25"/>
      <c r="D11" s="25"/>
      <c r="E11" s="26" t="str">
        <f>IF(Tabla26815[[#This Row],[COTIZ U$s]]="","",Tabla26815[[#This Row],[MONTO $AR]]/Tabla26815[[#This Row],[COTIZ U$s]])</f>
        <v/>
      </c>
    </row>
    <row r="12" spans="1:5">
      <c r="A12" s="27"/>
      <c r="B12" s="28"/>
      <c r="C12" s="25"/>
      <c r="D12" s="25"/>
      <c r="E12" s="26" t="str">
        <f>IF(Tabla26815[[#This Row],[COTIZ U$s]]="","",Tabla26815[[#This Row],[MONTO $AR]]/Tabla26815[[#This Row],[COTIZ U$s]])</f>
        <v/>
      </c>
    </row>
    <row r="13" spans="1:5">
      <c r="A13" s="27"/>
      <c r="B13" s="28"/>
      <c r="C13" s="25"/>
      <c r="D13" s="25"/>
      <c r="E13" s="26" t="str">
        <f>IF(Tabla26815[[#This Row],[COTIZ U$s]]="","",Tabla26815[[#This Row],[MONTO $AR]]/Tabla26815[[#This Row],[COTIZ U$s]])</f>
        <v/>
      </c>
    </row>
    <row r="14" spans="1:5">
      <c r="A14" s="27"/>
      <c r="B14" s="28"/>
      <c r="C14" s="25"/>
      <c r="D14" s="25"/>
      <c r="E14" s="26" t="str">
        <f>IF(Tabla26815[[#This Row],[COTIZ U$s]]="","",Tabla26815[[#This Row],[MONTO $AR]]/Tabla26815[[#This Row],[COTIZ U$s]])</f>
        <v/>
      </c>
    </row>
    <row r="15" spans="1:5">
      <c r="A15" s="27"/>
      <c r="B15" s="28"/>
      <c r="C15" s="25"/>
      <c r="D15" s="25"/>
      <c r="E15" s="26" t="str">
        <f>IF(Tabla26815[[#This Row],[COTIZ U$s]]="","",Tabla26815[[#This Row],[MONTO $AR]]/Tabla26815[[#This Row],[COTIZ U$s]])</f>
        <v/>
      </c>
    </row>
    <row r="16" spans="1:5">
      <c r="A16" s="27"/>
      <c r="B16" s="28"/>
      <c r="C16" s="25"/>
      <c r="D16" s="25"/>
      <c r="E16" s="26" t="str">
        <f>IF(Tabla26815[[#This Row],[COTIZ U$s]]="","",Tabla26815[[#This Row],[MONTO $AR]]/Tabla26815[[#This Row],[COTIZ U$s]])</f>
        <v/>
      </c>
    </row>
    <row r="17" spans="1:5">
      <c r="A17" s="27"/>
      <c r="B17" s="28"/>
      <c r="C17" s="25"/>
      <c r="D17" s="25"/>
      <c r="E17" s="26" t="str">
        <f>IF(Tabla26815[[#This Row],[COTIZ U$s]]="","",Tabla26815[[#This Row],[MONTO $AR]]/Tabla26815[[#This Row],[COTIZ U$s]])</f>
        <v/>
      </c>
    </row>
    <row r="18" spans="1:5">
      <c r="A18" s="27"/>
      <c r="B18" s="28"/>
      <c r="C18" s="25"/>
      <c r="D18" s="25"/>
      <c r="E18" s="26" t="str">
        <f>IF(Tabla26815[[#This Row],[COTIZ U$s]]="","",Tabla26815[[#This Row],[MONTO $AR]]/Tabla26815[[#This Row],[COTIZ U$s]])</f>
        <v/>
      </c>
    </row>
    <row r="19" spans="1:5">
      <c r="A19" s="27"/>
      <c r="B19" s="28"/>
      <c r="C19" s="25"/>
      <c r="D19" s="25"/>
      <c r="E19" s="26" t="str">
        <f>IF(Tabla26815[[#This Row],[COTIZ U$s]]="","",Tabla26815[[#This Row],[MONTO $AR]]/Tabla26815[[#This Row],[COTIZ U$s]])</f>
        <v/>
      </c>
    </row>
    <row r="20" spans="1:5">
      <c r="A20" s="27"/>
      <c r="B20" s="28"/>
      <c r="C20" s="25"/>
      <c r="D20" s="25"/>
      <c r="E20" s="26" t="str">
        <f>IF(Tabla26815[[#This Row],[COTIZ U$s]]="","",Tabla26815[[#This Row],[MONTO $AR]]/Tabla26815[[#This Row],[COTIZ U$s]])</f>
        <v/>
      </c>
    </row>
    <row r="21" spans="1:5">
      <c r="A21" s="27"/>
      <c r="B21" s="28"/>
      <c r="C21" s="25"/>
      <c r="D21" s="25"/>
      <c r="E21" s="26" t="str">
        <f>IF(Tabla26815[[#This Row],[COTIZ U$s]]="","",Tabla26815[[#This Row],[MONTO $AR]]/Tabla26815[[#This Row],[COTIZ U$s]])</f>
        <v/>
      </c>
    </row>
    <row r="22" spans="1:5">
      <c r="A22" s="27"/>
      <c r="B22" s="28"/>
      <c r="C22" s="25"/>
      <c r="D22" s="25"/>
      <c r="E22" s="26" t="str">
        <f>IF(Tabla26815[[#This Row],[COTIZ U$s]]="","",Tabla26815[[#This Row],[MONTO $AR]]/Tabla26815[[#This Row],[COTIZ U$s]])</f>
        <v/>
      </c>
    </row>
    <row r="23" spans="1:5">
      <c r="A23" s="27"/>
      <c r="B23" s="28"/>
      <c r="C23" s="25"/>
      <c r="D23" s="25"/>
      <c r="E23" s="26" t="str">
        <f>IF(Tabla26815[[#This Row],[COTIZ U$s]]="","",Tabla26815[[#This Row],[MONTO $AR]]/Tabla26815[[#This Row],[COTIZ U$s]])</f>
        <v/>
      </c>
    </row>
    <row r="24" spans="1:5">
      <c r="A24" s="27"/>
      <c r="B24" s="28"/>
      <c r="C24" s="25"/>
      <c r="D24" s="25"/>
      <c r="E24" s="26" t="str">
        <f>IF(Tabla26815[[#This Row],[COTIZ U$s]]="","",Tabla26815[[#This Row],[MONTO $AR]]/Tabla26815[[#This Row],[COTIZ U$s]])</f>
        <v/>
      </c>
    </row>
    <row r="25" spans="1:5">
      <c r="A25" s="27"/>
      <c r="B25" s="28"/>
      <c r="C25" s="25"/>
      <c r="D25" s="25"/>
      <c r="E25" s="26" t="str">
        <f>IF(Tabla26815[[#This Row],[COTIZ U$s]]="","",Tabla26815[[#This Row],[MONTO $AR]]/Tabla26815[[#This Row],[COTIZ U$s]])</f>
        <v/>
      </c>
    </row>
    <row r="26" spans="1:5">
      <c r="A26" s="27"/>
      <c r="B26" s="28"/>
      <c r="C26" s="25"/>
      <c r="D26" s="25"/>
      <c r="E26" s="26" t="str">
        <f>IF(Tabla26815[[#This Row],[COTIZ U$s]]="","",Tabla26815[[#This Row],[MONTO $AR]]/Tabla26815[[#This Row],[COTIZ U$s]])</f>
        <v/>
      </c>
    </row>
    <row r="27" spans="1:5">
      <c r="A27" s="27"/>
      <c r="B27" s="28"/>
      <c r="C27" s="25"/>
      <c r="D27" s="25"/>
      <c r="E27" s="26" t="str">
        <f>IF(Tabla26815[[#This Row],[COTIZ U$s]]="","",Tabla26815[[#This Row],[MONTO $AR]]/Tabla26815[[#This Row],[COTIZ U$s]])</f>
        <v/>
      </c>
    </row>
    <row r="28" spans="1:5">
      <c r="A28" s="27"/>
      <c r="B28" s="28"/>
      <c r="C28" s="25"/>
      <c r="D28" s="25"/>
      <c r="E28" s="26" t="str">
        <f>IF(Tabla26815[[#This Row],[COTIZ U$s]]="","",Tabla26815[[#This Row],[MONTO $AR]]/Tabla26815[[#This Row],[COTIZ U$s]])</f>
        <v/>
      </c>
    </row>
    <row r="29" spans="1:5">
      <c r="A29" s="27"/>
      <c r="B29" s="28"/>
      <c r="C29" s="25"/>
      <c r="D29" s="25"/>
      <c r="E29" s="26" t="str">
        <f>IF(Tabla26815[[#This Row],[COTIZ U$s]]="","",Tabla26815[[#This Row],[MONTO $AR]]/Tabla26815[[#This Row],[COTIZ U$s]])</f>
        <v/>
      </c>
    </row>
    <row r="30" spans="1:5">
      <c r="A30" s="27"/>
      <c r="B30" s="28"/>
      <c r="C30" s="25"/>
      <c r="D30" s="25"/>
      <c r="E30" s="26" t="str">
        <f>IF(Tabla26815[[#This Row],[COTIZ U$s]]="","",Tabla26815[[#This Row],[MONTO $AR]]/Tabla26815[[#This Row],[COTIZ U$s]])</f>
        <v/>
      </c>
    </row>
    <row r="31" spans="1:5">
      <c r="A31" s="27"/>
      <c r="B31" s="28" t="s">
        <v>23</v>
      </c>
      <c r="C31" s="25">
        <f>SUBTOTAL(109,Tabla26815[MONTO $AR])</f>
        <v>2617285416</v>
      </c>
      <c r="D31" s="25"/>
      <c r="E31" s="26">
        <f>SUBTOTAL(109,Tabla26815[MONTO U$s])</f>
        <v>2330619.2484416743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E31"/>
  <sheetViews>
    <sheetView workbookViewId="0">
      <selection activeCell="I14" sqref="I14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29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45662</v>
      </c>
      <c r="B4" s="28" t="s">
        <v>30</v>
      </c>
      <c r="C4" s="25">
        <v>654321354</v>
      </c>
      <c r="D4" s="25">
        <v>1123</v>
      </c>
      <c r="E4" s="26">
        <f>IF(Tabla26816[[#This Row],[COTIZ U$s]]="","",Tabla26816[[#This Row],[MONTO $AR]]/Tabla26816[[#This Row],[COTIZ U$s]])</f>
        <v>582654.81211041857</v>
      </c>
    </row>
    <row r="5" spans="1:5">
      <c r="A5" s="27">
        <v>45782</v>
      </c>
      <c r="B5" s="28" t="s">
        <v>35</v>
      </c>
      <c r="C5" s="25">
        <v>6546301354</v>
      </c>
      <c r="D5" s="25">
        <v>1008</v>
      </c>
      <c r="E5" s="26">
        <f>IF(Tabla26816[[#This Row],[COTIZ U$s]]="","",Tabla26816[[#This Row],[MONTO $AR]]/Tabla26816[[#This Row],[COTIZ U$s]])</f>
        <v>6494346.5813492062</v>
      </c>
    </row>
    <row r="6" spans="1:5">
      <c r="A6" s="27">
        <v>45875</v>
      </c>
      <c r="B6" s="28" t="s">
        <v>36</v>
      </c>
      <c r="C6" s="25">
        <v>454987</v>
      </c>
      <c r="D6" s="25">
        <v>1235</v>
      </c>
      <c r="E6" s="26">
        <f>IF(Tabla26816[[#This Row],[COTIZ U$s]]="","",Tabla26816[[#This Row],[MONTO $AR]]/Tabla26816[[#This Row],[COTIZ U$s]])</f>
        <v>368.41052631578947</v>
      </c>
    </row>
    <row r="7" spans="1:5">
      <c r="A7" s="27">
        <v>45991</v>
      </c>
      <c r="B7" s="28" t="s">
        <v>39</v>
      </c>
      <c r="C7" s="25">
        <v>65432</v>
      </c>
      <c r="D7" s="25">
        <v>997</v>
      </c>
      <c r="E7" s="26">
        <f>IF(Tabla26816[[#This Row],[COTIZ U$s]]="","",Tabla26816[[#This Row],[MONTO $AR]]/Tabla26816[[#This Row],[COTIZ U$s]])</f>
        <v>65.628886659979941</v>
      </c>
    </row>
    <row r="8" spans="1:5">
      <c r="A8" s="27"/>
      <c r="B8" s="28"/>
      <c r="C8" s="25"/>
      <c r="D8" s="25"/>
      <c r="E8" s="26" t="str">
        <f>IF(Tabla26816[[#This Row],[COTIZ U$s]]="","",Tabla26816[[#This Row],[MONTO $AR]]/Tabla26816[[#This Row],[COTIZ U$s]])</f>
        <v/>
      </c>
    </row>
    <row r="9" spans="1:5">
      <c r="A9" s="27"/>
      <c r="B9" s="28"/>
      <c r="C9" s="25"/>
      <c r="D9" s="25"/>
      <c r="E9" s="26" t="str">
        <f>IF(Tabla26816[[#This Row],[COTIZ U$s]]="","",Tabla26816[[#This Row],[MONTO $AR]]/Tabla26816[[#This Row],[COTIZ U$s]])</f>
        <v/>
      </c>
    </row>
    <row r="10" spans="1:5">
      <c r="A10" s="27"/>
      <c r="B10" s="28"/>
      <c r="C10" s="25"/>
      <c r="D10" s="25"/>
      <c r="E10" s="26" t="str">
        <f>IF(Tabla26816[[#This Row],[COTIZ U$s]]="","",Tabla26816[[#This Row],[MONTO $AR]]/Tabla26816[[#This Row],[COTIZ U$s]])</f>
        <v/>
      </c>
    </row>
    <row r="11" spans="1:5">
      <c r="A11" s="27"/>
      <c r="B11" s="28"/>
      <c r="C11" s="25"/>
      <c r="D11" s="25"/>
      <c r="E11" s="26" t="str">
        <f>IF(Tabla26816[[#This Row],[COTIZ U$s]]="","",Tabla26816[[#This Row],[MONTO $AR]]/Tabla26816[[#This Row],[COTIZ U$s]])</f>
        <v/>
      </c>
    </row>
    <row r="12" spans="1:5">
      <c r="A12" s="27"/>
      <c r="B12" s="28"/>
      <c r="C12" s="25"/>
      <c r="D12" s="25"/>
      <c r="E12" s="26" t="str">
        <f>IF(Tabla26816[[#This Row],[COTIZ U$s]]="","",Tabla26816[[#This Row],[MONTO $AR]]/Tabla26816[[#This Row],[COTIZ U$s]])</f>
        <v/>
      </c>
    </row>
    <row r="13" spans="1:5">
      <c r="A13" s="27"/>
      <c r="B13" s="28"/>
      <c r="C13" s="25"/>
      <c r="D13" s="25"/>
      <c r="E13" s="26" t="str">
        <f>IF(Tabla26816[[#This Row],[COTIZ U$s]]="","",Tabla26816[[#This Row],[MONTO $AR]]/Tabla26816[[#This Row],[COTIZ U$s]])</f>
        <v/>
      </c>
    </row>
    <row r="14" spans="1:5">
      <c r="A14" s="27"/>
      <c r="B14" s="28"/>
      <c r="C14" s="25"/>
      <c r="D14" s="25"/>
      <c r="E14" s="26" t="str">
        <f>IF(Tabla26816[[#This Row],[COTIZ U$s]]="","",Tabla26816[[#This Row],[MONTO $AR]]/Tabla26816[[#This Row],[COTIZ U$s]])</f>
        <v/>
      </c>
    </row>
    <row r="15" spans="1:5">
      <c r="A15" s="27"/>
      <c r="B15" s="28"/>
      <c r="C15" s="25"/>
      <c r="D15" s="25"/>
      <c r="E15" s="26" t="str">
        <f>IF(Tabla26816[[#This Row],[COTIZ U$s]]="","",Tabla26816[[#This Row],[MONTO $AR]]/Tabla26816[[#This Row],[COTIZ U$s]])</f>
        <v/>
      </c>
    </row>
    <row r="16" spans="1:5">
      <c r="A16" s="27"/>
      <c r="B16" s="28"/>
      <c r="C16" s="25"/>
      <c r="D16" s="25"/>
      <c r="E16" s="26" t="str">
        <f>IF(Tabla26816[[#This Row],[COTIZ U$s]]="","",Tabla26816[[#This Row],[MONTO $AR]]/Tabla26816[[#This Row],[COTIZ U$s]])</f>
        <v/>
      </c>
    </row>
    <row r="17" spans="1:5">
      <c r="A17" s="27"/>
      <c r="B17" s="28"/>
      <c r="C17" s="25"/>
      <c r="D17" s="25"/>
      <c r="E17" s="26" t="str">
        <f>IF(Tabla26816[[#This Row],[COTIZ U$s]]="","",Tabla26816[[#This Row],[MONTO $AR]]/Tabla26816[[#This Row],[COTIZ U$s]])</f>
        <v/>
      </c>
    </row>
    <row r="18" spans="1:5">
      <c r="A18" s="27"/>
      <c r="B18" s="28"/>
      <c r="C18" s="25"/>
      <c r="D18" s="25"/>
      <c r="E18" s="26" t="str">
        <f>IF(Tabla26816[[#This Row],[COTIZ U$s]]="","",Tabla26816[[#This Row],[MONTO $AR]]/Tabla26816[[#This Row],[COTIZ U$s]])</f>
        <v/>
      </c>
    </row>
    <row r="19" spans="1:5">
      <c r="A19" s="27"/>
      <c r="B19" s="28"/>
      <c r="C19" s="25"/>
      <c r="D19" s="25"/>
      <c r="E19" s="26" t="str">
        <f>IF(Tabla26816[[#This Row],[COTIZ U$s]]="","",Tabla26816[[#This Row],[MONTO $AR]]/Tabla26816[[#This Row],[COTIZ U$s]])</f>
        <v/>
      </c>
    </row>
    <row r="20" spans="1:5">
      <c r="A20" s="27"/>
      <c r="B20" s="28"/>
      <c r="C20" s="25"/>
      <c r="D20" s="25"/>
      <c r="E20" s="26" t="str">
        <f>IF(Tabla26816[[#This Row],[COTIZ U$s]]="","",Tabla26816[[#This Row],[MONTO $AR]]/Tabla26816[[#This Row],[COTIZ U$s]])</f>
        <v/>
      </c>
    </row>
    <row r="21" spans="1:5">
      <c r="A21" s="27"/>
      <c r="B21" s="28"/>
      <c r="C21" s="25"/>
      <c r="D21" s="25"/>
      <c r="E21" s="26" t="str">
        <f>IF(Tabla26816[[#This Row],[COTIZ U$s]]="","",Tabla26816[[#This Row],[MONTO $AR]]/Tabla26816[[#This Row],[COTIZ U$s]])</f>
        <v/>
      </c>
    </row>
    <row r="22" spans="1:5">
      <c r="A22" s="27"/>
      <c r="B22" s="28"/>
      <c r="C22" s="25"/>
      <c r="D22" s="25"/>
      <c r="E22" s="26" t="str">
        <f>IF(Tabla26816[[#This Row],[COTIZ U$s]]="","",Tabla26816[[#This Row],[MONTO $AR]]/Tabla26816[[#This Row],[COTIZ U$s]])</f>
        <v/>
      </c>
    </row>
    <row r="23" spans="1:5">
      <c r="A23" s="27"/>
      <c r="B23" s="28"/>
      <c r="C23" s="25"/>
      <c r="D23" s="25"/>
      <c r="E23" s="26" t="str">
        <f>IF(Tabla26816[[#This Row],[COTIZ U$s]]="","",Tabla26816[[#This Row],[MONTO $AR]]/Tabla26816[[#This Row],[COTIZ U$s]])</f>
        <v/>
      </c>
    </row>
    <row r="24" spans="1:5">
      <c r="A24" s="27"/>
      <c r="B24" s="28"/>
      <c r="C24" s="25"/>
      <c r="D24" s="25"/>
      <c r="E24" s="26" t="str">
        <f>IF(Tabla26816[[#This Row],[COTIZ U$s]]="","",Tabla26816[[#This Row],[MONTO $AR]]/Tabla26816[[#This Row],[COTIZ U$s]])</f>
        <v/>
      </c>
    </row>
    <row r="25" spans="1:5">
      <c r="A25" s="27"/>
      <c r="B25" s="28"/>
      <c r="C25" s="25"/>
      <c r="D25" s="25"/>
      <c r="E25" s="26" t="str">
        <f>IF(Tabla26816[[#This Row],[COTIZ U$s]]="","",Tabla26816[[#This Row],[MONTO $AR]]/Tabla26816[[#This Row],[COTIZ U$s]])</f>
        <v/>
      </c>
    </row>
    <row r="26" spans="1:5">
      <c r="A26" s="27"/>
      <c r="B26" s="28"/>
      <c r="C26" s="25"/>
      <c r="D26" s="25"/>
      <c r="E26" s="26" t="str">
        <f>IF(Tabla26816[[#This Row],[COTIZ U$s]]="","",Tabla26816[[#This Row],[MONTO $AR]]/Tabla26816[[#This Row],[COTIZ U$s]])</f>
        <v/>
      </c>
    </row>
    <row r="27" spans="1:5">
      <c r="A27" s="27"/>
      <c r="B27" s="28"/>
      <c r="C27" s="25"/>
      <c r="D27" s="25"/>
      <c r="E27" s="26" t="str">
        <f>IF(Tabla26816[[#This Row],[COTIZ U$s]]="","",Tabla26816[[#This Row],[MONTO $AR]]/Tabla26816[[#This Row],[COTIZ U$s]])</f>
        <v/>
      </c>
    </row>
    <row r="28" spans="1:5">
      <c r="A28" s="27"/>
      <c r="B28" s="28"/>
      <c r="C28" s="25"/>
      <c r="D28" s="25"/>
      <c r="E28" s="26" t="str">
        <f>IF(Tabla26816[[#This Row],[COTIZ U$s]]="","",Tabla26816[[#This Row],[MONTO $AR]]/Tabla26816[[#This Row],[COTIZ U$s]])</f>
        <v/>
      </c>
    </row>
    <row r="29" spans="1:5">
      <c r="A29" s="27"/>
      <c r="B29" s="28"/>
      <c r="C29" s="25"/>
      <c r="D29" s="25"/>
      <c r="E29" s="26" t="str">
        <f>IF(Tabla26816[[#This Row],[COTIZ U$s]]="","",Tabla26816[[#This Row],[MONTO $AR]]/Tabla26816[[#This Row],[COTIZ U$s]])</f>
        <v/>
      </c>
    </row>
    <row r="30" spans="1:5">
      <c r="A30" s="27"/>
      <c r="B30" s="28"/>
      <c r="C30" s="25"/>
      <c r="D30" s="25"/>
      <c r="E30" s="26" t="str">
        <f>IF(Tabla26816[[#This Row],[COTIZ U$s]]="","",Tabla26816[[#This Row],[MONTO $AR]]/Tabla26816[[#This Row],[COTIZ U$s]])</f>
        <v/>
      </c>
    </row>
    <row r="31" spans="1:5">
      <c r="A31" s="27"/>
      <c r="B31" s="28" t="s">
        <v>23</v>
      </c>
      <c r="C31" s="25">
        <f>SUBTOTAL(109,Tabla26816[MONTO $AR])</f>
        <v>7201143127</v>
      </c>
      <c r="D31" s="25"/>
      <c r="E31" s="26">
        <f>SUBTOTAL(109,Tabla26816[MONTO U$s])</f>
        <v>7077435.4328725999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8" tint="-0.249977111117893"/>
  </sheetPr>
  <dimension ref="A1:E31"/>
  <sheetViews>
    <sheetView workbookViewId="0">
      <selection activeCell="B4" sqref="B4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28</v>
      </c>
      <c r="B1" s="22"/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45662</v>
      </c>
      <c r="B4" s="28" t="s">
        <v>31</v>
      </c>
      <c r="C4" s="25">
        <v>542003</v>
      </c>
      <c r="D4" s="25">
        <v>1287</v>
      </c>
      <c r="E4" s="26">
        <f>IF(Tabla27[[#This Row],[COTIZ U$s]]="","",Tabla27[[#This Row],[MONTO $AR]]/Tabla27[[#This Row],[COTIZ U$s]])</f>
        <v>421.13675213675214</v>
      </c>
    </row>
    <row r="5" spans="1:5">
      <c r="A5" s="27"/>
      <c r="B5" s="28"/>
      <c r="C5" s="25"/>
      <c r="D5" s="25"/>
      <c r="E5" s="26" t="str">
        <f>IF(Tabla27[[#This Row],[COTIZ U$s]]="","",Tabla27[[#This Row],[MONTO $AR]]/Tabla27[[#This Row],[COTIZ U$s]])</f>
        <v/>
      </c>
    </row>
    <row r="6" spans="1:5">
      <c r="A6" s="27"/>
      <c r="B6" s="28"/>
      <c r="C6" s="25"/>
      <c r="D6" s="25"/>
      <c r="E6" s="26" t="str">
        <f>IF(Tabla27[[#This Row],[COTIZ U$s]]="","",Tabla27[[#This Row],[MONTO $AR]]/Tabla27[[#This Row],[COTIZ U$s]])</f>
        <v/>
      </c>
    </row>
    <row r="7" spans="1:5">
      <c r="A7" s="27"/>
      <c r="B7" s="28"/>
      <c r="C7" s="25"/>
      <c r="D7" s="25"/>
      <c r="E7" s="26" t="str">
        <f>IF(Tabla27[[#This Row],[COTIZ U$s]]="","",Tabla27[[#This Row],[MONTO $AR]]/Tabla27[[#This Row],[COTIZ U$s]])</f>
        <v/>
      </c>
    </row>
    <row r="8" spans="1:5">
      <c r="A8" s="27"/>
      <c r="B8" s="28"/>
      <c r="C8" s="25"/>
      <c r="D8" s="25"/>
      <c r="E8" s="26" t="str">
        <f>IF(Tabla27[[#This Row],[COTIZ U$s]]="","",Tabla27[[#This Row],[MONTO $AR]]/Tabla27[[#This Row],[COTIZ U$s]])</f>
        <v/>
      </c>
    </row>
    <row r="9" spans="1:5">
      <c r="A9" s="27"/>
      <c r="B9" s="28"/>
      <c r="C9" s="25"/>
      <c r="D9" s="25"/>
      <c r="E9" s="26" t="str">
        <f>IF(Tabla27[[#This Row],[COTIZ U$s]]="","",Tabla27[[#This Row],[MONTO $AR]]/Tabla27[[#This Row],[COTIZ U$s]])</f>
        <v/>
      </c>
    </row>
    <row r="10" spans="1:5">
      <c r="A10" s="27"/>
      <c r="B10" s="28"/>
      <c r="C10" s="25"/>
      <c r="D10" s="25"/>
      <c r="E10" s="26" t="str">
        <f>IF(Tabla27[[#This Row],[COTIZ U$s]]="","",Tabla27[[#This Row],[MONTO $AR]]/Tabla27[[#This Row],[COTIZ U$s]])</f>
        <v/>
      </c>
    </row>
    <row r="11" spans="1:5">
      <c r="A11" s="27"/>
      <c r="B11" s="28"/>
      <c r="C11" s="25"/>
      <c r="D11" s="25"/>
      <c r="E11" s="26" t="str">
        <f>IF(Tabla27[[#This Row],[COTIZ U$s]]="","",Tabla27[[#This Row],[MONTO $AR]]/Tabla27[[#This Row],[COTIZ U$s]])</f>
        <v/>
      </c>
    </row>
    <row r="12" spans="1:5">
      <c r="A12" s="27"/>
      <c r="B12" s="28"/>
      <c r="C12" s="25"/>
      <c r="D12" s="25"/>
      <c r="E12" s="26" t="str">
        <f>IF(Tabla27[[#This Row],[COTIZ U$s]]="","",Tabla27[[#This Row],[MONTO $AR]]/Tabla27[[#This Row],[COTIZ U$s]])</f>
        <v/>
      </c>
    </row>
    <row r="13" spans="1:5">
      <c r="A13" s="27"/>
      <c r="B13" s="28"/>
      <c r="C13" s="25"/>
      <c r="D13" s="25"/>
      <c r="E13" s="26" t="str">
        <f>IF(Tabla27[[#This Row],[COTIZ U$s]]="","",Tabla27[[#This Row],[MONTO $AR]]/Tabla27[[#This Row],[COTIZ U$s]])</f>
        <v/>
      </c>
    </row>
    <row r="14" spans="1:5">
      <c r="A14" s="27"/>
      <c r="B14" s="28"/>
      <c r="C14" s="25"/>
      <c r="D14" s="25"/>
      <c r="E14" s="26" t="str">
        <f>IF(Tabla27[[#This Row],[COTIZ U$s]]="","",Tabla27[[#This Row],[MONTO $AR]]/Tabla27[[#This Row],[COTIZ U$s]])</f>
        <v/>
      </c>
    </row>
    <row r="15" spans="1:5">
      <c r="A15" s="27"/>
      <c r="B15" s="28"/>
      <c r="C15" s="25"/>
      <c r="D15" s="25"/>
      <c r="E15" s="26" t="str">
        <f>IF(Tabla27[[#This Row],[COTIZ U$s]]="","",Tabla27[[#This Row],[MONTO $AR]]/Tabla27[[#This Row],[COTIZ U$s]])</f>
        <v/>
      </c>
    </row>
    <row r="16" spans="1:5">
      <c r="A16" s="27"/>
      <c r="B16" s="28"/>
      <c r="C16" s="25"/>
      <c r="D16" s="25"/>
      <c r="E16" s="26" t="str">
        <f>IF(Tabla27[[#This Row],[COTIZ U$s]]="","",Tabla27[[#This Row],[MONTO $AR]]/Tabla27[[#This Row],[COTIZ U$s]])</f>
        <v/>
      </c>
    </row>
    <row r="17" spans="1:5">
      <c r="A17" s="27"/>
      <c r="B17" s="28"/>
      <c r="C17" s="25"/>
      <c r="D17" s="25"/>
      <c r="E17" s="26" t="str">
        <f>IF(Tabla27[[#This Row],[COTIZ U$s]]="","",Tabla27[[#This Row],[MONTO $AR]]/Tabla27[[#This Row],[COTIZ U$s]])</f>
        <v/>
      </c>
    </row>
    <row r="18" spans="1:5">
      <c r="A18" s="27"/>
      <c r="B18" s="28"/>
      <c r="C18" s="25"/>
      <c r="D18" s="25"/>
      <c r="E18" s="26" t="str">
        <f>IF(Tabla27[[#This Row],[COTIZ U$s]]="","",Tabla27[[#This Row],[MONTO $AR]]/Tabla27[[#This Row],[COTIZ U$s]])</f>
        <v/>
      </c>
    </row>
    <row r="19" spans="1:5">
      <c r="A19" s="27"/>
      <c r="B19" s="28"/>
      <c r="C19" s="25"/>
      <c r="D19" s="25"/>
      <c r="E19" s="26" t="str">
        <f>IF(Tabla27[[#This Row],[COTIZ U$s]]="","",Tabla27[[#This Row],[MONTO $AR]]/Tabla27[[#This Row],[COTIZ U$s]])</f>
        <v/>
      </c>
    </row>
    <row r="20" spans="1:5">
      <c r="A20" s="27"/>
      <c r="B20" s="28"/>
      <c r="C20" s="25"/>
      <c r="D20" s="25"/>
      <c r="E20" s="26" t="str">
        <f>IF(Tabla27[[#This Row],[COTIZ U$s]]="","",Tabla27[[#This Row],[MONTO $AR]]/Tabla27[[#This Row],[COTIZ U$s]])</f>
        <v/>
      </c>
    </row>
    <row r="21" spans="1:5">
      <c r="A21" s="27"/>
      <c r="B21" s="28"/>
      <c r="C21" s="25"/>
      <c r="D21" s="25"/>
      <c r="E21" s="26" t="str">
        <f>IF(Tabla27[[#This Row],[COTIZ U$s]]="","",Tabla27[[#This Row],[MONTO $AR]]/Tabla27[[#This Row],[COTIZ U$s]])</f>
        <v/>
      </c>
    </row>
    <row r="22" spans="1:5">
      <c r="A22" s="27"/>
      <c r="B22" s="28"/>
      <c r="C22" s="25"/>
      <c r="D22" s="25"/>
      <c r="E22" s="26" t="str">
        <f>IF(Tabla27[[#This Row],[COTIZ U$s]]="","",Tabla27[[#This Row],[MONTO $AR]]/Tabla27[[#This Row],[COTIZ U$s]])</f>
        <v/>
      </c>
    </row>
    <row r="23" spans="1:5">
      <c r="A23" s="27"/>
      <c r="B23" s="28"/>
      <c r="C23" s="25"/>
      <c r="D23" s="25"/>
      <c r="E23" s="26" t="str">
        <f>IF(Tabla27[[#This Row],[COTIZ U$s]]="","",Tabla27[[#This Row],[MONTO $AR]]/Tabla27[[#This Row],[COTIZ U$s]])</f>
        <v/>
      </c>
    </row>
    <row r="24" spans="1:5">
      <c r="A24" s="27"/>
      <c r="B24" s="28"/>
      <c r="C24" s="25"/>
      <c r="D24" s="25"/>
      <c r="E24" s="26" t="str">
        <f>IF(Tabla27[[#This Row],[COTIZ U$s]]="","",Tabla27[[#This Row],[MONTO $AR]]/Tabla27[[#This Row],[COTIZ U$s]])</f>
        <v/>
      </c>
    </row>
    <row r="25" spans="1:5">
      <c r="A25" s="27"/>
      <c r="B25" s="28"/>
      <c r="C25" s="25"/>
      <c r="D25" s="25"/>
      <c r="E25" s="26" t="str">
        <f>IF(Tabla27[[#This Row],[COTIZ U$s]]="","",Tabla27[[#This Row],[MONTO $AR]]/Tabla27[[#This Row],[COTIZ U$s]])</f>
        <v/>
      </c>
    </row>
    <row r="26" spans="1:5">
      <c r="A26" s="27"/>
      <c r="B26" s="28"/>
      <c r="C26" s="25"/>
      <c r="D26" s="25"/>
      <c r="E26" s="26" t="str">
        <f>IF(Tabla27[[#This Row],[COTIZ U$s]]="","",Tabla27[[#This Row],[MONTO $AR]]/Tabla27[[#This Row],[COTIZ U$s]])</f>
        <v/>
      </c>
    </row>
    <row r="27" spans="1:5">
      <c r="A27" s="27"/>
      <c r="B27" s="28"/>
      <c r="C27" s="25"/>
      <c r="D27" s="25"/>
      <c r="E27" s="26" t="str">
        <f>IF(Tabla27[[#This Row],[COTIZ U$s]]="","",Tabla27[[#This Row],[MONTO $AR]]/Tabla27[[#This Row],[COTIZ U$s]])</f>
        <v/>
      </c>
    </row>
    <row r="28" spans="1:5">
      <c r="A28" s="27"/>
      <c r="B28" s="28"/>
      <c r="C28" s="25"/>
      <c r="D28" s="25"/>
      <c r="E28" s="26" t="str">
        <f>IF(Tabla27[[#This Row],[COTIZ U$s]]="","",Tabla27[[#This Row],[MONTO $AR]]/Tabla27[[#This Row],[COTIZ U$s]])</f>
        <v/>
      </c>
    </row>
    <row r="29" spans="1:5">
      <c r="A29" s="27"/>
      <c r="B29" s="28"/>
      <c r="C29" s="25"/>
      <c r="D29" s="25"/>
      <c r="E29" s="26" t="str">
        <f>IF(Tabla27[[#This Row],[COTIZ U$s]]="","",Tabla27[[#This Row],[MONTO $AR]]/Tabla27[[#This Row],[COTIZ U$s]])</f>
        <v/>
      </c>
    </row>
    <row r="30" spans="1:5">
      <c r="A30" s="27"/>
      <c r="B30" s="28"/>
      <c r="C30" s="25"/>
      <c r="D30" s="25"/>
      <c r="E30" s="26" t="str">
        <f>IF(Tabla27[[#This Row],[COTIZ U$s]]="","",Tabla27[[#This Row],[MONTO $AR]]/Tabla27[[#This Row],[COTIZ U$s]])</f>
        <v/>
      </c>
    </row>
    <row r="31" spans="1:5">
      <c r="A31" s="27"/>
      <c r="B31" s="28" t="s">
        <v>23</v>
      </c>
      <c r="C31" s="25">
        <f>SUBTOTAL(109,Tabla27[MONTO $AR])</f>
        <v>542003</v>
      </c>
      <c r="D31" s="25"/>
      <c r="E31" s="26">
        <f>SUBTOTAL(109,Tabla27[MONTO U$s])</f>
        <v>421.13675213675214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31"/>
  <sheetViews>
    <sheetView zoomScaleNormal="100" workbookViewId="0">
      <selection activeCell="A2" sqref="A2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16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45662</v>
      </c>
      <c r="B4" s="28" t="s">
        <v>30</v>
      </c>
      <c r="C4" s="25">
        <v>50000</v>
      </c>
      <c r="D4" s="25">
        <v>1123</v>
      </c>
      <c r="E4" s="26">
        <f>IF(Tabla2[[#This Row],[COTIZ U$s]]="","",Tabla2[[#This Row],[MONTO $AR]]/Tabla2[[#This Row],[COTIZ U$s]])</f>
        <v>44.523597506678541</v>
      </c>
    </row>
    <row r="5" spans="1:5">
      <c r="A5" s="27">
        <v>45663</v>
      </c>
      <c r="B5" s="28" t="s">
        <v>35</v>
      </c>
      <c r="C5" s="25">
        <v>452000</v>
      </c>
      <c r="D5" s="25">
        <v>1350</v>
      </c>
      <c r="E5" s="26">
        <f>IF(Tabla2[[#This Row],[COTIZ U$s]]="","",Tabla2[[#This Row],[MONTO $AR]]/Tabla2[[#This Row],[COTIZ U$s]])</f>
        <v>334.81481481481484</v>
      </c>
    </row>
    <row r="6" spans="1:5">
      <c r="A6" s="27">
        <v>45664</v>
      </c>
      <c r="B6" s="28" t="s">
        <v>36</v>
      </c>
      <c r="C6" s="25">
        <v>50000</v>
      </c>
      <c r="D6" s="25">
        <v>1223</v>
      </c>
      <c r="E6" s="26">
        <f>IF(Tabla2[[#This Row],[COTIZ U$s]]="","",Tabla2[[#This Row],[MONTO $AR]]/Tabla2[[#This Row],[COTIZ U$s]])</f>
        <v>40.883074407195423</v>
      </c>
    </row>
    <row r="7" spans="1:5">
      <c r="A7" s="27">
        <v>45665</v>
      </c>
      <c r="B7" s="28" t="s">
        <v>39</v>
      </c>
      <c r="C7" s="25">
        <v>452000</v>
      </c>
      <c r="D7" s="25">
        <v>1322</v>
      </c>
      <c r="E7" s="26">
        <f>IF(Tabla2[[#This Row],[COTIZ U$s]]="","",Tabla2[[#This Row],[MONTO $AR]]/Tabla2[[#This Row],[COTIZ U$s]])</f>
        <v>341.90620272314675</v>
      </c>
    </row>
    <row r="8" spans="1:5">
      <c r="A8" s="27">
        <v>45665</v>
      </c>
      <c r="B8" s="28" t="s">
        <v>44</v>
      </c>
      <c r="C8" s="25">
        <v>654654</v>
      </c>
      <c r="D8" s="25">
        <v>874</v>
      </c>
      <c r="E8" s="26">
        <f>IF(Tabla2[[#This Row],[COTIZ U$s]]="","",Tabla2[[#This Row],[MONTO $AR]]/Tabla2[[#This Row],[COTIZ U$s]])</f>
        <v>749.03203661327234</v>
      </c>
    </row>
    <row r="9" spans="1:5">
      <c r="A9" s="27"/>
      <c r="B9" s="28"/>
      <c r="C9" s="25"/>
      <c r="D9" s="25"/>
      <c r="E9" s="26" t="str">
        <f>IF(Tabla2[[#This Row],[COTIZ U$s]]="","",Tabla2[[#This Row],[MONTO $AR]]/Tabla2[[#This Row],[COTIZ U$s]])</f>
        <v/>
      </c>
    </row>
    <row r="10" spans="1:5">
      <c r="A10" s="27"/>
      <c r="B10" s="28"/>
      <c r="C10" s="25"/>
      <c r="D10" s="25"/>
      <c r="E10" s="26" t="str">
        <f>IF(Tabla2[[#This Row],[COTIZ U$s]]="","",Tabla2[[#This Row],[MONTO $AR]]/Tabla2[[#This Row],[COTIZ U$s]])</f>
        <v/>
      </c>
    </row>
    <row r="11" spans="1:5">
      <c r="A11" s="27"/>
      <c r="B11" s="28"/>
      <c r="C11" s="25"/>
      <c r="D11" s="25"/>
      <c r="E11" s="26" t="str">
        <f>IF(Tabla2[[#This Row],[COTIZ U$s]]="","",Tabla2[[#This Row],[MONTO $AR]]/Tabla2[[#This Row],[COTIZ U$s]])</f>
        <v/>
      </c>
    </row>
    <row r="12" spans="1:5">
      <c r="A12" s="27"/>
      <c r="B12" s="28"/>
      <c r="C12" s="25"/>
      <c r="D12" s="25"/>
      <c r="E12" s="26" t="str">
        <f>IF(Tabla2[[#This Row],[COTIZ U$s]]="","",Tabla2[[#This Row],[MONTO $AR]]/Tabla2[[#This Row],[COTIZ U$s]])</f>
        <v/>
      </c>
    </row>
    <row r="13" spans="1:5">
      <c r="A13" s="27"/>
      <c r="B13" s="28"/>
      <c r="C13" s="25"/>
      <c r="D13" s="25"/>
      <c r="E13" s="26" t="str">
        <f>IF(Tabla2[[#This Row],[COTIZ U$s]]="","",Tabla2[[#This Row],[MONTO $AR]]/Tabla2[[#This Row],[COTIZ U$s]])</f>
        <v/>
      </c>
    </row>
    <row r="14" spans="1:5">
      <c r="A14" s="27"/>
      <c r="B14" s="28"/>
      <c r="C14" s="25"/>
      <c r="D14" s="25"/>
      <c r="E14" s="26" t="str">
        <f>IF(Tabla2[[#This Row],[COTIZ U$s]]="","",Tabla2[[#This Row],[MONTO $AR]]/Tabla2[[#This Row],[COTIZ U$s]])</f>
        <v/>
      </c>
    </row>
    <row r="15" spans="1:5">
      <c r="A15" s="27"/>
      <c r="B15" s="28"/>
      <c r="C15" s="25"/>
      <c r="D15" s="25"/>
      <c r="E15" s="26" t="str">
        <f>IF(Tabla2[[#This Row],[COTIZ U$s]]="","",Tabla2[[#This Row],[MONTO $AR]]/Tabla2[[#This Row],[COTIZ U$s]])</f>
        <v/>
      </c>
    </row>
    <row r="16" spans="1:5">
      <c r="A16" s="27"/>
      <c r="B16" s="28"/>
      <c r="C16" s="25"/>
      <c r="D16" s="25"/>
      <c r="E16" s="26" t="str">
        <f>IF(Tabla2[[#This Row],[COTIZ U$s]]="","",Tabla2[[#This Row],[MONTO $AR]]/Tabla2[[#This Row],[COTIZ U$s]])</f>
        <v/>
      </c>
    </row>
    <row r="17" spans="1:5">
      <c r="A17" s="27"/>
      <c r="B17" s="28"/>
      <c r="C17" s="25"/>
      <c r="D17" s="25"/>
      <c r="E17" s="26" t="str">
        <f>IF(Tabla2[[#This Row],[COTIZ U$s]]="","",Tabla2[[#This Row],[MONTO $AR]]/Tabla2[[#This Row],[COTIZ U$s]])</f>
        <v/>
      </c>
    </row>
    <row r="18" spans="1:5">
      <c r="A18" s="27"/>
      <c r="B18" s="28"/>
      <c r="C18" s="25"/>
      <c r="D18" s="25"/>
      <c r="E18" s="26" t="str">
        <f>IF(Tabla2[[#This Row],[COTIZ U$s]]="","",Tabla2[[#This Row],[MONTO $AR]]/Tabla2[[#This Row],[COTIZ U$s]])</f>
        <v/>
      </c>
    </row>
    <row r="19" spans="1:5">
      <c r="A19" s="27"/>
      <c r="B19" s="28"/>
      <c r="C19" s="25"/>
      <c r="D19" s="25"/>
      <c r="E19" s="26" t="str">
        <f>IF(Tabla2[[#This Row],[COTIZ U$s]]="","",Tabla2[[#This Row],[MONTO $AR]]/Tabla2[[#This Row],[COTIZ U$s]])</f>
        <v/>
      </c>
    </row>
    <row r="20" spans="1:5">
      <c r="A20" s="27"/>
      <c r="B20" s="28"/>
      <c r="C20" s="25"/>
      <c r="D20" s="25"/>
      <c r="E20" s="26" t="str">
        <f>IF(Tabla2[[#This Row],[COTIZ U$s]]="","",Tabla2[[#This Row],[MONTO $AR]]/Tabla2[[#This Row],[COTIZ U$s]])</f>
        <v/>
      </c>
    </row>
    <row r="21" spans="1:5">
      <c r="A21" s="27"/>
      <c r="B21" s="28"/>
      <c r="C21" s="25"/>
      <c r="D21" s="25"/>
      <c r="E21" s="26" t="str">
        <f>IF(Tabla2[[#This Row],[COTIZ U$s]]="","",Tabla2[[#This Row],[MONTO $AR]]/Tabla2[[#This Row],[COTIZ U$s]])</f>
        <v/>
      </c>
    </row>
    <row r="22" spans="1:5">
      <c r="A22" s="27"/>
      <c r="B22" s="28"/>
      <c r="C22" s="25"/>
      <c r="D22" s="25"/>
      <c r="E22" s="26" t="str">
        <f>IF(Tabla2[[#This Row],[COTIZ U$s]]="","",Tabla2[[#This Row],[MONTO $AR]]/Tabla2[[#This Row],[COTIZ U$s]])</f>
        <v/>
      </c>
    </row>
    <row r="23" spans="1:5">
      <c r="A23" s="27"/>
      <c r="B23" s="28"/>
      <c r="C23" s="25"/>
      <c r="D23" s="25"/>
      <c r="E23" s="26" t="str">
        <f>IF(Tabla2[[#This Row],[COTIZ U$s]]="","",Tabla2[[#This Row],[MONTO $AR]]/Tabla2[[#This Row],[COTIZ U$s]])</f>
        <v/>
      </c>
    </row>
    <row r="24" spans="1:5">
      <c r="A24" s="27"/>
      <c r="B24" s="28"/>
      <c r="C24" s="25"/>
      <c r="D24" s="25"/>
      <c r="E24" s="26" t="str">
        <f>IF(Tabla2[[#This Row],[COTIZ U$s]]="","",Tabla2[[#This Row],[MONTO $AR]]/Tabla2[[#This Row],[COTIZ U$s]])</f>
        <v/>
      </c>
    </row>
    <row r="25" spans="1:5">
      <c r="A25" s="27"/>
      <c r="B25" s="28"/>
      <c r="C25" s="25"/>
      <c r="D25" s="25"/>
      <c r="E25" s="26" t="str">
        <f>IF(Tabla2[[#This Row],[COTIZ U$s]]="","",Tabla2[[#This Row],[MONTO $AR]]/Tabla2[[#This Row],[COTIZ U$s]])</f>
        <v/>
      </c>
    </row>
    <row r="26" spans="1:5">
      <c r="A26" s="27"/>
      <c r="B26" s="28"/>
      <c r="C26" s="25"/>
      <c r="D26" s="25"/>
      <c r="E26" s="26" t="str">
        <f>IF(Tabla2[[#This Row],[COTIZ U$s]]="","",Tabla2[[#This Row],[MONTO $AR]]/Tabla2[[#This Row],[COTIZ U$s]])</f>
        <v/>
      </c>
    </row>
    <row r="27" spans="1:5">
      <c r="A27" s="27"/>
      <c r="B27" s="28"/>
      <c r="C27" s="25"/>
      <c r="D27" s="25"/>
      <c r="E27" s="26" t="str">
        <f>IF(Tabla2[[#This Row],[COTIZ U$s]]="","",Tabla2[[#This Row],[MONTO $AR]]/Tabla2[[#This Row],[COTIZ U$s]])</f>
        <v/>
      </c>
    </row>
    <row r="28" spans="1:5">
      <c r="A28" s="27"/>
      <c r="B28" s="28"/>
      <c r="C28" s="25"/>
      <c r="D28" s="25"/>
      <c r="E28" s="26" t="str">
        <f>IF(Tabla2[[#This Row],[COTIZ U$s]]="","",Tabla2[[#This Row],[MONTO $AR]]/Tabla2[[#This Row],[COTIZ U$s]])</f>
        <v/>
      </c>
    </row>
    <row r="29" spans="1:5">
      <c r="A29" s="27"/>
      <c r="B29" s="28"/>
      <c r="C29" s="25"/>
      <c r="D29" s="25"/>
      <c r="E29" s="26" t="str">
        <f>IF(Tabla2[[#This Row],[COTIZ U$s]]="","",Tabla2[[#This Row],[MONTO $AR]]/Tabla2[[#This Row],[COTIZ U$s]])</f>
        <v/>
      </c>
    </row>
    <row r="30" spans="1:5">
      <c r="A30" s="27"/>
      <c r="B30" s="28"/>
      <c r="C30" s="25"/>
      <c r="D30" s="25"/>
      <c r="E30" s="26" t="str">
        <f>IF(Tabla2[[#This Row],[COTIZ U$s]]="","",Tabla2[[#This Row],[MONTO $AR]]/Tabla2[[#This Row],[COTIZ U$s]])</f>
        <v/>
      </c>
    </row>
    <row r="31" spans="1:5">
      <c r="A31" s="27"/>
      <c r="B31" s="28" t="s">
        <v>23</v>
      </c>
      <c r="C31" s="25">
        <f>SUBTOTAL(109,Tabla2[MONTO $AR])</f>
        <v>1658654</v>
      </c>
      <c r="D31" s="25"/>
      <c r="E31" s="26">
        <f>SUBTOTAL(109,Tabla2[MONTO U$s])</f>
        <v>1511.1597260651079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31"/>
  <sheetViews>
    <sheetView workbookViewId="0">
      <selection activeCell="A2" sqref="A2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26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45693</v>
      </c>
      <c r="B4" s="28" t="s">
        <v>30</v>
      </c>
      <c r="C4" s="25">
        <v>10000</v>
      </c>
      <c r="D4" s="25">
        <v>1123</v>
      </c>
      <c r="E4" s="26">
        <f>IF(Tabla24[[#This Row],[COTIZ U$s]]="","",Tabla24[[#This Row],[MONTO $AR]]/Tabla24[[#This Row],[COTIZ U$s]])</f>
        <v>8.9047195013357072</v>
      </c>
    </row>
    <row r="5" spans="1:5">
      <c r="A5" s="27">
        <v>45694</v>
      </c>
      <c r="B5" s="28" t="s">
        <v>35</v>
      </c>
      <c r="C5" s="25">
        <v>25000</v>
      </c>
      <c r="D5" s="25">
        <v>1269</v>
      </c>
      <c r="E5" s="26">
        <f>IF(Tabla24[[#This Row],[COTIZ U$s]]="","",Tabla24[[#This Row],[MONTO $AR]]/Tabla24[[#This Row],[COTIZ U$s]])</f>
        <v>19.700551615445232</v>
      </c>
    </row>
    <row r="6" spans="1:5">
      <c r="A6" s="27">
        <v>45694</v>
      </c>
      <c r="B6" s="28" t="s">
        <v>36</v>
      </c>
      <c r="C6" s="25">
        <v>10000</v>
      </c>
      <c r="D6" s="25">
        <v>1219</v>
      </c>
      <c r="E6" s="26">
        <f>IF(Tabla24[[#This Row],[COTIZ U$s]]="","",Tabla24[[#This Row],[MONTO $AR]]/Tabla24[[#This Row],[COTIZ U$s]])</f>
        <v>8.2034454470877769</v>
      </c>
    </row>
    <row r="7" spans="1:5">
      <c r="A7" s="27">
        <v>45694</v>
      </c>
      <c r="B7" s="28" t="s">
        <v>39</v>
      </c>
      <c r="C7" s="25">
        <v>65468</v>
      </c>
      <c r="D7" s="25">
        <v>1212</v>
      </c>
      <c r="E7" s="26">
        <f>IF(Tabla24[[#This Row],[COTIZ U$s]]="","",Tabla24[[#This Row],[MONTO $AR]]/Tabla24[[#This Row],[COTIZ U$s]])</f>
        <v>54.016501650165019</v>
      </c>
    </row>
    <row r="8" spans="1:5">
      <c r="A8" s="27"/>
      <c r="B8" s="28"/>
      <c r="C8" s="25"/>
      <c r="D8" s="25"/>
      <c r="E8" s="26" t="str">
        <f>IF(Tabla24[[#This Row],[COTIZ U$s]]="","",Tabla24[[#This Row],[MONTO $AR]]/Tabla24[[#This Row],[COTIZ U$s]])</f>
        <v/>
      </c>
    </row>
    <row r="9" spans="1:5">
      <c r="A9" s="27"/>
      <c r="B9" s="28"/>
      <c r="C9" s="25"/>
      <c r="D9" s="25"/>
      <c r="E9" s="26" t="str">
        <f>IF(Tabla24[[#This Row],[COTIZ U$s]]="","",Tabla24[[#This Row],[MONTO $AR]]/Tabla24[[#This Row],[COTIZ U$s]])</f>
        <v/>
      </c>
    </row>
    <row r="10" spans="1:5">
      <c r="A10" s="27"/>
      <c r="B10" s="28"/>
      <c r="C10" s="25"/>
      <c r="D10" s="25"/>
      <c r="E10" s="26" t="str">
        <f>IF(Tabla24[[#This Row],[COTIZ U$s]]="","",Tabla24[[#This Row],[MONTO $AR]]/Tabla24[[#This Row],[COTIZ U$s]])</f>
        <v/>
      </c>
    </row>
    <row r="11" spans="1:5">
      <c r="A11" s="27"/>
      <c r="B11" s="28"/>
      <c r="C11" s="25"/>
      <c r="D11" s="25"/>
      <c r="E11" s="26" t="str">
        <f>IF(Tabla24[[#This Row],[COTIZ U$s]]="","",Tabla24[[#This Row],[MONTO $AR]]/Tabla24[[#This Row],[COTIZ U$s]])</f>
        <v/>
      </c>
    </row>
    <row r="12" spans="1:5">
      <c r="A12" s="27"/>
      <c r="B12" s="28"/>
      <c r="C12" s="25"/>
      <c r="D12" s="25"/>
      <c r="E12" s="26" t="str">
        <f>IF(Tabla24[[#This Row],[COTIZ U$s]]="","",Tabla24[[#This Row],[MONTO $AR]]/Tabla24[[#This Row],[COTIZ U$s]])</f>
        <v/>
      </c>
    </row>
    <row r="13" spans="1:5">
      <c r="A13" s="27"/>
      <c r="B13" s="28"/>
      <c r="C13" s="25"/>
      <c r="D13" s="25"/>
      <c r="E13" s="26" t="str">
        <f>IF(Tabla24[[#This Row],[COTIZ U$s]]="","",Tabla24[[#This Row],[MONTO $AR]]/Tabla24[[#This Row],[COTIZ U$s]])</f>
        <v/>
      </c>
    </row>
    <row r="14" spans="1:5">
      <c r="A14" s="27"/>
      <c r="B14" s="28"/>
      <c r="C14" s="25"/>
      <c r="D14" s="25"/>
      <c r="E14" s="26" t="str">
        <f>IF(Tabla24[[#This Row],[COTIZ U$s]]="","",Tabla24[[#This Row],[MONTO $AR]]/Tabla24[[#This Row],[COTIZ U$s]])</f>
        <v/>
      </c>
    </row>
    <row r="15" spans="1:5">
      <c r="A15" s="27"/>
      <c r="B15" s="28"/>
      <c r="C15" s="25"/>
      <c r="D15" s="25"/>
      <c r="E15" s="26" t="str">
        <f>IF(Tabla24[[#This Row],[COTIZ U$s]]="","",Tabla24[[#This Row],[MONTO $AR]]/Tabla24[[#This Row],[COTIZ U$s]])</f>
        <v/>
      </c>
    </row>
    <row r="16" spans="1:5">
      <c r="A16" s="27"/>
      <c r="B16" s="28"/>
      <c r="C16" s="25"/>
      <c r="D16" s="25"/>
      <c r="E16" s="26" t="str">
        <f>IF(Tabla24[[#This Row],[COTIZ U$s]]="","",Tabla24[[#This Row],[MONTO $AR]]/Tabla24[[#This Row],[COTIZ U$s]])</f>
        <v/>
      </c>
    </row>
    <row r="17" spans="1:5">
      <c r="A17" s="27"/>
      <c r="B17" s="28"/>
      <c r="C17" s="25"/>
      <c r="D17" s="25"/>
      <c r="E17" s="26" t="str">
        <f>IF(Tabla24[[#This Row],[COTIZ U$s]]="","",Tabla24[[#This Row],[MONTO $AR]]/Tabla24[[#This Row],[COTIZ U$s]])</f>
        <v/>
      </c>
    </row>
    <row r="18" spans="1:5">
      <c r="A18" s="27"/>
      <c r="B18" s="28"/>
      <c r="C18" s="25"/>
      <c r="D18" s="25"/>
      <c r="E18" s="26" t="str">
        <f>IF(Tabla24[[#This Row],[COTIZ U$s]]="","",Tabla24[[#This Row],[MONTO $AR]]/Tabla24[[#This Row],[COTIZ U$s]])</f>
        <v/>
      </c>
    </row>
    <row r="19" spans="1:5">
      <c r="A19" s="27"/>
      <c r="B19" s="28"/>
      <c r="C19" s="25"/>
      <c r="D19" s="25"/>
      <c r="E19" s="26" t="str">
        <f>IF(Tabla24[[#This Row],[COTIZ U$s]]="","",Tabla24[[#This Row],[MONTO $AR]]/Tabla24[[#This Row],[COTIZ U$s]])</f>
        <v/>
      </c>
    </row>
    <row r="20" spans="1:5">
      <c r="A20" s="27"/>
      <c r="B20" s="28"/>
      <c r="C20" s="25"/>
      <c r="D20" s="25"/>
      <c r="E20" s="26" t="str">
        <f>IF(Tabla24[[#This Row],[COTIZ U$s]]="","",Tabla24[[#This Row],[MONTO $AR]]/Tabla24[[#This Row],[COTIZ U$s]])</f>
        <v/>
      </c>
    </row>
    <row r="21" spans="1:5">
      <c r="A21" s="27"/>
      <c r="B21" s="28"/>
      <c r="C21" s="25"/>
      <c r="D21" s="25"/>
      <c r="E21" s="26" t="str">
        <f>IF(Tabla24[[#This Row],[COTIZ U$s]]="","",Tabla24[[#This Row],[MONTO $AR]]/Tabla24[[#This Row],[COTIZ U$s]])</f>
        <v/>
      </c>
    </row>
    <row r="22" spans="1:5">
      <c r="A22" s="27"/>
      <c r="B22" s="28"/>
      <c r="C22" s="25"/>
      <c r="D22" s="25"/>
      <c r="E22" s="26" t="str">
        <f>IF(Tabla24[[#This Row],[COTIZ U$s]]="","",Tabla24[[#This Row],[MONTO $AR]]/Tabla24[[#This Row],[COTIZ U$s]])</f>
        <v/>
      </c>
    </row>
    <row r="23" spans="1:5">
      <c r="A23" s="27"/>
      <c r="B23" s="28"/>
      <c r="C23" s="25"/>
      <c r="D23" s="25"/>
      <c r="E23" s="26" t="str">
        <f>IF(Tabla24[[#This Row],[COTIZ U$s]]="","",Tabla24[[#This Row],[MONTO $AR]]/Tabla24[[#This Row],[COTIZ U$s]])</f>
        <v/>
      </c>
    </row>
    <row r="24" spans="1:5">
      <c r="A24" s="27"/>
      <c r="B24" s="28"/>
      <c r="C24" s="25"/>
      <c r="D24" s="25"/>
      <c r="E24" s="26" t="str">
        <f>IF(Tabla24[[#This Row],[COTIZ U$s]]="","",Tabla24[[#This Row],[MONTO $AR]]/Tabla24[[#This Row],[COTIZ U$s]])</f>
        <v/>
      </c>
    </row>
    <row r="25" spans="1:5">
      <c r="A25" s="27"/>
      <c r="B25" s="28"/>
      <c r="C25" s="25"/>
      <c r="D25" s="25"/>
      <c r="E25" s="26" t="str">
        <f>IF(Tabla24[[#This Row],[COTIZ U$s]]="","",Tabla24[[#This Row],[MONTO $AR]]/Tabla24[[#This Row],[COTIZ U$s]])</f>
        <v/>
      </c>
    </row>
    <row r="26" spans="1:5">
      <c r="A26" s="27"/>
      <c r="B26" s="28"/>
      <c r="C26" s="25"/>
      <c r="D26" s="25"/>
      <c r="E26" s="26" t="str">
        <f>IF(Tabla24[[#This Row],[COTIZ U$s]]="","",Tabla24[[#This Row],[MONTO $AR]]/Tabla24[[#This Row],[COTIZ U$s]])</f>
        <v/>
      </c>
    </row>
    <row r="27" spans="1:5">
      <c r="A27" s="27"/>
      <c r="B27" s="28"/>
      <c r="C27" s="25"/>
      <c r="D27" s="25"/>
      <c r="E27" s="26" t="str">
        <f>IF(Tabla24[[#This Row],[COTIZ U$s]]="","",Tabla24[[#This Row],[MONTO $AR]]/Tabla24[[#This Row],[COTIZ U$s]])</f>
        <v/>
      </c>
    </row>
    <row r="28" spans="1:5">
      <c r="A28" s="27"/>
      <c r="B28" s="28"/>
      <c r="C28" s="25"/>
      <c r="D28" s="25"/>
      <c r="E28" s="26" t="str">
        <f>IF(Tabla24[[#This Row],[COTIZ U$s]]="","",Tabla24[[#This Row],[MONTO $AR]]/Tabla24[[#This Row],[COTIZ U$s]])</f>
        <v/>
      </c>
    </row>
    <row r="29" spans="1:5">
      <c r="A29" s="27"/>
      <c r="B29" s="28"/>
      <c r="C29" s="25"/>
      <c r="D29" s="25"/>
      <c r="E29" s="26" t="str">
        <f>IF(Tabla24[[#This Row],[COTIZ U$s]]="","",Tabla24[[#This Row],[MONTO $AR]]/Tabla24[[#This Row],[COTIZ U$s]])</f>
        <v/>
      </c>
    </row>
    <row r="30" spans="1:5">
      <c r="A30" s="27"/>
      <c r="B30" s="28"/>
      <c r="C30" s="25"/>
      <c r="D30" s="25"/>
      <c r="E30" s="26" t="str">
        <f>IF(Tabla24[[#This Row],[COTIZ U$s]]="","",Tabla24[[#This Row],[MONTO $AR]]/Tabla24[[#This Row],[COTIZ U$s]])</f>
        <v/>
      </c>
    </row>
    <row r="31" spans="1:5">
      <c r="A31" s="27"/>
      <c r="B31" s="28" t="s">
        <v>23</v>
      </c>
      <c r="C31" s="25">
        <f>SUBTOTAL(109,Tabla24[MONTO $AR])</f>
        <v>110468</v>
      </c>
      <c r="D31" s="25"/>
      <c r="E31" s="26">
        <f>SUBTOTAL(109,Tabla24[MONTO U$s])</f>
        <v>90.825218214033725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31"/>
  <sheetViews>
    <sheetView workbookViewId="0">
      <selection activeCell="A2" sqref="A2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27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45721</v>
      </c>
      <c r="B4" s="28" t="s">
        <v>30</v>
      </c>
      <c r="C4" s="25">
        <v>10000</v>
      </c>
      <c r="D4" s="25">
        <v>1123</v>
      </c>
      <c r="E4" s="26">
        <f>IF(Tabla26[[#This Row],[COTIZ U$s]]="","",Tabla26[[#This Row],[MONTO $AR]]/Tabla26[[#This Row],[COTIZ U$s]])</f>
        <v>8.9047195013357072</v>
      </c>
    </row>
    <row r="5" spans="1:5">
      <c r="A5" s="27">
        <v>45721</v>
      </c>
      <c r="B5" s="28" t="s">
        <v>35</v>
      </c>
      <c r="C5" s="25">
        <v>25000</v>
      </c>
      <c r="D5" s="25">
        <v>1269</v>
      </c>
      <c r="E5" s="26">
        <f>IF(Tabla26[[#This Row],[COTIZ U$s]]="","",Tabla26[[#This Row],[MONTO $AR]]/Tabla26[[#This Row],[COTIZ U$s]])</f>
        <v>19.700551615445232</v>
      </c>
    </row>
    <row r="6" spans="1:5">
      <c r="A6" s="27">
        <v>45721</v>
      </c>
      <c r="B6" s="28" t="s">
        <v>36</v>
      </c>
      <c r="C6" s="25">
        <v>10000</v>
      </c>
      <c r="D6" s="25">
        <v>1219</v>
      </c>
      <c r="E6" s="26">
        <f>IF(Tabla26[[#This Row],[COTIZ U$s]]="","",Tabla26[[#This Row],[MONTO $AR]]/Tabla26[[#This Row],[COTIZ U$s]])</f>
        <v>8.2034454470877769</v>
      </c>
    </row>
    <row r="7" spans="1:5">
      <c r="A7" s="27">
        <v>45721</v>
      </c>
      <c r="B7" s="28" t="s">
        <v>39</v>
      </c>
      <c r="C7" s="25">
        <v>65468</v>
      </c>
      <c r="D7" s="25">
        <v>998</v>
      </c>
      <c r="E7" s="26">
        <f>IF(Tabla26[[#This Row],[COTIZ U$s]]="","",Tabla26[[#This Row],[MONTO $AR]]/Tabla26[[#This Row],[COTIZ U$s]])</f>
        <v>65.599198396793582</v>
      </c>
    </row>
    <row r="8" spans="1:5">
      <c r="A8" s="27"/>
      <c r="B8" s="28"/>
      <c r="C8" s="25"/>
      <c r="D8" s="25"/>
      <c r="E8" s="26" t="str">
        <f>IF(Tabla26[[#This Row],[COTIZ U$s]]="","",Tabla26[[#This Row],[MONTO $AR]]/Tabla26[[#This Row],[COTIZ U$s]])</f>
        <v/>
      </c>
    </row>
    <row r="9" spans="1:5">
      <c r="A9" s="27"/>
      <c r="B9" s="28"/>
      <c r="C9" s="25"/>
      <c r="D9" s="25"/>
      <c r="E9" s="26" t="str">
        <f>IF(Tabla26[[#This Row],[COTIZ U$s]]="","",Tabla26[[#This Row],[MONTO $AR]]/Tabla26[[#This Row],[COTIZ U$s]])</f>
        <v/>
      </c>
    </row>
    <row r="10" spans="1:5">
      <c r="A10" s="27"/>
      <c r="B10" s="28"/>
      <c r="C10" s="25"/>
      <c r="D10" s="25"/>
      <c r="E10" s="26" t="str">
        <f>IF(Tabla26[[#This Row],[COTIZ U$s]]="","",Tabla26[[#This Row],[MONTO $AR]]/Tabla26[[#This Row],[COTIZ U$s]])</f>
        <v/>
      </c>
    </row>
    <row r="11" spans="1:5">
      <c r="A11" s="27"/>
      <c r="B11" s="28"/>
      <c r="C11" s="25"/>
      <c r="D11" s="25"/>
      <c r="E11" s="26" t="str">
        <f>IF(Tabla26[[#This Row],[COTIZ U$s]]="","",Tabla26[[#This Row],[MONTO $AR]]/Tabla26[[#This Row],[COTIZ U$s]])</f>
        <v/>
      </c>
    </row>
    <row r="12" spans="1:5">
      <c r="A12" s="27"/>
      <c r="B12" s="28"/>
      <c r="C12" s="25"/>
      <c r="D12" s="25"/>
      <c r="E12" s="26" t="str">
        <f>IF(Tabla26[[#This Row],[COTIZ U$s]]="","",Tabla26[[#This Row],[MONTO $AR]]/Tabla26[[#This Row],[COTIZ U$s]])</f>
        <v/>
      </c>
    </row>
    <row r="13" spans="1:5">
      <c r="A13" s="27"/>
      <c r="B13" s="28"/>
      <c r="C13" s="25"/>
      <c r="D13" s="25"/>
      <c r="E13" s="26" t="str">
        <f>IF(Tabla26[[#This Row],[COTIZ U$s]]="","",Tabla26[[#This Row],[MONTO $AR]]/Tabla26[[#This Row],[COTIZ U$s]])</f>
        <v/>
      </c>
    </row>
    <row r="14" spans="1:5">
      <c r="A14" s="27"/>
      <c r="B14" s="28"/>
      <c r="C14" s="25"/>
      <c r="D14" s="25"/>
      <c r="E14" s="26" t="str">
        <f>IF(Tabla26[[#This Row],[COTIZ U$s]]="","",Tabla26[[#This Row],[MONTO $AR]]/Tabla26[[#This Row],[COTIZ U$s]])</f>
        <v/>
      </c>
    </row>
    <row r="15" spans="1:5">
      <c r="A15" s="27"/>
      <c r="B15" s="28"/>
      <c r="C15" s="25"/>
      <c r="D15" s="25"/>
      <c r="E15" s="26" t="str">
        <f>IF(Tabla26[[#This Row],[COTIZ U$s]]="","",Tabla26[[#This Row],[MONTO $AR]]/Tabla26[[#This Row],[COTIZ U$s]])</f>
        <v/>
      </c>
    </row>
    <row r="16" spans="1:5">
      <c r="A16" s="27"/>
      <c r="B16" s="28"/>
      <c r="C16" s="25"/>
      <c r="D16" s="25"/>
      <c r="E16" s="26" t="str">
        <f>IF(Tabla26[[#This Row],[COTIZ U$s]]="","",Tabla26[[#This Row],[MONTO $AR]]/Tabla26[[#This Row],[COTIZ U$s]])</f>
        <v/>
      </c>
    </row>
    <row r="17" spans="1:5">
      <c r="A17" s="27"/>
      <c r="B17" s="28"/>
      <c r="C17" s="25"/>
      <c r="D17" s="25"/>
      <c r="E17" s="26" t="str">
        <f>IF(Tabla26[[#This Row],[COTIZ U$s]]="","",Tabla26[[#This Row],[MONTO $AR]]/Tabla26[[#This Row],[COTIZ U$s]])</f>
        <v/>
      </c>
    </row>
    <row r="18" spans="1:5">
      <c r="A18" s="27"/>
      <c r="B18" s="28"/>
      <c r="C18" s="25"/>
      <c r="D18" s="25"/>
      <c r="E18" s="26" t="str">
        <f>IF(Tabla26[[#This Row],[COTIZ U$s]]="","",Tabla26[[#This Row],[MONTO $AR]]/Tabla26[[#This Row],[COTIZ U$s]])</f>
        <v/>
      </c>
    </row>
    <row r="19" spans="1:5">
      <c r="A19" s="27"/>
      <c r="B19" s="28"/>
      <c r="C19" s="25"/>
      <c r="D19" s="25"/>
      <c r="E19" s="26" t="str">
        <f>IF(Tabla26[[#This Row],[COTIZ U$s]]="","",Tabla26[[#This Row],[MONTO $AR]]/Tabla26[[#This Row],[COTIZ U$s]])</f>
        <v/>
      </c>
    </row>
    <row r="20" spans="1:5">
      <c r="A20" s="27"/>
      <c r="B20" s="28"/>
      <c r="C20" s="25"/>
      <c r="D20" s="25"/>
      <c r="E20" s="26" t="str">
        <f>IF(Tabla26[[#This Row],[COTIZ U$s]]="","",Tabla26[[#This Row],[MONTO $AR]]/Tabla26[[#This Row],[COTIZ U$s]])</f>
        <v/>
      </c>
    </row>
    <row r="21" spans="1:5">
      <c r="A21" s="27"/>
      <c r="B21" s="28"/>
      <c r="C21" s="25"/>
      <c r="D21" s="25"/>
      <c r="E21" s="26" t="str">
        <f>IF(Tabla26[[#This Row],[COTIZ U$s]]="","",Tabla26[[#This Row],[MONTO $AR]]/Tabla26[[#This Row],[COTIZ U$s]])</f>
        <v/>
      </c>
    </row>
    <row r="22" spans="1:5">
      <c r="A22" s="27"/>
      <c r="B22" s="28"/>
      <c r="C22" s="25"/>
      <c r="D22" s="25"/>
      <c r="E22" s="26" t="str">
        <f>IF(Tabla26[[#This Row],[COTIZ U$s]]="","",Tabla26[[#This Row],[MONTO $AR]]/Tabla26[[#This Row],[COTIZ U$s]])</f>
        <v/>
      </c>
    </row>
    <row r="23" spans="1:5">
      <c r="A23" s="27"/>
      <c r="B23" s="28"/>
      <c r="C23" s="25"/>
      <c r="D23" s="25"/>
      <c r="E23" s="26" t="str">
        <f>IF(Tabla26[[#This Row],[COTIZ U$s]]="","",Tabla26[[#This Row],[MONTO $AR]]/Tabla26[[#This Row],[COTIZ U$s]])</f>
        <v/>
      </c>
    </row>
    <row r="24" spans="1:5">
      <c r="A24" s="27"/>
      <c r="B24" s="28"/>
      <c r="C24" s="25"/>
      <c r="D24" s="25"/>
      <c r="E24" s="26" t="str">
        <f>IF(Tabla26[[#This Row],[COTIZ U$s]]="","",Tabla26[[#This Row],[MONTO $AR]]/Tabla26[[#This Row],[COTIZ U$s]])</f>
        <v/>
      </c>
    </row>
    <row r="25" spans="1:5">
      <c r="A25" s="27"/>
      <c r="B25" s="28"/>
      <c r="C25" s="25"/>
      <c r="D25" s="25"/>
      <c r="E25" s="26" t="str">
        <f>IF(Tabla26[[#This Row],[COTIZ U$s]]="","",Tabla26[[#This Row],[MONTO $AR]]/Tabla26[[#This Row],[COTIZ U$s]])</f>
        <v/>
      </c>
    </row>
    <row r="26" spans="1:5">
      <c r="A26" s="27"/>
      <c r="B26" s="28"/>
      <c r="C26" s="25"/>
      <c r="D26" s="25"/>
      <c r="E26" s="26" t="str">
        <f>IF(Tabla26[[#This Row],[COTIZ U$s]]="","",Tabla26[[#This Row],[MONTO $AR]]/Tabla26[[#This Row],[COTIZ U$s]])</f>
        <v/>
      </c>
    </row>
    <row r="27" spans="1:5">
      <c r="A27" s="27"/>
      <c r="B27" s="28"/>
      <c r="C27" s="25"/>
      <c r="D27" s="25"/>
      <c r="E27" s="26" t="str">
        <f>IF(Tabla26[[#This Row],[COTIZ U$s]]="","",Tabla26[[#This Row],[MONTO $AR]]/Tabla26[[#This Row],[COTIZ U$s]])</f>
        <v/>
      </c>
    </row>
    <row r="28" spans="1:5">
      <c r="A28" s="27"/>
      <c r="B28" s="28"/>
      <c r="C28" s="25"/>
      <c r="D28" s="25"/>
      <c r="E28" s="26" t="str">
        <f>IF(Tabla26[[#This Row],[COTIZ U$s]]="","",Tabla26[[#This Row],[MONTO $AR]]/Tabla26[[#This Row],[COTIZ U$s]])</f>
        <v/>
      </c>
    </row>
    <row r="29" spans="1:5">
      <c r="A29" s="27"/>
      <c r="B29" s="28"/>
      <c r="C29" s="25"/>
      <c r="D29" s="25"/>
      <c r="E29" s="26" t="str">
        <f>IF(Tabla26[[#This Row],[COTIZ U$s]]="","",Tabla26[[#This Row],[MONTO $AR]]/Tabla26[[#This Row],[COTIZ U$s]])</f>
        <v/>
      </c>
    </row>
    <row r="30" spans="1:5">
      <c r="A30" s="27"/>
      <c r="B30" s="28"/>
      <c r="C30" s="25"/>
      <c r="D30" s="25"/>
      <c r="E30" s="26" t="str">
        <f>IF(Tabla26[[#This Row],[COTIZ U$s]]="","",Tabla26[[#This Row],[MONTO $AR]]/Tabla26[[#This Row],[COTIZ U$s]])</f>
        <v/>
      </c>
    </row>
    <row r="31" spans="1:5">
      <c r="A31" s="27"/>
      <c r="B31" s="28" t="s">
        <v>23</v>
      </c>
      <c r="C31" s="25">
        <f>SUBTOTAL(109,Tabla26[MONTO $AR])</f>
        <v>110468</v>
      </c>
      <c r="D31" s="25"/>
      <c r="E31" s="26">
        <f>SUBTOTAL(109,Tabla26[MONTO U$s])</f>
        <v>102.4079149606623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31"/>
  <sheetViews>
    <sheetView workbookViewId="0">
      <selection activeCell="A2" sqref="A2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29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45662</v>
      </c>
      <c r="B4" s="28" t="s">
        <v>30</v>
      </c>
      <c r="C4" s="25">
        <v>50000</v>
      </c>
      <c r="D4" s="25">
        <v>1123</v>
      </c>
      <c r="E4" s="26">
        <f>IF(Tabla268[[#This Row],[COTIZ U$s]]="","",Tabla268[[#This Row],[MONTO $AR]]/Tabla268[[#This Row],[COTIZ U$s]])</f>
        <v>44.523597506678541</v>
      </c>
    </row>
    <row r="5" spans="1:5">
      <c r="A5" s="27">
        <v>45662</v>
      </c>
      <c r="B5" s="28" t="s">
        <v>35</v>
      </c>
      <c r="C5" s="25">
        <v>452000</v>
      </c>
      <c r="D5" s="25">
        <v>1350</v>
      </c>
      <c r="E5" s="26">
        <f>IF(Tabla268[[#This Row],[COTIZ U$s]]="","",Tabla268[[#This Row],[MONTO $AR]]/Tabla268[[#This Row],[COTIZ U$s]])</f>
        <v>334.81481481481484</v>
      </c>
    </row>
    <row r="6" spans="1:5">
      <c r="A6" s="27">
        <v>45662</v>
      </c>
      <c r="B6" s="28" t="s">
        <v>36</v>
      </c>
      <c r="C6" s="25">
        <v>50000</v>
      </c>
      <c r="D6" s="25">
        <v>1223</v>
      </c>
      <c r="E6" s="26">
        <f>IF(Tabla268[[#This Row],[COTIZ U$s]]="","",Tabla268[[#This Row],[MONTO $AR]]/Tabla268[[#This Row],[COTIZ U$s]])</f>
        <v>40.883074407195423</v>
      </c>
    </row>
    <row r="7" spans="1:5">
      <c r="A7" s="27">
        <v>45662</v>
      </c>
      <c r="B7" s="28" t="s">
        <v>39</v>
      </c>
      <c r="C7" s="25">
        <v>452000</v>
      </c>
      <c r="D7" s="25">
        <v>1322</v>
      </c>
      <c r="E7" s="26">
        <f>IF(Tabla268[[#This Row],[COTIZ U$s]]="","",Tabla268[[#This Row],[MONTO $AR]]/Tabla268[[#This Row],[COTIZ U$s]])</f>
        <v>341.90620272314675</v>
      </c>
    </row>
    <row r="8" spans="1:5">
      <c r="A8" s="27"/>
      <c r="B8" s="28"/>
      <c r="C8" s="25"/>
      <c r="D8" s="25"/>
      <c r="E8" s="26" t="str">
        <f>IF(Tabla268[[#This Row],[COTIZ U$s]]="","",Tabla268[[#This Row],[MONTO $AR]]/Tabla268[[#This Row],[COTIZ U$s]])</f>
        <v/>
      </c>
    </row>
    <row r="9" spans="1:5">
      <c r="A9" s="27"/>
      <c r="B9" s="28"/>
      <c r="C9" s="25"/>
      <c r="D9" s="25"/>
      <c r="E9" s="26" t="str">
        <f>IF(Tabla268[[#This Row],[COTIZ U$s]]="","",Tabla268[[#This Row],[MONTO $AR]]/Tabla268[[#This Row],[COTIZ U$s]])</f>
        <v/>
      </c>
    </row>
    <row r="10" spans="1:5">
      <c r="A10" s="27"/>
      <c r="B10" s="28"/>
      <c r="C10" s="25"/>
      <c r="D10" s="25"/>
      <c r="E10" s="26" t="str">
        <f>IF(Tabla268[[#This Row],[COTIZ U$s]]="","",Tabla268[[#This Row],[MONTO $AR]]/Tabla268[[#This Row],[COTIZ U$s]])</f>
        <v/>
      </c>
    </row>
    <row r="11" spans="1:5">
      <c r="A11" s="27"/>
      <c r="B11" s="28"/>
      <c r="C11" s="25"/>
      <c r="D11" s="25"/>
      <c r="E11" s="26" t="str">
        <f>IF(Tabla268[[#This Row],[COTIZ U$s]]="","",Tabla268[[#This Row],[MONTO $AR]]/Tabla268[[#This Row],[COTIZ U$s]])</f>
        <v/>
      </c>
    </row>
    <row r="12" spans="1:5">
      <c r="A12" s="27"/>
      <c r="B12" s="28"/>
      <c r="C12" s="25"/>
      <c r="D12" s="25"/>
      <c r="E12" s="26" t="str">
        <f>IF(Tabla268[[#This Row],[COTIZ U$s]]="","",Tabla268[[#This Row],[MONTO $AR]]/Tabla268[[#This Row],[COTIZ U$s]])</f>
        <v/>
      </c>
    </row>
    <row r="13" spans="1:5">
      <c r="A13" s="27"/>
      <c r="B13" s="28"/>
      <c r="C13" s="25"/>
      <c r="D13" s="25"/>
      <c r="E13" s="26" t="str">
        <f>IF(Tabla268[[#This Row],[COTIZ U$s]]="","",Tabla268[[#This Row],[MONTO $AR]]/Tabla268[[#This Row],[COTIZ U$s]])</f>
        <v/>
      </c>
    </row>
    <row r="14" spans="1:5">
      <c r="A14" s="27"/>
      <c r="B14" s="28"/>
      <c r="C14" s="25"/>
      <c r="D14" s="25"/>
      <c r="E14" s="26" t="str">
        <f>IF(Tabla268[[#This Row],[COTIZ U$s]]="","",Tabla268[[#This Row],[MONTO $AR]]/Tabla268[[#This Row],[COTIZ U$s]])</f>
        <v/>
      </c>
    </row>
    <row r="15" spans="1:5">
      <c r="A15" s="27"/>
      <c r="B15" s="28"/>
      <c r="C15" s="25"/>
      <c r="D15" s="25"/>
      <c r="E15" s="26" t="str">
        <f>IF(Tabla268[[#This Row],[COTIZ U$s]]="","",Tabla268[[#This Row],[MONTO $AR]]/Tabla268[[#This Row],[COTIZ U$s]])</f>
        <v/>
      </c>
    </row>
    <row r="16" spans="1:5">
      <c r="A16" s="27"/>
      <c r="B16" s="28"/>
      <c r="C16" s="25"/>
      <c r="D16" s="25"/>
      <c r="E16" s="26" t="str">
        <f>IF(Tabla268[[#This Row],[COTIZ U$s]]="","",Tabla268[[#This Row],[MONTO $AR]]/Tabla268[[#This Row],[COTIZ U$s]])</f>
        <v/>
      </c>
    </row>
    <row r="17" spans="1:5">
      <c r="A17" s="27"/>
      <c r="B17" s="28"/>
      <c r="C17" s="25"/>
      <c r="D17" s="25"/>
      <c r="E17" s="26" t="str">
        <f>IF(Tabla268[[#This Row],[COTIZ U$s]]="","",Tabla268[[#This Row],[MONTO $AR]]/Tabla268[[#This Row],[COTIZ U$s]])</f>
        <v/>
      </c>
    </row>
    <row r="18" spans="1:5">
      <c r="A18" s="27"/>
      <c r="B18" s="28"/>
      <c r="C18" s="25"/>
      <c r="D18" s="25"/>
      <c r="E18" s="26" t="str">
        <f>IF(Tabla268[[#This Row],[COTIZ U$s]]="","",Tabla268[[#This Row],[MONTO $AR]]/Tabla268[[#This Row],[COTIZ U$s]])</f>
        <v/>
      </c>
    </row>
    <row r="19" spans="1:5">
      <c r="A19" s="27"/>
      <c r="B19" s="28"/>
      <c r="C19" s="25"/>
      <c r="D19" s="25"/>
      <c r="E19" s="26" t="str">
        <f>IF(Tabla268[[#This Row],[COTIZ U$s]]="","",Tabla268[[#This Row],[MONTO $AR]]/Tabla268[[#This Row],[COTIZ U$s]])</f>
        <v/>
      </c>
    </row>
    <row r="20" spans="1:5">
      <c r="A20" s="27"/>
      <c r="B20" s="28"/>
      <c r="C20" s="25"/>
      <c r="D20" s="25"/>
      <c r="E20" s="26" t="str">
        <f>IF(Tabla268[[#This Row],[COTIZ U$s]]="","",Tabla268[[#This Row],[MONTO $AR]]/Tabla268[[#This Row],[COTIZ U$s]])</f>
        <v/>
      </c>
    </row>
    <row r="21" spans="1:5">
      <c r="A21" s="27"/>
      <c r="B21" s="28"/>
      <c r="C21" s="25"/>
      <c r="D21" s="25"/>
      <c r="E21" s="26" t="str">
        <f>IF(Tabla268[[#This Row],[COTIZ U$s]]="","",Tabla268[[#This Row],[MONTO $AR]]/Tabla268[[#This Row],[COTIZ U$s]])</f>
        <v/>
      </c>
    </row>
    <row r="22" spans="1:5">
      <c r="A22" s="27"/>
      <c r="B22" s="28"/>
      <c r="C22" s="25"/>
      <c r="D22" s="25"/>
      <c r="E22" s="26" t="str">
        <f>IF(Tabla268[[#This Row],[COTIZ U$s]]="","",Tabla268[[#This Row],[MONTO $AR]]/Tabla268[[#This Row],[COTIZ U$s]])</f>
        <v/>
      </c>
    </row>
    <row r="23" spans="1:5">
      <c r="A23" s="27"/>
      <c r="B23" s="28"/>
      <c r="C23" s="25"/>
      <c r="D23" s="25"/>
      <c r="E23" s="26" t="str">
        <f>IF(Tabla268[[#This Row],[COTIZ U$s]]="","",Tabla268[[#This Row],[MONTO $AR]]/Tabla268[[#This Row],[COTIZ U$s]])</f>
        <v/>
      </c>
    </row>
    <row r="24" spans="1:5">
      <c r="A24" s="27"/>
      <c r="B24" s="28"/>
      <c r="C24" s="25"/>
      <c r="D24" s="25"/>
      <c r="E24" s="26" t="str">
        <f>IF(Tabla268[[#This Row],[COTIZ U$s]]="","",Tabla268[[#This Row],[MONTO $AR]]/Tabla268[[#This Row],[COTIZ U$s]])</f>
        <v/>
      </c>
    </row>
    <row r="25" spans="1:5">
      <c r="A25" s="27"/>
      <c r="B25" s="28"/>
      <c r="C25" s="25"/>
      <c r="D25" s="25"/>
      <c r="E25" s="26" t="str">
        <f>IF(Tabla268[[#This Row],[COTIZ U$s]]="","",Tabla268[[#This Row],[MONTO $AR]]/Tabla268[[#This Row],[COTIZ U$s]])</f>
        <v/>
      </c>
    </row>
    <row r="26" spans="1:5">
      <c r="A26" s="27"/>
      <c r="B26" s="28"/>
      <c r="C26" s="25"/>
      <c r="D26" s="25"/>
      <c r="E26" s="26" t="str">
        <f>IF(Tabla268[[#This Row],[COTIZ U$s]]="","",Tabla268[[#This Row],[MONTO $AR]]/Tabla268[[#This Row],[COTIZ U$s]])</f>
        <v/>
      </c>
    </row>
    <row r="27" spans="1:5">
      <c r="A27" s="27"/>
      <c r="B27" s="28"/>
      <c r="C27" s="25"/>
      <c r="D27" s="25"/>
      <c r="E27" s="26" t="str">
        <f>IF(Tabla268[[#This Row],[COTIZ U$s]]="","",Tabla268[[#This Row],[MONTO $AR]]/Tabla268[[#This Row],[COTIZ U$s]])</f>
        <v/>
      </c>
    </row>
    <row r="28" spans="1:5">
      <c r="A28" s="27"/>
      <c r="B28" s="28"/>
      <c r="C28" s="25"/>
      <c r="D28" s="25"/>
      <c r="E28" s="26" t="str">
        <f>IF(Tabla268[[#This Row],[COTIZ U$s]]="","",Tabla268[[#This Row],[MONTO $AR]]/Tabla268[[#This Row],[COTIZ U$s]])</f>
        <v/>
      </c>
    </row>
    <row r="29" spans="1:5">
      <c r="A29" s="27"/>
      <c r="B29" s="28"/>
      <c r="C29" s="25"/>
      <c r="D29" s="25"/>
      <c r="E29" s="26" t="str">
        <f>IF(Tabla268[[#This Row],[COTIZ U$s]]="","",Tabla268[[#This Row],[MONTO $AR]]/Tabla268[[#This Row],[COTIZ U$s]])</f>
        <v/>
      </c>
    </row>
    <row r="30" spans="1:5">
      <c r="A30" s="27"/>
      <c r="B30" s="28"/>
      <c r="C30" s="25"/>
      <c r="D30" s="25"/>
      <c r="E30" s="26" t="str">
        <f>IF(Tabla268[[#This Row],[COTIZ U$s]]="","",Tabla268[[#This Row],[MONTO $AR]]/Tabla268[[#This Row],[COTIZ U$s]])</f>
        <v/>
      </c>
    </row>
    <row r="31" spans="1:5">
      <c r="A31" s="27"/>
      <c r="B31" s="28" t="s">
        <v>23</v>
      </c>
      <c r="C31" s="25">
        <f>SUBTOTAL(109,Tabla268[MONTO $AR])</f>
        <v>1004000</v>
      </c>
      <c r="D31" s="25"/>
      <c r="E31" s="26">
        <f>SUBTOTAL(109,Tabla268[MONTO U$s])</f>
        <v>762.12768945183552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E31"/>
  <sheetViews>
    <sheetView workbookViewId="0">
      <selection activeCell="A2" sqref="A2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29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45662</v>
      </c>
      <c r="B4" s="28" t="s">
        <v>30</v>
      </c>
      <c r="C4" s="25">
        <v>50000</v>
      </c>
      <c r="D4" s="25">
        <v>1123</v>
      </c>
      <c r="E4" s="26">
        <f>IF(Tabla2689[[#This Row],[COTIZ U$s]]="","",Tabla2689[[#This Row],[MONTO $AR]]/Tabla2689[[#This Row],[COTIZ U$s]])</f>
        <v>44.523597506678541</v>
      </c>
    </row>
    <row r="5" spans="1:5">
      <c r="A5" s="27">
        <v>45662</v>
      </c>
      <c r="B5" s="28" t="s">
        <v>35</v>
      </c>
      <c r="C5" s="25">
        <v>452000</v>
      </c>
      <c r="D5" s="25">
        <v>1350</v>
      </c>
      <c r="E5" s="26">
        <f>IF(Tabla2689[[#This Row],[COTIZ U$s]]="","",Tabla2689[[#This Row],[MONTO $AR]]/Tabla2689[[#This Row],[COTIZ U$s]])</f>
        <v>334.81481481481484</v>
      </c>
    </row>
    <row r="6" spans="1:5">
      <c r="A6" s="27">
        <v>45662</v>
      </c>
      <c r="B6" s="28" t="s">
        <v>36</v>
      </c>
      <c r="C6" s="25">
        <v>50000</v>
      </c>
      <c r="D6" s="25">
        <v>1223</v>
      </c>
      <c r="E6" s="26">
        <f>IF(Tabla2689[[#This Row],[COTIZ U$s]]="","",Tabla2689[[#This Row],[MONTO $AR]]/Tabla2689[[#This Row],[COTIZ U$s]])</f>
        <v>40.883074407195423</v>
      </c>
    </row>
    <row r="7" spans="1:5">
      <c r="A7" s="27">
        <v>45662</v>
      </c>
      <c r="B7" s="28" t="s">
        <v>39</v>
      </c>
      <c r="C7" s="25">
        <v>452000</v>
      </c>
      <c r="D7" s="25">
        <v>1322</v>
      </c>
      <c r="E7" s="26">
        <f>IF(Tabla2689[[#This Row],[COTIZ U$s]]="","",Tabla2689[[#This Row],[MONTO $AR]]/Tabla2689[[#This Row],[COTIZ U$s]])</f>
        <v>341.90620272314675</v>
      </c>
    </row>
    <row r="8" spans="1:5">
      <c r="A8" s="27"/>
      <c r="B8" s="28"/>
      <c r="C8" s="25"/>
      <c r="D8" s="25"/>
      <c r="E8" s="26" t="str">
        <f>IF(Tabla2689[[#This Row],[COTIZ U$s]]="","",Tabla2689[[#This Row],[MONTO $AR]]/Tabla2689[[#This Row],[COTIZ U$s]])</f>
        <v/>
      </c>
    </row>
    <row r="9" spans="1:5">
      <c r="A9" s="27"/>
      <c r="B9" s="28"/>
      <c r="C9" s="25"/>
      <c r="D9" s="25"/>
      <c r="E9" s="26" t="str">
        <f>IF(Tabla2689[[#This Row],[COTIZ U$s]]="","",Tabla2689[[#This Row],[MONTO $AR]]/Tabla2689[[#This Row],[COTIZ U$s]])</f>
        <v/>
      </c>
    </row>
    <row r="10" spans="1:5">
      <c r="A10" s="27"/>
      <c r="B10" s="28"/>
      <c r="C10" s="25"/>
      <c r="D10" s="25"/>
      <c r="E10" s="26" t="str">
        <f>IF(Tabla2689[[#This Row],[COTIZ U$s]]="","",Tabla2689[[#This Row],[MONTO $AR]]/Tabla2689[[#This Row],[COTIZ U$s]])</f>
        <v/>
      </c>
    </row>
    <row r="11" spans="1:5">
      <c r="A11" s="27"/>
      <c r="B11" s="28"/>
      <c r="C11" s="25"/>
      <c r="D11" s="25"/>
      <c r="E11" s="26" t="str">
        <f>IF(Tabla2689[[#This Row],[COTIZ U$s]]="","",Tabla2689[[#This Row],[MONTO $AR]]/Tabla2689[[#This Row],[COTIZ U$s]])</f>
        <v/>
      </c>
    </row>
    <row r="12" spans="1:5">
      <c r="A12" s="27"/>
      <c r="B12" s="28"/>
      <c r="C12" s="25"/>
      <c r="D12" s="25"/>
      <c r="E12" s="26" t="str">
        <f>IF(Tabla2689[[#This Row],[COTIZ U$s]]="","",Tabla2689[[#This Row],[MONTO $AR]]/Tabla2689[[#This Row],[COTIZ U$s]])</f>
        <v/>
      </c>
    </row>
    <row r="13" spans="1:5">
      <c r="A13" s="27"/>
      <c r="B13" s="28"/>
      <c r="C13" s="25"/>
      <c r="D13" s="25"/>
      <c r="E13" s="26" t="str">
        <f>IF(Tabla2689[[#This Row],[COTIZ U$s]]="","",Tabla2689[[#This Row],[MONTO $AR]]/Tabla2689[[#This Row],[COTIZ U$s]])</f>
        <v/>
      </c>
    </row>
    <row r="14" spans="1:5">
      <c r="A14" s="27"/>
      <c r="B14" s="28"/>
      <c r="C14" s="25"/>
      <c r="D14" s="25"/>
      <c r="E14" s="26" t="str">
        <f>IF(Tabla2689[[#This Row],[COTIZ U$s]]="","",Tabla2689[[#This Row],[MONTO $AR]]/Tabla2689[[#This Row],[COTIZ U$s]])</f>
        <v/>
      </c>
    </row>
    <row r="15" spans="1:5">
      <c r="A15" s="27"/>
      <c r="B15" s="28"/>
      <c r="C15" s="25"/>
      <c r="D15" s="25"/>
      <c r="E15" s="26" t="str">
        <f>IF(Tabla2689[[#This Row],[COTIZ U$s]]="","",Tabla2689[[#This Row],[MONTO $AR]]/Tabla2689[[#This Row],[COTIZ U$s]])</f>
        <v/>
      </c>
    </row>
    <row r="16" spans="1:5">
      <c r="A16" s="27"/>
      <c r="B16" s="28"/>
      <c r="C16" s="25"/>
      <c r="D16" s="25"/>
      <c r="E16" s="26" t="str">
        <f>IF(Tabla2689[[#This Row],[COTIZ U$s]]="","",Tabla2689[[#This Row],[MONTO $AR]]/Tabla2689[[#This Row],[COTIZ U$s]])</f>
        <v/>
      </c>
    </row>
    <row r="17" spans="1:5">
      <c r="A17" s="27"/>
      <c r="B17" s="28"/>
      <c r="C17" s="25"/>
      <c r="D17" s="25"/>
      <c r="E17" s="26" t="str">
        <f>IF(Tabla2689[[#This Row],[COTIZ U$s]]="","",Tabla2689[[#This Row],[MONTO $AR]]/Tabla2689[[#This Row],[COTIZ U$s]])</f>
        <v/>
      </c>
    </row>
    <row r="18" spans="1:5">
      <c r="A18" s="27"/>
      <c r="B18" s="28"/>
      <c r="C18" s="25"/>
      <c r="D18" s="25"/>
      <c r="E18" s="26" t="str">
        <f>IF(Tabla2689[[#This Row],[COTIZ U$s]]="","",Tabla2689[[#This Row],[MONTO $AR]]/Tabla2689[[#This Row],[COTIZ U$s]])</f>
        <v/>
      </c>
    </row>
    <row r="19" spans="1:5">
      <c r="A19" s="27"/>
      <c r="B19" s="28"/>
      <c r="C19" s="25"/>
      <c r="D19" s="25"/>
      <c r="E19" s="26" t="str">
        <f>IF(Tabla2689[[#This Row],[COTIZ U$s]]="","",Tabla2689[[#This Row],[MONTO $AR]]/Tabla2689[[#This Row],[COTIZ U$s]])</f>
        <v/>
      </c>
    </row>
    <row r="20" spans="1:5">
      <c r="A20" s="27"/>
      <c r="B20" s="28"/>
      <c r="C20" s="25"/>
      <c r="D20" s="25"/>
      <c r="E20" s="26" t="str">
        <f>IF(Tabla2689[[#This Row],[COTIZ U$s]]="","",Tabla2689[[#This Row],[MONTO $AR]]/Tabla2689[[#This Row],[COTIZ U$s]])</f>
        <v/>
      </c>
    </row>
    <row r="21" spans="1:5">
      <c r="A21" s="27"/>
      <c r="B21" s="28"/>
      <c r="C21" s="25"/>
      <c r="D21" s="25"/>
      <c r="E21" s="26" t="str">
        <f>IF(Tabla2689[[#This Row],[COTIZ U$s]]="","",Tabla2689[[#This Row],[MONTO $AR]]/Tabla2689[[#This Row],[COTIZ U$s]])</f>
        <v/>
      </c>
    </row>
    <row r="22" spans="1:5">
      <c r="A22" s="27"/>
      <c r="B22" s="28"/>
      <c r="C22" s="25"/>
      <c r="D22" s="25"/>
      <c r="E22" s="26" t="str">
        <f>IF(Tabla2689[[#This Row],[COTIZ U$s]]="","",Tabla2689[[#This Row],[MONTO $AR]]/Tabla2689[[#This Row],[COTIZ U$s]])</f>
        <v/>
      </c>
    </row>
    <row r="23" spans="1:5">
      <c r="A23" s="27"/>
      <c r="B23" s="28"/>
      <c r="C23" s="25"/>
      <c r="D23" s="25"/>
      <c r="E23" s="26" t="str">
        <f>IF(Tabla2689[[#This Row],[COTIZ U$s]]="","",Tabla2689[[#This Row],[MONTO $AR]]/Tabla2689[[#This Row],[COTIZ U$s]])</f>
        <v/>
      </c>
    </row>
    <row r="24" spans="1:5">
      <c r="A24" s="27"/>
      <c r="B24" s="28"/>
      <c r="C24" s="25"/>
      <c r="D24" s="25"/>
      <c r="E24" s="26" t="str">
        <f>IF(Tabla2689[[#This Row],[COTIZ U$s]]="","",Tabla2689[[#This Row],[MONTO $AR]]/Tabla2689[[#This Row],[COTIZ U$s]])</f>
        <v/>
      </c>
    </row>
    <row r="25" spans="1:5">
      <c r="A25" s="27"/>
      <c r="B25" s="28"/>
      <c r="C25" s="25"/>
      <c r="D25" s="25"/>
      <c r="E25" s="26" t="str">
        <f>IF(Tabla2689[[#This Row],[COTIZ U$s]]="","",Tabla2689[[#This Row],[MONTO $AR]]/Tabla2689[[#This Row],[COTIZ U$s]])</f>
        <v/>
      </c>
    </row>
    <row r="26" spans="1:5">
      <c r="A26" s="27"/>
      <c r="B26" s="28"/>
      <c r="C26" s="25"/>
      <c r="D26" s="25"/>
      <c r="E26" s="26" t="str">
        <f>IF(Tabla2689[[#This Row],[COTIZ U$s]]="","",Tabla2689[[#This Row],[MONTO $AR]]/Tabla2689[[#This Row],[COTIZ U$s]])</f>
        <v/>
      </c>
    </row>
    <row r="27" spans="1:5">
      <c r="A27" s="27"/>
      <c r="B27" s="28"/>
      <c r="C27" s="25"/>
      <c r="D27" s="25"/>
      <c r="E27" s="26" t="str">
        <f>IF(Tabla2689[[#This Row],[COTIZ U$s]]="","",Tabla2689[[#This Row],[MONTO $AR]]/Tabla2689[[#This Row],[COTIZ U$s]])</f>
        <v/>
      </c>
    </row>
    <row r="28" spans="1:5">
      <c r="A28" s="27"/>
      <c r="B28" s="28"/>
      <c r="C28" s="25"/>
      <c r="D28" s="25"/>
      <c r="E28" s="26" t="str">
        <f>IF(Tabla2689[[#This Row],[COTIZ U$s]]="","",Tabla2689[[#This Row],[MONTO $AR]]/Tabla2689[[#This Row],[COTIZ U$s]])</f>
        <v/>
      </c>
    </row>
    <row r="29" spans="1:5">
      <c r="A29" s="27"/>
      <c r="B29" s="28"/>
      <c r="C29" s="25"/>
      <c r="D29" s="25"/>
      <c r="E29" s="26" t="str">
        <f>IF(Tabla2689[[#This Row],[COTIZ U$s]]="","",Tabla2689[[#This Row],[MONTO $AR]]/Tabla2689[[#This Row],[COTIZ U$s]])</f>
        <v/>
      </c>
    </row>
    <row r="30" spans="1:5">
      <c r="A30" s="27"/>
      <c r="B30" s="28"/>
      <c r="C30" s="25"/>
      <c r="D30" s="25"/>
      <c r="E30" s="26" t="str">
        <f>IF(Tabla2689[[#This Row],[COTIZ U$s]]="","",Tabla2689[[#This Row],[MONTO $AR]]/Tabla2689[[#This Row],[COTIZ U$s]])</f>
        <v/>
      </c>
    </row>
    <row r="31" spans="1:5">
      <c r="A31" s="27"/>
      <c r="B31" s="28" t="s">
        <v>23</v>
      </c>
      <c r="C31" s="25">
        <f>SUBTOTAL(109,Tabla2689[MONTO $AR])</f>
        <v>1004000</v>
      </c>
      <c r="D31" s="25"/>
      <c r="E31" s="26">
        <f>SUBTOTAL(109,Tabla2689[MONTO U$s])</f>
        <v>762.12768945183552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31"/>
  <sheetViews>
    <sheetView workbookViewId="0">
      <selection activeCell="A2" sqref="A2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29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45662</v>
      </c>
      <c r="B4" s="28" t="s">
        <v>30</v>
      </c>
      <c r="C4" s="25">
        <v>50000</v>
      </c>
      <c r="D4" s="25">
        <v>1123</v>
      </c>
      <c r="E4" s="26">
        <f>IF(Tabla26810[[#This Row],[COTIZ U$s]]="","",Tabla26810[[#This Row],[MONTO $AR]]/Tabla26810[[#This Row],[COTIZ U$s]])</f>
        <v>44.523597506678541</v>
      </c>
    </row>
    <row r="5" spans="1:5">
      <c r="A5" s="27">
        <v>45662</v>
      </c>
      <c r="B5" s="28" t="s">
        <v>35</v>
      </c>
      <c r="C5" s="25">
        <v>452000</v>
      </c>
      <c r="D5" s="25">
        <v>1350</v>
      </c>
      <c r="E5" s="26">
        <f>IF(Tabla26810[[#This Row],[COTIZ U$s]]="","",Tabla26810[[#This Row],[MONTO $AR]]/Tabla26810[[#This Row],[COTIZ U$s]])</f>
        <v>334.81481481481484</v>
      </c>
    </row>
    <row r="6" spans="1:5">
      <c r="A6" s="27">
        <v>45662</v>
      </c>
      <c r="B6" s="28" t="s">
        <v>36</v>
      </c>
      <c r="C6" s="25">
        <v>50000</v>
      </c>
      <c r="D6" s="25">
        <v>1223</v>
      </c>
      <c r="E6" s="26">
        <f>IF(Tabla26810[[#This Row],[COTIZ U$s]]="","",Tabla26810[[#This Row],[MONTO $AR]]/Tabla26810[[#This Row],[COTIZ U$s]])</f>
        <v>40.883074407195423</v>
      </c>
    </row>
    <row r="7" spans="1:5">
      <c r="A7" s="27">
        <v>45662</v>
      </c>
      <c r="B7" s="28" t="s">
        <v>39</v>
      </c>
      <c r="C7" s="25">
        <v>452000</v>
      </c>
      <c r="D7" s="25">
        <v>1322</v>
      </c>
      <c r="E7" s="26">
        <f>IF(Tabla26810[[#This Row],[COTIZ U$s]]="","",Tabla26810[[#This Row],[MONTO $AR]]/Tabla26810[[#This Row],[COTIZ U$s]])</f>
        <v>341.90620272314675</v>
      </c>
    </row>
    <row r="8" spans="1:5">
      <c r="A8" s="27"/>
      <c r="B8" s="28"/>
      <c r="C8" s="25"/>
      <c r="D8" s="25"/>
      <c r="E8" s="26" t="str">
        <f>IF(Tabla26810[[#This Row],[COTIZ U$s]]="","",Tabla26810[[#This Row],[MONTO $AR]]/Tabla26810[[#This Row],[COTIZ U$s]])</f>
        <v/>
      </c>
    </row>
    <row r="9" spans="1:5">
      <c r="A9" s="27"/>
      <c r="B9" s="28"/>
      <c r="C9" s="25"/>
      <c r="D9" s="25"/>
      <c r="E9" s="26" t="str">
        <f>IF(Tabla26810[[#This Row],[COTIZ U$s]]="","",Tabla26810[[#This Row],[MONTO $AR]]/Tabla26810[[#This Row],[COTIZ U$s]])</f>
        <v/>
      </c>
    </row>
    <row r="10" spans="1:5">
      <c r="A10" s="27"/>
      <c r="B10" s="28"/>
      <c r="C10" s="25"/>
      <c r="D10" s="25"/>
      <c r="E10" s="26" t="str">
        <f>IF(Tabla26810[[#This Row],[COTIZ U$s]]="","",Tabla26810[[#This Row],[MONTO $AR]]/Tabla26810[[#This Row],[COTIZ U$s]])</f>
        <v/>
      </c>
    </row>
    <row r="11" spans="1:5">
      <c r="A11" s="27"/>
      <c r="B11" s="28"/>
      <c r="C11" s="25"/>
      <c r="D11" s="25"/>
      <c r="E11" s="26" t="str">
        <f>IF(Tabla26810[[#This Row],[COTIZ U$s]]="","",Tabla26810[[#This Row],[MONTO $AR]]/Tabla26810[[#This Row],[COTIZ U$s]])</f>
        <v/>
      </c>
    </row>
    <row r="12" spans="1:5">
      <c r="A12" s="27"/>
      <c r="B12" s="28"/>
      <c r="C12" s="25"/>
      <c r="D12" s="25"/>
      <c r="E12" s="26" t="str">
        <f>IF(Tabla26810[[#This Row],[COTIZ U$s]]="","",Tabla26810[[#This Row],[MONTO $AR]]/Tabla26810[[#This Row],[COTIZ U$s]])</f>
        <v/>
      </c>
    </row>
    <row r="13" spans="1:5">
      <c r="A13" s="27"/>
      <c r="B13" s="28"/>
      <c r="C13" s="25"/>
      <c r="D13" s="25"/>
      <c r="E13" s="26" t="str">
        <f>IF(Tabla26810[[#This Row],[COTIZ U$s]]="","",Tabla26810[[#This Row],[MONTO $AR]]/Tabla26810[[#This Row],[COTIZ U$s]])</f>
        <v/>
      </c>
    </row>
    <row r="14" spans="1:5">
      <c r="A14" s="27"/>
      <c r="B14" s="28"/>
      <c r="C14" s="25"/>
      <c r="D14" s="25"/>
      <c r="E14" s="26" t="str">
        <f>IF(Tabla26810[[#This Row],[COTIZ U$s]]="","",Tabla26810[[#This Row],[MONTO $AR]]/Tabla26810[[#This Row],[COTIZ U$s]])</f>
        <v/>
      </c>
    </row>
    <row r="15" spans="1:5">
      <c r="A15" s="27"/>
      <c r="B15" s="28"/>
      <c r="C15" s="25"/>
      <c r="D15" s="25"/>
      <c r="E15" s="26" t="str">
        <f>IF(Tabla26810[[#This Row],[COTIZ U$s]]="","",Tabla26810[[#This Row],[MONTO $AR]]/Tabla26810[[#This Row],[COTIZ U$s]])</f>
        <v/>
      </c>
    </row>
    <row r="16" spans="1:5">
      <c r="A16" s="27"/>
      <c r="B16" s="28"/>
      <c r="C16" s="25"/>
      <c r="D16" s="25"/>
      <c r="E16" s="26" t="str">
        <f>IF(Tabla26810[[#This Row],[COTIZ U$s]]="","",Tabla26810[[#This Row],[MONTO $AR]]/Tabla26810[[#This Row],[COTIZ U$s]])</f>
        <v/>
      </c>
    </row>
    <row r="17" spans="1:5">
      <c r="A17" s="27"/>
      <c r="B17" s="28"/>
      <c r="C17" s="25"/>
      <c r="D17" s="25"/>
      <c r="E17" s="26" t="str">
        <f>IF(Tabla26810[[#This Row],[COTIZ U$s]]="","",Tabla26810[[#This Row],[MONTO $AR]]/Tabla26810[[#This Row],[COTIZ U$s]])</f>
        <v/>
      </c>
    </row>
    <row r="18" spans="1:5">
      <c r="A18" s="27"/>
      <c r="B18" s="28"/>
      <c r="C18" s="25"/>
      <c r="D18" s="25"/>
      <c r="E18" s="26" t="str">
        <f>IF(Tabla26810[[#This Row],[COTIZ U$s]]="","",Tabla26810[[#This Row],[MONTO $AR]]/Tabla26810[[#This Row],[COTIZ U$s]])</f>
        <v/>
      </c>
    </row>
    <row r="19" spans="1:5">
      <c r="A19" s="27"/>
      <c r="B19" s="28"/>
      <c r="C19" s="25"/>
      <c r="D19" s="25"/>
      <c r="E19" s="26" t="str">
        <f>IF(Tabla26810[[#This Row],[COTIZ U$s]]="","",Tabla26810[[#This Row],[MONTO $AR]]/Tabla26810[[#This Row],[COTIZ U$s]])</f>
        <v/>
      </c>
    </row>
    <row r="20" spans="1:5">
      <c r="A20" s="27"/>
      <c r="B20" s="28"/>
      <c r="C20" s="25"/>
      <c r="D20" s="25"/>
      <c r="E20" s="26" t="str">
        <f>IF(Tabla26810[[#This Row],[COTIZ U$s]]="","",Tabla26810[[#This Row],[MONTO $AR]]/Tabla26810[[#This Row],[COTIZ U$s]])</f>
        <v/>
      </c>
    </row>
    <row r="21" spans="1:5">
      <c r="A21" s="27"/>
      <c r="B21" s="28"/>
      <c r="C21" s="25"/>
      <c r="D21" s="25"/>
      <c r="E21" s="26" t="str">
        <f>IF(Tabla26810[[#This Row],[COTIZ U$s]]="","",Tabla26810[[#This Row],[MONTO $AR]]/Tabla26810[[#This Row],[COTIZ U$s]])</f>
        <v/>
      </c>
    </row>
    <row r="22" spans="1:5">
      <c r="A22" s="27"/>
      <c r="B22" s="28"/>
      <c r="C22" s="25"/>
      <c r="D22" s="25"/>
      <c r="E22" s="26" t="str">
        <f>IF(Tabla26810[[#This Row],[COTIZ U$s]]="","",Tabla26810[[#This Row],[MONTO $AR]]/Tabla26810[[#This Row],[COTIZ U$s]])</f>
        <v/>
      </c>
    </row>
    <row r="23" spans="1:5">
      <c r="A23" s="27"/>
      <c r="B23" s="28"/>
      <c r="C23" s="25"/>
      <c r="D23" s="25"/>
      <c r="E23" s="26" t="str">
        <f>IF(Tabla26810[[#This Row],[COTIZ U$s]]="","",Tabla26810[[#This Row],[MONTO $AR]]/Tabla26810[[#This Row],[COTIZ U$s]])</f>
        <v/>
      </c>
    </row>
    <row r="24" spans="1:5">
      <c r="A24" s="27"/>
      <c r="B24" s="28"/>
      <c r="C24" s="25"/>
      <c r="D24" s="25"/>
      <c r="E24" s="26" t="str">
        <f>IF(Tabla26810[[#This Row],[COTIZ U$s]]="","",Tabla26810[[#This Row],[MONTO $AR]]/Tabla26810[[#This Row],[COTIZ U$s]])</f>
        <v/>
      </c>
    </row>
    <row r="25" spans="1:5">
      <c r="A25" s="27"/>
      <c r="B25" s="28"/>
      <c r="C25" s="25"/>
      <c r="D25" s="25"/>
      <c r="E25" s="26" t="str">
        <f>IF(Tabla26810[[#This Row],[COTIZ U$s]]="","",Tabla26810[[#This Row],[MONTO $AR]]/Tabla26810[[#This Row],[COTIZ U$s]])</f>
        <v/>
      </c>
    </row>
    <row r="26" spans="1:5">
      <c r="A26" s="27"/>
      <c r="B26" s="28"/>
      <c r="C26" s="25"/>
      <c r="D26" s="25"/>
      <c r="E26" s="26" t="str">
        <f>IF(Tabla26810[[#This Row],[COTIZ U$s]]="","",Tabla26810[[#This Row],[MONTO $AR]]/Tabla26810[[#This Row],[COTIZ U$s]])</f>
        <v/>
      </c>
    </row>
    <row r="27" spans="1:5">
      <c r="A27" s="27"/>
      <c r="B27" s="28"/>
      <c r="C27" s="25"/>
      <c r="D27" s="25"/>
      <c r="E27" s="26" t="str">
        <f>IF(Tabla26810[[#This Row],[COTIZ U$s]]="","",Tabla26810[[#This Row],[MONTO $AR]]/Tabla26810[[#This Row],[COTIZ U$s]])</f>
        <v/>
      </c>
    </row>
    <row r="28" spans="1:5">
      <c r="A28" s="27"/>
      <c r="B28" s="28"/>
      <c r="C28" s="25"/>
      <c r="D28" s="25"/>
      <c r="E28" s="26" t="str">
        <f>IF(Tabla26810[[#This Row],[COTIZ U$s]]="","",Tabla26810[[#This Row],[MONTO $AR]]/Tabla26810[[#This Row],[COTIZ U$s]])</f>
        <v/>
      </c>
    </row>
    <row r="29" spans="1:5">
      <c r="A29" s="27"/>
      <c r="B29" s="28"/>
      <c r="C29" s="25"/>
      <c r="D29" s="25"/>
      <c r="E29" s="26" t="str">
        <f>IF(Tabla26810[[#This Row],[COTIZ U$s]]="","",Tabla26810[[#This Row],[MONTO $AR]]/Tabla26810[[#This Row],[COTIZ U$s]])</f>
        <v/>
      </c>
    </row>
    <row r="30" spans="1:5">
      <c r="A30" s="27"/>
      <c r="B30" s="28"/>
      <c r="C30" s="25"/>
      <c r="D30" s="25"/>
      <c r="E30" s="26" t="str">
        <f>IF(Tabla26810[[#This Row],[COTIZ U$s]]="","",Tabla26810[[#This Row],[MONTO $AR]]/Tabla26810[[#This Row],[COTIZ U$s]])</f>
        <v/>
      </c>
    </row>
    <row r="31" spans="1:5">
      <c r="A31" s="27"/>
      <c r="B31" s="28" t="s">
        <v>23</v>
      </c>
      <c r="C31" s="25">
        <f>SUBTOTAL(109,Tabla26810[MONTO $AR])</f>
        <v>1004000</v>
      </c>
      <c r="D31" s="25"/>
      <c r="E31" s="26">
        <f>SUBTOTAL(109,Tabla26810[MONTO U$s])</f>
        <v>762.12768945183552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E31"/>
  <sheetViews>
    <sheetView workbookViewId="0">
      <selection activeCell="A2" sqref="A2"/>
    </sheetView>
  </sheetViews>
  <sheetFormatPr baseColWidth="10" defaultRowHeight="16.5"/>
  <cols>
    <col min="1" max="1" width="12.5" customWidth="1"/>
    <col min="2" max="2" width="47.125" customWidth="1"/>
    <col min="3" max="3" width="21.25" customWidth="1"/>
    <col min="4" max="4" width="17.75" customWidth="1"/>
    <col min="5" max="5" width="19.625" customWidth="1"/>
  </cols>
  <sheetData>
    <row r="1" spans="1:5" ht="22.5">
      <c r="A1" s="21" t="s">
        <v>20</v>
      </c>
      <c r="B1" s="22" t="s">
        <v>29</v>
      </c>
    </row>
    <row r="3" spans="1:5" ht="18.75" thickBot="1">
      <c r="A3" s="23" t="s">
        <v>17</v>
      </c>
      <c r="B3" s="24" t="s">
        <v>18</v>
      </c>
      <c r="C3" s="23" t="s">
        <v>19</v>
      </c>
      <c r="D3" s="24" t="s">
        <v>21</v>
      </c>
      <c r="E3" s="23" t="s">
        <v>22</v>
      </c>
    </row>
    <row r="4" spans="1:5" ht="17.25" thickTop="1">
      <c r="A4" s="27">
        <v>45662</v>
      </c>
      <c r="B4" s="28" t="s">
        <v>30</v>
      </c>
      <c r="C4" s="25">
        <v>50000</v>
      </c>
      <c r="D4" s="25">
        <v>1123</v>
      </c>
      <c r="E4" s="26">
        <f>IF(Tabla26811[[#This Row],[COTIZ U$s]]="","",Tabla26811[[#This Row],[MONTO $AR]]/Tabla26811[[#This Row],[COTIZ U$s]])</f>
        <v>44.523597506678541</v>
      </c>
    </row>
    <row r="5" spans="1:5">
      <c r="A5" s="27">
        <v>45662</v>
      </c>
      <c r="B5" s="28" t="s">
        <v>35</v>
      </c>
      <c r="C5" s="25">
        <v>452000</v>
      </c>
      <c r="D5" s="25">
        <v>1350</v>
      </c>
      <c r="E5" s="26">
        <f>IF(Tabla26811[[#This Row],[COTIZ U$s]]="","",Tabla26811[[#This Row],[MONTO $AR]]/Tabla26811[[#This Row],[COTIZ U$s]])</f>
        <v>334.81481481481484</v>
      </c>
    </row>
    <row r="6" spans="1:5">
      <c r="A6" s="27">
        <v>45662</v>
      </c>
      <c r="B6" s="28" t="s">
        <v>36</v>
      </c>
      <c r="C6" s="25">
        <v>50000</v>
      </c>
      <c r="D6" s="25">
        <v>1223</v>
      </c>
      <c r="E6" s="26">
        <f>IF(Tabla26811[[#This Row],[COTIZ U$s]]="","",Tabla26811[[#This Row],[MONTO $AR]]/Tabla26811[[#This Row],[COTIZ U$s]])</f>
        <v>40.883074407195423</v>
      </c>
    </row>
    <row r="7" spans="1:5">
      <c r="A7" s="27">
        <v>45662</v>
      </c>
      <c r="B7" s="28" t="s">
        <v>39</v>
      </c>
      <c r="C7" s="25">
        <v>452000</v>
      </c>
      <c r="D7" s="25">
        <v>1322</v>
      </c>
      <c r="E7" s="26">
        <f>IF(Tabla26811[[#This Row],[COTIZ U$s]]="","",Tabla26811[[#This Row],[MONTO $AR]]/Tabla26811[[#This Row],[COTIZ U$s]])</f>
        <v>341.90620272314675</v>
      </c>
    </row>
    <row r="8" spans="1:5">
      <c r="A8" s="27"/>
      <c r="B8" s="28"/>
      <c r="C8" s="25"/>
      <c r="D8" s="25"/>
      <c r="E8" s="26" t="str">
        <f>IF(Tabla26811[[#This Row],[COTIZ U$s]]="","",Tabla26811[[#This Row],[MONTO $AR]]/Tabla26811[[#This Row],[COTIZ U$s]])</f>
        <v/>
      </c>
    </row>
    <row r="9" spans="1:5">
      <c r="A9" s="27"/>
      <c r="B9" s="28"/>
      <c r="C9" s="25"/>
      <c r="D9" s="25"/>
      <c r="E9" s="26" t="str">
        <f>IF(Tabla26811[[#This Row],[COTIZ U$s]]="","",Tabla26811[[#This Row],[MONTO $AR]]/Tabla26811[[#This Row],[COTIZ U$s]])</f>
        <v/>
      </c>
    </row>
    <row r="10" spans="1:5">
      <c r="A10" s="27"/>
      <c r="B10" s="28"/>
      <c r="C10" s="25"/>
      <c r="D10" s="25"/>
      <c r="E10" s="26" t="str">
        <f>IF(Tabla26811[[#This Row],[COTIZ U$s]]="","",Tabla26811[[#This Row],[MONTO $AR]]/Tabla26811[[#This Row],[COTIZ U$s]])</f>
        <v/>
      </c>
    </row>
    <row r="11" spans="1:5">
      <c r="A11" s="27"/>
      <c r="B11" s="28"/>
      <c r="C11" s="25"/>
      <c r="D11" s="25"/>
      <c r="E11" s="26" t="str">
        <f>IF(Tabla26811[[#This Row],[COTIZ U$s]]="","",Tabla26811[[#This Row],[MONTO $AR]]/Tabla26811[[#This Row],[COTIZ U$s]])</f>
        <v/>
      </c>
    </row>
    <row r="12" spans="1:5">
      <c r="A12" s="27"/>
      <c r="B12" s="28"/>
      <c r="C12" s="25"/>
      <c r="D12" s="25"/>
      <c r="E12" s="26" t="str">
        <f>IF(Tabla26811[[#This Row],[COTIZ U$s]]="","",Tabla26811[[#This Row],[MONTO $AR]]/Tabla26811[[#This Row],[COTIZ U$s]])</f>
        <v/>
      </c>
    </row>
    <row r="13" spans="1:5">
      <c r="A13" s="27"/>
      <c r="B13" s="28"/>
      <c r="C13" s="25"/>
      <c r="D13" s="25"/>
      <c r="E13" s="26" t="str">
        <f>IF(Tabla26811[[#This Row],[COTIZ U$s]]="","",Tabla26811[[#This Row],[MONTO $AR]]/Tabla26811[[#This Row],[COTIZ U$s]])</f>
        <v/>
      </c>
    </row>
    <row r="14" spans="1:5">
      <c r="A14" s="27"/>
      <c r="B14" s="28"/>
      <c r="C14" s="25"/>
      <c r="D14" s="25"/>
      <c r="E14" s="26" t="str">
        <f>IF(Tabla26811[[#This Row],[COTIZ U$s]]="","",Tabla26811[[#This Row],[MONTO $AR]]/Tabla26811[[#This Row],[COTIZ U$s]])</f>
        <v/>
      </c>
    </row>
    <row r="15" spans="1:5">
      <c r="A15" s="27"/>
      <c r="B15" s="28"/>
      <c r="C15" s="25"/>
      <c r="D15" s="25"/>
      <c r="E15" s="26" t="str">
        <f>IF(Tabla26811[[#This Row],[COTIZ U$s]]="","",Tabla26811[[#This Row],[MONTO $AR]]/Tabla26811[[#This Row],[COTIZ U$s]])</f>
        <v/>
      </c>
    </row>
    <row r="16" spans="1:5">
      <c r="A16" s="27"/>
      <c r="B16" s="28"/>
      <c r="C16" s="25"/>
      <c r="D16" s="25"/>
      <c r="E16" s="26" t="str">
        <f>IF(Tabla26811[[#This Row],[COTIZ U$s]]="","",Tabla26811[[#This Row],[MONTO $AR]]/Tabla26811[[#This Row],[COTIZ U$s]])</f>
        <v/>
      </c>
    </row>
    <row r="17" spans="1:5">
      <c r="A17" s="27"/>
      <c r="B17" s="28"/>
      <c r="C17" s="25"/>
      <c r="D17" s="25"/>
      <c r="E17" s="26" t="str">
        <f>IF(Tabla26811[[#This Row],[COTIZ U$s]]="","",Tabla26811[[#This Row],[MONTO $AR]]/Tabla26811[[#This Row],[COTIZ U$s]])</f>
        <v/>
      </c>
    </row>
    <row r="18" spans="1:5">
      <c r="A18" s="27"/>
      <c r="B18" s="28"/>
      <c r="C18" s="25"/>
      <c r="D18" s="25"/>
      <c r="E18" s="26" t="str">
        <f>IF(Tabla26811[[#This Row],[COTIZ U$s]]="","",Tabla26811[[#This Row],[MONTO $AR]]/Tabla26811[[#This Row],[COTIZ U$s]])</f>
        <v/>
      </c>
    </row>
    <row r="19" spans="1:5">
      <c r="A19" s="27"/>
      <c r="B19" s="28"/>
      <c r="C19" s="25"/>
      <c r="D19" s="25"/>
      <c r="E19" s="26" t="str">
        <f>IF(Tabla26811[[#This Row],[COTIZ U$s]]="","",Tabla26811[[#This Row],[MONTO $AR]]/Tabla26811[[#This Row],[COTIZ U$s]])</f>
        <v/>
      </c>
    </row>
    <row r="20" spans="1:5">
      <c r="A20" s="27"/>
      <c r="B20" s="28"/>
      <c r="C20" s="25"/>
      <c r="D20" s="25"/>
      <c r="E20" s="26" t="str">
        <f>IF(Tabla26811[[#This Row],[COTIZ U$s]]="","",Tabla26811[[#This Row],[MONTO $AR]]/Tabla26811[[#This Row],[COTIZ U$s]])</f>
        <v/>
      </c>
    </row>
    <row r="21" spans="1:5">
      <c r="A21" s="27"/>
      <c r="B21" s="28"/>
      <c r="C21" s="25"/>
      <c r="D21" s="25"/>
      <c r="E21" s="26" t="str">
        <f>IF(Tabla26811[[#This Row],[COTIZ U$s]]="","",Tabla26811[[#This Row],[MONTO $AR]]/Tabla26811[[#This Row],[COTIZ U$s]])</f>
        <v/>
      </c>
    </row>
    <row r="22" spans="1:5">
      <c r="A22" s="27"/>
      <c r="B22" s="28"/>
      <c r="C22" s="25"/>
      <c r="D22" s="25"/>
      <c r="E22" s="26" t="str">
        <f>IF(Tabla26811[[#This Row],[COTIZ U$s]]="","",Tabla26811[[#This Row],[MONTO $AR]]/Tabla26811[[#This Row],[COTIZ U$s]])</f>
        <v/>
      </c>
    </row>
    <row r="23" spans="1:5">
      <c r="A23" s="27"/>
      <c r="B23" s="28"/>
      <c r="C23" s="25"/>
      <c r="D23" s="25"/>
      <c r="E23" s="26" t="str">
        <f>IF(Tabla26811[[#This Row],[COTIZ U$s]]="","",Tabla26811[[#This Row],[MONTO $AR]]/Tabla26811[[#This Row],[COTIZ U$s]])</f>
        <v/>
      </c>
    </row>
    <row r="24" spans="1:5">
      <c r="A24" s="27"/>
      <c r="B24" s="28"/>
      <c r="C24" s="25"/>
      <c r="D24" s="25"/>
      <c r="E24" s="26" t="str">
        <f>IF(Tabla26811[[#This Row],[COTIZ U$s]]="","",Tabla26811[[#This Row],[MONTO $AR]]/Tabla26811[[#This Row],[COTIZ U$s]])</f>
        <v/>
      </c>
    </row>
    <row r="25" spans="1:5">
      <c r="A25" s="27"/>
      <c r="B25" s="28"/>
      <c r="C25" s="25"/>
      <c r="D25" s="25"/>
      <c r="E25" s="26" t="str">
        <f>IF(Tabla26811[[#This Row],[COTIZ U$s]]="","",Tabla26811[[#This Row],[MONTO $AR]]/Tabla26811[[#This Row],[COTIZ U$s]])</f>
        <v/>
      </c>
    </row>
    <row r="26" spans="1:5">
      <c r="A26" s="27"/>
      <c r="B26" s="28"/>
      <c r="C26" s="25"/>
      <c r="D26" s="25"/>
      <c r="E26" s="26" t="str">
        <f>IF(Tabla26811[[#This Row],[COTIZ U$s]]="","",Tabla26811[[#This Row],[MONTO $AR]]/Tabla26811[[#This Row],[COTIZ U$s]])</f>
        <v/>
      </c>
    </row>
    <row r="27" spans="1:5">
      <c r="A27" s="27"/>
      <c r="B27" s="28"/>
      <c r="C27" s="25"/>
      <c r="D27" s="25"/>
      <c r="E27" s="26" t="str">
        <f>IF(Tabla26811[[#This Row],[COTIZ U$s]]="","",Tabla26811[[#This Row],[MONTO $AR]]/Tabla26811[[#This Row],[COTIZ U$s]])</f>
        <v/>
      </c>
    </row>
    <row r="28" spans="1:5">
      <c r="A28" s="27"/>
      <c r="B28" s="28"/>
      <c r="C28" s="25"/>
      <c r="D28" s="25"/>
      <c r="E28" s="26" t="str">
        <f>IF(Tabla26811[[#This Row],[COTIZ U$s]]="","",Tabla26811[[#This Row],[MONTO $AR]]/Tabla26811[[#This Row],[COTIZ U$s]])</f>
        <v/>
      </c>
    </row>
    <row r="29" spans="1:5">
      <c r="A29" s="27"/>
      <c r="B29" s="28"/>
      <c r="C29" s="25"/>
      <c r="D29" s="25"/>
      <c r="E29" s="26" t="str">
        <f>IF(Tabla26811[[#This Row],[COTIZ U$s]]="","",Tabla26811[[#This Row],[MONTO $AR]]/Tabla26811[[#This Row],[COTIZ U$s]])</f>
        <v/>
      </c>
    </row>
    <row r="30" spans="1:5">
      <c r="A30" s="27"/>
      <c r="B30" s="28"/>
      <c r="C30" s="25"/>
      <c r="D30" s="25"/>
      <c r="E30" s="26" t="str">
        <f>IF(Tabla26811[[#This Row],[COTIZ U$s]]="","",Tabla26811[[#This Row],[MONTO $AR]]/Tabla26811[[#This Row],[COTIZ U$s]])</f>
        <v/>
      </c>
    </row>
    <row r="31" spans="1:5">
      <c r="A31" s="27"/>
      <c r="B31" s="28" t="s">
        <v>23</v>
      </c>
      <c r="C31" s="25">
        <f>SUBTOTAL(109,Tabla26811[MONTO $AR])</f>
        <v>1004000</v>
      </c>
      <c r="D31" s="25"/>
      <c r="E31" s="26">
        <f>SUBTOTAL(109,Tabla26811[MONTO U$s])</f>
        <v>762.12768945183552</v>
      </c>
    </row>
  </sheetData>
  <dataValidations count="1">
    <dataValidation type="list" allowBlank="1" showInputMessage="1" showErrorMessage="1" sqref="B4:B30">
      <formula1>Listado_de_Items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634763-E59C-4533-B750-8519CA2A01FD}">
  <ds:schemaRefs>
    <ds:schemaRef ds:uri="http://purl.org/dc/elements/1.1/"/>
    <ds:schemaRef ds:uri="230e9df3-be65-4c73-a93b-d1236ebd677e"/>
    <ds:schemaRef ds:uri="http://schemas.openxmlformats.org/package/2006/metadata/core-properties"/>
    <ds:schemaRef ds:uri="16c05727-aa75-4e4a-9b5f-8a80a1165891"/>
    <ds:schemaRef ds:uri="http://purl.org/dc/terms/"/>
    <ds:schemaRef ds:uri="http://schemas.microsoft.com/office/infopath/2007/PartnerControls"/>
    <ds:schemaRef ds:uri="71af3243-3dd4-4a8d-8c0d-dd76da1f02a5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ACB1419-9396-42A5-AD84-E7CBCBABD0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CC7436-CC2B-4C1C-9D1D-383A1AA21A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TM22605629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Presupuesto por mes</vt:lpstr>
      <vt:lpstr>Ingresos</vt:lpstr>
      <vt:lpstr>Ene</vt:lpstr>
      <vt:lpstr>Feb</vt:lpstr>
      <vt:lpstr>Mar</vt:lpstr>
      <vt:lpstr>Abr</vt:lpstr>
      <vt:lpstr>May</vt:lpstr>
      <vt:lpstr>Jun</vt:lpstr>
      <vt:lpstr>Jul</vt:lpstr>
      <vt:lpstr>Ago</vt:lpstr>
      <vt:lpstr>Sep</vt:lpstr>
      <vt:lpstr>Oct</vt:lpstr>
      <vt:lpstr>Nov</vt:lpstr>
      <vt:lpstr>Dic</vt:lpstr>
      <vt:lpstr>Listado_de_Items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EDGARD</dc:creator>
  <cp:keywords/>
  <dc:description/>
  <cp:lastModifiedBy>EDGARD</cp:lastModifiedBy>
  <dcterms:created xsi:type="dcterms:W3CDTF">2023-11-06T06:53:42Z</dcterms:created>
  <dcterms:modified xsi:type="dcterms:W3CDTF">2025-08-26T20:45:02Z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