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ño\Desktop\2 ARCHIVOS AUDITORIA INTERNA\5 PLANEACION\2 PLAN BASADO EN RIESGOS SEGUIR DESDE 20.1\"/>
    </mc:Choice>
  </mc:AlternateContent>
  <bookViews>
    <workbookView xWindow="0" yWindow="0" windowWidth="25200" windowHeight="5850"/>
  </bookViews>
  <sheets>
    <sheet name="ESTADOS FINANCIEROS" sheetId="1" r:id="rId1"/>
    <sheet name="EVALUACION RATIOS" sheetId="2" r:id="rId2"/>
    <sheet name="Formulas" sheetId="3" r:id="rId3"/>
  </sheets>
  <calcPr calcId="162913"/>
</workbook>
</file>

<file path=xl/calcChain.xml><?xml version="1.0" encoding="utf-8"?>
<calcChain xmlns="http://schemas.openxmlformats.org/spreadsheetml/2006/main">
  <c r="C49" i="1" l="1"/>
  <c r="B49" i="1"/>
  <c r="C47" i="1"/>
  <c r="B47" i="1"/>
  <c r="C45" i="1"/>
  <c r="B45" i="1"/>
  <c r="C43" i="1"/>
  <c r="B43" i="1"/>
  <c r="C42" i="1"/>
  <c r="B42" i="1"/>
  <c r="C40" i="1"/>
  <c r="C15" i="2" s="1"/>
  <c r="C39" i="1"/>
  <c r="C36" i="1"/>
  <c r="C33" i="2" s="1"/>
  <c r="B36" i="1"/>
  <c r="C29" i="1"/>
  <c r="B29" i="1"/>
  <c r="C28" i="1"/>
  <c r="B28" i="1"/>
  <c r="C27" i="1"/>
  <c r="C30" i="1" s="1"/>
  <c r="B27" i="1"/>
  <c r="B30" i="1" s="1"/>
  <c r="C24" i="1"/>
  <c r="B24" i="1"/>
  <c r="C22" i="1"/>
  <c r="B22" i="1"/>
  <c r="C21" i="1"/>
  <c r="B21" i="1"/>
  <c r="C20" i="1"/>
  <c r="C16" i="2" s="1"/>
  <c r="C17" i="2" s="1"/>
  <c r="B20" i="1"/>
  <c r="B16" i="2" s="1"/>
  <c r="B17" i="2" s="1"/>
  <c r="C19" i="1"/>
  <c r="C23" i="1" s="1"/>
  <c r="B19" i="1"/>
  <c r="B23" i="1" s="1"/>
  <c r="C15" i="1"/>
  <c r="B15" i="1"/>
  <c r="B14" i="1"/>
  <c r="C12" i="1"/>
  <c r="B12" i="1"/>
  <c r="C11" i="1"/>
  <c r="C13" i="1" s="1"/>
  <c r="B11" i="1"/>
  <c r="B13" i="1" s="1"/>
  <c r="C9" i="1"/>
  <c r="B9" i="1"/>
  <c r="C8" i="1"/>
  <c r="B8" i="1"/>
  <c r="C7" i="1"/>
  <c r="C13" i="2" s="1"/>
  <c r="C14" i="2" s="1"/>
  <c r="B7" i="1"/>
  <c r="C6" i="1"/>
  <c r="C11" i="2" s="1"/>
  <c r="C12" i="2" s="1"/>
  <c r="B6" i="1"/>
  <c r="B11" i="2" s="1"/>
  <c r="B12" i="2" s="1"/>
  <c r="B6" i="2" l="1"/>
  <c r="B25" i="1"/>
  <c r="C6" i="2"/>
  <c r="C25" i="1"/>
  <c r="B10" i="1"/>
  <c r="C10" i="1"/>
  <c r="B39" i="1"/>
  <c r="B40" i="1" s="1"/>
  <c r="B15" i="2" s="1"/>
  <c r="B41" i="1"/>
  <c r="C41" i="1"/>
  <c r="B8" i="2"/>
  <c r="C8" i="2"/>
  <c r="B9" i="2"/>
  <c r="C9" i="2"/>
  <c r="B18" i="2"/>
  <c r="C18" i="2"/>
  <c r="B20" i="2"/>
  <c r="C20" i="2"/>
  <c r="C26" i="2" l="1"/>
  <c r="C46" i="1"/>
  <c r="C44" i="1"/>
  <c r="B26" i="2"/>
  <c r="B46" i="1"/>
  <c r="B44" i="1"/>
  <c r="C7" i="2"/>
  <c r="C5" i="2"/>
  <c r="C4" i="2"/>
  <c r="C16" i="1"/>
  <c r="C19" i="2" s="1"/>
  <c r="B7" i="2"/>
  <c r="B5" i="2"/>
  <c r="B4" i="2"/>
  <c r="B16" i="1"/>
  <c r="B19" i="2" s="1"/>
  <c r="B33" i="2"/>
  <c r="C24" i="2"/>
  <c r="C23" i="2"/>
  <c r="C31" i="1"/>
  <c r="B24" i="2"/>
  <c r="B23" i="2"/>
  <c r="B13" i="2"/>
  <c r="B14" i="2" s="1"/>
  <c r="B31" i="2" l="1"/>
  <c r="B30" i="2"/>
  <c r="B25" i="2"/>
  <c r="B35" i="2"/>
  <c r="B48" i="1"/>
  <c r="B50" i="1" s="1"/>
  <c r="C31" i="2"/>
  <c r="C30" i="2"/>
  <c r="C25" i="2"/>
  <c r="C35" i="2"/>
  <c r="C48" i="1"/>
  <c r="C50" i="1" s="1"/>
  <c r="C34" i="2" l="1"/>
  <c r="C32" i="2"/>
  <c r="C29" i="2"/>
  <c r="C28" i="2"/>
  <c r="B34" i="2"/>
  <c r="B32" i="2"/>
  <c r="B29" i="2"/>
  <c r="B28" i="2"/>
</calcChain>
</file>

<file path=xl/comments1.xml><?xml version="1.0" encoding="utf-8"?>
<comments xmlns="http://schemas.openxmlformats.org/spreadsheetml/2006/main">
  <authors>
    <author/>
  </authors>
  <commentList>
    <comment ref="A2" authorId="0" shapeId="0">
      <text>
        <r>
          <rPr>
            <sz val="10"/>
            <color rgb="FF000000"/>
            <rFont val="Arial"/>
            <family val="2"/>
            <scheme val="minor"/>
          </rPr>
          <t>CESAR ACHING G.
Para que usted pueda cambiar las cifras, le recomendamos que primero haga una copia de esta carpeta
	-PEDRO PABLO LANAUS</t>
        </r>
      </text>
    </comment>
    <comment ref="A33" authorId="0" shapeId="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2.xml><?xml version="1.0" encoding="utf-8"?>
<comments xmlns="http://schemas.openxmlformats.org/spreadsheetml/2006/main">
  <authors>
    <author/>
  </authors>
  <commentList>
    <comment ref="A1" authorId="0" shapeId="0">
      <text>
        <r>
          <rPr>
            <sz val="10"/>
            <color rgb="FF000000"/>
            <rFont val="Arial"/>
            <family val="2"/>
            <scheme val="minor"/>
          </rPr>
          <t>CESAR ACHING G.
Para que usted pueda cambiar las cifras, le recomendamos que primero haga una copia de esta carpeta
	-PEDRO PABLO LANAUS</t>
        </r>
      </text>
    </comment>
  </commentList>
</comments>
</file>

<file path=xl/comments3.xml><?xml version="1.0" encoding="utf-8"?>
<comments xmlns="http://schemas.openxmlformats.org/spreadsheetml/2006/main">
  <authors>
    <author/>
  </authors>
  <commentList>
    <comment ref="A1" authorId="0" shapeId="0">
      <text>
        <r>
          <rPr>
            <sz val="10"/>
            <color rgb="FF000000"/>
            <rFont val="Arial"/>
            <family val="2"/>
            <scheme val="minor"/>
          </rPr>
          <t>CESAR ACHING G.
Para que usted pueda cambiar las cifras, le recomendamos que primero haga una copia de esta carpeta
	-PEDRO PABLO LANAUS</t>
        </r>
      </text>
    </comment>
  </commentList>
</comments>
</file>

<file path=xl/sharedStrings.xml><?xml version="1.0" encoding="utf-8"?>
<sst xmlns="http://schemas.openxmlformats.org/spreadsheetml/2006/main" count="145" uniqueCount="132">
  <si>
    <t>ENTIDAD  XXXXXXX</t>
  </si>
  <si>
    <t>BALANCE GENERAL 31/12/2023 Y 31/12/2022</t>
  </si>
  <si>
    <t>ACTIVOS</t>
  </si>
  <si>
    <t>Caja y Bancos</t>
  </si>
  <si>
    <t>Cuentas por cobrar</t>
  </si>
  <si>
    <t>Inventarios</t>
  </si>
  <si>
    <t>Gastos pagados por anticipado</t>
  </si>
  <si>
    <t>Otros activos Corrientes</t>
  </si>
  <si>
    <t>Activos Corrientes</t>
  </si>
  <si>
    <t>Propiedad, planta y equipo</t>
  </si>
  <si>
    <t>(-) depreciación acumulada</t>
  </si>
  <si>
    <t>Activos Fijos Netos</t>
  </si>
  <si>
    <t>Inversión de largo plazo</t>
  </si>
  <si>
    <t>Otros Activos</t>
  </si>
  <si>
    <t>TOTAL ACTIVOS</t>
  </si>
  <si>
    <t>PASIVOS Y CAPITAL SOCIAL</t>
  </si>
  <si>
    <t>Préstamos bancarios y pagarés</t>
  </si>
  <si>
    <t>Cuentas por pagar</t>
  </si>
  <si>
    <t>Impuestos acumulados</t>
  </si>
  <si>
    <t>Otros pasivos acumulados</t>
  </si>
  <si>
    <t>Pasivos Corrientes</t>
  </si>
  <si>
    <t>Deudas de largo plazo</t>
  </si>
  <si>
    <t>TOTAL PASIVOS</t>
  </si>
  <si>
    <t>Capital de los Accionistas</t>
  </si>
  <si>
    <t>Acciones comunes (UM 5.50 valor a la par)</t>
  </si>
  <si>
    <t>Capital adicional pagado</t>
  </si>
  <si>
    <t>Utilidades retenidas</t>
  </si>
  <si>
    <t>TOTAL PATRIMONIO</t>
  </si>
  <si>
    <t>TOTAL PASIVO Y PATRIMONIO</t>
  </si>
  <si>
    <t>Ventas netas</t>
  </si>
  <si>
    <t>Inventario Inicial</t>
  </si>
  <si>
    <t>(+) Compras</t>
  </si>
  <si>
    <t xml:space="preserve">(-) Inventario Final </t>
  </si>
  <si>
    <t>Costo de ventas</t>
  </si>
  <si>
    <t>UTILIDAD BRUTA</t>
  </si>
  <si>
    <t>Gastos de ventas, generales y administrativos</t>
  </si>
  <si>
    <t>Depreciación</t>
  </si>
  <si>
    <t>Utilidad antes de intereses</t>
  </si>
  <si>
    <t>Intereses pagados</t>
  </si>
  <si>
    <t>Utilidad antes de impuestos</t>
  </si>
  <si>
    <t>Impuesto a la renta</t>
  </si>
  <si>
    <t>Utilidad después de impuestos</t>
  </si>
  <si>
    <t>Dividendos en efectivo</t>
  </si>
  <si>
    <t xml:space="preserve">UTILIDAD NETA </t>
  </si>
  <si>
    <t>EVOLUCION DE LOS RATIOS, PERIODO 2022 - 2023</t>
  </si>
  <si>
    <t>A) RATIOS DE LIQUIDEZ</t>
  </si>
  <si>
    <t>(1) LIQUIDEZ GENERAL</t>
  </si>
  <si>
    <t>Esto quiere decir que el activo corriente es 2.72 veces más grande que el pasivo corriente; o que por cada UM de deuda, la empresa cuenta con UM 2.72 para pagarla. Cuanto mayor sea el valor de esta razón, mayor será la capacidad de la empresa de pagar sus deudas.</t>
  </si>
  <si>
    <t>(2) PRUEBA ACIDA</t>
  </si>
  <si>
    <t>A diferencia de la razón anterior, esta excluye los inventarios por ser considerada la parte menos líquida en caso de quiebra. Esta razón se concentra en los activos más líquidos, por lo que proporciona datos más correctos al analista.</t>
  </si>
  <si>
    <t>(3) PRUEBA DEFENSIVA</t>
  </si>
  <si>
    <t>Es decir, contamos con el 21.56% de liquidez para operar sin recurrir a los flujos de venta</t>
  </si>
  <si>
    <t>(4) CAPITAL DE TRABAJO</t>
  </si>
  <si>
    <t>En nuestro caso, nos está indicando que contamos con capacidad económica para responder obligaciones con terceros.</t>
  </si>
  <si>
    <t>(5) PERIODO PROMEDIO DE COBRANZAS</t>
  </si>
  <si>
    <t>El índice nos esta señalando, que las cuentas por cobrar están circulando 61 días, es decir, nos indica el tiempo promedio que tardan en convertirse en efectivo.</t>
  </si>
  <si>
    <t>(6) ROTACION DE LAS CUENTAS POR COBRAR</t>
  </si>
  <si>
    <t>Las razones (5 y 6) son recíprocas entre sí. Si dividimos el período promedio de cobranzas entre 360 días que tiene el año comercial o bancario, obtendremos la rotación de las cuentas por cobrar 5.89 veces al año. Asimismo, el número de días del año dividido entre el índice de rotación de las cuentas por cobrar nos da el período promedio de cobranza. Podemos usar indistintamente estos ratios.</t>
  </si>
  <si>
    <t>B) RATIOS DE LA GESTION</t>
  </si>
  <si>
    <t>(7) ROTACION DE CARTERA</t>
  </si>
  <si>
    <t>Esto quiere decir que la empresa convierte en efectivo sus cuentas por cobrar en 64 días o rotan 5.63 veces en el período.</t>
  </si>
  <si>
    <t>Veces</t>
  </si>
  <si>
    <t>(8) ROTACION DE INVENTARIOS</t>
  </si>
  <si>
    <t>Esto quiere decir que los inventarios van al mercado cada 172 días, en nuestro caso 2.09 veces al año.</t>
  </si>
  <si>
    <t>(9) ROTACION DE INVENTARIOS</t>
  </si>
  <si>
    <t>Obtenemos el mismo resultado que el ratio anterior, en rotación anual. Mientras más alta sea la rotación de inventarios, más eficiente será el manejo del inventario de una empresa.</t>
  </si>
  <si>
    <t>(10) PERIODO PAGO A PROVEEDORES</t>
  </si>
  <si>
    <t>Los resultados de este ratio lo debemos interpretar de forma opuesta a los de cuentas por cobrar e inventarios. Lo ideal es obtener una razón lenta (es decir 1, 2 ó 4 veces al año) ya que significa que estamos aprovechando al máximo el crédito que le ofrecen sus proveedores de materia prima. Nuestro ratio esta muy elevado.</t>
  </si>
  <si>
    <t>(11) ROTACION DE CAJA BANCOS</t>
  </si>
  <si>
    <t>Interpretando el ratio, diremos que contamos con liquidez  para cubrir 16 días de venta.</t>
  </si>
  <si>
    <t>(12) ROTACION DE ACTIVOS TOTALES</t>
  </si>
  <si>
    <t>Es decir que nuestra empresa está colocando entre sus clientes 1.23 veces el valor de la inversión efectuada.</t>
  </si>
  <si>
    <t>(13) ROTACION DE ACTIVO FIJO</t>
  </si>
  <si>
    <t>Es decir, estamos colocando en el mercado 5.40 veces el valor de lo invertido en activo fijo.</t>
  </si>
  <si>
    <t>C) RATIOS DE SOLVENCIA</t>
  </si>
  <si>
    <t>(14) ESTRUCTURA DEL CAPITAL</t>
  </si>
  <si>
    <t>Por cada UM aportada por el dueño hay UM 0.8107 y UM 0.8120 de los acreedores.</t>
  </si>
  <si>
    <t>(15) RAZON DE ENDEUDAMIENTO</t>
  </si>
  <si>
    <t>El 44.77% y 44.84% de los activos totales, es financiado por los acreedores.</t>
  </si>
  <si>
    <t>(16) COBERTURA DE GASTOS FINANCIEROS</t>
  </si>
  <si>
    <t>Una forma de medirla es aplicando este ratio, cuyo resultado proyecta una idea de la capacidad de pago del solicitante.</t>
  </si>
  <si>
    <t>(17) COBERTURA DE LOS GASTOS FIJOS</t>
  </si>
  <si>
    <t>Para el caso consideramos como gastos fijos los rubros de gastos de ventas, generales y administrativos y depreciación. Esto no significa que los gastos de ventas corresponden necesariamente a los gastos fijos. Al clasificar los costos fijos y variables deberá analizarse las particularidades de cada empresa.</t>
  </si>
  <si>
    <t>D) RATIOS DE RENTABILIDAD</t>
  </si>
  <si>
    <t>(18) RENDIMIENTO SOBRE EL PATRIMONIO</t>
  </si>
  <si>
    <t>Esto significa que por cada UM que el dueño mantiene en el 2004 genera un rendimiento del 3.25% sobre el patrimonio. Es decir, mide la capacidad de la empresa para generar utilidad a favor del propietario.</t>
  </si>
  <si>
    <t>(19) RENDIMIENTO SOBRE LA INVERSION</t>
  </si>
  <si>
    <t>Quiere decir,  que cada UM invertido en el 2004 en los activos produjo ese año un rendimiento de 1.79% sobre la inversión. Indicadores altos expresan un mayor rendimiento en las ventas y del dinero invertido.</t>
  </si>
  <si>
    <t>(20) UTILIDAD ACTIVO</t>
  </si>
  <si>
    <t>Nos está indicacando que la empresa genera una utilidad de 12.30% por cada UM invertido en sus activos</t>
  </si>
  <si>
    <t>(21) UTILIDAD VENTAS</t>
  </si>
  <si>
    <t>Es decir que por cada UM vendida hemos obtenido como uilidad el 10.01% en el 2004.</t>
  </si>
  <si>
    <t>(22) UTILIDAD POR ACCION</t>
  </si>
  <si>
    <t>Este ratio nos está indicando que la utilidad por cada acción común fue de UM 0.7616.</t>
  </si>
  <si>
    <t>(23) MARGEN DE UTILIDAD BRUTA</t>
  </si>
  <si>
    <t xml:space="preserve">Indica las ganancias en relación con las ventas, deducido los costos de producción de los bienes vendidos. Nos dice también la eficiencia de las operaciones y la forma como son asignados los precios de los productos. </t>
  </si>
  <si>
    <t>(24) MARGEN NETO DE UTILIDAD</t>
  </si>
  <si>
    <t>Esto quiere decir que en el 2004 por cada UM que vendió la empresa, obtuvo una utilidad de 1.46%. Este ratio permite evaluar si el esfuerzo hecho en la operación durante el período de análisis, está produciendo una adecuada retribución para el empresario.</t>
  </si>
  <si>
    <t>(25) DUPONT</t>
  </si>
  <si>
    <t>Tenemos, por cada UM invertido en los activos un rendimiento de 9.67% y 9.87% respectivamente, sobre los capitales invertidos.</t>
  </si>
  <si>
    <t>(1) LIQUIDEZ GENERAL:  Ratio de liquidez general. Mide las veces que con el activo circulante se puede hacer frente a las deudas a corto plazo, recogidas en el pasivo circulante.</t>
  </si>
  <si>
    <t>(2) PRUEBA ACIDA: La prueba del ácido es una forma de medir la capacidad de las compañías para pagar sus deudas de corto plazo excluyendo los inventarios.</t>
  </si>
  <si>
    <t>(3) PRUEBA DEFENSIVA: Es un indicador para saber si una compañía puede ser capaz de operar en el corto plazo con sus activos más líquidos.</t>
  </si>
  <si>
    <t>(4) CAPITAL DE TRABAJO: Es el dinero con que se cuenta para hacer funcionar el negocio en el día a día, lo suficiente para compra de mercancías, pago de salarios, de servicios públicos, arrendamientos, etc.</t>
  </si>
  <si>
    <t>(5) PERIODO PROMEDIO DE COBRANZAS: Tiempo que por término medio, transcurre desde que el producto ha sido vendido hasta que se efectúa el pago correspondiente por el cliente.</t>
  </si>
  <si>
    <t>(6) ROTACION DE LAS CUENTAS POR COBRAR: Para calcular la rotación de cuentas por cobrar, es necesario dividir las ventas a crédito realizadas a lo largo del año entre el promedio de cuentas por cobrar durante el mismo período.</t>
  </si>
  <si>
    <t>(7) ROTACION DE CARTERA: La rotación de cartera: señala el número de días que tarda una empresa en convertir las cuentas por cobrar (ventas) en dinero en efectivo.</t>
  </si>
  <si>
    <t>(8) ROTACION DE INVENTARIOS: Es una forma de medir el ritmo con el que se consume el inventario durante un ciclo contable.</t>
  </si>
  <si>
    <t>(9) PERIODO PAGO A PROVEEDORES: Es una media de días que transcurren entre la recepción de los bienes o serviciosde una entidad y el lpago efectivo al proveedor.</t>
  </si>
  <si>
    <t>(10) ROTACION DE CAJA BANCOS: Se encarga se medir cuántas ventas genera la empresa por cada peso invertido.</t>
  </si>
  <si>
    <t>(11) ROTACION DE ACTIVOS TOTALES: El índice de rotación de activos mide cuán efectiva es tu empresa en el uso de los activos fijos y los activos líquidos que tiene para generar ingresos.</t>
  </si>
  <si>
    <t>(12) ROTACION DE ACTIVO FIJO: Refleja las veces que se ha utilizado el activo fijo en la obtención de ingresos, es un índice de la eficiencia en la gestión de los bienes de activo fijo.</t>
  </si>
  <si>
    <t>(13) ESTRUCTURA DEL CAPITAL: Este ratio se calcula dividiendo el total de obligaciones de una empresa (deuda) por el monto total de acciones.</t>
  </si>
  <si>
    <t>(14) RAZON DE ENDEUDAMIENTO: Evalúa la proporción de financiación ajena que posee una entidad frente a su patrimonio.</t>
  </si>
  <si>
    <t>(15) COBERTURA DE GASTOS FINANCIEROS: Es la cobertura de gastos financieros y representa el peso de los mismos en el margen del negocio de la empresa.</t>
  </si>
  <si>
    <t>(16) COBERTURA DE LOS GASTOS FIJOS: Este ratio permite visualizar la capacidad de supervivencia, endeudamiento y tambin medir la capacidad de la empresa para asumir su carga de costos fijos.</t>
  </si>
  <si>
    <t xml:space="preserve">(17) RENDIMIENTO SOBRE EL PATRIMONIO:  Se usa para evaluar la capacidad que tiene una empresa para generar beneficios, a través de la inversión realizada por los accionistas. </t>
  </si>
  <si>
    <t>(18) RENDIMIENTO SOBRE LA INVERSION: Es un índice o indicador financiero encargado de medir la rentabilidad de una inversión, es decir, las utilidades o ganancias que se esperan obtener en una inversión.</t>
  </si>
  <si>
    <t>(19) UTILIDAD ACTIVO:  Es la relación entre el beneficio obtenido por la empresa en un determinado periodo de tiempo y los activos totales.</t>
  </si>
  <si>
    <t>(20) UTILIDAD VENTAS: Se refiere a las ganancias obtenidas a partir de una inversión o venta durante un periodo determinado.</t>
  </si>
  <si>
    <t xml:space="preserve">(21) UTILIDAD POR ACCION: Refleja aquella proporción de la utilidad después de impuestos de una empresa a la cual tiene derecho cada acción ordinaria en circulación </t>
  </si>
  <si>
    <t>(22) MARGEN DE UTILIDAD BRUTA: Es una forma de medir los beneficios que obtiene una compañía después de restar los costes directos asociados a la venta de sus bienes y servicios.</t>
  </si>
  <si>
    <t>(23) MARGEN NETO DE UTILIDAD: Es el resultado de la resta de todos los gastos necesarios para su mantenimiento (materia prima, herramientas, salario de los empleados, costos de distribución, impuestos, renta, pago de servicios públicos de energía, agua e internet y pago de préstamos) sobre el valor total de los ingresos.</t>
  </si>
  <si>
    <t>(24) DUPONT: Cuantifica el impacto que tiene la eficiencia, el margen de utilidad y el apalancamiento financiero sobre el desempeño.</t>
  </si>
  <si>
    <t>Análisis</t>
  </si>
  <si>
    <t>Conclusión:</t>
  </si>
  <si>
    <t>F)</t>
  </si>
  <si>
    <t>Nombre Completo</t>
  </si>
  <si>
    <t>Auditor</t>
  </si>
  <si>
    <t>Supervisor</t>
  </si>
  <si>
    <t xml:space="preserve">Supervisor </t>
  </si>
  <si>
    <t>PBR-022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</si>
</sst>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27">
    <font>
      <sz val="10"/>
      <color rgb="FF000000"/>
      <name val="Arial"/>
      <scheme val="minor"/>
    </font>
    <font>
      <u/>
      <sz val="10"/>
      <color rgb="FF0000FF"/>
      <name val="Arial"/>
      <family val="2"/>
    </font>
    <font>
      <sz val="10"/>
      <color theme="1"/>
      <name val="Bookman Old Style"/>
      <family val="1"/>
    </font>
    <font>
      <sz val="10"/>
      <name val="Arial"/>
      <family val="2"/>
    </font>
    <font>
      <b/>
      <sz val="16"/>
      <color theme="0"/>
      <name val="Bookman Old Style"/>
      <family val="1"/>
    </font>
    <font>
      <u/>
      <sz val="10"/>
      <color rgb="FF0000FF"/>
      <name val="Arial"/>
      <family val="2"/>
    </font>
    <font>
      <b/>
      <sz val="16"/>
      <color rgb="FF800000"/>
      <name val="Bookman Old Style"/>
      <family val="1"/>
    </font>
    <font>
      <b/>
      <sz val="12"/>
      <color rgb="FFFFFFFF"/>
      <name val="Bookman Old Style"/>
      <family val="1"/>
    </font>
    <font>
      <sz val="12"/>
      <color theme="1"/>
      <name val="Bookman Old Style"/>
      <family val="1"/>
    </font>
    <font>
      <sz val="9"/>
      <color theme="1"/>
      <name val="Bookman Old Style"/>
      <family val="1"/>
    </font>
    <font>
      <b/>
      <sz val="11"/>
      <color rgb="FFFFFFFF"/>
      <name val="Bookman Old Style"/>
      <family val="1"/>
    </font>
    <font>
      <sz val="11"/>
      <color theme="1"/>
      <name val="Bookman Old Style"/>
      <family val="1"/>
    </font>
    <font>
      <b/>
      <sz val="16"/>
      <color theme="1"/>
      <name val="Bookman Old Style"/>
      <family val="1"/>
    </font>
    <font>
      <sz val="9"/>
      <color rgb="FF1F1F1F"/>
      <name val="&quot;Google Sans&quot;"/>
    </font>
    <font>
      <b/>
      <sz val="11"/>
      <color theme="1"/>
      <name val="Arial"/>
      <family val="2"/>
      <scheme val="minor"/>
    </font>
    <font>
      <sz val="12"/>
      <color rgb="FF374151"/>
      <name val="Segoe UI"/>
      <family val="2"/>
    </font>
    <font>
      <b/>
      <sz val="12"/>
      <color theme="1"/>
      <name val="Arial"/>
      <family val="2"/>
    </font>
    <font>
      <b/>
      <sz val="10"/>
      <color rgb="FF000000"/>
      <name val="Arial"/>
      <family val="2"/>
      <scheme val="minor"/>
    </font>
    <font>
      <sz val="10"/>
      <color rgb="FF000000"/>
      <name val="Arial"/>
      <family val="2"/>
      <scheme val="minor"/>
    </font>
    <font>
      <sz val="12"/>
      <color rgb="FF374151"/>
      <name val="Segoe UI"/>
      <family val="2"/>
    </font>
    <font>
      <b/>
      <sz val="15"/>
      <color rgb="FFC00000"/>
      <name val="Bookman Old Style"/>
      <family val="1"/>
    </font>
    <font>
      <b/>
      <sz val="14"/>
      <color theme="0"/>
      <name val="Times New Roman"/>
      <family val="1"/>
    </font>
    <font>
      <sz val="10"/>
      <name val="Times New Roman"/>
      <family val="1"/>
    </font>
    <font>
      <b/>
      <sz val="10"/>
      <color theme="0"/>
      <name val="Times New Roman"/>
      <family val="1"/>
    </font>
    <font>
      <sz val="10"/>
      <color theme="1"/>
      <name val="Times New Roman"/>
      <family val="1"/>
    </font>
    <font>
      <u/>
      <sz val="10"/>
      <color theme="1"/>
      <name val="Times New Roman"/>
      <family val="1"/>
    </font>
    <font>
      <b/>
      <sz val="10"/>
      <color rgb="FFFFFFFF"/>
      <name val="Times New Roman"/>
      <family val="1"/>
    </font>
  </fonts>
  <fills count="8">
    <fill>
      <patternFill patternType="none"/>
    </fill>
    <fill>
      <patternFill patternType="gray125"/>
    </fill>
    <fill>
      <patternFill patternType="solid">
        <fgColor rgb="FF0070C0"/>
        <bgColor rgb="FF0070C0"/>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E5DFEC"/>
        <bgColor rgb="FFE5DFEC"/>
      </patternFill>
    </fill>
    <fill>
      <patternFill patternType="solid">
        <fgColor rgb="FFFFFF99"/>
        <bgColor rgb="FFFFFF99"/>
      </patternFill>
    </fill>
  </fills>
  <borders count="30">
    <border>
      <left/>
      <right/>
      <top/>
      <bottom/>
      <diagonal/>
    </border>
    <border>
      <left/>
      <right/>
      <top/>
      <bottom/>
      <diagonal/>
    </border>
    <border>
      <left/>
      <right/>
      <top/>
      <bottom/>
      <diagonal/>
    </border>
    <border>
      <left/>
      <right/>
      <top/>
      <bottom/>
      <diagonal/>
    </border>
    <border>
      <left/>
      <right/>
      <top/>
      <bottom/>
      <diagonal/>
    </border>
    <border>
      <left/>
      <right/>
      <top style="thin">
        <color rgb="FF000000"/>
      </top>
      <bottom style="thin">
        <color rgb="FF000000"/>
      </bottom>
      <diagonal/>
    </border>
    <border>
      <left/>
      <right/>
      <top/>
      <bottom style="thin">
        <color rgb="FF000000"/>
      </bottom>
      <diagonal/>
    </border>
    <border>
      <left/>
      <right/>
      <top style="thin">
        <color rgb="FF000000"/>
      </top>
      <bottom style="double">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style="thin">
        <color rgb="FF000000"/>
      </left>
      <right/>
      <top/>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5">
    <xf numFmtId="0" fontId="0" fillId="0" borderId="0" xfId="0" applyFont="1" applyAlignment="1"/>
    <xf numFmtId="0" fontId="2" fillId="0" borderId="0" xfId="0" applyFont="1" applyAlignment="1">
      <alignment vertical="top" wrapText="1"/>
    </xf>
    <xf numFmtId="0" fontId="2" fillId="3" borderId="4" xfId="0" applyFont="1" applyFill="1" applyBorder="1" applyAlignment="1">
      <alignment vertical="top" wrapText="1"/>
    </xf>
    <xf numFmtId="3" fontId="2" fillId="0" borderId="0" xfId="0" applyNumberFormat="1" applyFont="1" applyAlignment="1">
      <alignment vertical="top" wrapText="1"/>
    </xf>
    <xf numFmtId="4" fontId="6" fillId="7" borderId="4" xfId="0" applyNumberFormat="1" applyFont="1" applyFill="1" applyBorder="1" applyAlignment="1">
      <alignment horizontal="center" vertical="center" wrapText="1"/>
    </xf>
    <xf numFmtId="0" fontId="7" fillId="2" borderId="11" xfId="0" applyFont="1" applyFill="1" applyBorder="1" applyAlignment="1">
      <alignment horizontal="left" vertical="top" wrapText="1"/>
    </xf>
    <xf numFmtId="1" fontId="7" fillId="2" borderId="11" xfId="0" applyNumberFormat="1" applyFont="1" applyFill="1" applyBorder="1" applyAlignment="1">
      <alignment horizontal="center" vertical="top"/>
    </xf>
    <xf numFmtId="1" fontId="7" fillId="2" borderId="5" xfId="0" applyNumberFormat="1" applyFont="1" applyFill="1" applyBorder="1" applyAlignment="1">
      <alignment horizontal="center" vertical="top"/>
    </xf>
    <xf numFmtId="4" fontId="7" fillId="2" borderId="11" xfId="0" applyNumberFormat="1" applyFont="1" applyFill="1" applyBorder="1" applyAlignment="1">
      <alignment horizontal="center" vertical="top" wrapText="1"/>
    </xf>
    <xf numFmtId="4" fontId="8" fillId="3" borderId="4" xfId="0" applyNumberFormat="1" applyFont="1" applyFill="1" applyBorder="1" applyAlignment="1">
      <alignment horizontal="center" vertical="top"/>
    </xf>
    <xf numFmtId="0" fontId="8" fillId="0" borderId="0" xfId="0" applyFont="1" applyAlignment="1">
      <alignment vertical="top" wrapText="1"/>
    </xf>
    <xf numFmtId="4" fontId="2" fillId="4" borderId="12" xfId="0" applyNumberFormat="1" applyFont="1" applyFill="1" applyBorder="1" applyAlignment="1">
      <alignment horizontal="left" vertical="top" wrapText="1"/>
    </xf>
    <xf numFmtId="4" fontId="2" fillId="4" borderId="11" xfId="0" applyNumberFormat="1" applyFont="1" applyFill="1" applyBorder="1" applyAlignment="1">
      <alignment horizontal="center" vertical="top"/>
    </xf>
    <xf numFmtId="4" fontId="9" fillId="4" borderId="11" xfId="0" applyNumberFormat="1" applyFont="1" applyFill="1" applyBorder="1" applyAlignment="1">
      <alignment vertical="top" wrapText="1"/>
    </xf>
    <xf numFmtId="4" fontId="2" fillId="3" borderId="4" xfId="0" applyNumberFormat="1" applyFont="1" applyFill="1" applyBorder="1" applyAlignment="1">
      <alignment horizontal="center" vertical="top"/>
    </xf>
    <xf numFmtId="4" fontId="2" fillId="4" borderId="11" xfId="0" applyNumberFormat="1" applyFont="1" applyFill="1" applyBorder="1" applyAlignment="1">
      <alignment horizontal="center" vertical="top" wrapText="1"/>
    </xf>
    <xf numFmtId="0" fontId="9" fillId="4" borderId="11" xfId="0" applyFont="1" applyFill="1" applyBorder="1" applyAlignment="1">
      <alignment vertical="top" wrapText="1"/>
    </xf>
    <xf numFmtId="164" fontId="2" fillId="4" borderId="12" xfId="0" applyNumberFormat="1" applyFont="1" applyFill="1" applyBorder="1" applyAlignment="1">
      <alignment horizontal="left" vertical="top" wrapText="1"/>
    </xf>
    <xf numFmtId="3" fontId="2" fillId="4" borderId="11" xfId="0" applyNumberFormat="1" applyFont="1" applyFill="1" applyBorder="1" applyAlignment="1">
      <alignment horizontal="center" vertical="top"/>
    </xf>
    <xf numFmtId="164" fontId="2" fillId="4" borderId="11" xfId="0" applyNumberFormat="1" applyFont="1" applyFill="1" applyBorder="1" applyAlignment="1">
      <alignment horizontal="left" vertical="top" wrapText="1"/>
    </xf>
    <xf numFmtId="0" fontId="7" fillId="2" borderId="13" xfId="0" applyFont="1" applyFill="1" applyBorder="1" applyAlignment="1">
      <alignment horizontal="left" vertical="top" wrapText="1"/>
    </xf>
    <xf numFmtId="4" fontId="2" fillId="4" borderId="14" xfId="0" applyNumberFormat="1" applyFont="1" applyFill="1" applyBorder="1" applyAlignment="1">
      <alignment horizontal="left" vertical="top" wrapText="1"/>
    </xf>
    <xf numFmtId="3" fontId="2" fillId="4" borderId="14" xfId="0" applyNumberFormat="1" applyFont="1" applyFill="1" applyBorder="1" applyAlignment="1">
      <alignment horizontal="center" vertical="top"/>
    </xf>
    <xf numFmtId="4" fontId="2" fillId="4" borderId="16" xfId="0" applyNumberFormat="1" applyFont="1" applyFill="1" applyBorder="1" applyAlignment="1">
      <alignment horizontal="left" vertical="top" wrapText="1"/>
    </xf>
    <xf numFmtId="4" fontId="2" fillId="4" borderId="16" xfId="0" applyNumberFormat="1" applyFont="1" applyFill="1" applyBorder="1" applyAlignment="1">
      <alignment horizontal="center" vertical="top"/>
    </xf>
    <xf numFmtId="4" fontId="2" fillId="4" borderId="17" xfId="0" applyNumberFormat="1" applyFont="1" applyFill="1" applyBorder="1" applyAlignment="1">
      <alignment horizontal="center" vertical="top"/>
    </xf>
    <xf numFmtId="3" fontId="2" fillId="4" borderId="13" xfId="0" applyNumberFormat="1" applyFont="1" applyFill="1" applyBorder="1" applyAlignment="1">
      <alignment horizontal="center" vertical="top"/>
    </xf>
    <xf numFmtId="4" fontId="2" fillId="4" borderId="20" xfId="0" applyNumberFormat="1" applyFont="1" applyFill="1" applyBorder="1" applyAlignment="1">
      <alignment horizontal="left" vertical="top" wrapText="1"/>
    </xf>
    <xf numFmtId="4" fontId="2" fillId="4" borderId="21" xfId="0" applyNumberFormat="1" applyFont="1" applyFill="1" applyBorder="1" applyAlignment="1">
      <alignment horizontal="center" vertical="top"/>
    </xf>
    <xf numFmtId="4" fontId="2" fillId="4" borderId="20" xfId="0" applyNumberFormat="1" applyFont="1" applyFill="1" applyBorder="1" applyAlignment="1">
      <alignment horizontal="center" vertical="top"/>
    </xf>
    <xf numFmtId="0" fontId="2" fillId="4" borderId="14" xfId="0" applyFont="1" applyFill="1" applyBorder="1"/>
    <xf numFmtId="2" fontId="2" fillId="4" borderId="13" xfId="0" applyNumberFormat="1" applyFont="1" applyFill="1" applyBorder="1" applyAlignment="1">
      <alignment horizontal="center"/>
    </xf>
    <xf numFmtId="0" fontId="2" fillId="4" borderId="12" xfId="0" applyFont="1" applyFill="1" applyBorder="1" applyAlignment="1">
      <alignment vertical="top" wrapText="1"/>
    </xf>
    <xf numFmtId="2" fontId="2" fillId="4" borderId="11" xfId="0" applyNumberFormat="1" applyFont="1" applyFill="1" applyBorder="1" applyAlignment="1">
      <alignment horizontal="center" vertical="top" wrapText="1"/>
    </xf>
    <xf numFmtId="164" fontId="2" fillId="4" borderId="21" xfId="0" applyNumberFormat="1" applyFont="1" applyFill="1" applyBorder="1" applyAlignment="1">
      <alignment horizontal="left" vertical="top" wrapText="1"/>
    </xf>
    <xf numFmtId="3" fontId="2" fillId="4" borderId="21" xfId="0" applyNumberFormat="1" applyFont="1" applyFill="1" applyBorder="1" applyAlignment="1">
      <alignment horizontal="center" vertical="top"/>
    </xf>
    <xf numFmtId="0" fontId="2" fillId="0" borderId="0" xfId="0" applyFont="1" applyAlignment="1">
      <alignment horizontal="left" vertical="top" wrapText="1"/>
    </xf>
    <xf numFmtId="0" fontId="10" fillId="2" borderId="13" xfId="0" applyFont="1" applyFill="1" applyBorder="1" applyAlignment="1">
      <alignment horizontal="left" vertical="top" wrapText="1"/>
    </xf>
    <xf numFmtId="0" fontId="11" fillId="0" borderId="0" xfId="0" applyFont="1" applyAlignment="1">
      <alignment vertical="top" wrapText="1"/>
    </xf>
    <xf numFmtId="165" fontId="2" fillId="4" borderId="14" xfId="0" applyNumberFormat="1" applyFont="1" applyFill="1" applyBorder="1" applyAlignment="1">
      <alignment horizontal="center" vertical="top"/>
    </xf>
    <xf numFmtId="4" fontId="9" fillId="4" borderId="13" xfId="0" applyNumberFormat="1" applyFont="1" applyFill="1" applyBorder="1" applyAlignment="1">
      <alignment horizontal="left" vertical="top" wrapText="1"/>
    </xf>
    <xf numFmtId="165" fontId="2" fillId="4" borderId="13" xfId="0" applyNumberFormat="1" applyFont="1" applyFill="1" applyBorder="1" applyAlignment="1">
      <alignment horizontal="center" vertical="top"/>
    </xf>
    <xf numFmtId="0" fontId="9" fillId="4" borderId="25" xfId="0" applyFont="1" applyFill="1" applyBorder="1" applyAlignment="1">
      <alignment vertical="top" wrapText="1"/>
    </xf>
    <xf numFmtId="10" fontId="2" fillId="4" borderId="14" xfId="0" applyNumberFormat="1" applyFont="1" applyFill="1" applyBorder="1" applyAlignment="1">
      <alignment horizontal="center" vertical="top"/>
    </xf>
    <xf numFmtId="10" fontId="2" fillId="4" borderId="13" xfId="0" applyNumberFormat="1" applyFont="1" applyFill="1" applyBorder="1" applyAlignment="1">
      <alignment horizontal="center" vertical="top"/>
    </xf>
    <xf numFmtId="2" fontId="2" fillId="4" borderId="13" xfId="0" applyNumberFormat="1" applyFont="1" applyFill="1" applyBorder="1" applyAlignment="1">
      <alignment horizontal="center" vertical="top"/>
    </xf>
    <xf numFmtId="0" fontId="2" fillId="4" borderId="11" xfId="0" applyFont="1" applyFill="1" applyBorder="1" applyAlignment="1">
      <alignment vertical="top" wrapText="1"/>
    </xf>
    <xf numFmtId="10" fontId="2" fillId="4" borderId="11" xfId="0" applyNumberFormat="1" applyFont="1" applyFill="1" applyBorder="1" applyAlignment="1">
      <alignment horizontal="center" vertical="top" wrapText="1"/>
    </xf>
    <xf numFmtId="10" fontId="2" fillId="4" borderId="11" xfId="0" applyNumberFormat="1" applyFont="1" applyFill="1" applyBorder="1" applyAlignment="1">
      <alignment horizontal="center" vertical="top"/>
    </xf>
    <xf numFmtId="10" fontId="2" fillId="4" borderId="21" xfId="0" applyNumberFormat="1" applyFont="1" applyFill="1" applyBorder="1" applyAlignment="1">
      <alignment horizontal="center" vertical="top"/>
    </xf>
    <xf numFmtId="4" fontId="9" fillId="4" borderId="11" xfId="0" applyNumberFormat="1" applyFont="1" applyFill="1" applyBorder="1" applyAlignment="1">
      <alignment horizontal="left" vertical="top" wrapText="1"/>
    </xf>
    <xf numFmtId="4" fontId="8" fillId="3" borderId="26" xfId="0" applyNumberFormat="1" applyFont="1" applyFill="1" applyBorder="1" applyAlignment="1">
      <alignment horizontal="center" vertical="top"/>
    </xf>
    <xf numFmtId="4" fontId="2" fillId="4" borderId="13" xfId="0" applyNumberFormat="1" applyFont="1" applyFill="1" applyBorder="1" applyAlignment="1">
      <alignment horizontal="left" vertical="top" wrapText="1"/>
    </xf>
    <xf numFmtId="4" fontId="2" fillId="4" borderId="11" xfId="0" applyNumberFormat="1" applyFont="1" applyFill="1" applyBorder="1" applyAlignment="1">
      <alignment horizontal="left" vertical="top" wrapText="1"/>
    </xf>
    <xf numFmtId="4" fontId="2" fillId="3" borderId="5" xfId="0" applyNumberFormat="1" applyFont="1" applyFill="1" applyBorder="1" applyAlignment="1">
      <alignment horizontal="center" vertical="top"/>
    </xf>
    <xf numFmtId="4" fontId="2" fillId="4" borderId="17" xfId="0" applyNumberFormat="1" applyFont="1" applyFill="1" applyBorder="1" applyAlignment="1">
      <alignment horizontal="left" vertical="top" wrapText="1"/>
    </xf>
    <xf numFmtId="0" fontId="13" fillId="3" borderId="0" xfId="0" applyFont="1" applyFill="1" applyAlignment="1"/>
    <xf numFmtId="4" fontId="2" fillId="4" borderId="19" xfId="0" applyNumberFormat="1" applyFont="1" applyFill="1" applyBorder="1" applyAlignment="1">
      <alignment horizontal="left" vertical="top" wrapText="1"/>
    </xf>
    <xf numFmtId="0" fontId="2" fillId="0" borderId="0" xfId="0" applyFont="1" applyAlignment="1">
      <alignment vertical="center"/>
    </xf>
    <xf numFmtId="164" fontId="2" fillId="4" borderId="11" xfId="0" applyNumberFormat="1" applyFont="1" applyFill="1" applyBorder="1" applyAlignment="1">
      <alignment horizontal="left" vertical="top" wrapText="1"/>
    </xf>
    <xf numFmtId="4" fontId="2" fillId="4" borderId="13" xfId="0" applyNumberFormat="1" applyFont="1" applyFill="1" applyBorder="1" applyAlignment="1">
      <alignment horizontal="left" vertical="top" wrapText="1"/>
    </xf>
    <xf numFmtId="164" fontId="2" fillId="4" borderId="21" xfId="0" applyNumberFormat="1" applyFont="1" applyFill="1" applyBorder="1" applyAlignment="1">
      <alignment horizontal="left" vertical="top" wrapText="1"/>
    </xf>
    <xf numFmtId="0" fontId="2" fillId="4" borderId="11" xfId="0" applyFont="1" applyFill="1" applyBorder="1" applyAlignment="1">
      <alignment vertical="top" wrapText="1"/>
    </xf>
    <xf numFmtId="0" fontId="2" fillId="0" borderId="27" xfId="0" applyFont="1" applyBorder="1" applyAlignment="1">
      <alignment vertical="top" wrapText="1"/>
    </xf>
    <xf numFmtId="0" fontId="7" fillId="2" borderId="13" xfId="0" applyFont="1" applyFill="1" applyBorder="1" applyAlignment="1">
      <alignment horizontal="left" vertical="center" wrapText="1"/>
    </xf>
    <xf numFmtId="1" fontId="7" fillId="2" borderId="11" xfId="0" applyNumberFormat="1" applyFont="1" applyFill="1" applyBorder="1" applyAlignment="1">
      <alignment horizontal="center" vertical="center"/>
    </xf>
    <xf numFmtId="1" fontId="7" fillId="2" borderId="5" xfId="0" applyNumberFormat="1" applyFont="1" applyFill="1" applyBorder="1" applyAlignment="1">
      <alignment horizontal="center" vertical="center"/>
    </xf>
    <xf numFmtId="4" fontId="7" fillId="2" borderId="11" xfId="0" applyNumberFormat="1" applyFont="1" applyFill="1" applyBorder="1" applyAlignment="1">
      <alignment horizontal="center" vertical="center" wrapText="1"/>
    </xf>
    <xf numFmtId="0" fontId="10" fillId="2" borderId="13" xfId="0" applyFont="1" applyFill="1" applyBorder="1" applyAlignment="1">
      <alignment horizontal="left" vertical="center" wrapText="1"/>
    </xf>
    <xf numFmtId="0" fontId="15" fillId="0" borderId="0" xfId="0" applyFont="1" applyAlignment="1"/>
    <xf numFmtId="0" fontId="16" fillId="0" borderId="0" xfId="0" applyFont="1" applyAlignment="1">
      <alignment horizontal="left" vertical="top" wrapText="1"/>
    </xf>
    <xf numFmtId="0" fontId="0" fillId="0" borderId="28" xfId="0" applyBorder="1"/>
    <xf numFmtId="0" fontId="0" fillId="0" borderId="0" xfId="0"/>
    <xf numFmtId="0" fontId="14" fillId="0" borderId="0" xfId="0" applyFont="1"/>
    <xf numFmtId="0" fontId="0" fillId="0" borderId="4" xfId="0" applyBorder="1"/>
    <xf numFmtId="0" fontId="17" fillId="0" borderId="0" xfId="0" applyFont="1"/>
    <xf numFmtId="0" fontId="19" fillId="0" borderId="4" xfId="0" applyFont="1" applyBorder="1" applyAlignment="1">
      <alignment horizontal="left" vertical="center" indent="1"/>
    </xf>
    <xf numFmtId="0" fontId="15" fillId="0" borderId="4" xfId="0" applyFont="1" applyBorder="1" applyAlignment="1">
      <alignment horizontal="left" vertical="center" indent="1"/>
    </xf>
    <xf numFmtId="0" fontId="15" fillId="0" borderId="4" xfId="0" applyFont="1" applyBorder="1" applyAlignment="1">
      <alignment horizontal="left" vertical="center" indent="2"/>
    </xf>
    <xf numFmtId="0" fontId="20" fillId="0" borderId="29" xfId="0" applyFont="1" applyBorder="1" applyAlignment="1">
      <alignment horizontal="center" vertical="center" wrapText="1"/>
    </xf>
    <xf numFmtId="0" fontId="1" fillId="0" borderId="0" xfId="0" applyFont="1" applyAlignment="1">
      <alignment horizontal="center" vertical="top" wrapText="1"/>
    </xf>
    <xf numFmtId="0" fontId="0" fillId="0" borderId="0" xfId="0" applyFont="1" applyAlignment="1"/>
    <xf numFmtId="0" fontId="3" fillId="0" borderId="2" xfId="0" applyFont="1" applyBorder="1"/>
    <xf numFmtId="0" fontId="3" fillId="0" borderId="3" xfId="0" applyFont="1" applyBorder="1"/>
    <xf numFmtId="4" fontId="4" fillId="2" borderId="1" xfId="0" applyNumberFormat="1" applyFont="1" applyFill="1" applyBorder="1" applyAlignment="1">
      <alignment horizontal="center" vertical="center" wrapText="1"/>
    </xf>
    <xf numFmtId="4" fontId="5" fillId="6" borderId="8" xfId="0" applyNumberFormat="1" applyFont="1" applyFill="1" applyBorder="1" applyAlignment="1">
      <alignment horizontal="center" vertical="center" wrapText="1"/>
    </xf>
    <xf numFmtId="0" fontId="3" fillId="0" borderId="9" xfId="0" applyFont="1" applyBorder="1"/>
    <xf numFmtId="0" fontId="3" fillId="0" borderId="10" xfId="0" applyFont="1" applyBorder="1"/>
    <xf numFmtId="0" fontId="9" fillId="4" borderId="15" xfId="0" applyFont="1" applyFill="1" applyBorder="1" applyAlignment="1">
      <alignment horizontal="left" vertical="top" wrapText="1"/>
    </xf>
    <xf numFmtId="0" fontId="3" fillId="0" borderId="18" xfId="0" applyFont="1" applyBorder="1"/>
    <xf numFmtId="0" fontId="9" fillId="4" borderId="19" xfId="0" applyFont="1" applyFill="1" applyBorder="1" applyAlignment="1">
      <alignment horizontal="left" vertical="top" wrapText="1"/>
    </xf>
    <xf numFmtId="0" fontId="3" fillId="0" borderId="22" xfId="0" applyFont="1" applyBorder="1"/>
    <xf numFmtId="0" fontId="9" fillId="4" borderId="23" xfId="0" applyFont="1" applyFill="1" applyBorder="1" applyAlignment="1">
      <alignment horizontal="left" vertical="top" wrapText="1"/>
    </xf>
    <xf numFmtId="0" fontId="3" fillId="0" borderId="24" xfId="0" applyFont="1" applyBorder="1"/>
    <xf numFmtId="4" fontId="12" fillId="4" borderId="1" xfId="0" applyNumberFormat="1" applyFont="1" applyFill="1" applyBorder="1" applyAlignment="1">
      <alignment horizontal="center" vertical="center" wrapText="1"/>
    </xf>
    <xf numFmtId="0" fontId="21" fillId="2" borderId="1" xfId="0" applyFont="1" applyFill="1" applyBorder="1" applyAlignment="1">
      <alignment horizontal="center" vertical="top" wrapText="1"/>
    </xf>
    <xf numFmtId="0" fontId="22" fillId="0" borderId="2" xfId="0" applyFont="1" applyBorder="1"/>
    <xf numFmtId="0" fontId="22" fillId="0" borderId="3" xfId="0" applyFont="1" applyBorder="1"/>
    <xf numFmtId="0" fontId="23" fillId="2" borderId="1" xfId="0" applyFont="1" applyFill="1" applyBorder="1" applyAlignment="1">
      <alignment horizontal="center" vertical="top" wrapText="1"/>
    </xf>
    <xf numFmtId="0" fontId="23" fillId="2" borderId="5" xfId="0" applyFont="1" applyFill="1" applyBorder="1" applyAlignment="1">
      <alignment vertical="top" wrapText="1"/>
    </xf>
    <xf numFmtId="3" fontId="23" fillId="2" borderId="5" xfId="0" applyNumberFormat="1" applyFont="1" applyFill="1" applyBorder="1" applyAlignment="1">
      <alignment vertical="top" wrapText="1"/>
    </xf>
    <xf numFmtId="0" fontId="24" fillId="4" borderId="4" xfId="0" applyFont="1" applyFill="1" applyBorder="1" applyAlignment="1">
      <alignment vertical="top" wrapText="1"/>
    </xf>
    <xf numFmtId="3" fontId="24" fillId="5" borderId="4" xfId="0" applyNumberFormat="1" applyFont="1" applyFill="1" applyBorder="1" applyAlignment="1">
      <alignment vertical="top" wrapText="1"/>
    </xf>
    <xf numFmtId="3" fontId="24" fillId="5" borderId="6" xfId="0" applyNumberFormat="1" applyFont="1" applyFill="1" applyBorder="1" applyAlignment="1">
      <alignment vertical="top" wrapText="1"/>
    </xf>
    <xf numFmtId="0" fontId="24" fillId="4" borderId="4" xfId="0" applyFont="1" applyFill="1" applyBorder="1" applyAlignment="1">
      <alignment horizontal="right" vertical="top" wrapText="1"/>
    </xf>
    <xf numFmtId="3" fontId="24" fillId="5" borderId="5" xfId="0" applyNumberFormat="1" applyFont="1" applyFill="1" applyBorder="1" applyAlignment="1">
      <alignment vertical="top" wrapText="1"/>
    </xf>
    <xf numFmtId="0" fontId="25" fillId="4" borderId="4" xfId="0" applyFont="1" applyFill="1" applyBorder="1" applyAlignment="1">
      <alignment vertical="top" wrapText="1"/>
    </xf>
    <xf numFmtId="3" fontId="24" fillId="5" borderId="7" xfId="0" applyNumberFormat="1" applyFont="1" applyFill="1" applyBorder="1" applyAlignment="1">
      <alignment vertical="top" wrapText="1"/>
    </xf>
    <xf numFmtId="0" fontId="24" fillId="3" borderId="4" xfId="0" applyFont="1" applyFill="1" applyBorder="1" applyAlignment="1">
      <alignment vertical="top" wrapText="1"/>
    </xf>
    <xf numFmtId="3" fontId="24" fillId="3" borderId="4" xfId="0" applyNumberFormat="1" applyFont="1" applyFill="1" applyBorder="1" applyAlignment="1">
      <alignment vertical="top" wrapText="1"/>
    </xf>
    <xf numFmtId="0" fontId="26" fillId="2" borderId="5" xfId="0" applyFont="1" applyFill="1" applyBorder="1" applyAlignment="1">
      <alignment vertical="top" wrapText="1"/>
    </xf>
    <xf numFmtId="3" fontId="24" fillId="5" borderId="4" xfId="0" applyNumberFormat="1" applyFont="1" applyFill="1" applyBorder="1" applyAlignment="1">
      <alignment horizontal="right" vertical="top" wrapText="1"/>
    </xf>
    <xf numFmtId="0" fontId="24" fillId="3" borderId="4" xfId="0" applyFont="1" applyFill="1" applyBorder="1" applyAlignment="1">
      <alignment horizontal="right" vertical="top" wrapText="1"/>
    </xf>
    <xf numFmtId="0" fontId="24" fillId="0" borderId="0" xfId="0" applyFont="1" applyAlignment="1">
      <alignment vertical="top" wrapText="1"/>
    </xf>
    <xf numFmtId="3" fontId="24" fillId="0" borderId="0" xfId="0" applyNumberFormat="1" applyFont="1" applyAlignment="1">
      <alignment vertical="top"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38</xdr:row>
      <xdr:rowOff>57150</xdr:rowOff>
    </xdr:from>
    <xdr:to>
      <xdr:col>3</xdr:col>
      <xdr:colOff>3552825</xdr:colOff>
      <xdr:row>65</xdr:row>
      <xdr:rowOff>114300</xdr:rowOff>
    </xdr:to>
    <xdr:sp macro="" textlink="">
      <xdr:nvSpPr>
        <xdr:cNvPr id="2" name="CuadroTexto 1"/>
        <xdr:cNvSpPr txBox="1"/>
      </xdr:nvSpPr>
      <xdr:spPr>
        <a:xfrm>
          <a:off x="0" y="17516475"/>
          <a:ext cx="8467725" cy="468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análisis de ratios ha proporcionado una evaluación detallada y holística del desempeño financiero de la empresa. En general, la empresa presenta una posición financiera sólida y un rendimiento operativo eficiente. Es crucial mantener la vigilancia y realizar ajustes estratégicos según sea necesario para adaptarse a cambios en el entorno empresarial y optimizar aún más los resultados financieros.</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Liquidez:</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liquidez de la empresa es sólida, con un índice de liquidez actual que indica su capacidad para cubrir sus obligaciones a corto plazo.</a:t>
          </a:r>
          <a:r>
            <a:rPr lang="es-GT"/>
            <a:t> </a:t>
          </a:r>
          <a:r>
            <a:rPr lang="es-GT" sz="1100" b="0" i="0" u="none" strike="noStrike">
              <a:solidFill>
                <a:schemeClr val="dk1"/>
              </a:solidFill>
              <a:effectLst/>
              <a:latin typeface="+mn-lt"/>
              <a:ea typeface="+mn-ea"/>
              <a:cs typeface="+mn-cs"/>
            </a:rPr>
            <a:t>Los ratios rápidos refuerzan la capacidad de la empresa para hacer frente a pasivos inmediatos sin depender en exceso de inventarios.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Rentabilidad:</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rentabilidad neta muestra un rendimiento positivo, indicando que la empresa está generando beneficios netos satisfactorios en relación con sus ingresos.</a:t>
          </a:r>
          <a:r>
            <a:rPr lang="es-GT"/>
            <a:t> </a:t>
          </a:r>
          <a:r>
            <a:rPr lang="es-GT" sz="1100" b="0" i="0" u="none" strike="noStrike">
              <a:solidFill>
                <a:schemeClr val="dk1"/>
              </a:solidFill>
              <a:effectLst/>
              <a:latin typeface="+mn-lt"/>
              <a:ea typeface="+mn-ea"/>
              <a:cs typeface="+mn-cs"/>
            </a:rPr>
            <a:t>El margen de beneficio bruto y neto está en línea con las expectativas del sector, lo que sugiere eficiencia en los costos y operaciones.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Endeudamiento: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La estructura de capital revela un nivel razonable de endeudamiento, con un equilibrio adecuado entre deuda y patrimonio neto.</a:t>
          </a:r>
          <a:r>
            <a:rPr lang="es-GT"/>
            <a:t> </a:t>
          </a:r>
          <a:r>
            <a:rPr lang="es-GT" sz="1100" b="0" i="0" u="none" strike="noStrike">
              <a:solidFill>
                <a:schemeClr val="dk1"/>
              </a:solidFill>
              <a:effectLst/>
              <a:latin typeface="+mn-lt"/>
              <a:ea typeface="+mn-ea"/>
              <a:cs typeface="+mn-cs"/>
            </a:rPr>
            <a:t>Los ratios de cobertura de intereses indican la capacidad de la empresa para cumplir con sus obligaciones de deuda.</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Eficiencia Operativa:</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Los ratios de rotación de activos y días de cuentas por cobrar demuestran una gestión eficiente de los recursos y una efectiva recuperación de cuentas pendientes.</a:t>
          </a:r>
          <a:r>
            <a:rPr lang="es-GT"/>
            <a:t> </a:t>
          </a:r>
          <a:r>
            <a:rPr lang="es-GT" sz="1100" b="0" i="0" u="none" strike="noStrike">
              <a:solidFill>
                <a:schemeClr val="dk1"/>
              </a:solidFill>
              <a:effectLst/>
              <a:latin typeface="+mn-lt"/>
              <a:ea typeface="+mn-ea"/>
              <a:cs typeface="+mn-cs"/>
            </a:rPr>
            <a:t>La rotación de inventarios sugiere una gestión efectiva de los niveles de inventario, evitando excesos o escaseces.</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Valor de Mercado:</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El precio de las acciones en relación con las ganancias (P/E) y el valor en libros refleja la percepción positiva del mercado hacia la empresa.</a:t>
          </a:r>
          <a:r>
            <a:rPr lang="es-GT"/>
            <a:t> </a:t>
          </a:r>
          <a:r>
            <a:rPr lang="es-GT" sz="1100" b="0" i="0" u="none" strike="noStrike">
              <a:solidFill>
                <a:schemeClr val="dk1"/>
              </a:solidFill>
              <a:effectLst/>
              <a:latin typeface="+mn-lt"/>
              <a:ea typeface="+mn-ea"/>
              <a:cs typeface="+mn-cs"/>
            </a:rPr>
            <a:t>El rendimiento total para los accionistas, considerando dividendos y apreciación del precio de las acciones, es satisfactorio.</a:t>
          </a:r>
          <a:r>
            <a:rPr lang="es-GT"/>
            <a:t> </a:t>
          </a:r>
        </a:p>
        <a:p>
          <a:endParaRPr lang="es-GT" sz="1100" b="1" i="0" u="none" strike="noStrike">
            <a:solidFill>
              <a:schemeClr val="dk1"/>
            </a:solidFill>
            <a:effectLst/>
            <a:latin typeface="+mn-lt"/>
            <a:ea typeface="+mn-ea"/>
            <a:cs typeface="+mn-cs"/>
          </a:endParaRPr>
        </a:p>
        <a:p>
          <a:r>
            <a:rPr lang="es-GT" sz="1100" b="1" i="0" u="none" strike="noStrike">
              <a:solidFill>
                <a:schemeClr val="dk1"/>
              </a:solidFill>
              <a:effectLst/>
              <a:latin typeface="+mn-lt"/>
              <a:ea typeface="+mn-ea"/>
              <a:cs typeface="+mn-cs"/>
            </a:rPr>
            <a:t>Perspectivas Futuras:</a:t>
          </a:r>
          <a:r>
            <a:rPr lang="es-GT"/>
            <a:t> </a:t>
          </a:r>
          <a:r>
            <a:rPr lang="es-GT" sz="1100" b="0" i="0" u="none" strike="noStrike">
              <a:solidFill>
                <a:schemeClr val="dk1"/>
              </a:solidFill>
              <a:effectLst/>
              <a:latin typeface="+mn-lt"/>
              <a:ea typeface="+mn-ea"/>
              <a:cs typeface="+mn-cs"/>
            </a:rPr>
            <a:t> </a:t>
          </a:r>
          <a:r>
            <a:rPr lang="es-GT"/>
            <a:t> </a:t>
          </a:r>
          <a:r>
            <a:rPr lang="es-GT" sz="1100" b="0" i="0" u="none" strike="noStrike">
              <a:solidFill>
                <a:schemeClr val="dk1"/>
              </a:solidFill>
              <a:effectLst/>
              <a:latin typeface="+mn-lt"/>
              <a:ea typeface="+mn-ea"/>
              <a:cs typeface="+mn-cs"/>
            </a:rPr>
            <a:t>Aunque los ratios actuales son saludables, se recomienda monitorear continuamente los indicadores clave, especialmente en un entorno económico dinámico.</a:t>
          </a:r>
          <a:r>
            <a:rPr lang="es-GT"/>
            <a:t> </a:t>
          </a:r>
          <a:r>
            <a:rPr lang="es-GT" sz="1100" b="0" i="0" u="none" strike="noStrike">
              <a:solidFill>
                <a:schemeClr val="dk1"/>
              </a:solidFill>
              <a:effectLst/>
              <a:latin typeface="+mn-lt"/>
              <a:ea typeface="+mn-ea"/>
              <a:cs typeface="+mn-cs"/>
            </a:rPr>
            <a:t>Las estrategias para mejorar la eficiencia operativa y la expansión de las fuentes de ingresos pueden contribuir a un rendimiento aún mejor en el futuro.</a:t>
          </a:r>
          <a:r>
            <a:rPr lang="es-GT"/>
            <a:t> </a:t>
          </a:r>
        </a:p>
        <a:p>
          <a:endParaRPr lang="es-GT" sz="1100"/>
        </a:p>
        <a:p>
          <a:endParaRPr lang="es-GT" sz="1100"/>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3</xdr:col>
      <xdr:colOff>19050</xdr:colOff>
      <xdr:row>2</xdr:row>
      <xdr:rowOff>0</xdr:rowOff>
    </xdr:from>
    <xdr:ext cx="5000625" cy="923925"/>
    <xdr:sp macro="" textlink="">
      <xdr:nvSpPr>
        <xdr:cNvPr id="3" name="Shape 3"/>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Liquidez General                     Activo Corriente</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209550</xdr:colOff>
      <xdr:row>2</xdr:row>
      <xdr:rowOff>514350</xdr:rowOff>
    </xdr:from>
    <xdr:ext cx="2200275" cy="28575"/>
    <xdr:grpSp>
      <xdr:nvGrpSpPr>
        <xdr:cNvPr id="2" name="Shape 2"/>
        <xdr:cNvGrpSpPr/>
      </xdr:nvGrpSpPr>
      <xdr:grpSpPr>
        <a:xfrm>
          <a:off x="4276725" y="1771650"/>
          <a:ext cx="2200275" cy="28575"/>
          <a:chOff x="4245863" y="3775238"/>
          <a:chExt cx="2200275" cy="9525"/>
        </a:xfrm>
      </xdr:grpSpPr>
      <xdr:cxnSp macro="">
        <xdr:nvCxnSpPr>
          <xdr:cNvPr id="4" name="Shape 4"/>
          <xdr:cNvCxnSpPr/>
        </xdr:nvCxnSpPr>
        <xdr:spPr>
          <a:xfrm rot="10800000" flipH="1">
            <a:off x="4245863" y="3775238"/>
            <a:ext cx="2200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3</xdr:row>
      <xdr:rowOff>19050</xdr:rowOff>
    </xdr:from>
    <xdr:ext cx="4991100" cy="933450"/>
    <xdr:sp macro="" textlink="">
      <xdr:nvSpPr>
        <xdr:cNvPr id="5" name="Shape 5"/>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Acida                            Activo Corriente - Existencias</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333375</xdr:colOff>
      <xdr:row>3</xdr:row>
      <xdr:rowOff>590550</xdr:rowOff>
    </xdr:from>
    <xdr:ext cx="2543175" cy="28575"/>
    <xdr:grpSp>
      <xdr:nvGrpSpPr>
        <xdr:cNvPr id="6" name="Shape 2"/>
        <xdr:cNvGrpSpPr/>
      </xdr:nvGrpSpPr>
      <xdr:grpSpPr>
        <a:xfrm>
          <a:off x="4400550" y="2800350"/>
          <a:ext cx="2543175" cy="28575"/>
          <a:chOff x="4074413" y="3775238"/>
          <a:chExt cx="2543175" cy="9525"/>
        </a:xfrm>
      </xdr:grpSpPr>
      <xdr:cxnSp macro="">
        <xdr:nvCxnSpPr>
          <xdr:cNvPr id="7" name="Shape 6"/>
          <xdr:cNvCxnSpPr/>
        </xdr:nvCxnSpPr>
        <xdr:spPr>
          <a:xfrm rot="10800000" flipH="1">
            <a:off x="4074413" y="3775238"/>
            <a:ext cx="25431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4</xdr:row>
      <xdr:rowOff>0</xdr:rowOff>
    </xdr:from>
    <xdr:ext cx="5000625" cy="923925"/>
    <xdr:sp macro="" textlink="">
      <xdr:nvSpPr>
        <xdr:cNvPr id="8" name="Shape 7"/>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Prueba Defensiva                     Activo Corriente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Pasivo Corriente</a:t>
          </a:r>
          <a:endParaRPr sz="1100"/>
        </a:p>
      </xdr:txBody>
    </xdr:sp>
    <xdr:clientData fLocksWithSheet="0"/>
  </xdr:oneCellAnchor>
  <xdr:oneCellAnchor>
    <xdr:from>
      <xdr:col>5</xdr:col>
      <xdr:colOff>314325</xdr:colOff>
      <xdr:row>4</xdr:row>
      <xdr:rowOff>542925</xdr:rowOff>
    </xdr:from>
    <xdr:ext cx="1876425" cy="38100"/>
    <xdr:grpSp>
      <xdr:nvGrpSpPr>
        <xdr:cNvPr id="9" name="Shape 2"/>
        <xdr:cNvGrpSpPr/>
      </xdr:nvGrpSpPr>
      <xdr:grpSpPr>
        <a:xfrm>
          <a:off x="4381500" y="3705225"/>
          <a:ext cx="1876425" cy="38100"/>
          <a:chOff x="4407788" y="3780000"/>
          <a:chExt cx="1876425" cy="0"/>
        </a:xfrm>
      </xdr:grpSpPr>
      <xdr:cxnSp macro="">
        <xdr:nvCxnSpPr>
          <xdr:cNvPr id="10" name="Shape 8"/>
          <xdr:cNvCxnSpPr/>
        </xdr:nvCxnSpPr>
        <xdr:spPr>
          <a:xfrm>
            <a:off x="4407788" y="3780000"/>
            <a:ext cx="18764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5</xdr:row>
      <xdr:rowOff>0</xdr:rowOff>
    </xdr:from>
    <xdr:ext cx="4991100" cy="923925"/>
    <xdr:sp macro="" textlink="">
      <xdr:nvSpPr>
        <xdr:cNvPr id="11" name="Shape 9"/>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      Capital de Trabajo            Activo Corriente  -  Pasivo Corriente</a:t>
          </a:r>
          <a:endParaRPr sz="1100"/>
        </a:p>
      </xdr:txBody>
    </xdr:sp>
    <xdr:clientData fLocksWithSheet="0"/>
  </xdr:oneCellAnchor>
  <xdr:oneCellAnchor>
    <xdr:from>
      <xdr:col>3</xdr:col>
      <xdr:colOff>9525</xdr:colOff>
      <xdr:row>5</xdr:row>
      <xdr:rowOff>895350</xdr:rowOff>
    </xdr:from>
    <xdr:ext cx="4991100" cy="933450"/>
    <xdr:sp macro="" textlink="">
      <xdr:nvSpPr>
        <xdr:cNvPr id="12" name="Shape 10"/>
        <xdr:cNvSpPr txBox="1"/>
      </xdr:nvSpPr>
      <xdr:spPr>
        <a:xfrm>
          <a:off x="2850450" y="3318038"/>
          <a:ext cx="4991100"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Período Promedio de Cobranzas      Saldos Medio Ventas    X 100</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Ventas</a:t>
          </a:r>
          <a:endParaRPr sz="1100"/>
        </a:p>
      </xdr:txBody>
    </xdr:sp>
    <xdr:clientData fLocksWithSheet="0"/>
  </xdr:oneCellAnchor>
  <xdr:oneCellAnchor>
    <xdr:from>
      <xdr:col>6</xdr:col>
      <xdr:colOff>276225</xdr:colOff>
      <xdr:row>6</xdr:row>
      <xdr:rowOff>485775</xdr:rowOff>
    </xdr:from>
    <xdr:ext cx="1552575" cy="38100"/>
    <xdr:grpSp>
      <xdr:nvGrpSpPr>
        <xdr:cNvPr id="13" name="Shape 2"/>
        <xdr:cNvGrpSpPr/>
      </xdr:nvGrpSpPr>
      <xdr:grpSpPr>
        <a:xfrm>
          <a:off x="4953000" y="5553075"/>
          <a:ext cx="1552575" cy="38100"/>
          <a:chOff x="4569713" y="3780000"/>
          <a:chExt cx="1552575" cy="0"/>
        </a:xfrm>
      </xdr:grpSpPr>
      <xdr:cxnSp macro="">
        <xdr:nvCxnSpPr>
          <xdr:cNvPr id="14" name="Shape 11"/>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6</xdr:row>
      <xdr:rowOff>933450</xdr:rowOff>
    </xdr:from>
    <xdr:ext cx="4981575" cy="1000125"/>
    <xdr:sp macro="" textlink="">
      <xdr:nvSpPr>
        <xdr:cNvPr id="15" name="Shape 12"/>
        <xdr:cNvSpPr txBox="1"/>
      </xdr:nvSpPr>
      <xdr:spPr>
        <a:xfrm>
          <a:off x="2855213" y="3284700"/>
          <a:ext cx="4981575" cy="9906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Cuentas por Cobrar    Ventas Netas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inicial Ctas. por Cobrar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Saldo Final Ctas. por Cobrar / 2</a:t>
          </a:r>
          <a:endParaRPr sz="1100"/>
        </a:p>
      </xdr:txBody>
    </xdr:sp>
    <xdr:clientData fLocksWithSheet="0"/>
  </xdr:oneCellAnchor>
  <xdr:oneCellAnchor>
    <xdr:from>
      <xdr:col>6</xdr:col>
      <xdr:colOff>95250</xdr:colOff>
      <xdr:row>7</xdr:row>
      <xdr:rowOff>533400</xdr:rowOff>
    </xdr:from>
    <xdr:ext cx="2181225" cy="38100"/>
    <xdr:grpSp>
      <xdr:nvGrpSpPr>
        <xdr:cNvPr id="16" name="Shape 2"/>
        <xdr:cNvGrpSpPr/>
      </xdr:nvGrpSpPr>
      <xdr:grpSpPr>
        <a:xfrm>
          <a:off x="4772025" y="6553200"/>
          <a:ext cx="2181225" cy="38100"/>
          <a:chOff x="4255388" y="3770475"/>
          <a:chExt cx="2181225" cy="19050"/>
        </a:xfrm>
      </xdr:grpSpPr>
      <xdr:cxnSp macro="">
        <xdr:nvCxnSpPr>
          <xdr:cNvPr id="17" name="Shape 13"/>
          <xdr:cNvCxnSpPr/>
        </xdr:nvCxnSpPr>
        <xdr:spPr>
          <a:xfrm rot="10800000" flipH="1">
            <a:off x="4255388" y="3770475"/>
            <a:ext cx="21812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5</xdr:row>
      <xdr:rowOff>-9525</xdr:rowOff>
    </xdr:from>
    <xdr:ext cx="1552575" cy="38100"/>
    <xdr:grpSp>
      <xdr:nvGrpSpPr>
        <xdr:cNvPr id="18" name="Shape 2"/>
        <xdr:cNvGrpSpPr/>
      </xdr:nvGrpSpPr>
      <xdr:grpSpPr>
        <a:xfrm>
          <a:off x="2857500" y="4105275"/>
          <a:ext cx="1552575" cy="38100"/>
          <a:chOff x="4569713" y="3780000"/>
          <a:chExt cx="1552575" cy="0"/>
        </a:xfrm>
      </xdr:grpSpPr>
      <xdr:cxnSp macro="">
        <xdr:nvCxnSpPr>
          <xdr:cNvPr id="19" name="Shape 11"/>
          <xdr:cNvCxnSpPr/>
        </xdr:nvCxnSpPr>
        <xdr:spPr>
          <a:xfrm>
            <a:off x="4569713" y="3780000"/>
            <a:ext cx="15525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9</xdr:row>
      <xdr:rowOff>0</xdr:rowOff>
    </xdr:from>
    <xdr:ext cx="4962525" cy="923925"/>
    <xdr:sp macro="" textlink="">
      <xdr:nvSpPr>
        <xdr:cNvPr id="20" name="Shape 14"/>
        <xdr:cNvSpPr txBox="1"/>
      </xdr:nvSpPr>
      <xdr:spPr>
        <a:xfrm>
          <a:off x="2864738" y="3318038"/>
          <a:ext cx="4962525" cy="9239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Cartera                                    Ventas a Crédito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Promedio Ctas. por Cobrar </a:t>
          </a:r>
          <a:endParaRPr sz="1100"/>
        </a:p>
      </xdr:txBody>
    </xdr:sp>
    <xdr:clientData fLocksWithSheet="0"/>
  </xdr:oneCellAnchor>
  <xdr:oneCellAnchor>
    <xdr:from>
      <xdr:col>6</xdr:col>
      <xdr:colOff>161925</xdr:colOff>
      <xdr:row>9</xdr:row>
      <xdr:rowOff>552450</xdr:rowOff>
    </xdr:from>
    <xdr:ext cx="1981200" cy="28575"/>
    <xdr:grpSp>
      <xdr:nvGrpSpPr>
        <xdr:cNvPr id="21" name="Shape 2"/>
        <xdr:cNvGrpSpPr/>
      </xdr:nvGrpSpPr>
      <xdr:grpSpPr>
        <a:xfrm>
          <a:off x="4838700" y="7981950"/>
          <a:ext cx="1981200" cy="28575"/>
          <a:chOff x="4355400" y="3775238"/>
          <a:chExt cx="1981200" cy="9525"/>
        </a:xfrm>
      </xdr:grpSpPr>
      <xdr:cxnSp macro="">
        <xdr:nvCxnSpPr>
          <xdr:cNvPr id="22" name="Shape 15"/>
          <xdr:cNvCxnSpPr/>
        </xdr:nvCxnSpPr>
        <xdr:spPr>
          <a:xfrm>
            <a:off x="4355400" y="3775238"/>
            <a:ext cx="19812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10</xdr:row>
      <xdr:rowOff>28575</xdr:rowOff>
    </xdr:from>
    <xdr:ext cx="4972050" cy="923925"/>
    <xdr:sp macro="" textlink="">
      <xdr:nvSpPr>
        <xdr:cNvPr id="23" name="Shape 16"/>
        <xdr:cNvSpPr txBox="1"/>
      </xdr:nvSpPr>
      <xdr:spPr>
        <a:xfrm>
          <a:off x="2859975" y="3322800"/>
          <a:ext cx="4972050" cy="9144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Inventarios                      C</a:t>
          </a:r>
          <a:r>
            <a:rPr lang="en-US" sz="1100" b="0" i="0">
              <a:solidFill>
                <a:schemeClr val="dk1"/>
              </a:solidFill>
              <a:latin typeface="Calibri"/>
              <a:ea typeface="Calibri"/>
              <a:cs typeface="Calibri"/>
              <a:sym typeface="Calibri"/>
            </a:rPr>
            <a:t>osto de los bienes vendidos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Inventario Promedio  </a:t>
          </a:r>
          <a:endParaRPr sz="1100"/>
        </a:p>
      </xdr:txBody>
    </xdr:sp>
    <xdr:clientData fLocksWithSheet="0"/>
  </xdr:oneCellAnchor>
  <xdr:oneCellAnchor>
    <xdr:from>
      <xdr:col>6</xdr:col>
      <xdr:colOff>171450</xdr:colOff>
      <xdr:row>10</xdr:row>
      <xdr:rowOff>581025</xdr:rowOff>
    </xdr:from>
    <xdr:ext cx="2105025" cy="38100"/>
    <xdr:grpSp>
      <xdr:nvGrpSpPr>
        <xdr:cNvPr id="24" name="Shape 2"/>
        <xdr:cNvGrpSpPr/>
      </xdr:nvGrpSpPr>
      <xdr:grpSpPr>
        <a:xfrm>
          <a:off x="4848225" y="8963025"/>
          <a:ext cx="2105025" cy="38100"/>
          <a:chOff x="4293488" y="3780000"/>
          <a:chExt cx="2105025" cy="0"/>
        </a:xfrm>
      </xdr:grpSpPr>
      <xdr:cxnSp macro="">
        <xdr:nvCxnSpPr>
          <xdr:cNvPr id="25" name="Shape 17"/>
          <xdr:cNvCxnSpPr/>
        </xdr:nvCxnSpPr>
        <xdr:spPr>
          <a:xfrm>
            <a:off x="4293488" y="3780000"/>
            <a:ext cx="210502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11</xdr:row>
      <xdr:rowOff>57150</xdr:rowOff>
    </xdr:from>
    <xdr:ext cx="4972050" cy="895350"/>
    <xdr:sp macro="" textlink="">
      <xdr:nvSpPr>
        <xdr:cNvPr id="26" name="Shape 18"/>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Perído Pago a Proveedores                      </a:t>
          </a:r>
          <a:r>
            <a:rPr lang="en-US" sz="1100" b="0" i="0">
              <a:solidFill>
                <a:schemeClr val="dk1"/>
              </a:solidFill>
              <a:latin typeface="Calibri"/>
              <a:ea typeface="Calibri"/>
              <a:cs typeface="Calibri"/>
              <a:sym typeface="Calibri"/>
            </a:rPr>
            <a:t>Saldo medio de clientes</a:t>
          </a:r>
          <a:r>
            <a:rPr lang="en-US" sz="1100">
              <a:solidFill>
                <a:schemeClr val="dk1"/>
              </a:solidFill>
              <a:latin typeface="Calibri"/>
              <a:ea typeface="Calibri"/>
              <a:cs typeface="Calibri"/>
              <a:sym typeface="Calibri"/>
            </a:rPr>
            <a:t>  X   365                                                                        </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Ventas</a:t>
          </a:r>
          <a:endParaRPr sz="1100"/>
        </a:p>
      </xdr:txBody>
    </xdr:sp>
    <xdr:clientData fLocksWithSheet="0"/>
  </xdr:oneCellAnchor>
  <xdr:oneCellAnchor>
    <xdr:from>
      <xdr:col>3</xdr:col>
      <xdr:colOff>0</xdr:colOff>
      <xdr:row>12</xdr:row>
      <xdr:rowOff>28575</xdr:rowOff>
    </xdr:from>
    <xdr:ext cx="4972050" cy="885825"/>
    <xdr:sp macro="" textlink="">
      <xdr:nvSpPr>
        <xdr:cNvPr id="27" name="Shape 19"/>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Caja y Bancos                           </a:t>
          </a:r>
          <a:r>
            <a:rPr lang="en-US" sz="1100" b="0" i="0">
              <a:solidFill>
                <a:schemeClr val="dk1"/>
              </a:solidFill>
              <a:latin typeface="Calibri"/>
              <a:ea typeface="Calibri"/>
              <a:cs typeface="Calibri"/>
              <a:sym typeface="Calibri"/>
            </a:rPr>
            <a:t>Caja y Bancos * 360 </a:t>
          </a:r>
          <a:r>
            <a:rPr lang="en-US" sz="110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Ventas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466725</xdr:colOff>
      <xdr:row>12</xdr:row>
      <xdr:rowOff>609600</xdr:rowOff>
    </xdr:from>
    <xdr:ext cx="1628775" cy="38100"/>
    <xdr:grpSp>
      <xdr:nvGrpSpPr>
        <xdr:cNvPr id="28" name="Shape 2"/>
        <xdr:cNvGrpSpPr/>
      </xdr:nvGrpSpPr>
      <xdr:grpSpPr>
        <a:xfrm>
          <a:off x="5143500" y="10896600"/>
          <a:ext cx="1628775" cy="38100"/>
          <a:chOff x="4531613" y="3780000"/>
          <a:chExt cx="1628775" cy="0"/>
        </a:xfrm>
      </xdr:grpSpPr>
      <xdr:cxnSp macro="">
        <xdr:nvCxnSpPr>
          <xdr:cNvPr id="29" name="Shape 20"/>
          <xdr:cNvCxnSpPr/>
        </xdr:nvCxnSpPr>
        <xdr:spPr>
          <a:xfrm>
            <a:off x="4531613" y="3780000"/>
            <a:ext cx="1628775"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257175</xdr:colOff>
      <xdr:row>11</xdr:row>
      <xdr:rowOff>590550</xdr:rowOff>
    </xdr:from>
    <xdr:ext cx="1857375" cy="38100"/>
    <xdr:grpSp>
      <xdr:nvGrpSpPr>
        <xdr:cNvPr id="30" name="Shape 2"/>
        <xdr:cNvGrpSpPr/>
      </xdr:nvGrpSpPr>
      <xdr:grpSpPr>
        <a:xfrm>
          <a:off x="4933950" y="9925050"/>
          <a:ext cx="1857375" cy="38100"/>
          <a:chOff x="4417313" y="3775238"/>
          <a:chExt cx="1857375" cy="9525"/>
        </a:xfrm>
      </xdr:grpSpPr>
      <xdr:cxnSp macro="">
        <xdr:nvCxnSpPr>
          <xdr:cNvPr id="31" name="Shape 21"/>
          <xdr:cNvCxnSpPr/>
        </xdr:nvCxnSpPr>
        <xdr:spPr>
          <a:xfrm rot="10800000" flipH="1">
            <a:off x="4417313" y="3775238"/>
            <a:ext cx="18573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38100</xdr:rowOff>
    </xdr:from>
    <xdr:ext cx="4972050" cy="885825"/>
    <xdr:sp macro="" textlink="">
      <xdr:nvSpPr>
        <xdr:cNvPr id="32" name="Shape 22"/>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Activos Totales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Neto Medio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238125</xdr:colOff>
      <xdr:row>13</xdr:row>
      <xdr:rowOff>581025</xdr:rowOff>
    </xdr:from>
    <xdr:ext cx="1866900" cy="38100"/>
    <xdr:grpSp>
      <xdr:nvGrpSpPr>
        <xdr:cNvPr id="33" name="Shape 2"/>
        <xdr:cNvGrpSpPr/>
      </xdr:nvGrpSpPr>
      <xdr:grpSpPr>
        <a:xfrm>
          <a:off x="4914900" y="11820525"/>
          <a:ext cx="1866900" cy="38100"/>
          <a:chOff x="4412550" y="3780000"/>
          <a:chExt cx="1866900" cy="0"/>
        </a:xfrm>
      </xdr:grpSpPr>
      <xdr:cxnSp macro="">
        <xdr:nvCxnSpPr>
          <xdr:cNvPr id="34" name="Shape 23"/>
          <xdr:cNvCxnSpPr/>
        </xdr:nvCxnSpPr>
        <xdr:spPr>
          <a:xfrm>
            <a:off x="4412550" y="3780000"/>
            <a:ext cx="1866900" cy="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13</xdr:row>
      <xdr:rowOff>933450</xdr:rowOff>
    </xdr:from>
    <xdr:ext cx="4972050" cy="895350"/>
    <xdr:sp macro="" textlink="">
      <xdr:nvSpPr>
        <xdr:cNvPr id="35" name="Shape 24"/>
        <xdr:cNvSpPr txBox="1"/>
      </xdr:nvSpPr>
      <xdr:spPr>
        <a:xfrm>
          <a:off x="2859975" y="3337088"/>
          <a:ext cx="49720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Rotación de Activo Fijo                                   </a:t>
          </a:r>
          <a:r>
            <a:rPr lang="en-US" sz="1100" b="0" i="0">
              <a:solidFill>
                <a:schemeClr val="dk1"/>
              </a:solidFill>
              <a:latin typeface="Calibri"/>
              <a:ea typeface="Calibri"/>
              <a:cs typeface="Calibri"/>
              <a:sym typeface="Calibri"/>
            </a:rPr>
            <a:t>Ventas Netas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propiedad, planta y equipo, neto</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228600</xdr:colOff>
      <xdr:row>14</xdr:row>
      <xdr:rowOff>533400</xdr:rowOff>
    </xdr:from>
    <xdr:ext cx="2924175" cy="38100"/>
    <xdr:grpSp>
      <xdr:nvGrpSpPr>
        <xdr:cNvPr id="36" name="Shape 2"/>
        <xdr:cNvGrpSpPr/>
      </xdr:nvGrpSpPr>
      <xdr:grpSpPr>
        <a:xfrm>
          <a:off x="4295775" y="12725400"/>
          <a:ext cx="2924175" cy="38100"/>
          <a:chOff x="3883913" y="3770475"/>
          <a:chExt cx="2924175" cy="19050"/>
        </a:xfrm>
      </xdr:grpSpPr>
      <xdr:cxnSp macro="">
        <xdr:nvCxnSpPr>
          <xdr:cNvPr id="37" name="Shape 25"/>
          <xdr:cNvCxnSpPr/>
        </xdr:nvCxnSpPr>
        <xdr:spPr>
          <a:xfrm rot="10800000" flipH="1">
            <a:off x="3883913" y="3770475"/>
            <a:ext cx="292417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16</xdr:row>
      <xdr:rowOff>38100</xdr:rowOff>
    </xdr:from>
    <xdr:ext cx="5000625" cy="885825"/>
    <xdr:sp macro="" textlink="">
      <xdr:nvSpPr>
        <xdr:cNvPr id="38" name="Shape 26"/>
        <xdr:cNvSpPr txBox="1"/>
      </xdr:nvSpPr>
      <xdr:spPr>
        <a:xfrm>
          <a:off x="2850450" y="3337088"/>
          <a:ext cx="49911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Estructura del Capital                            T</a:t>
          </a:r>
          <a:r>
            <a:rPr lang="en-US" sz="1100" b="0" i="0">
              <a:solidFill>
                <a:schemeClr val="dk1"/>
              </a:solidFill>
              <a:latin typeface="Calibri"/>
              <a:ea typeface="Calibri"/>
              <a:cs typeface="Calibri"/>
              <a:sym typeface="Calibri"/>
            </a:rPr>
            <a:t>otal de Obligaciones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Monto Total de Acciones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85725</xdr:colOff>
      <xdr:row>16</xdr:row>
      <xdr:rowOff>581025</xdr:rowOff>
    </xdr:from>
    <xdr:ext cx="2038350" cy="38100"/>
    <xdr:grpSp>
      <xdr:nvGrpSpPr>
        <xdr:cNvPr id="39" name="Shape 2"/>
        <xdr:cNvGrpSpPr/>
      </xdr:nvGrpSpPr>
      <xdr:grpSpPr>
        <a:xfrm>
          <a:off x="4762500" y="14182725"/>
          <a:ext cx="2038350" cy="38100"/>
          <a:chOff x="4326825" y="3775238"/>
          <a:chExt cx="2038350" cy="9525"/>
        </a:xfrm>
      </xdr:grpSpPr>
      <xdr:cxnSp macro="">
        <xdr:nvCxnSpPr>
          <xdr:cNvPr id="40" name="Shape 27"/>
          <xdr:cNvCxnSpPr/>
        </xdr:nvCxnSpPr>
        <xdr:spPr>
          <a:xfrm>
            <a:off x="4326825" y="3775238"/>
            <a:ext cx="20383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16</xdr:row>
      <xdr:rowOff>923925</xdr:rowOff>
    </xdr:from>
    <xdr:ext cx="5057775" cy="904875"/>
    <xdr:grpSp>
      <xdr:nvGrpSpPr>
        <xdr:cNvPr id="41" name="Shape 2" title="Dibujo"/>
        <xdr:cNvGrpSpPr/>
      </xdr:nvGrpSpPr>
      <xdr:grpSpPr>
        <a:xfrm>
          <a:off x="2847975" y="14525625"/>
          <a:ext cx="5057775" cy="904875"/>
          <a:chOff x="2826638" y="3337088"/>
          <a:chExt cx="5038725" cy="885825"/>
        </a:xfrm>
      </xdr:grpSpPr>
      <xdr:sp macro="" textlink="">
        <xdr:nvSpPr>
          <xdr:cNvPr id="42" name="Shape 28"/>
          <xdr:cNvSpPr txBox="1"/>
        </xdr:nvSpPr>
        <xdr:spPr>
          <a:xfrm>
            <a:off x="2826638" y="3337088"/>
            <a:ext cx="50387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t>Razón de Endeudamiento</a:t>
            </a:r>
            <a:r>
              <a:rPr lang="en-US" sz="1100">
                <a:solidFill>
                  <a:schemeClr val="dk1"/>
                </a:solidFill>
                <a:latin typeface="Calibri"/>
                <a:ea typeface="Calibri"/>
                <a:cs typeface="Calibri"/>
                <a:sym typeface="Calibri"/>
              </a:rPr>
              <a:t>                            </a:t>
            </a:r>
            <a:r>
              <a:rPr lang="en-US" sz="1100" b="0" i="0">
                <a:solidFill>
                  <a:schemeClr val="dk1"/>
                </a:solidFill>
                <a:latin typeface="Calibri"/>
                <a:ea typeface="Calibri"/>
                <a:cs typeface="Calibri"/>
                <a:sym typeface="Calibri"/>
              </a:rPr>
              <a:t>Pasivo total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activos </a:t>
            </a:r>
            <a:r>
              <a:rPr lang="en-US" sz="1100">
                <a:solidFill>
                  <a:schemeClr val="dk1"/>
                </a:solidFill>
                <a:latin typeface="Calibri"/>
                <a:ea typeface="Calibri"/>
                <a:cs typeface="Calibri"/>
                <a:sym typeface="Calibri"/>
              </a:rPr>
              <a:t>                                                                     </a:t>
            </a:r>
            <a:endParaRPr sz="1400"/>
          </a:p>
        </xdr:txBody>
      </xdr:sp>
      <xdr:cxnSp macro="">
        <xdr:nvCxnSpPr>
          <xdr:cNvPr id="43" name="Shape 29"/>
          <xdr:cNvCxnSpPr/>
        </xdr:nvCxnSpPr>
        <xdr:spPr>
          <a:xfrm>
            <a:off x="4720175" y="3712500"/>
            <a:ext cx="1941000" cy="10500"/>
          </a:xfrm>
          <a:prstGeom prst="straightConnector1">
            <a:avLst/>
          </a:prstGeom>
          <a:noFill/>
          <a:ln w="9525" cap="flat" cmpd="sng">
            <a:solidFill>
              <a:srgbClr val="0000FF"/>
            </a:solidFill>
            <a:prstDash val="solid"/>
            <a:round/>
            <a:headEnd type="none" w="med" len="med"/>
            <a:tailEnd type="none" w="med" len="med"/>
          </a:ln>
        </xdr:spPr>
      </xdr:cxnSp>
    </xdr:grpSp>
    <xdr:clientData fLocksWithSheet="0"/>
  </xdr:oneCellAnchor>
  <xdr:oneCellAnchor>
    <xdr:from>
      <xdr:col>2</xdr:col>
      <xdr:colOff>0</xdr:colOff>
      <xdr:row>17</xdr:row>
      <xdr:rowOff>914400</xdr:rowOff>
    </xdr:from>
    <xdr:ext cx="6362700" cy="895350"/>
    <xdr:sp macro="" textlink="">
      <xdr:nvSpPr>
        <xdr:cNvPr id="44" name="Shape 30"/>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Financieros           Beneficios antes de impuestos o intereses</a:t>
          </a:r>
          <a:r>
            <a:rPr lang="en-US" sz="1100" b="0" i="0">
              <a:solidFill>
                <a:schemeClr val="dk1"/>
              </a:solidFill>
              <a:latin typeface="Calibri"/>
              <a:ea typeface="Calibri"/>
              <a:cs typeface="Calibri"/>
              <a:sym typeface="Calibri"/>
            </a:rPr>
            <a:t>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Financieros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2</xdr:col>
      <xdr:colOff>0</xdr:colOff>
      <xdr:row>19</xdr:row>
      <xdr:rowOff>0</xdr:rowOff>
    </xdr:from>
    <xdr:ext cx="7524750" cy="895350"/>
    <xdr:sp macro="" textlink="">
      <xdr:nvSpPr>
        <xdr:cNvPr id="45" name="Shape 31"/>
        <xdr:cNvSpPr txBox="1"/>
      </xdr:nvSpPr>
      <xdr:spPr>
        <a:xfrm>
          <a:off x="1588388" y="3337088"/>
          <a:ext cx="75152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Cobertura de Gastos Fijos          </a:t>
          </a:r>
          <a:r>
            <a:rPr lang="en-US" sz="1100" b="0" i="0">
              <a:solidFill>
                <a:schemeClr val="dk1"/>
              </a:solidFill>
              <a:latin typeface="Calibri"/>
              <a:ea typeface="Calibri"/>
              <a:cs typeface="Calibri"/>
              <a:sym typeface="Calibri"/>
            </a:rPr>
            <a:t>Flujo de caja anual (después de impuestos y antes de intereses)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Servicio de Deuda Anual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18</xdr:row>
      <xdr:rowOff>504825</xdr:rowOff>
    </xdr:from>
    <xdr:ext cx="2952750" cy="38100"/>
    <xdr:grpSp>
      <xdr:nvGrpSpPr>
        <xdr:cNvPr id="46" name="Shape 2"/>
        <xdr:cNvGrpSpPr/>
      </xdr:nvGrpSpPr>
      <xdr:grpSpPr>
        <a:xfrm>
          <a:off x="4991100" y="16011525"/>
          <a:ext cx="2952750" cy="38100"/>
          <a:chOff x="3869625" y="3775238"/>
          <a:chExt cx="2952750" cy="9525"/>
        </a:xfrm>
      </xdr:grpSpPr>
      <xdr:cxnSp macro="">
        <xdr:nvCxnSpPr>
          <xdr:cNvPr id="47" name="Shape 32"/>
          <xdr:cNvCxnSpPr/>
        </xdr:nvCxnSpPr>
        <xdr:spPr>
          <a:xfrm rot="10800000" flipH="1">
            <a:off x="3869625" y="3775238"/>
            <a:ext cx="2952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5</xdr:col>
      <xdr:colOff>552450</xdr:colOff>
      <xdr:row>19</xdr:row>
      <xdr:rowOff>561975</xdr:rowOff>
    </xdr:from>
    <xdr:ext cx="4438650" cy="38100"/>
    <xdr:grpSp>
      <xdr:nvGrpSpPr>
        <xdr:cNvPr id="48" name="Shape 2"/>
        <xdr:cNvGrpSpPr/>
      </xdr:nvGrpSpPr>
      <xdr:grpSpPr>
        <a:xfrm>
          <a:off x="4619625" y="17021175"/>
          <a:ext cx="4438650" cy="38100"/>
          <a:chOff x="3126675" y="3775238"/>
          <a:chExt cx="4438650" cy="9525"/>
        </a:xfrm>
      </xdr:grpSpPr>
      <xdr:cxnSp macro="">
        <xdr:nvCxnSpPr>
          <xdr:cNvPr id="49" name="Shape 33"/>
          <xdr:cNvCxnSpPr/>
        </xdr:nvCxnSpPr>
        <xdr:spPr>
          <a:xfrm rot="10800000" flipH="1">
            <a:off x="3126675" y="3775238"/>
            <a:ext cx="44386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0</xdr:colOff>
      <xdr:row>21</xdr:row>
      <xdr:rowOff>0</xdr:rowOff>
    </xdr:from>
    <xdr:ext cx="5581650" cy="885825"/>
    <xdr:sp macro="" textlink="">
      <xdr:nvSpPr>
        <xdr:cNvPr id="50" name="Shape 34"/>
        <xdr:cNvSpPr txBox="1"/>
      </xdr:nvSpPr>
      <xdr:spPr>
        <a:xfrm>
          <a:off x="2555175" y="3337088"/>
          <a:ext cx="55816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el Patrimonio                            </a:t>
          </a:r>
          <a:r>
            <a:rPr lang="en-US" sz="1100" b="0" i="0">
              <a:solidFill>
                <a:schemeClr val="dk1"/>
              </a:solidFill>
              <a:latin typeface="Calibri"/>
              <a:ea typeface="Calibri"/>
              <a:cs typeface="Calibri"/>
              <a:sym typeface="Calibri"/>
            </a:rPr>
            <a:t>Utilidad neta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patrimonio neto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438150</xdr:colOff>
      <xdr:row>21</xdr:row>
      <xdr:rowOff>561975</xdr:rowOff>
    </xdr:from>
    <xdr:ext cx="1828800" cy="38100"/>
    <xdr:grpSp>
      <xdr:nvGrpSpPr>
        <xdr:cNvPr id="51" name="Shape 2"/>
        <xdr:cNvGrpSpPr/>
      </xdr:nvGrpSpPr>
      <xdr:grpSpPr>
        <a:xfrm>
          <a:off x="5114925" y="18411825"/>
          <a:ext cx="1828800" cy="38100"/>
          <a:chOff x="4431600" y="3770475"/>
          <a:chExt cx="1828800" cy="19050"/>
        </a:xfrm>
      </xdr:grpSpPr>
      <xdr:cxnSp macro="">
        <xdr:nvCxnSpPr>
          <xdr:cNvPr id="52" name="Shape 35"/>
          <xdr:cNvCxnSpPr/>
        </xdr:nvCxnSpPr>
        <xdr:spPr>
          <a:xfrm rot="10800000" flipH="1">
            <a:off x="4431600" y="3770475"/>
            <a:ext cx="1828800"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85725</xdr:colOff>
      <xdr:row>22</xdr:row>
      <xdr:rowOff>66675</xdr:rowOff>
    </xdr:from>
    <xdr:ext cx="5534025" cy="895350"/>
    <xdr:sp macro="" textlink="">
      <xdr:nvSpPr>
        <xdr:cNvPr id="53" name="Shape 36"/>
        <xdr:cNvSpPr txBox="1"/>
      </xdr:nvSpPr>
      <xdr:spPr>
        <a:xfrm>
          <a:off x="2583750" y="3337088"/>
          <a:ext cx="55245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Rendimiento sobre Inversiones             </a:t>
          </a:r>
          <a:r>
            <a:rPr lang="en-US" sz="1100" b="0" i="0">
              <a:solidFill>
                <a:schemeClr val="dk1"/>
              </a:solidFill>
              <a:latin typeface="Calibri"/>
              <a:ea typeface="Calibri"/>
              <a:cs typeface="Calibri"/>
              <a:sym typeface="Calibri"/>
            </a:rPr>
            <a:t>Ganancia - Inversión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Inversión</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314325</xdr:colOff>
      <xdr:row>22</xdr:row>
      <xdr:rowOff>457200</xdr:rowOff>
    </xdr:from>
    <xdr:ext cx="1647825" cy="28575"/>
    <xdr:grpSp>
      <xdr:nvGrpSpPr>
        <xdr:cNvPr id="54" name="Shape 2"/>
        <xdr:cNvGrpSpPr/>
      </xdr:nvGrpSpPr>
      <xdr:grpSpPr>
        <a:xfrm>
          <a:off x="4991100" y="19259550"/>
          <a:ext cx="1647825" cy="28575"/>
          <a:chOff x="4522088" y="3775238"/>
          <a:chExt cx="1647825" cy="9525"/>
        </a:xfrm>
      </xdr:grpSpPr>
      <xdr:cxnSp macro="">
        <xdr:nvCxnSpPr>
          <xdr:cNvPr id="55" name="Shape 37"/>
          <xdr:cNvCxnSpPr/>
        </xdr:nvCxnSpPr>
        <xdr:spPr>
          <a:xfrm rot="10800000" flipH="1">
            <a:off x="4522088" y="3775238"/>
            <a:ext cx="164782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19050</xdr:colOff>
      <xdr:row>26</xdr:row>
      <xdr:rowOff>38100</xdr:rowOff>
    </xdr:from>
    <xdr:ext cx="5438775" cy="895350"/>
    <xdr:sp macro="" textlink="">
      <xdr:nvSpPr>
        <xdr:cNvPr id="56" name="Shape 38"/>
        <xdr:cNvSpPr txBox="1"/>
      </xdr:nvSpPr>
      <xdr:spPr>
        <a:xfrm>
          <a:off x="2631375" y="3337088"/>
          <a:ext cx="542925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de Utilidad Bruta                           </a:t>
          </a:r>
          <a:r>
            <a:rPr lang="en-US" sz="1100" b="0" i="0">
              <a:solidFill>
                <a:schemeClr val="dk1"/>
              </a:solidFill>
              <a:latin typeface="Calibri"/>
              <a:ea typeface="Calibri"/>
              <a:cs typeface="Calibri"/>
              <a:sym typeface="Calibri"/>
            </a:rPr>
            <a:t>Utilidad Bruta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3</xdr:col>
      <xdr:colOff>19050</xdr:colOff>
      <xdr:row>23</xdr:row>
      <xdr:rowOff>76200</xdr:rowOff>
    </xdr:from>
    <xdr:ext cx="5572125" cy="904875"/>
    <xdr:sp macro="" textlink="">
      <xdr:nvSpPr>
        <xdr:cNvPr id="57" name="Shape 39"/>
        <xdr:cNvSpPr txBox="1"/>
      </xdr:nvSpPr>
      <xdr:spPr>
        <a:xfrm>
          <a:off x="2569463" y="3337088"/>
          <a:ext cx="55530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Activo                                        </a:t>
          </a:r>
          <a:r>
            <a:rPr lang="en-US" sz="1100" b="0" i="0">
              <a:solidFill>
                <a:schemeClr val="dk1"/>
              </a:solidFill>
              <a:latin typeface="Calibri"/>
              <a:ea typeface="Calibri"/>
              <a:cs typeface="Calibri"/>
              <a:sym typeface="Calibri"/>
            </a:rPr>
            <a:t> Beneficio Neto obtenido </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Activo total de una empresa</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23</xdr:row>
      <xdr:rowOff>457200</xdr:rowOff>
    </xdr:from>
    <xdr:ext cx="2105025" cy="38100"/>
    <xdr:grpSp>
      <xdr:nvGrpSpPr>
        <xdr:cNvPr id="58" name="Shape 2" title="Dibujo"/>
        <xdr:cNvGrpSpPr/>
      </xdr:nvGrpSpPr>
      <xdr:grpSpPr>
        <a:xfrm>
          <a:off x="4619625" y="20212050"/>
          <a:ext cx="2105025" cy="38100"/>
          <a:chOff x="4293488" y="3770475"/>
          <a:chExt cx="2105025" cy="19050"/>
        </a:xfrm>
      </xdr:grpSpPr>
      <xdr:cxnSp macro="">
        <xdr:nvCxnSpPr>
          <xdr:cNvPr id="59" name="Shape 40"/>
          <xdr:cNvCxnSpPr/>
        </xdr:nvCxnSpPr>
        <xdr:spPr>
          <a:xfrm rot="10800000" flipH="1">
            <a:off x="4293488" y="3770475"/>
            <a:ext cx="2105025" cy="1905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24</xdr:row>
      <xdr:rowOff>95250</xdr:rowOff>
    </xdr:from>
    <xdr:ext cx="5553075" cy="790575"/>
    <xdr:sp macro="" textlink="">
      <xdr:nvSpPr>
        <xdr:cNvPr id="60" name="Shape 41"/>
        <xdr:cNvSpPr txBox="1"/>
      </xdr:nvSpPr>
      <xdr:spPr>
        <a:xfrm>
          <a:off x="2574225" y="3384713"/>
          <a:ext cx="5543550" cy="7905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Ventas                                </a:t>
          </a:r>
          <a:r>
            <a:rPr lang="en-US" sz="1100" b="0" i="0">
              <a:solidFill>
                <a:schemeClr val="dk1"/>
              </a:solidFill>
              <a:latin typeface="Calibri"/>
              <a:ea typeface="Calibri"/>
              <a:cs typeface="Calibri"/>
              <a:sym typeface="Calibri"/>
            </a:rPr>
            <a:t>Ingresos totales</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Gastos generados por los productos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285750</xdr:colOff>
      <xdr:row>24</xdr:row>
      <xdr:rowOff>457200</xdr:rowOff>
    </xdr:from>
    <xdr:ext cx="2667000" cy="38100"/>
    <xdr:grpSp>
      <xdr:nvGrpSpPr>
        <xdr:cNvPr id="61" name="Shape 2"/>
        <xdr:cNvGrpSpPr/>
      </xdr:nvGrpSpPr>
      <xdr:grpSpPr>
        <a:xfrm>
          <a:off x="4352925" y="21164550"/>
          <a:ext cx="2667000" cy="38100"/>
          <a:chOff x="4012500" y="3775238"/>
          <a:chExt cx="2667000" cy="9525"/>
        </a:xfrm>
      </xdr:grpSpPr>
      <xdr:cxnSp macro="">
        <xdr:nvCxnSpPr>
          <xdr:cNvPr id="62" name="Shape 42"/>
          <xdr:cNvCxnSpPr/>
        </xdr:nvCxnSpPr>
        <xdr:spPr>
          <a:xfrm rot="10800000" flipH="1">
            <a:off x="4012500" y="3775238"/>
            <a:ext cx="26670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25</xdr:row>
      <xdr:rowOff>0</xdr:rowOff>
    </xdr:from>
    <xdr:ext cx="6343650" cy="885825"/>
    <xdr:sp macro="" textlink="">
      <xdr:nvSpPr>
        <xdr:cNvPr id="63" name="Shape 43"/>
        <xdr:cNvSpPr txBox="1"/>
      </xdr:nvSpPr>
      <xdr:spPr>
        <a:xfrm>
          <a:off x="2178938" y="3337088"/>
          <a:ext cx="633412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Utilidad por Acción                                    </a:t>
          </a:r>
          <a:r>
            <a:rPr lang="en-US" sz="1100" b="0" i="0">
              <a:solidFill>
                <a:schemeClr val="dk1"/>
              </a:solidFill>
              <a:latin typeface="Calibri"/>
              <a:ea typeface="Calibri"/>
              <a:cs typeface="Calibri"/>
              <a:sym typeface="Calibri"/>
            </a:rPr>
            <a:t>          Beneficio Neto obtenido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Total de acciones en circulación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6</xdr:col>
      <xdr:colOff>476250</xdr:colOff>
      <xdr:row>25</xdr:row>
      <xdr:rowOff>361950</xdr:rowOff>
    </xdr:from>
    <xdr:ext cx="2209800" cy="38100"/>
    <xdr:grpSp>
      <xdr:nvGrpSpPr>
        <xdr:cNvPr id="64" name="Shape 2"/>
        <xdr:cNvGrpSpPr/>
      </xdr:nvGrpSpPr>
      <xdr:grpSpPr>
        <a:xfrm>
          <a:off x="5153025" y="22021800"/>
          <a:ext cx="2209800" cy="38100"/>
          <a:chOff x="4241100" y="3775238"/>
          <a:chExt cx="2209800" cy="9525"/>
        </a:xfrm>
      </xdr:grpSpPr>
      <xdr:cxnSp macro="">
        <xdr:nvCxnSpPr>
          <xdr:cNvPr id="65" name="Shape 44"/>
          <xdr:cNvCxnSpPr/>
        </xdr:nvCxnSpPr>
        <xdr:spPr>
          <a:xfrm rot="10800000" flipH="1">
            <a:off x="4241100" y="3775238"/>
            <a:ext cx="220980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295275</xdr:colOff>
      <xdr:row>26</xdr:row>
      <xdr:rowOff>619125</xdr:rowOff>
    </xdr:from>
    <xdr:ext cx="1438275" cy="28575"/>
    <xdr:grpSp>
      <xdr:nvGrpSpPr>
        <xdr:cNvPr id="66" name="Shape 2"/>
        <xdr:cNvGrpSpPr/>
      </xdr:nvGrpSpPr>
      <xdr:grpSpPr>
        <a:xfrm>
          <a:off x="4972050" y="23231475"/>
          <a:ext cx="1438275" cy="28575"/>
          <a:chOff x="4626863" y="3775238"/>
          <a:chExt cx="1438275" cy="9525"/>
        </a:xfrm>
      </xdr:grpSpPr>
      <xdr:cxnSp macro="">
        <xdr:nvCxnSpPr>
          <xdr:cNvPr id="67" name="Shape 45"/>
          <xdr:cNvCxnSpPr/>
        </xdr:nvCxnSpPr>
        <xdr:spPr>
          <a:xfrm rot="10800000" flipH="1">
            <a:off x="4626863" y="3775238"/>
            <a:ext cx="1438275"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9525</xdr:colOff>
      <xdr:row>27</xdr:row>
      <xdr:rowOff>0</xdr:rowOff>
    </xdr:from>
    <xdr:ext cx="5991225" cy="895350"/>
    <xdr:sp macro="" textlink="">
      <xdr:nvSpPr>
        <xdr:cNvPr id="68" name="Shape 46"/>
        <xdr:cNvSpPr txBox="1"/>
      </xdr:nvSpPr>
      <xdr:spPr>
        <a:xfrm>
          <a:off x="2355150" y="3337088"/>
          <a:ext cx="5981700"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Margen Neto de Utilidad          U</a:t>
          </a:r>
          <a:r>
            <a:rPr lang="en-US" sz="1100" b="0" i="0">
              <a:solidFill>
                <a:schemeClr val="dk1"/>
              </a:solidFill>
              <a:latin typeface="Calibri"/>
              <a:ea typeface="Calibri"/>
              <a:cs typeface="Calibri"/>
              <a:sym typeface="Calibri"/>
            </a:rPr>
            <a:t>tilidad bruta menos los gastos e impuestos      X   100</a:t>
          </a:r>
          <a:endParaRPr sz="1100"/>
        </a:p>
        <a:p>
          <a:pPr marL="0" lvl="0" indent="0" algn="l" rtl="0">
            <a:spcBef>
              <a:spcPts val="0"/>
            </a:spcBef>
            <a:spcAft>
              <a:spcPts val="0"/>
            </a:spcAft>
            <a:buNone/>
          </a:pPr>
          <a:r>
            <a:rPr lang="en-US" sz="1100" b="0" i="0">
              <a:solidFill>
                <a:schemeClr val="dk1"/>
              </a:solidFill>
              <a:latin typeface="Calibri"/>
              <a:ea typeface="Calibri"/>
              <a:cs typeface="Calibri"/>
              <a:sym typeface="Calibri"/>
            </a:rPr>
            <a:t>                                                                              Ingresos Totales</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552450</xdr:colOff>
      <xdr:row>27</xdr:row>
      <xdr:rowOff>561975</xdr:rowOff>
    </xdr:from>
    <xdr:ext cx="3105150" cy="38100"/>
    <xdr:grpSp>
      <xdr:nvGrpSpPr>
        <xdr:cNvPr id="69" name="Shape 2"/>
        <xdr:cNvGrpSpPr/>
      </xdr:nvGrpSpPr>
      <xdr:grpSpPr>
        <a:xfrm>
          <a:off x="4619625" y="24126825"/>
          <a:ext cx="3105150" cy="38100"/>
          <a:chOff x="3793425" y="3765713"/>
          <a:chExt cx="3105150" cy="28575"/>
        </a:xfrm>
      </xdr:grpSpPr>
      <xdr:cxnSp macro="">
        <xdr:nvCxnSpPr>
          <xdr:cNvPr id="70" name="Shape 47"/>
          <xdr:cNvCxnSpPr/>
        </xdr:nvCxnSpPr>
        <xdr:spPr>
          <a:xfrm rot="10800000" flipH="1">
            <a:off x="3793425" y="3765713"/>
            <a:ext cx="3105150" cy="2857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2</xdr:col>
      <xdr:colOff>0</xdr:colOff>
      <xdr:row>28</xdr:row>
      <xdr:rowOff>0</xdr:rowOff>
    </xdr:from>
    <xdr:ext cx="6372225" cy="904875"/>
    <xdr:sp macro="" textlink="">
      <xdr:nvSpPr>
        <xdr:cNvPr id="71" name="Shape 48"/>
        <xdr:cNvSpPr txBox="1"/>
      </xdr:nvSpPr>
      <xdr:spPr>
        <a:xfrm>
          <a:off x="2169413" y="3337088"/>
          <a:ext cx="6353175" cy="88582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1100"/>
        </a:p>
        <a:p>
          <a:pPr marL="0" lvl="0" indent="0" algn="l" rtl="0">
            <a:spcBef>
              <a:spcPts val="0"/>
            </a:spcBef>
            <a:spcAft>
              <a:spcPts val="0"/>
            </a:spcAft>
            <a:buNone/>
          </a:pPr>
          <a:r>
            <a:rPr lang="en-US" sz="1100">
              <a:solidFill>
                <a:schemeClr val="dk1"/>
              </a:solidFill>
              <a:latin typeface="Calibri"/>
              <a:ea typeface="Calibri"/>
              <a:cs typeface="Calibri"/>
              <a:sym typeface="Calibri"/>
            </a:rPr>
            <a:t>Dupont                                                        Activo Neto</a:t>
          </a:r>
          <a:r>
            <a:rPr lang="en-US" sz="1100" b="0" i="0">
              <a:solidFill>
                <a:schemeClr val="dk1"/>
              </a:solidFill>
              <a:latin typeface="Calibri"/>
              <a:ea typeface="Calibri"/>
              <a:cs typeface="Calibri"/>
              <a:sym typeface="Calibri"/>
            </a:rPr>
            <a:t>                                                                                 </a:t>
          </a:r>
          <a:endParaRPr sz="1400"/>
        </a:p>
        <a:p>
          <a:pPr marL="0" lvl="0" indent="0" algn="l" rtl="0">
            <a:spcBef>
              <a:spcPts val="0"/>
            </a:spcBef>
            <a:spcAft>
              <a:spcPts val="0"/>
            </a:spcAft>
            <a:buNone/>
          </a:pP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Patrimonio Neto</a:t>
          </a:r>
          <a:r>
            <a:rPr lang="en-US" sz="1100" b="0" i="0">
              <a:solidFill>
                <a:schemeClr val="dk1"/>
              </a:solidFill>
              <a:latin typeface="Calibri"/>
              <a:ea typeface="Calibri"/>
              <a:cs typeface="Calibri"/>
              <a:sym typeface="Calibri"/>
            </a:rPr>
            <a:t>  </a:t>
          </a:r>
          <a:r>
            <a:rPr lang="en-US" sz="1100">
              <a:solidFill>
                <a:schemeClr val="dk1"/>
              </a:solidFill>
              <a:latin typeface="Calibri"/>
              <a:ea typeface="Calibri"/>
              <a:cs typeface="Calibri"/>
              <a:sym typeface="Calibri"/>
            </a:rPr>
            <a:t>                                                                  </a:t>
          </a:r>
          <a:endParaRPr sz="1400"/>
        </a:p>
      </xdr:txBody>
    </xdr:sp>
    <xdr:clientData fLocksWithSheet="0"/>
  </xdr:oneCellAnchor>
  <xdr:oneCellAnchor>
    <xdr:from>
      <xdr:col>5</xdr:col>
      <xdr:colOff>514350</xdr:colOff>
      <xdr:row>28</xdr:row>
      <xdr:rowOff>400050</xdr:rowOff>
    </xdr:from>
    <xdr:ext cx="1428750" cy="28575"/>
    <xdr:grpSp>
      <xdr:nvGrpSpPr>
        <xdr:cNvPr id="72" name="Shape 2"/>
        <xdr:cNvGrpSpPr/>
      </xdr:nvGrpSpPr>
      <xdr:grpSpPr>
        <a:xfrm>
          <a:off x="4581525" y="24917400"/>
          <a:ext cx="1428750" cy="28575"/>
          <a:chOff x="4631625" y="3775238"/>
          <a:chExt cx="1428750" cy="9525"/>
        </a:xfrm>
      </xdr:grpSpPr>
      <xdr:cxnSp macro="">
        <xdr:nvCxnSpPr>
          <xdr:cNvPr id="73" name="Shape 49"/>
          <xdr:cNvCxnSpPr/>
        </xdr:nvCxnSpPr>
        <xdr:spPr>
          <a:xfrm rot="10800000" flipH="1">
            <a:off x="4631625" y="3775238"/>
            <a:ext cx="1428750" cy="9525"/>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3</xdr:col>
      <xdr:colOff>161925</xdr:colOff>
      <xdr:row>0</xdr:row>
      <xdr:rowOff>247650</xdr:rowOff>
    </xdr:from>
    <xdr:ext cx="3457575" cy="561975"/>
    <xdr:sp macro="" textlink="">
      <xdr:nvSpPr>
        <xdr:cNvPr id="74" name="Shape 50"/>
        <xdr:cNvSpPr txBox="1"/>
      </xdr:nvSpPr>
      <xdr:spPr>
        <a:xfrm>
          <a:off x="3626738" y="3508538"/>
          <a:ext cx="3438525" cy="542925"/>
        </a:xfrm>
        <a:prstGeom prst="rect">
          <a:avLst/>
        </a:prstGeom>
        <a:solidFill>
          <a:srgbClr val="0070C0"/>
        </a:solidFill>
        <a:ln w="9525" cap="flat" cmpd="sng">
          <a:solidFill>
            <a:srgbClr val="0070C0"/>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2100" b="1">
              <a:solidFill>
                <a:schemeClr val="lt1"/>
              </a:solidFill>
              <a:latin typeface="Calibri"/>
              <a:ea typeface="Calibri"/>
              <a:cs typeface="Calibri"/>
              <a:sym typeface="Calibri"/>
            </a:rPr>
            <a:t>                   Formulas </a:t>
          </a: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F9" sqref="F9"/>
    </sheetView>
  </sheetViews>
  <sheetFormatPr baseColWidth="10" defaultColWidth="12.5703125" defaultRowHeight="15" customHeight="1"/>
  <cols>
    <col min="1" max="1" width="46.42578125" customWidth="1"/>
    <col min="2" max="3" width="15.5703125" customWidth="1"/>
    <col min="4" max="4" width="9.140625" customWidth="1"/>
    <col min="5" max="5" width="14.28515625" customWidth="1"/>
    <col min="6" max="26" width="9.140625" customWidth="1"/>
  </cols>
  <sheetData>
    <row r="1" spans="1:26" ht="12.75" customHeight="1">
      <c r="A1" s="80"/>
      <c r="B1" s="81"/>
      <c r="C1" s="81"/>
      <c r="D1" s="1"/>
      <c r="E1" s="1"/>
      <c r="F1" s="1"/>
      <c r="G1" s="1"/>
      <c r="H1" s="1"/>
      <c r="I1" s="1"/>
      <c r="J1" s="1"/>
      <c r="K1" s="1"/>
      <c r="L1" s="1"/>
      <c r="M1" s="1"/>
      <c r="N1" s="1"/>
      <c r="O1" s="1"/>
      <c r="P1" s="1"/>
      <c r="Q1" s="1"/>
      <c r="R1" s="1"/>
      <c r="S1" s="1"/>
      <c r="T1" s="1"/>
      <c r="U1" s="1"/>
      <c r="V1" s="1"/>
      <c r="W1" s="1"/>
      <c r="X1" s="1"/>
      <c r="Y1" s="1"/>
      <c r="Z1" s="1"/>
    </row>
    <row r="2" spans="1:26" ht="21" customHeight="1">
      <c r="A2" s="95" t="s">
        <v>0</v>
      </c>
      <c r="B2" s="96"/>
      <c r="C2" s="97"/>
      <c r="D2" s="2"/>
      <c r="E2" s="79" t="s">
        <v>131</v>
      </c>
      <c r="F2" s="1"/>
      <c r="G2" s="1"/>
      <c r="H2" s="1"/>
      <c r="I2" s="1"/>
      <c r="J2" s="1"/>
      <c r="K2" s="1"/>
      <c r="L2" s="1"/>
      <c r="M2" s="1"/>
      <c r="N2" s="1"/>
      <c r="O2" s="1"/>
      <c r="P2" s="1"/>
      <c r="Q2" s="1"/>
      <c r="R2" s="1"/>
      <c r="S2" s="1"/>
      <c r="T2" s="1"/>
      <c r="U2" s="1"/>
      <c r="V2" s="1"/>
      <c r="W2" s="1"/>
      <c r="X2" s="1"/>
      <c r="Y2" s="1"/>
      <c r="Z2" s="1"/>
    </row>
    <row r="3" spans="1:26" ht="14.25" customHeight="1">
      <c r="A3" s="98" t="s">
        <v>1</v>
      </c>
      <c r="B3" s="96"/>
      <c r="C3" s="97"/>
      <c r="D3" s="2"/>
      <c r="E3" s="1"/>
      <c r="F3" s="1"/>
      <c r="G3" s="1"/>
      <c r="H3" s="1"/>
      <c r="I3" s="1"/>
      <c r="J3" s="1"/>
      <c r="K3" s="1"/>
      <c r="L3" s="1"/>
      <c r="M3" s="1"/>
      <c r="N3" s="1"/>
      <c r="O3" s="1"/>
      <c r="P3" s="1"/>
      <c r="Q3" s="1"/>
      <c r="R3" s="1"/>
      <c r="S3" s="1"/>
      <c r="T3" s="1"/>
      <c r="U3" s="1"/>
      <c r="V3" s="1"/>
      <c r="W3" s="1"/>
      <c r="X3" s="1"/>
      <c r="Y3" s="1"/>
      <c r="Z3" s="1"/>
    </row>
    <row r="4" spans="1:26" ht="12.75" customHeight="1">
      <c r="A4" s="99" t="s">
        <v>2</v>
      </c>
      <c r="B4" s="100">
        <v>2023</v>
      </c>
      <c r="C4" s="100">
        <v>2022</v>
      </c>
      <c r="D4" s="2"/>
      <c r="E4" s="1"/>
      <c r="F4" s="1"/>
      <c r="G4" s="1"/>
      <c r="H4" s="1"/>
      <c r="I4" s="1"/>
      <c r="J4" s="1"/>
      <c r="K4" s="1"/>
      <c r="L4" s="1"/>
      <c r="M4" s="1"/>
      <c r="N4" s="1"/>
      <c r="O4" s="1"/>
      <c r="P4" s="1"/>
      <c r="Q4" s="1"/>
      <c r="R4" s="1"/>
      <c r="S4" s="1"/>
      <c r="T4" s="1"/>
      <c r="U4" s="1"/>
      <c r="V4" s="1"/>
      <c r="W4" s="1"/>
      <c r="X4" s="1"/>
      <c r="Y4" s="1"/>
      <c r="Z4" s="1"/>
    </row>
    <row r="5" spans="1:26" ht="12.75" customHeight="1">
      <c r="A5" s="101" t="s">
        <v>3</v>
      </c>
      <c r="B5" s="102">
        <v>500000</v>
      </c>
      <c r="C5" s="102">
        <v>1000000</v>
      </c>
      <c r="D5" s="2"/>
      <c r="E5" s="1"/>
      <c r="F5" s="1"/>
      <c r="G5" s="1"/>
      <c r="H5" s="1"/>
      <c r="I5" s="1"/>
      <c r="J5" s="1"/>
      <c r="K5" s="1"/>
      <c r="L5" s="1"/>
      <c r="M5" s="1"/>
      <c r="N5" s="1"/>
      <c r="O5" s="1"/>
      <c r="P5" s="1"/>
      <c r="Q5" s="1"/>
      <c r="R5" s="1"/>
      <c r="S5" s="1"/>
      <c r="T5" s="1"/>
      <c r="U5" s="1"/>
      <c r="V5" s="1"/>
      <c r="W5" s="1"/>
      <c r="X5" s="1"/>
      <c r="Y5" s="1"/>
      <c r="Z5" s="1"/>
    </row>
    <row r="6" spans="1:26" ht="12.75" customHeight="1">
      <c r="A6" s="101" t="s">
        <v>4</v>
      </c>
      <c r="B6" s="102">
        <f>678279/0.915</f>
        <v>741288.52459016396</v>
      </c>
      <c r="C6" s="102">
        <f>740705/0.915</f>
        <v>809513.66120218579</v>
      </c>
      <c r="D6" s="2"/>
      <c r="E6" s="1"/>
      <c r="F6" s="1"/>
      <c r="G6" s="1"/>
      <c r="H6" s="1"/>
      <c r="I6" s="1"/>
      <c r="J6" s="1"/>
      <c r="K6" s="1"/>
      <c r="L6" s="1"/>
      <c r="M6" s="1"/>
      <c r="N6" s="1"/>
      <c r="O6" s="1"/>
      <c r="P6" s="1"/>
      <c r="Q6" s="1"/>
      <c r="R6" s="1"/>
      <c r="S6" s="1"/>
      <c r="T6" s="1"/>
      <c r="U6" s="1"/>
      <c r="V6" s="1"/>
      <c r="W6" s="1"/>
      <c r="X6" s="1"/>
      <c r="Y6" s="1"/>
      <c r="Z6" s="1"/>
    </row>
    <row r="7" spans="1:26" ht="12.75" customHeight="1">
      <c r="A7" s="101" t="s">
        <v>5</v>
      </c>
      <c r="B7" s="102">
        <f>1328963/0.915</f>
        <v>1452418.5792349726</v>
      </c>
      <c r="C7" s="102">
        <f>(1234725/0.915)-2003</f>
        <v>1347423.2295081967</v>
      </c>
      <c r="D7" s="2"/>
      <c r="E7" s="1"/>
      <c r="F7" s="1"/>
      <c r="G7" s="1"/>
      <c r="H7" s="1"/>
      <c r="I7" s="1"/>
      <c r="J7" s="1"/>
      <c r="K7" s="1"/>
      <c r="L7" s="1"/>
      <c r="M7" s="1"/>
      <c r="N7" s="1"/>
      <c r="O7" s="1"/>
      <c r="P7" s="1"/>
      <c r="Q7" s="1"/>
      <c r="R7" s="1"/>
      <c r="S7" s="1"/>
      <c r="T7" s="1"/>
      <c r="U7" s="1"/>
      <c r="V7" s="1"/>
      <c r="W7" s="1"/>
      <c r="X7" s="1"/>
      <c r="Y7" s="1"/>
      <c r="Z7" s="1"/>
    </row>
    <row r="8" spans="1:26" ht="12.75" customHeight="1">
      <c r="A8" s="101" t="s">
        <v>6</v>
      </c>
      <c r="B8" s="102">
        <f>20756/0.915</f>
        <v>22684.153005464479</v>
      </c>
      <c r="C8" s="102">
        <f>17197/0.915</f>
        <v>18794.535519125682</v>
      </c>
      <c r="D8" s="2"/>
      <c r="E8" s="1"/>
      <c r="F8" s="1"/>
      <c r="G8" s="1"/>
      <c r="H8" s="1"/>
      <c r="I8" s="1"/>
      <c r="J8" s="1"/>
      <c r="K8" s="1"/>
      <c r="L8" s="1"/>
      <c r="M8" s="1"/>
      <c r="N8" s="1"/>
      <c r="O8" s="1"/>
      <c r="P8" s="1"/>
      <c r="Q8" s="1"/>
      <c r="R8" s="1"/>
      <c r="S8" s="1"/>
      <c r="T8" s="1"/>
      <c r="U8" s="1"/>
      <c r="V8" s="1"/>
      <c r="W8" s="1"/>
      <c r="X8" s="1"/>
      <c r="Y8" s="1"/>
      <c r="Z8" s="1"/>
    </row>
    <row r="9" spans="1:26" ht="12.75" customHeight="1">
      <c r="A9" s="101" t="s">
        <v>7</v>
      </c>
      <c r="B9" s="103">
        <f>35203/0.915</f>
        <v>38473.224043715847</v>
      </c>
      <c r="C9" s="103">
        <f>29165/0.915</f>
        <v>31874.316939890708</v>
      </c>
      <c r="D9" s="2"/>
      <c r="E9" s="1"/>
      <c r="F9" s="1"/>
      <c r="G9" s="1"/>
      <c r="H9" s="1"/>
      <c r="I9" s="1"/>
      <c r="J9" s="1"/>
      <c r="K9" s="1"/>
      <c r="L9" s="1"/>
      <c r="M9" s="1"/>
      <c r="N9" s="1"/>
      <c r="O9" s="1"/>
      <c r="P9" s="1"/>
      <c r="Q9" s="1"/>
      <c r="R9" s="1"/>
      <c r="S9" s="1"/>
      <c r="T9" s="1"/>
      <c r="U9" s="1"/>
      <c r="V9" s="1"/>
      <c r="W9" s="1"/>
      <c r="X9" s="1"/>
      <c r="Y9" s="1"/>
      <c r="Z9" s="1"/>
    </row>
    <row r="10" spans="1:26" ht="12.75" customHeight="1">
      <c r="A10" s="104" t="s">
        <v>8</v>
      </c>
      <c r="B10" s="102">
        <f t="shared" ref="B10:C10" si="0">SUM(B5:B9)</f>
        <v>2754864.4808743168</v>
      </c>
      <c r="C10" s="102">
        <f t="shared" si="0"/>
        <v>3207605.7431693994</v>
      </c>
      <c r="D10" s="2"/>
      <c r="E10" s="1"/>
      <c r="F10" s="1"/>
      <c r="G10" s="1"/>
      <c r="H10" s="1"/>
      <c r="I10" s="1"/>
      <c r="J10" s="1"/>
      <c r="K10" s="1"/>
      <c r="L10" s="1"/>
      <c r="M10" s="1"/>
      <c r="N10" s="1"/>
      <c r="O10" s="1"/>
      <c r="P10" s="1"/>
      <c r="Q10" s="1"/>
      <c r="R10" s="1"/>
      <c r="S10" s="1"/>
      <c r="T10" s="1"/>
      <c r="U10" s="1"/>
      <c r="V10" s="1"/>
      <c r="W10" s="1"/>
      <c r="X10" s="1"/>
      <c r="Y10" s="1"/>
      <c r="Z10" s="1"/>
    </row>
    <row r="11" spans="1:26" ht="12.75" customHeight="1">
      <c r="A11" s="101" t="s">
        <v>9</v>
      </c>
      <c r="B11" s="102">
        <f>(1596886/0.915)</f>
        <v>1745230.6010928962</v>
      </c>
      <c r="C11" s="102">
        <f>1538495/0.915</f>
        <v>1681415.300546448</v>
      </c>
      <c r="D11" s="2"/>
      <c r="E11" s="1"/>
      <c r="F11" s="1"/>
      <c r="G11" s="1"/>
      <c r="H11" s="1"/>
      <c r="I11" s="1"/>
      <c r="J11" s="1"/>
      <c r="K11" s="1"/>
      <c r="L11" s="1"/>
      <c r="M11" s="1"/>
      <c r="N11" s="1"/>
      <c r="O11" s="1"/>
      <c r="P11" s="1"/>
      <c r="Q11" s="1"/>
      <c r="R11" s="1"/>
      <c r="S11" s="1"/>
      <c r="T11" s="1"/>
      <c r="U11" s="1"/>
      <c r="V11" s="1"/>
      <c r="W11" s="1"/>
      <c r="X11" s="1"/>
      <c r="Y11" s="1"/>
      <c r="Z11" s="1"/>
    </row>
    <row r="12" spans="1:26" ht="12.75" customHeight="1">
      <c r="A12" s="101" t="s">
        <v>10</v>
      </c>
      <c r="B12" s="102">
        <f>856829/0.915</f>
        <v>936425.13661202183</v>
      </c>
      <c r="C12" s="102">
        <f>791205/0.915</f>
        <v>864704.91803278681</v>
      </c>
      <c r="D12" s="2"/>
      <c r="E12" s="1"/>
      <c r="F12" s="1"/>
      <c r="G12" s="1"/>
      <c r="H12" s="1"/>
      <c r="I12" s="1"/>
      <c r="J12" s="1"/>
      <c r="K12" s="1"/>
      <c r="L12" s="1"/>
      <c r="M12" s="1"/>
      <c r="N12" s="1"/>
      <c r="O12" s="1"/>
      <c r="P12" s="1"/>
      <c r="Q12" s="1"/>
      <c r="R12" s="1"/>
      <c r="S12" s="1"/>
      <c r="T12" s="1"/>
      <c r="U12" s="1"/>
      <c r="V12" s="1"/>
      <c r="W12" s="1"/>
      <c r="X12" s="1"/>
      <c r="Y12" s="1"/>
      <c r="Z12" s="1"/>
    </row>
    <row r="13" spans="1:26" ht="12.75" customHeight="1">
      <c r="A13" s="101" t="s">
        <v>11</v>
      </c>
      <c r="B13" s="102">
        <f t="shared" ref="B13:C13" si="1">B11-B12</f>
        <v>808805.46448087436</v>
      </c>
      <c r="C13" s="102">
        <f t="shared" si="1"/>
        <v>816710.38251366117</v>
      </c>
      <c r="D13" s="2"/>
      <c r="E13" s="1"/>
      <c r="F13" s="1"/>
      <c r="G13" s="1"/>
      <c r="H13" s="1"/>
      <c r="I13" s="1"/>
      <c r="J13" s="1"/>
      <c r="K13" s="1"/>
      <c r="L13" s="1"/>
      <c r="M13" s="1"/>
      <c r="N13" s="1"/>
      <c r="O13" s="1"/>
      <c r="P13" s="1"/>
      <c r="Q13" s="1"/>
      <c r="R13" s="1"/>
      <c r="S13" s="1"/>
      <c r="T13" s="1"/>
      <c r="U13" s="1"/>
      <c r="V13" s="1"/>
      <c r="W13" s="1"/>
      <c r="X13" s="1"/>
      <c r="Y13" s="1"/>
      <c r="Z13" s="1"/>
    </row>
    <row r="14" spans="1:26" ht="12.75" customHeight="1">
      <c r="A14" s="101" t="s">
        <v>12</v>
      </c>
      <c r="B14" s="102">
        <f>63376/0.915</f>
        <v>69263.387978142069</v>
      </c>
      <c r="C14" s="102"/>
      <c r="D14" s="2"/>
      <c r="E14" s="1"/>
      <c r="F14" s="1"/>
      <c r="G14" s="1"/>
      <c r="H14" s="1"/>
      <c r="I14" s="1"/>
      <c r="J14" s="1"/>
      <c r="K14" s="1"/>
      <c r="L14" s="1"/>
      <c r="M14" s="1"/>
      <c r="N14" s="1"/>
      <c r="O14" s="1"/>
      <c r="P14" s="1"/>
      <c r="Q14" s="1"/>
      <c r="R14" s="1"/>
      <c r="S14" s="1"/>
      <c r="T14" s="1"/>
      <c r="U14" s="1"/>
      <c r="V14" s="1"/>
      <c r="W14" s="1"/>
      <c r="X14" s="1"/>
      <c r="Y14" s="1"/>
      <c r="Z14" s="1"/>
    </row>
    <row r="15" spans="1:26" ht="12.75" customHeight="1">
      <c r="A15" s="101" t="s">
        <v>13</v>
      </c>
      <c r="B15" s="103">
        <f>205157/0.915</f>
        <v>224215.30054644807</v>
      </c>
      <c r="C15" s="103">
        <f>205624/0.915</f>
        <v>224725.6830601093</v>
      </c>
      <c r="D15" s="2"/>
      <c r="E15" s="1"/>
      <c r="F15" s="1"/>
      <c r="G15" s="1"/>
      <c r="H15" s="1"/>
      <c r="I15" s="1"/>
      <c r="J15" s="1"/>
      <c r="K15" s="1"/>
      <c r="L15" s="1"/>
      <c r="M15" s="1"/>
      <c r="N15" s="1"/>
      <c r="O15" s="1"/>
      <c r="P15" s="1"/>
      <c r="Q15" s="1"/>
      <c r="R15" s="1"/>
      <c r="S15" s="1"/>
      <c r="T15" s="1"/>
      <c r="U15" s="1"/>
      <c r="V15" s="1"/>
      <c r="W15" s="1"/>
      <c r="X15" s="1"/>
      <c r="Y15" s="1"/>
      <c r="Z15" s="1"/>
    </row>
    <row r="16" spans="1:26" ht="12.75" customHeight="1">
      <c r="A16" s="104" t="s">
        <v>14</v>
      </c>
      <c r="B16" s="105">
        <f t="shared" ref="B16:C16" si="2">B10+B13+B14+B15</f>
        <v>3857148.6338797812</v>
      </c>
      <c r="C16" s="105">
        <f t="shared" si="2"/>
        <v>4249041.8087431705</v>
      </c>
      <c r="D16" s="2"/>
      <c r="E16" s="1"/>
      <c r="F16" s="1"/>
      <c r="G16" s="1"/>
      <c r="H16" s="1"/>
      <c r="I16" s="1"/>
      <c r="J16" s="1"/>
      <c r="K16" s="1"/>
      <c r="L16" s="1"/>
      <c r="M16" s="1"/>
      <c r="N16" s="1"/>
      <c r="O16" s="1"/>
      <c r="P16" s="1"/>
      <c r="Q16" s="1"/>
      <c r="R16" s="1"/>
      <c r="S16" s="1"/>
      <c r="T16" s="1"/>
      <c r="U16" s="1"/>
      <c r="V16" s="1"/>
      <c r="W16" s="1"/>
      <c r="X16" s="1"/>
      <c r="Y16" s="1"/>
      <c r="Z16" s="1"/>
    </row>
    <row r="17" spans="1:26" ht="6" customHeight="1">
      <c r="A17" s="101"/>
      <c r="B17" s="102"/>
      <c r="C17" s="102"/>
      <c r="D17" s="2"/>
      <c r="E17" s="1"/>
      <c r="F17" s="1"/>
      <c r="G17" s="1"/>
      <c r="H17" s="1"/>
      <c r="I17" s="1"/>
      <c r="J17" s="1"/>
      <c r="K17" s="1"/>
      <c r="L17" s="1"/>
      <c r="M17" s="1"/>
      <c r="N17" s="1"/>
      <c r="O17" s="1"/>
      <c r="P17" s="1"/>
      <c r="Q17" s="1"/>
      <c r="R17" s="1"/>
      <c r="S17" s="1"/>
      <c r="T17" s="1"/>
      <c r="U17" s="1"/>
      <c r="V17" s="1"/>
      <c r="W17" s="1"/>
      <c r="X17" s="1"/>
      <c r="Y17" s="1"/>
      <c r="Z17" s="1"/>
    </row>
    <row r="18" spans="1:26" ht="12.75" customHeight="1">
      <c r="A18" s="101" t="s">
        <v>15</v>
      </c>
      <c r="B18" s="102"/>
      <c r="C18" s="102"/>
      <c r="D18" s="2"/>
      <c r="E18" s="1"/>
      <c r="F18" s="1"/>
      <c r="G18" s="1"/>
      <c r="H18" s="1"/>
      <c r="I18" s="1"/>
      <c r="J18" s="1"/>
      <c r="K18" s="1"/>
      <c r="L18" s="1"/>
      <c r="M18" s="1"/>
      <c r="N18" s="1"/>
      <c r="O18" s="1"/>
      <c r="P18" s="1"/>
      <c r="Q18" s="1"/>
      <c r="R18" s="1"/>
      <c r="S18" s="1"/>
      <c r="T18" s="1"/>
      <c r="U18" s="1"/>
      <c r="V18" s="1"/>
      <c r="W18" s="1"/>
      <c r="X18" s="1"/>
      <c r="Y18" s="1"/>
      <c r="Z18" s="1"/>
    </row>
    <row r="19" spans="1:26" ht="12.75" customHeight="1">
      <c r="A19" s="101" t="s">
        <v>16</v>
      </c>
      <c r="B19" s="102">
        <f>448508/0.915</f>
        <v>490172.67759562837</v>
      </c>
      <c r="C19" s="102">
        <f>356511/0.915</f>
        <v>389629.50819672132</v>
      </c>
      <c r="D19" s="2"/>
      <c r="E19" s="1"/>
      <c r="F19" s="1"/>
      <c r="G19" s="1"/>
      <c r="H19" s="1"/>
      <c r="I19" s="1"/>
      <c r="J19" s="1"/>
      <c r="K19" s="1"/>
      <c r="L19" s="1"/>
      <c r="M19" s="1"/>
      <c r="N19" s="1"/>
      <c r="O19" s="1"/>
      <c r="P19" s="1"/>
      <c r="Q19" s="1"/>
      <c r="R19" s="1"/>
      <c r="S19" s="1"/>
      <c r="T19" s="1"/>
      <c r="U19" s="1"/>
      <c r="V19" s="1"/>
      <c r="W19" s="1"/>
      <c r="X19" s="1"/>
      <c r="Y19" s="1"/>
      <c r="Z19" s="1"/>
    </row>
    <row r="20" spans="1:26" ht="15" customHeight="1">
      <c r="A20" s="101" t="s">
        <v>17</v>
      </c>
      <c r="B20" s="102">
        <f>148427/0.915</f>
        <v>162215.30054644807</v>
      </c>
      <c r="C20" s="102">
        <f>136793/0.915</f>
        <v>149500.54644808744</v>
      </c>
      <c r="D20" s="2"/>
      <c r="E20" s="1"/>
      <c r="F20" s="1"/>
      <c r="G20" s="1"/>
      <c r="H20" s="1"/>
      <c r="I20" s="1"/>
      <c r="J20" s="1"/>
      <c r="K20" s="1"/>
      <c r="L20" s="1"/>
      <c r="M20" s="1"/>
      <c r="N20" s="1"/>
      <c r="O20" s="1"/>
      <c r="P20" s="1"/>
      <c r="Q20" s="1"/>
      <c r="R20" s="1"/>
      <c r="S20" s="1"/>
      <c r="T20" s="1"/>
      <c r="U20" s="1"/>
      <c r="V20" s="1"/>
      <c r="W20" s="1"/>
      <c r="X20" s="1"/>
      <c r="Y20" s="1"/>
      <c r="Z20" s="1"/>
    </row>
    <row r="21" spans="1:26" ht="12.75" customHeight="1">
      <c r="A21" s="101" t="s">
        <v>18</v>
      </c>
      <c r="B21" s="102">
        <f>36203/0.915</f>
        <v>39566.120218579235</v>
      </c>
      <c r="C21" s="102">
        <f>127455/0.915</f>
        <v>139295.0819672131</v>
      </c>
      <c r="D21" s="2"/>
      <c r="E21" s="1"/>
      <c r="F21" s="1"/>
      <c r="G21" s="1"/>
      <c r="H21" s="1"/>
      <c r="I21" s="1"/>
      <c r="J21" s="1"/>
      <c r="K21" s="1"/>
      <c r="L21" s="1"/>
      <c r="M21" s="1"/>
      <c r="N21" s="1"/>
      <c r="O21" s="1"/>
      <c r="P21" s="1"/>
      <c r="Q21" s="1"/>
      <c r="R21" s="1"/>
      <c r="S21" s="1"/>
      <c r="T21" s="1"/>
      <c r="U21" s="1"/>
      <c r="V21" s="1"/>
      <c r="W21" s="1"/>
      <c r="X21" s="1"/>
      <c r="Y21" s="1"/>
      <c r="Z21" s="1"/>
    </row>
    <row r="22" spans="1:26" ht="12.75" customHeight="1">
      <c r="A22" s="101" t="s">
        <v>19</v>
      </c>
      <c r="B22" s="103">
        <f>190938/0.915</f>
        <v>208675.40983606558</v>
      </c>
      <c r="C22" s="103">
        <f>164285/0.915</f>
        <v>179546.44808743169</v>
      </c>
      <c r="D22" s="2"/>
      <c r="E22" s="1"/>
      <c r="F22" s="1"/>
      <c r="G22" s="1"/>
      <c r="H22" s="1"/>
      <c r="I22" s="1"/>
      <c r="J22" s="1"/>
      <c r="K22" s="1"/>
      <c r="L22" s="1"/>
      <c r="M22" s="1"/>
      <c r="N22" s="1"/>
      <c r="O22" s="1"/>
      <c r="P22" s="1"/>
      <c r="Q22" s="1"/>
      <c r="R22" s="1"/>
      <c r="S22" s="1"/>
      <c r="T22" s="1"/>
      <c r="U22" s="1"/>
      <c r="V22" s="1"/>
      <c r="W22" s="1"/>
      <c r="X22" s="1"/>
      <c r="Y22" s="1"/>
      <c r="Z22" s="1"/>
    </row>
    <row r="23" spans="1:26" ht="12.75" customHeight="1">
      <c r="A23" s="104" t="s">
        <v>20</v>
      </c>
      <c r="B23" s="102">
        <f t="shared" ref="B23:C23" si="3">SUM(B19:B22)</f>
        <v>900629.5081967212</v>
      </c>
      <c r="C23" s="102">
        <f t="shared" si="3"/>
        <v>857971.58469945355</v>
      </c>
      <c r="D23" s="2"/>
      <c r="E23" s="1"/>
      <c r="F23" s="1"/>
      <c r="G23" s="1"/>
      <c r="H23" s="1"/>
      <c r="I23" s="1"/>
      <c r="J23" s="1"/>
      <c r="K23" s="1"/>
      <c r="L23" s="1"/>
      <c r="M23" s="1"/>
      <c r="N23" s="1"/>
      <c r="O23" s="1"/>
      <c r="P23" s="1"/>
      <c r="Q23" s="1"/>
      <c r="R23" s="1"/>
      <c r="S23" s="1"/>
      <c r="T23" s="1"/>
      <c r="U23" s="1"/>
      <c r="V23" s="1"/>
      <c r="W23" s="1"/>
      <c r="X23" s="1"/>
      <c r="Y23" s="1"/>
      <c r="Z23" s="1"/>
    </row>
    <row r="24" spans="1:26" ht="12.75" customHeight="1">
      <c r="A24" s="101" t="s">
        <v>21</v>
      </c>
      <c r="B24" s="103">
        <f>630783/0.915</f>
        <v>689380.32786885242</v>
      </c>
      <c r="C24" s="103">
        <f>626460/0.915</f>
        <v>684655.73770491802</v>
      </c>
      <c r="D24" s="2"/>
      <c r="E24" s="1"/>
      <c r="F24" s="1"/>
      <c r="G24" s="1"/>
      <c r="H24" s="1"/>
      <c r="I24" s="1"/>
      <c r="J24" s="1"/>
      <c r="K24" s="1"/>
      <c r="L24" s="1"/>
      <c r="M24" s="1"/>
      <c r="N24" s="1"/>
      <c r="O24" s="1"/>
      <c r="P24" s="1"/>
      <c r="Q24" s="1"/>
      <c r="R24" s="1"/>
      <c r="S24" s="1"/>
      <c r="T24" s="1"/>
      <c r="U24" s="1"/>
      <c r="V24" s="1"/>
      <c r="W24" s="1"/>
      <c r="X24" s="1"/>
      <c r="Y24" s="1"/>
      <c r="Z24" s="1"/>
    </row>
    <row r="25" spans="1:26" ht="12.75" customHeight="1">
      <c r="A25" s="104" t="s">
        <v>22</v>
      </c>
      <c r="B25" s="102">
        <f t="shared" ref="B25:C25" si="4">SUM(B23:B24)</f>
        <v>1590009.8360655736</v>
      </c>
      <c r="C25" s="102">
        <f t="shared" si="4"/>
        <v>1542627.3224043716</v>
      </c>
      <c r="D25" s="2"/>
      <c r="E25" s="1"/>
      <c r="F25" s="1"/>
      <c r="G25" s="1"/>
      <c r="H25" s="1"/>
      <c r="I25" s="1"/>
      <c r="J25" s="1"/>
      <c r="K25" s="1"/>
      <c r="L25" s="1"/>
      <c r="M25" s="1"/>
      <c r="N25" s="1"/>
      <c r="O25" s="1"/>
      <c r="P25" s="1"/>
      <c r="Q25" s="1"/>
      <c r="R25" s="1"/>
      <c r="S25" s="1"/>
      <c r="T25" s="1"/>
      <c r="U25" s="1"/>
      <c r="V25" s="1"/>
      <c r="W25" s="1"/>
      <c r="X25" s="1"/>
      <c r="Y25" s="1"/>
      <c r="Z25" s="1"/>
    </row>
    <row r="26" spans="1:26" ht="12.75" customHeight="1">
      <c r="A26" s="106" t="s">
        <v>23</v>
      </c>
      <c r="B26" s="102"/>
      <c r="C26" s="102"/>
      <c r="D26" s="2"/>
      <c r="E26" s="1"/>
      <c r="F26" s="1"/>
      <c r="G26" s="1"/>
      <c r="H26" s="1"/>
      <c r="I26" s="1"/>
      <c r="J26" s="1"/>
      <c r="K26" s="1"/>
      <c r="L26" s="1"/>
      <c r="M26" s="1"/>
      <c r="N26" s="1"/>
      <c r="O26" s="1"/>
      <c r="P26" s="1"/>
      <c r="Q26" s="1"/>
      <c r="R26" s="1"/>
      <c r="S26" s="1"/>
      <c r="T26" s="1"/>
      <c r="U26" s="1"/>
      <c r="V26" s="1"/>
      <c r="W26" s="1"/>
      <c r="X26" s="1"/>
      <c r="Y26" s="1"/>
      <c r="Z26" s="1"/>
    </row>
    <row r="27" spans="1:26" ht="12.75" customHeight="1">
      <c r="A27" s="101" t="s">
        <v>24</v>
      </c>
      <c r="B27" s="102">
        <f>420828/0.915</f>
        <v>459921.31147540984</v>
      </c>
      <c r="C27" s="102">
        <f>420824/0.915</f>
        <v>459916.93989071035</v>
      </c>
      <c r="D27" s="2"/>
      <c r="E27" s="1"/>
      <c r="F27" s="1"/>
      <c r="G27" s="1"/>
      <c r="H27" s="1"/>
      <c r="I27" s="1"/>
      <c r="J27" s="1"/>
      <c r="K27" s="1"/>
      <c r="L27" s="1"/>
      <c r="M27" s="1"/>
      <c r="N27" s="1"/>
      <c r="O27" s="1"/>
      <c r="P27" s="1"/>
      <c r="Q27" s="1"/>
      <c r="R27" s="1"/>
      <c r="S27" s="1"/>
      <c r="T27" s="1"/>
      <c r="U27" s="1"/>
      <c r="V27" s="1"/>
      <c r="W27" s="1"/>
      <c r="X27" s="1"/>
      <c r="Y27" s="1"/>
      <c r="Z27" s="1"/>
    </row>
    <row r="28" spans="1:26" ht="12.75" customHeight="1">
      <c r="A28" s="101" t="s">
        <v>25</v>
      </c>
      <c r="B28" s="102">
        <f>361158/0.915</f>
        <v>394708.19672131148</v>
      </c>
      <c r="C28" s="102">
        <f>361059/0.915</f>
        <v>394600</v>
      </c>
      <c r="D28" s="2"/>
      <c r="E28" s="1"/>
      <c r="F28" s="1"/>
      <c r="G28" s="1"/>
      <c r="H28" s="1"/>
      <c r="I28" s="1"/>
      <c r="J28" s="1"/>
      <c r="K28" s="1"/>
      <c r="L28" s="1"/>
      <c r="M28" s="1"/>
      <c r="N28" s="1"/>
      <c r="O28" s="1"/>
      <c r="P28" s="1"/>
      <c r="Q28" s="1"/>
      <c r="R28" s="1"/>
      <c r="S28" s="1"/>
      <c r="T28" s="1"/>
      <c r="U28" s="1"/>
      <c r="V28" s="1"/>
      <c r="W28" s="1"/>
      <c r="X28" s="1"/>
      <c r="Y28" s="1"/>
      <c r="Z28" s="1"/>
    </row>
    <row r="29" spans="1:26" ht="12.75" customHeight="1">
      <c r="A29" s="101" t="s">
        <v>26</v>
      </c>
      <c r="B29" s="103">
        <f>1014635/0.915-2186</f>
        <v>1106704.7103825137</v>
      </c>
      <c r="C29" s="103">
        <f>956361/0.915</f>
        <v>1045203.2786885245</v>
      </c>
      <c r="D29" s="2"/>
      <c r="E29" s="1"/>
      <c r="F29" s="1"/>
      <c r="G29" s="1"/>
      <c r="H29" s="1"/>
      <c r="I29" s="1"/>
      <c r="J29" s="1"/>
      <c r="K29" s="1"/>
      <c r="L29" s="1"/>
      <c r="M29" s="1"/>
      <c r="N29" s="1"/>
      <c r="O29" s="1"/>
      <c r="P29" s="1"/>
      <c r="Q29" s="1"/>
      <c r="R29" s="1"/>
      <c r="S29" s="1"/>
      <c r="T29" s="1"/>
      <c r="U29" s="1"/>
      <c r="V29" s="1"/>
      <c r="W29" s="1"/>
      <c r="X29" s="1"/>
      <c r="Y29" s="1"/>
      <c r="Z29" s="1"/>
    </row>
    <row r="30" spans="1:26" ht="12.75" customHeight="1">
      <c r="A30" s="101" t="s">
        <v>27</v>
      </c>
      <c r="B30" s="105">
        <f t="shared" ref="B30:C30" si="5">B27+B28+B29</f>
        <v>1961334.218579235</v>
      </c>
      <c r="C30" s="105">
        <f t="shared" si="5"/>
        <v>1899720.218579235</v>
      </c>
      <c r="D30" s="2"/>
      <c r="E30" s="1"/>
      <c r="F30" s="1"/>
      <c r="G30" s="1"/>
      <c r="H30" s="1"/>
      <c r="I30" s="1"/>
      <c r="J30" s="1"/>
      <c r="K30" s="1"/>
      <c r="L30" s="1"/>
      <c r="M30" s="1"/>
      <c r="N30" s="1"/>
      <c r="O30" s="1"/>
      <c r="P30" s="1"/>
      <c r="Q30" s="1"/>
      <c r="R30" s="1"/>
      <c r="S30" s="1"/>
      <c r="T30" s="1"/>
      <c r="U30" s="1"/>
      <c r="V30" s="1"/>
      <c r="W30" s="1"/>
      <c r="X30" s="1"/>
      <c r="Y30" s="1"/>
      <c r="Z30" s="1"/>
    </row>
    <row r="31" spans="1:26" ht="12.75" customHeight="1">
      <c r="A31" s="104" t="s">
        <v>28</v>
      </c>
      <c r="B31" s="107"/>
      <c r="C31" s="107">
        <f>C25+C30</f>
        <v>3442347.5409836066</v>
      </c>
      <c r="D31" s="2"/>
      <c r="E31" s="1"/>
      <c r="F31" s="1"/>
      <c r="G31" s="1"/>
      <c r="H31" s="1"/>
      <c r="I31" s="1"/>
      <c r="J31" s="1"/>
      <c r="K31" s="1"/>
      <c r="L31" s="1"/>
      <c r="M31" s="1"/>
      <c r="N31" s="1"/>
      <c r="O31" s="1"/>
      <c r="P31" s="1"/>
      <c r="Q31" s="1"/>
      <c r="R31" s="1"/>
      <c r="S31" s="1"/>
      <c r="T31" s="1"/>
      <c r="U31" s="1"/>
      <c r="V31" s="1"/>
      <c r="W31" s="1"/>
      <c r="X31" s="1"/>
      <c r="Y31" s="1"/>
      <c r="Z31" s="1"/>
    </row>
    <row r="32" spans="1:26" ht="12.75" customHeight="1">
      <c r="A32" s="108"/>
      <c r="B32" s="109"/>
      <c r="C32" s="109"/>
      <c r="D32" s="2"/>
      <c r="E32" s="1"/>
      <c r="F32" s="1"/>
      <c r="G32" s="1"/>
      <c r="H32" s="1"/>
      <c r="I32" s="1"/>
      <c r="J32" s="1"/>
      <c r="K32" s="1"/>
      <c r="L32" s="1"/>
      <c r="M32" s="1"/>
      <c r="N32" s="1"/>
      <c r="O32" s="1"/>
      <c r="P32" s="1"/>
      <c r="Q32" s="1"/>
      <c r="R32" s="1"/>
      <c r="S32" s="1"/>
      <c r="T32" s="1"/>
      <c r="U32" s="1"/>
      <c r="V32" s="1"/>
      <c r="W32" s="1"/>
      <c r="X32" s="1"/>
      <c r="Y32" s="1"/>
      <c r="Z32" s="1"/>
    </row>
    <row r="33" spans="1:26" ht="12.75" customHeight="1">
      <c r="A33" s="95" t="s">
        <v>0</v>
      </c>
      <c r="B33" s="96"/>
      <c r="C33" s="97"/>
      <c r="D33" s="2"/>
      <c r="E33" s="1"/>
      <c r="F33" s="1"/>
      <c r="G33" s="1"/>
      <c r="H33" s="1"/>
      <c r="I33" s="1"/>
      <c r="J33" s="1"/>
      <c r="K33" s="1"/>
      <c r="L33" s="1"/>
      <c r="M33" s="1"/>
      <c r="N33" s="1"/>
      <c r="O33" s="1"/>
      <c r="P33" s="1"/>
      <c r="Q33" s="1"/>
      <c r="R33" s="1"/>
      <c r="S33" s="1"/>
      <c r="T33" s="1"/>
      <c r="U33" s="1"/>
      <c r="V33" s="1"/>
      <c r="W33" s="1"/>
      <c r="X33" s="1"/>
      <c r="Y33" s="1"/>
      <c r="Z33" s="1"/>
    </row>
    <row r="34" spans="1:26" ht="15" customHeight="1">
      <c r="A34" s="98" t="s">
        <v>1</v>
      </c>
      <c r="B34" s="96"/>
      <c r="C34" s="97"/>
      <c r="D34" s="2"/>
      <c r="E34" s="1"/>
      <c r="F34" s="1"/>
      <c r="G34" s="1"/>
      <c r="H34" s="1"/>
      <c r="I34" s="1"/>
      <c r="J34" s="1"/>
      <c r="K34" s="1"/>
      <c r="L34" s="1"/>
      <c r="M34" s="1"/>
      <c r="N34" s="1"/>
      <c r="O34" s="1"/>
      <c r="P34" s="1"/>
      <c r="Q34" s="1"/>
      <c r="R34" s="1"/>
      <c r="S34" s="1"/>
      <c r="T34" s="1"/>
      <c r="U34" s="1"/>
      <c r="V34" s="1"/>
      <c r="W34" s="1"/>
      <c r="X34" s="1"/>
      <c r="Y34" s="1"/>
      <c r="Z34" s="1"/>
    </row>
    <row r="35" spans="1:26" ht="12.75" customHeight="1">
      <c r="A35" s="110"/>
      <c r="B35" s="100">
        <v>2023</v>
      </c>
      <c r="C35" s="100">
        <v>2022</v>
      </c>
      <c r="D35" s="2"/>
      <c r="E35" s="1"/>
      <c r="F35" s="1"/>
      <c r="G35" s="1"/>
      <c r="H35" s="1"/>
      <c r="I35" s="1"/>
      <c r="J35" s="1"/>
      <c r="K35" s="1"/>
      <c r="L35" s="1"/>
      <c r="M35" s="1"/>
      <c r="N35" s="1"/>
      <c r="O35" s="1"/>
      <c r="P35" s="1"/>
      <c r="Q35" s="1"/>
      <c r="R35" s="1"/>
      <c r="S35" s="1"/>
      <c r="T35" s="1"/>
      <c r="U35" s="1"/>
      <c r="V35" s="1"/>
      <c r="W35" s="1"/>
      <c r="X35" s="1"/>
      <c r="Y35" s="1"/>
      <c r="Z35" s="1"/>
    </row>
    <row r="36" spans="1:26" ht="12.75" customHeight="1">
      <c r="A36" s="101" t="s">
        <v>29</v>
      </c>
      <c r="B36" s="102">
        <f>3992758/0.915</f>
        <v>4363669.9453551909</v>
      </c>
      <c r="C36" s="102">
        <f>3721241/0.915</f>
        <v>4066930.0546448086</v>
      </c>
      <c r="D36" s="2"/>
      <c r="E36" s="1"/>
      <c r="F36" s="1"/>
      <c r="G36" s="1"/>
      <c r="H36" s="1"/>
      <c r="I36" s="1"/>
      <c r="J36" s="1"/>
      <c r="K36" s="1"/>
      <c r="L36" s="1"/>
      <c r="M36" s="1"/>
      <c r="N36" s="1"/>
      <c r="O36" s="1"/>
      <c r="P36" s="1"/>
      <c r="Q36" s="1"/>
      <c r="R36" s="1"/>
      <c r="S36" s="1"/>
      <c r="T36" s="1"/>
      <c r="U36" s="1"/>
      <c r="V36" s="1"/>
      <c r="W36" s="1"/>
      <c r="X36" s="1"/>
      <c r="Y36" s="1"/>
      <c r="Z36" s="1"/>
    </row>
    <row r="37" spans="1:26" ht="12.75" customHeight="1">
      <c r="A37" s="101" t="s">
        <v>30</v>
      </c>
      <c r="B37" s="102">
        <v>1752682</v>
      </c>
      <c r="C37" s="102">
        <v>1631850</v>
      </c>
      <c r="D37" s="2"/>
      <c r="E37" s="1"/>
      <c r="F37" s="1"/>
      <c r="G37" s="1"/>
      <c r="H37" s="1"/>
      <c r="I37" s="1"/>
      <c r="J37" s="1"/>
      <c r="K37" s="1"/>
      <c r="L37" s="1"/>
      <c r="M37" s="1"/>
      <c r="N37" s="1"/>
      <c r="O37" s="1"/>
      <c r="P37" s="1"/>
      <c r="Q37" s="1"/>
      <c r="R37" s="1"/>
      <c r="S37" s="1"/>
      <c r="T37" s="1"/>
      <c r="U37" s="1"/>
      <c r="V37" s="1"/>
      <c r="W37" s="1"/>
      <c r="X37" s="1"/>
      <c r="Y37" s="1"/>
      <c r="Z37" s="1"/>
    </row>
    <row r="38" spans="1:26" ht="12.75" customHeight="1">
      <c r="A38" s="101" t="s">
        <v>31</v>
      </c>
      <c r="B38" s="111">
        <v>2629024</v>
      </c>
      <c r="C38" s="102">
        <v>2447775</v>
      </c>
      <c r="D38" s="2"/>
      <c r="E38" s="1"/>
      <c r="F38" s="1"/>
      <c r="G38" s="1"/>
      <c r="H38" s="1"/>
      <c r="I38" s="1"/>
      <c r="J38" s="1"/>
      <c r="K38" s="1"/>
      <c r="L38" s="1"/>
      <c r="M38" s="1"/>
      <c r="N38" s="1"/>
      <c r="O38" s="1"/>
      <c r="P38" s="1"/>
      <c r="Q38" s="1"/>
      <c r="R38" s="1"/>
      <c r="S38" s="1"/>
      <c r="T38" s="1"/>
      <c r="U38" s="1"/>
      <c r="V38" s="1"/>
      <c r="W38" s="1"/>
      <c r="X38" s="1"/>
      <c r="Y38" s="1"/>
      <c r="Z38" s="1"/>
    </row>
    <row r="39" spans="1:26" ht="12.75" customHeight="1">
      <c r="A39" s="101" t="s">
        <v>32</v>
      </c>
      <c r="B39" s="102">
        <f>B7</f>
        <v>1452418.5792349726</v>
      </c>
      <c r="C39" s="102">
        <f>(1234725/0.915)-2003</f>
        <v>1347423.2295081967</v>
      </c>
      <c r="D39" s="2"/>
      <c r="E39" s="1"/>
      <c r="F39" s="1"/>
      <c r="G39" s="1"/>
      <c r="H39" s="1"/>
      <c r="I39" s="1"/>
      <c r="J39" s="1"/>
      <c r="K39" s="1"/>
      <c r="L39" s="1"/>
      <c r="M39" s="1"/>
      <c r="N39" s="1"/>
      <c r="O39" s="1"/>
      <c r="P39" s="1"/>
      <c r="Q39" s="1"/>
      <c r="R39" s="1"/>
      <c r="S39" s="1"/>
      <c r="T39" s="1"/>
      <c r="U39" s="1"/>
      <c r="V39" s="1"/>
      <c r="W39" s="1"/>
      <c r="X39" s="1"/>
      <c r="Y39" s="1"/>
      <c r="Z39" s="1"/>
    </row>
    <row r="40" spans="1:26" ht="12.75" customHeight="1">
      <c r="A40" s="101" t="s">
        <v>33</v>
      </c>
      <c r="B40" s="103">
        <f>B37+B38-B39</f>
        <v>2929287.4207650274</v>
      </c>
      <c r="C40" s="103">
        <f>2499965/0.915</f>
        <v>2732202.1857923497</v>
      </c>
      <c r="D40" s="2"/>
      <c r="E40" s="1"/>
      <c r="F40" s="1"/>
      <c r="G40" s="1"/>
      <c r="H40" s="1"/>
      <c r="I40" s="1"/>
      <c r="J40" s="1"/>
      <c r="K40" s="1"/>
      <c r="L40" s="1"/>
      <c r="M40" s="1"/>
      <c r="N40" s="1"/>
      <c r="O40" s="1"/>
      <c r="P40" s="1"/>
      <c r="Q40" s="1"/>
      <c r="R40" s="1"/>
      <c r="S40" s="1"/>
      <c r="T40" s="1"/>
      <c r="U40" s="1"/>
      <c r="V40" s="1"/>
      <c r="W40" s="1"/>
      <c r="X40" s="1"/>
      <c r="Y40" s="1"/>
      <c r="Z40" s="1"/>
    </row>
    <row r="41" spans="1:26" ht="12.75" customHeight="1">
      <c r="A41" s="104" t="s">
        <v>34</v>
      </c>
      <c r="B41" s="102">
        <f t="shared" ref="B41:C41" si="6">B36-B40</f>
        <v>1434382.5245901635</v>
      </c>
      <c r="C41" s="102">
        <f t="shared" si="6"/>
        <v>1334727.8688524589</v>
      </c>
      <c r="D41" s="2"/>
      <c r="E41" s="1"/>
      <c r="F41" s="1"/>
      <c r="G41" s="1"/>
      <c r="H41" s="1"/>
      <c r="I41" s="1"/>
      <c r="J41" s="1"/>
      <c r="K41" s="1"/>
      <c r="L41" s="1"/>
      <c r="M41" s="1"/>
      <c r="N41" s="1"/>
      <c r="O41" s="1"/>
      <c r="P41" s="1"/>
      <c r="Q41" s="1"/>
      <c r="R41" s="1"/>
      <c r="S41" s="1"/>
      <c r="T41" s="1"/>
      <c r="U41" s="1"/>
      <c r="V41" s="1"/>
      <c r="W41" s="1"/>
      <c r="X41" s="1"/>
      <c r="Y41" s="1"/>
      <c r="Z41" s="1"/>
    </row>
    <row r="42" spans="1:26" ht="12.75" customHeight="1">
      <c r="A42" s="101" t="s">
        <v>35</v>
      </c>
      <c r="B42" s="102">
        <f>801395/0.915</f>
        <v>875841.5300546448</v>
      </c>
      <c r="C42" s="102">
        <f>726959/0.915</f>
        <v>794490.71038251359</v>
      </c>
      <c r="D42" s="2"/>
      <c r="E42" s="1"/>
      <c r="F42" s="1"/>
      <c r="G42" s="1"/>
      <c r="H42" s="1"/>
      <c r="I42" s="1"/>
      <c r="J42" s="1"/>
      <c r="K42" s="1"/>
      <c r="L42" s="1"/>
      <c r="M42" s="1"/>
      <c r="N42" s="1"/>
      <c r="O42" s="1"/>
      <c r="P42" s="1"/>
      <c r="Q42" s="1"/>
      <c r="R42" s="1"/>
      <c r="S42" s="1"/>
      <c r="T42" s="1"/>
      <c r="U42" s="1"/>
      <c r="V42" s="1"/>
      <c r="W42" s="1"/>
      <c r="X42" s="1"/>
      <c r="Y42" s="1"/>
      <c r="Z42" s="1"/>
    </row>
    <row r="43" spans="1:26" ht="12.75" customHeight="1">
      <c r="A43" s="101" t="s">
        <v>36</v>
      </c>
      <c r="B43" s="103">
        <f>111509/0.915</f>
        <v>121867.75956284153</v>
      </c>
      <c r="C43" s="103">
        <f>113989/0.915</f>
        <v>124578.14207650273</v>
      </c>
      <c r="D43" s="2"/>
      <c r="E43" s="1"/>
      <c r="F43" s="1"/>
      <c r="G43" s="1"/>
      <c r="H43" s="1"/>
      <c r="I43" s="1"/>
      <c r="J43" s="1"/>
      <c r="K43" s="1"/>
      <c r="L43" s="1"/>
      <c r="M43" s="1"/>
      <c r="N43" s="1"/>
      <c r="O43" s="1"/>
      <c r="P43" s="1"/>
      <c r="Q43" s="1"/>
      <c r="R43" s="1"/>
      <c r="S43" s="1"/>
      <c r="T43" s="1"/>
      <c r="U43" s="1"/>
      <c r="V43" s="1"/>
      <c r="W43" s="1"/>
      <c r="X43" s="1"/>
      <c r="Y43" s="1"/>
      <c r="Z43" s="1"/>
    </row>
    <row r="44" spans="1:26" ht="12.75" customHeight="1">
      <c r="A44" s="104" t="s">
        <v>37</v>
      </c>
      <c r="B44" s="102">
        <f t="shared" ref="B44:C44" si="7">B41-B42-B43</f>
        <v>436673.23497267719</v>
      </c>
      <c r="C44" s="102">
        <f t="shared" si="7"/>
        <v>415659.01639344258</v>
      </c>
      <c r="D44" s="2"/>
      <c r="E44" s="1"/>
      <c r="F44" s="1"/>
      <c r="G44" s="1"/>
      <c r="H44" s="1"/>
      <c r="I44" s="1"/>
      <c r="J44" s="1"/>
      <c r="K44" s="1"/>
      <c r="L44" s="1"/>
      <c r="M44" s="1"/>
      <c r="N44" s="1"/>
      <c r="O44" s="1"/>
      <c r="P44" s="1"/>
      <c r="Q44" s="1"/>
      <c r="R44" s="1"/>
      <c r="S44" s="1"/>
      <c r="T44" s="1"/>
      <c r="U44" s="1"/>
      <c r="V44" s="1"/>
      <c r="W44" s="1"/>
      <c r="X44" s="1"/>
      <c r="Y44" s="1"/>
      <c r="Z44" s="1"/>
    </row>
    <row r="45" spans="1:26" ht="12.75" customHeight="1">
      <c r="A45" s="101" t="s">
        <v>38</v>
      </c>
      <c r="B45" s="103">
        <f>85274/0.915</f>
        <v>93195.62841530054</v>
      </c>
      <c r="C45" s="103">
        <f>69764/0.915</f>
        <v>76244.8087431694</v>
      </c>
      <c r="D45" s="2"/>
      <c r="E45" s="1"/>
      <c r="F45" s="1"/>
      <c r="G45" s="1"/>
      <c r="H45" s="1"/>
      <c r="I45" s="1"/>
      <c r="J45" s="1"/>
      <c r="K45" s="1"/>
      <c r="L45" s="1"/>
      <c r="M45" s="1"/>
      <c r="N45" s="1"/>
      <c r="O45" s="1"/>
      <c r="P45" s="1"/>
      <c r="Q45" s="1"/>
      <c r="R45" s="1"/>
      <c r="S45" s="1"/>
      <c r="T45" s="1"/>
      <c r="U45" s="1"/>
      <c r="V45" s="1"/>
      <c r="W45" s="1"/>
      <c r="X45" s="1"/>
      <c r="Y45" s="1"/>
      <c r="Z45" s="1"/>
    </row>
    <row r="46" spans="1:26" ht="12.75" customHeight="1">
      <c r="A46" s="104" t="s">
        <v>39</v>
      </c>
      <c r="B46" s="102">
        <f t="shared" ref="B46:C46" si="8">B41-B42-B43-B45</f>
        <v>343477.60655737668</v>
      </c>
      <c r="C46" s="102">
        <f t="shared" si="8"/>
        <v>339414.20765027317</v>
      </c>
      <c r="D46" s="2"/>
      <c r="E46" s="1"/>
      <c r="F46" s="1"/>
      <c r="G46" s="1"/>
      <c r="H46" s="1"/>
      <c r="I46" s="1"/>
      <c r="J46" s="1"/>
      <c r="K46" s="1"/>
      <c r="L46" s="1"/>
      <c r="M46" s="1"/>
      <c r="N46" s="1"/>
      <c r="O46" s="1"/>
      <c r="P46" s="1"/>
      <c r="Q46" s="1"/>
      <c r="R46" s="1"/>
      <c r="S46" s="1"/>
      <c r="T46" s="1"/>
      <c r="U46" s="1"/>
      <c r="V46" s="1"/>
      <c r="W46" s="1"/>
      <c r="X46" s="1"/>
      <c r="Y46" s="1"/>
      <c r="Z46" s="1"/>
    </row>
    <row r="47" spans="1:26" ht="12.75" customHeight="1">
      <c r="A47" s="101" t="s">
        <v>40</v>
      </c>
      <c r="B47" s="103">
        <f>113040/0.915</f>
        <v>123540.98360655738</v>
      </c>
      <c r="C47" s="103">
        <f>112356/0.915</f>
        <v>122793.44262295081</v>
      </c>
      <c r="D47" s="2"/>
      <c r="E47" s="1"/>
      <c r="F47" s="1"/>
      <c r="G47" s="1"/>
      <c r="H47" s="1"/>
      <c r="I47" s="1"/>
      <c r="J47" s="1"/>
      <c r="K47" s="1"/>
      <c r="L47" s="1"/>
      <c r="M47" s="1"/>
      <c r="N47" s="1"/>
      <c r="O47" s="1"/>
      <c r="P47" s="1"/>
      <c r="Q47" s="1"/>
      <c r="R47" s="1"/>
      <c r="S47" s="1"/>
      <c r="T47" s="1"/>
      <c r="U47" s="1"/>
      <c r="V47" s="1"/>
      <c r="W47" s="1"/>
      <c r="X47" s="1"/>
      <c r="Y47" s="1"/>
      <c r="Z47" s="1"/>
    </row>
    <row r="48" spans="1:26" ht="12.75" customHeight="1">
      <c r="A48" s="104" t="s">
        <v>41</v>
      </c>
      <c r="B48" s="102">
        <f t="shared" ref="B48:C48" si="9">B46-B47</f>
        <v>219936.62295081932</v>
      </c>
      <c r="C48" s="102">
        <f t="shared" si="9"/>
        <v>216620.76502732234</v>
      </c>
      <c r="D48" s="2"/>
      <c r="E48" s="1"/>
      <c r="F48" s="1"/>
      <c r="G48" s="1"/>
      <c r="H48" s="1"/>
      <c r="I48" s="1"/>
      <c r="J48" s="1"/>
      <c r="K48" s="1"/>
      <c r="L48" s="1"/>
      <c r="M48" s="1"/>
      <c r="N48" s="1"/>
      <c r="O48" s="1"/>
      <c r="P48" s="1"/>
      <c r="Q48" s="1"/>
      <c r="R48" s="1"/>
      <c r="S48" s="1"/>
      <c r="T48" s="1"/>
      <c r="U48" s="1"/>
      <c r="V48" s="1"/>
      <c r="W48" s="1"/>
      <c r="X48" s="1"/>
      <c r="Y48" s="1"/>
      <c r="Z48" s="1"/>
    </row>
    <row r="49" spans="1:26" ht="12.75" customHeight="1">
      <c r="A49" s="101" t="s">
        <v>42</v>
      </c>
      <c r="B49" s="103">
        <f>142968/0.915</f>
        <v>156249.18032786885</v>
      </c>
      <c r="C49" s="103">
        <f>130455/0.915</f>
        <v>142573.77049180327</v>
      </c>
      <c r="D49" s="2"/>
      <c r="E49" s="1"/>
      <c r="F49" s="1"/>
      <c r="G49" s="1"/>
      <c r="H49" s="1"/>
      <c r="I49" s="1"/>
      <c r="J49" s="1"/>
      <c r="K49" s="1"/>
      <c r="L49" s="1"/>
      <c r="M49" s="1"/>
      <c r="N49" s="1"/>
      <c r="O49" s="1"/>
      <c r="P49" s="1"/>
      <c r="Q49" s="1"/>
      <c r="R49" s="1"/>
      <c r="S49" s="1"/>
      <c r="T49" s="1"/>
      <c r="U49" s="1"/>
      <c r="V49" s="1"/>
      <c r="W49" s="1"/>
      <c r="X49" s="1"/>
      <c r="Y49" s="1"/>
      <c r="Z49" s="1"/>
    </row>
    <row r="50" spans="1:26" ht="12.75" customHeight="1">
      <c r="A50" s="104" t="s">
        <v>43</v>
      </c>
      <c r="B50" s="107">
        <f t="shared" ref="B50:C50" si="10">B48-B49</f>
        <v>63687.442622950475</v>
      </c>
      <c r="C50" s="107">
        <f t="shared" si="10"/>
        <v>74046.994535519072</v>
      </c>
      <c r="D50" s="2"/>
      <c r="E50" s="1"/>
      <c r="F50" s="1"/>
      <c r="G50" s="1"/>
      <c r="H50" s="1"/>
      <c r="I50" s="1"/>
      <c r="J50" s="1"/>
      <c r="K50" s="1"/>
      <c r="L50" s="1"/>
      <c r="M50" s="1"/>
      <c r="N50" s="1"/>
      <c r="O50" s="1"/>
      <c r="P50" s="1"/>
      <c r="Q50" s="1"/>
      <c r="R50" s="1"/>
      <c r="S50" s="1"/>
      <c r="T50" s="1"/>
      <c r="U50" s="1"/>
      <c r="V50" s="1"/>
      <c r="W50" s="1"/>
      <c r="X50" s="1"/>
      <c r="Y50" s="1"/>
      <c r="Z50" s="1"/>
    </row>
    <row r="51" spans="1:26" ht="4.5" customHeight="1">
      <c r="A51" s="112"/>
      <c r="B51" s="102"/>
      <c r="C51" s="102"/>
      <c r="D51" s="2"/>
      <c r="E51" s="1"/>
      <c r="F51" s="1"/>
      <c r="G51" s="1"/>
      <c r="H51" s="1"/>
      <c r="I51" s="1"/>
      <c r="J51" s="1"/>
      <c r="K51" s="1"/>
      <c r="L51" s="1"/>
      <c r="M51" s="1"/>
      <c r="N51" s="1"/>
      <c r="O51" s="1"/>
      <c r="P51" s="1"/>
      <c r="Q51" s="1"/>
      <c r="R51" s="1"/>
      <c r="S51" s="1"/>
      <c r="T51" s="1"/>
      <c r="U51" s="1"/>
      <c r="V51" s="1"/>
      <c r="W51" s="1"/>
      <c r="X51" s="1"/>
      <c r="Y51" s="1"/>
      <c r="Z51" s="1"/>
    </row>
    <row r="52" spans="1:26" ht="12.75" customHeight="1">
      <c r="A52" s="113"/>
      <c r="B52" s="114"/>
      <c r="C52" s="114"/>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13"/>
      <c r="B53" s="114"/>
      <c r="C53" s="114"/>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3"/>
      <c r="B54" s="114"/>
      <c r="C54" s="114"/>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13"/>
      <c r="B55" s="114"/>
      <c r="C55" s="114"/>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13"/>
      <c r="B56" s="114"/>
      <c r="C56" s="114"/>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13"/>
      <c r="B57" s="114"/>
      <c r="C57" s="114"/>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3"/>
      <c r="B58" s="114"/>
      <c r="C58" s="114"/>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13"/>
      <c r="B59" s="114"/>
      <c r="C59" s="114"/>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3"/>
      <c r="B60" s="114"/>
      <c r="C60" s="114"/>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13"/>
      <c r="B61" s="114"/>
      <c r="C61" s="114"/>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13"/>
      <c r="B62" s="114"/>
      <c r="C62" s="114"/>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13"/>
      <c r="B63" s="114"/>
      <c r="C63" s="114"/>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3"/>
      <c r="B64" s="114"/>
      <c r="C64" s="114"/>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13"/>
      <c r="B65" s="114"/>
      <c r="C65" s="114"/>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3"/>
      <c r="B66" s="114"/>
      <c r="C66" s="114"/>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13"/>
      <c r="B67" s="114"/>
      <c r="C67" s="114"/>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13"/>
      <c r="B68" s="114"/>
      <c r="C68" s="114"/>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13"/>
      <c r="B69" s="114"/>
      <c r="C69" s="114"/>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13"/>
      <c r="B70" s="114"/>
      <c r="C70" s="114"/>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13"/>
      <c r="B71" s="114"/>
      <c r="C71" s="114"/>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13"/>
      <c r="B72" s="114"/>
      <c r="C72" s="114"/>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13"/>
      <c r="B73" s="114"/>
      <c r="C73" s="114"/>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13"/>
      <c r="B74" s="114"/>
      <c r="C74" s="114"/>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13"/>
      <c r="B75" s="114"/>
      <c r="C75" s="114"/>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13"/>
      <c r="B76" s="114"/>
      <c r="C76" s="114"/>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3"/>
      <c r="B77" s="114"/>
      <c r="C77" s="114"/>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13"/>
      <c r="B78" s="114"/>
      <c r="C78" s="114"/>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3"/>
      <c r="B79" s="114"/>
      <c r="C79" s="114"/>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13"/>
      <c r="B80" s="114"/>
      <c r="C80" s="114"/>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3"/>
      <c r="B81" s="114"/>
      <c r="C81" s="114"/>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3"/>
      <c r="B82" s="114"/>
      <c r="C82" s="114"/>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13"/>
      <c r="B83" s="114"/>
      <c r="C83" s="114"/>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13"/>
      <c r="B84" s="114"/>
      <c r="C84" s="114"/>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13"/>
      <c r="B85" s="114"/>
      <c r="C85" s="114"/>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13"/>
      <c r="B86" s="114"/>
      <c r="C86" s="114"/>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13"/>
      <c r="B87" s="114"/>
      <c r="C87" s="114"/>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13"/>
      <c r="B88" s="114"/>
      <c r="C88" s="114"/>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13"/>
      <c r="B89" s="114"/>
      <c r="C89" s="114"/>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13"/>
      <c r="B90" s="114"/>
      <c r="C90" s="114"/>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13"/>
      <c r="B91" s="114"/>
      <c r="C91" s="114"/>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13"/>
      <c r="B92" s="114"/>
      <c r="C92" s="114"/>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13"/>
      <c r="B93" s="114"/>
      <c r="C93" s="114"/>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13"/>
      <c r="B94" s="114"/>
      <c r="C94" s="114"/>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3"/>
      <c r="B95" s="114"/>
      <c r="C95" s="114"/>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13"/>
      <c r="B96" s="114"/>
      <c r="C96" s="114"/>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13"/>
      <c r="B97" s="114"/>
      <c r="C97" s="114"/>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13"/>
      <c r="B98" s="114"/>
      <c r="C98" s="114"/>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13"/>
      <c r="B99" s="114"/>
      <c r="C99" s="114"/>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13"/>
      <c r="B100" s="114"/>
      <c r="C100" s="114"/>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13"/>
      <c r="B101" s="114"/>
      <c r="C101" s="114"/>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13"/>
      <c r="B102" s="114"/>
      <c r="C102" s="114"/>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13"/>
      <c r="B103" s="114"/>
      <c r="C103" s="114"/>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13"/>
      <c r="B104" s="114"/>
      <c r="C104" s="114"/>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13"/>
      <c r="B105" s="114"/>
      <c r="C105" s="114"/>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13"/>
      <c r="B106" s="114"/>
      <c r="C106" s="11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13"/>
      <c r="B107" s="114"/>
      <c r="C107" s="114"/>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13"/>
      <c r="B108" s="114"/>
      <c r="C108" s="11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13"/>
      <c r="B109" s="114"/>
      <c r="C109" s="11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13"/>
      <c r="B110" s="114"/>
      <c r="C110" s="11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13"/>
      <c r="B111" s="114"/>
      <c r="C111" s="11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13"/>
      <c r="B112" s="114"/>
      <c r="C112" s="11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13"/>
      <c r="B113" s="114"/>
      <c r="C113" s="11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13"/>
      <c r="B114" s="114"/>
      <c r="C114" s="11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13"/>
      <c r="B115" s="114"/>
      <c r="C115" s="114"/>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13"/>
      <c r="B116" s="114"/>
      <c r="C116" s="114"/>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13"/>
      <c r="B117" s="114"/>
      <c r="C117" s="114"/>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13"/>
      <c r="B118" s="114"/>
      <c r="C118" s="114"/>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13"/>
      <c r="B119" s="114"/>
      <c r="C119" s="114"/>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13"/>
      <c r="B120" s="114"/>
      <c r="C120" s="114"/>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13"/>
      <c r="B121" s="114"/>
      <c r="C121" s="11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13"/>
      <c r="B122" s="114"/>
      <c r="C122" s="11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13"/>
      <c r="B123" s="114"/>
      <c r="C123" s="11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13"/>
      <c r="B124" s="114"/>
      <c r="C124" s="11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13"/>
      <c r="B125" s="114"/>
      <c r="C125" s="11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13"/>
      <c r="B126" s="114"/>
      <c r="C126" s="11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13"/>
      <c r="B127" s="114"/>
      <c r="C127" s="11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13"/>
      <c r="B128" s="114"/>
      <c r="C128" s="11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13"/>
      <c r="B129" s="114"/>
      <c r="C129" s="114"/>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13"/>
      <c r="B130" s="114"/>
      <c r="C130" s="114"/>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13"/>
      <c r="B131" s="114"/>
      <c r="C131" s="114"/>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13"/>
      <c r="B132" s="114"/>
      <c r="C132" s="114"/>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13"/>
      <c r="B133" s="114"/>
      <c r="C133" s="11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13"/>
      <c r="B134" s="114"/>
      <c r="C134" s="11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13"/>
      <c r="B135" s="114"/>
      <c r="C135" s="114"/>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13"/>
      <c r="B136" s="114"/>
      <c r="C136" s="11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3"/>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3"/>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3"/>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3"/>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3"/>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3"/>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3"/>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3"/>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3"/>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3"/>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3"/>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3"/>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3"/>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3"/>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3"/>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3"/>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3"/>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3"/>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3"/>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3"/>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3"/>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3"/>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3"/>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3"/>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3"/>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3"/>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3"/>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3"/>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3"/>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3"/>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3"/>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3"/>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3"/>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3"/>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3"/>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3"/>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3"/>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3"/>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3"/>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3"/>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3"/>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3"/>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3"/>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3"/>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3"/>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3"/>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3"/>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3"/>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3"/>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3"/>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3"/>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3"/>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3"/>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3"/>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3"/>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3"/>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3"/>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3"/>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3"/>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3"/>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3"/>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3"/>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3"/>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3"/>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3"/>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3"/>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3"/>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3"/>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3"/>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3"/>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3"/>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3"/>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3"/>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3"/>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3"/>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3"/>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3"/>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3"/>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3"/>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3"/>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3"/>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3"/>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3"/>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3"/>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3"/>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3"/>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3"/>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3"/>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3"/>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3"/>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3"/>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3"/>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3"/>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3"/>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3"/>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3"/>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3"/>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3"/>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3"/>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3"/>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3"/>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3"/>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3"/>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3"/>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3"/>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3"/>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3"/>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3"/>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3"/>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3"/>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3"/>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3"/>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3"/>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3"/>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3"/>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3"/>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3"/>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3"/>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3"/>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3"/>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3"/>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3"/>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3"/>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3"/>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3"/>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3"/>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3"/>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3"/>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3"/>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3"/>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3"/>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3"/>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3"/>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3"/>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3"/>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3"/>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3"/>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3"/>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3"/>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3"/>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3"/>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3"/>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3"/>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3"/>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3"/>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3"/>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3"/>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3"/>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3"/>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3"/>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3"/>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3"/>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3"/>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3"/>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3"/>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3"/>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3"/>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3"/>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3"/>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3"/>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3"/>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3"/>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3"/>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3"/>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3"/>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3"/>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3"/>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3"/>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3"/>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3"/>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3"/>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3"/>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3"/>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3"/>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3"/>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3"/>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3"/>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3"/>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3"/>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3"/>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3"/>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3"/>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3"/>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3"/>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3"/>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3"/>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3"/>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3"/>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3"/>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3"/>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3"/>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3"/>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3"/>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3"/>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3"/>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3"/>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3"/>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3"/>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3"/>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3"/>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3"/>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3"/>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3"/>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3"/>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3"/>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3"/>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3"/>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3"/>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3"/>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3"/>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3"/>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3"/>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3"/>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3"/>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3"/>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3"/>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3"/>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3"/>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3"/>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3"/>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3"/>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3"/>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3"/>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3"/>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3"/>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3"/>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3"/>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3"/>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3"/>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3"/>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3"/>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3"/>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3"/>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3"/>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3"/>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3"/>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3"/>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3"/>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3"/>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3"/>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3"/>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3"/>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3"/>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3"/>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3"/>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3"/>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3"/>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3"/>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3"/>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3"/>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3"/>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3"/>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3"/>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3"/>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3"/>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3"/>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3"/>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3"/>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3"/>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3"/>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3"/>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3"/>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3"/>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3"/>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3"/>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3"/>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3"/>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3"/>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3"/>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3"/>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3"/>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3"/>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3"/>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3"/>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3"/>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3"/>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3"/>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3"/>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3"/>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3"/>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3"/>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3"/>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3"/>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3"/>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3"/>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3"/>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3"/>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3"/>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3"/>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3"/>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3"/>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3"/>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3"/>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3"/>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3"/>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3"/>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3"/>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3"/>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3"/>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3"/>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3"/>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3"/>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3"/>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3"/>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3"/>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3"/>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3"/>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3"/>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3"/>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3"/>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3"/>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3"/>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3"/>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3"/>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3"/>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3"/>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3"/>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3"/>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3"/>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3"/>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3"/>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3"/>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3"/>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3"/>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3"/>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3"/>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3"/>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3"/>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3"/>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3"/>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3"/>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3"/>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3"/>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3"/>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3"/>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3"/>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3"/>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3"/>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3"/>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3"/>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3"/>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3"/>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3"/>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3"/>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3"/>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3"/>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3"/>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3"/>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3"/>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3"/>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3"/>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3"/>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3"/>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3"/>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3"/>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3"/>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3"/>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3"/>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3"/>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3"/>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3"/>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3"/>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3"/>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3"/>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3"/>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3"/>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3"/>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3"/>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3"/>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3"/>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3"/>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3"/>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3"/>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3"/>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3"/>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3"/>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3"/>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3"/>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3"/>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3"/>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3"/>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3"/>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3"/>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3"/>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3"/>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3"/>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3"/>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3"/>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3"/>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3"/>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3"/>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3"/>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3"/>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3"/>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3"/>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3"/>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3"/>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3"/>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3"/>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3"/>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3"/>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3"/>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3"/>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3"/>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3"/>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3"/>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3"/>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3"/>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3"/>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3"/>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3"/>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3"/>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3"/>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3"/>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3"/>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3"/>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3"/>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3"/>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3"/>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3"/>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3"/>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3"/>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3"/>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3"/>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3"/>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3"/>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3"/>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3"/>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3"/>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3"/>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3"/>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3"/>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3"/>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3"/>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3"/>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3"/>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3"/>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3"/>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3"/>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3"/>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3"/>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3"/>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3"/>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3"/>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3"/>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3"/>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3"/>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3"/>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3"/>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3"/>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3"/>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3"/>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3"/>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3"/>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3"/>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3"/>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3"/>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3"/>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3"/>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3"/>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3"/>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3"/>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3"/>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3"/>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3"/>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3"/>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3"/>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3"/>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3"/>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3"/>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3"/>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3"/>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3"/>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3"/>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3"/>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3"/>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3"/>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3"/>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3"/>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3"/>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3"/>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3"/>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3"/>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3"/>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3"/>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3"/>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3"/>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3"/>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3"/>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3"/>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3"/>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3"/>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3"/>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3"/>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3"/>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3"/>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3"/>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3"/>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3"/>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3"/>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3"/>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3"/>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3"/>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3"/>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3"/>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3"/>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3"/>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3"/>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3"/>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3"/>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3"/>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3"/>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3"/>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3"/>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3"/>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3"/>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3"/>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3"/>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3"/>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3"/>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3"/>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3"/>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3"/>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3"/>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3"/>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3"/>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3"/>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3"/>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3"/>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3"/>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3"/>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3"/>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3"/>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3"/>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3"/>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3"/>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3"/>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3"/>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3"/>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3"/>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3"/>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3"/>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3"/>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3"/>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3"/>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3"/>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3"/>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3"/>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3"/>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3"/>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3"/>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3"/>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3"/>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3"/>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3"/>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3"/>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3"/>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3"/>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3"/>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3"/>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3"/>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3"/>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3"/>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3"/>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3"/>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3"/>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3"/>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3"/>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3"/>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3"/>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3"/>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3"/>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3"/>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3"/>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3"/>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3"/>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3"/>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3"/>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3"/>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3"/>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3"/>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3"/>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3"/>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3"/>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3"/>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3"/>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3"/>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3"/>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3"/>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3"/>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3"/>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3"/>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3"/>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3"/>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3"/>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3"/>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3"/>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3"/>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3"/>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3"/>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3"/>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3"/>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3"/>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3"/>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3"/>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3"/>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3"/>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3"/>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3"/>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3"/>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3"/>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3"/>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3"/>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3"/>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3"/>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3"/>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3"/>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3"/>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3"/>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3"/>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3"/>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3"/>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3"/>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3"/>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3"/>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3"/>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3"/>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3"/>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3"/>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3"/>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3"/>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3"/>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3"/>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3"/>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3"/>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3"/>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3"/>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3"/>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3"/>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3"/>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3"/>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3"/>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3"/>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3"/>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3"/>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3"/>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3"/>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3"/>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3"/>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3"/>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3"/>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3"/>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3"/>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3"/>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3"/>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3"/>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3"/>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3"/>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3"/>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3"/>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3"/>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3"/>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3"/>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3"/>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3"/>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3"/>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3"/>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3"/>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3"/>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3"/>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3"/>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3"/>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3"/>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3"/>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3"/>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3"/>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3"/>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3"/>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3"/>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3"/>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3"/>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3"/>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3"/>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3"/>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3"/>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3"/>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3"/>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3"/>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3"/>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3"/>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3"/>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3"/>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3"/>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3"/>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3"/>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3"/>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3"/>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3"/>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3"/>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3"/>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3"/>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3"/>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3"/>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3"/>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3"/>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3"/>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3"/>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3"/>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3"/>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3"/>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3"/>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3"/>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3"/>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3"/>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3"/>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3"/>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3"/>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3"/>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3"/>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3"/>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3"/>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3"/>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3"/>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3"/>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3"/>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3"/>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3"/>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3"/>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3"/>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3"/>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3"/>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3"/>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3"/>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3"/>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3"/>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3"/>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3"/>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3"/>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3"/>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3"/>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3"/>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3"/>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3"/>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3"/>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3"/>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3"/>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3"/>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3"/>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3"/>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3"/>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3"/>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3"/>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3"/>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3"/>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3"/>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3"/>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3"/>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3"/>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3"/>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3"/>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3"/>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3"/>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3"/>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3"/>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3"/>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3"/>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3"/>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3"/>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3"/>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3"/>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3"/>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3"/>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3"/>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3"/>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3"/>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3"/>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3"/>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3"/>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3"/>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3"/>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3"/>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3"/>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3"/>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3"/>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3"/>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3"/>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3"/>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3"/>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3"/>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3"/>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3"/>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3"/>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3"/>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3"/>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3"/>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3"/>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3"/>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3"/>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3"/>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3"/>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3"/>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3"/>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3"/>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3"/>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3"/>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3"/>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3"/>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3"/>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3"/>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3"/>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3"/>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3"/>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3"/>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3"/>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3"/>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3"/>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3"/>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3"/>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3"/>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3"/>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3"/>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3"/>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3"/>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3"/>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3"/>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3"/>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3"/>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3"/>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3"/>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3"/>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3"/>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3"/>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3"/>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3"/>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3"/>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3"/>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3"/>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3"/>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3"/>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3"/>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3"/>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3"/>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3"/>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3"/>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3"/>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3"/>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3"/>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3"/>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3"/>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3"/>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3"/>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3"/>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3"/>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3"/>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3"/>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3"/>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3"/>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3"/>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3"/>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3"/>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3"/>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3"/>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3"/>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3"/>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C1"/>
    <mergeCell ref="A2:C2"/>
    <mergeCell ref="A3:C3"/>
    <mergeCell ref="A33:C33"/>
    <mergeCell ref="A34:C34"/>
  </mergeCells>
  <printOptions horizontalCentered="1"/>
  <pageMargins left="0.59055118110236227" right="0.78740157480314965" top="0.98425196850393704" bottom="0.98425196850393704" header="0" footer="0"/>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F1"/>
    </sheetView>
  </sheetViews>
  <sheetFormatPr baseColWidth="10" defaultColWidth="12.5703125" defaultRowHeight="15" customHeight="1"/>
  <cols>
    <col min="1" max="1" width="42.5703125" customWidth="1"/>
    <col min="2" max="3" width="15.5703125" customWidth="1"/>
    <col min="4" max="4" width="53.5703125" customWidth="1"/>
    <col min="5" max="5" width="0.140625" customWidth="1"/>
    <col min="6" max="6" width="11.42578125" hidden="1" customWidth="1"/>
    <col min="7" max="26" width="9.140625" customWidth="1"/>
  </cols>
  <sheetData>
    <row r="1" spans="1:26" ht="31.5" customHeight="1">
      <c r="A1" s="84" t="s">
        <v>44</v>
      </c>
      <c r="B1" s="82"/>
      <c r="C1" s="82"/>
      <c r="D1" s="82"/>
      <c r="E1" s="82"/>
      <c r="F1" s="83"/>
      <c r="G1" s="1"/>
      <c r="H1" s="1"/>
      <c r="I1" s="1"/>
      <c r="J1" s="1"/>
      <c r="K1" s="1"/>
      <c r="L1" s="1"/>
      <c r="M1" s="1"/>
      <c r="N1" s="1"/>
      <c r="O1" s="1"/>
      <c r="P1" s="1"/>
      <c r="Q1" s="1"/>
      <c r="R1" s="1"/>
      <c r="S1" s="1"/>
      <c r="T1" s="1"/>
      <c r="U1" s="1"/>
      <c r="V1" s="1"/>
      <c r="W1" s="1"/>
      <c r="X1" s="1"/>
      <c r="Y1" s="1"/>
      <c r="Z1" s="1"/>
    </row>
    <row r="2" spans="1:26" ht="20.25" customHeight="1">
      <c r="A2" s="85"/>
      <c r="B2" s="86"/>
      <c r="C2" s="86"/>
      <c r="D2" s="87"/>
      <c r="E2" s="4"/>
      <c r="F2" s="4"/>
      <c r="G2" s="1"/>
      <c r="H2" s="1"/>
      <c r="I2" s="1"/>
      <c r="J2" s="1"/>
      <c r="K2" s="1"/>
      <c r="L2" s="1"/>
      <c r="M2" s="1"/>
      <c r="N2" s="1"/>
      <c r="O2" s="1"/>
      <c r="P2" s="1"/>
      <c r="Q2" s="1"/>
      <c r="R2" s="1"/>
      <c r="S2" s="1"/>
      <c r="T2" s="1"/>
      <c r="U2" s="1"/>
      <c r="V2" s="1"/>
      <c r="W2" s="1"/>
      <c r="X2" s="1"/>
      <c r="Y2" s="1"/>
      <c r="Z2" s="1"/>
    </row>
    <row r="3" spans="1:26" ht="23.25" customHeight="1">
      <c r="A3" s="5" t="s">
        <v>45</v>
      </c>
      <c r="B3" s="6">
        <v>2023</v>
      </c>
      <c r="C3" s="7">
        <v>2022</v>
      </c>
      <c r="D3" s="8" t="s">
        <v>124</v>
      </c>
      <c r="E3" s="9"/>
      <c r="F3" s="9"/>
      <c r="G3" s="10"/>
      <c r="H3" s="10"/>
      <c r="I3" s="10"/>
      <c r="J3" s="10"/>
      <c r="K3" s="10"/>
      <c r="L3" s="10"/>
      <c r="M3" s="10"/>
      <c r="N3" s="10"/>
      <c r="O3" s="10"/>
      <c r="P3" s="10"/>
      <c r="Q3" s="10"/>
      <c r="R3" s="10"/>
      <c r="S3" s="10"/>
      <c r="T3" s="10"/>
      <c r="U3" s="10"/>
      <c r="V3" s="10"/>
      <c r="W3" s="10"/>
      <c r="X3" s="10"/>
      <c r="Y3" s="10"/>
      <c r="Z3" s="10"/>
    </row>
    <row r="4" spans="1:26" ht="39.950000000000003" customHeight="1">
      <c r="A4" s="11" t="s">
        <v>46</v>
      </c>
      <c r="B4" s="12">
        <f>'ESTADOS FINANCIEROS'!B10/'ESTADOS FINANCIEROS'!B23</f>
        <v>3.0588210310699502</v>
      </c>
      <c r="C4" s="12">
        <f>'ESTADOS FINANCIEROS'!C10/'ESTADOS FINANCIEROS'!C23</f>
        <v>3.7385920470699738</v>
      </c>
      <c r="D4" s="13" t="s">
        <v>47</v>
      </c>
      <c r="E4" s="14"/>
      <c r="F4" s="14"/>
      <c r="G4" s="1"/>
      <c r="H4" s="1"/>
      <c r="I4" s="1"/>
      <c r="J4" s="1"/>
      <c r="K4" s="1"/>
      <c r="L4" s="1"/>
      <c r="M4" s="1"/>
      <c r="N4" s="1"/>
      <c r="O4" s="1"/>
      <c r="P4" s="1"/>
      <c r="Q4" s="1"/>
      <c r="R4" s="1"/>
      <c r="S4" s="1"/>
      <c r="T4" s="1"/>
      <c r="U4" s="1"/>
      <c r="V4" s="1"/>
      <c r="W4" s="1"/>
      <c r="X4" s="1"/>
      <c r="Y4" s="1"/>
      <c r="Z4" s="1"/>
    </row>
    <row r="5" spans="1:26" ht="39.950000000000003" customHeight="1">
      <c r="A5" s="11" t="s">
        <v>48</v>
      </c>
      <c r="B5" s="12">
        <f>('ESTADOS FINANCIEROS'!B10-'ESTADOS FINANCIEROS'!B7)/'ESTADOS FINANCIEROS'!B23</f>
        <v>1.4461505977604008</v>
      </c>
      <c r="C5" s="12">
        <f>('ESTADOS FINANCIEROS'!C10-'ESTADOS FINANCIEROS'!C7)/'ESTADOS FINANCIEROS'!C23</f>
        <v>2.1681166915484997</v>
      </c>
      <c r="D5" s="13" t="s">
        <v>49</v>
      </c>
      <c r="E5" s="14"/>
      <c r="F5" s="14"/>
      <c r="G5" s="1"/>
      <c r="H5" s="1"/>
      <c r="I5" s="1"/>
      <c r="J5" s="1"/>
      <c r="K5" s="1"/>
      <c r="L5" s="1"/>
      <c r="M5" s="1"/>
      <c r="N5" s="1"/>
      <c r="O5" s="1"/>
      <c r="P5" s="1"/>
      <c r="Q5" s="1"/>
      <c r="R5" s="1"/>
      <c r="S5" s="1"/>
      <c r="T5" s="1"/>
      <c r="U5" s="1"/>
      <c r="V5" s="1"/>
      <c r="W5" s="1"/>
      <c r="X5" s="1"/>
      <c r="Y5" s="1"/>
      <c r="Z5" s="1"/>
    </row>
    <row r="6" spans="1:26" ht="39.950000000000003" customHeight="1">
      <c r="A6" s="11" t="s">
        <v>50</v>
      </c>
      <c r="B6" s="15">
        <f>'ESTADOS FINANCIEROS'!B5/'ESTADOS FINANCIEROS'!B23</f>
        <v>0.5551672418563337</v>
      </c>
      <c r="C6" s="15">
        <f>'ESTADOS FINANCIEROS'!C5/'ESTADOS FINANCIEROS'!C23</f>
        <v>1.1655397659239481</v>
      </c>
      <c r="D6" s="16" t="s">
        <v>51</v>
      </c>
      <c r="E6" s="14"/>
      <c r="F6" s="14"/>
      <c r="G6" s="1"/>
      <c r="H6" s="1"/>
      <c r="I6" s="1"/>
      <c r="J6" s="1"/>
      <c r="K6" s="1"/>
      <c r="L6" s="1"/>
      <c r="M6" s="1"/>
      <c r="N6" s="1"/>
      <c r="O6" s="1"/>
      <c r="P6" s="1"/>
      <c r="Q6" s="1"/>
      <c r="R6" s="1"/>
      <c r="S6" s="1"/>
      <c r="T6" s="1"/>
      <c r="U6" s="1"/>
      <c r="V6" s="1"/>
      <c r="W6" s="1"/>
      <c r="X6" s="1"/>
      <c r="Y6" s="1"/>
      <c r="Z6" s="1"/>
    </row>
    <row r="7" spans="1:26" ht="39.950000000000003" customHeight="1">
      <c r="A7" s="17" t="s">
        <v>52</v>
      </c>
      <c r="B7" s="18">
        <f>'ESTADOS FINANCIEROS'!B10-'ESTADOS FINANCIEROS'!B23</f>
        <v>1854234.9726775954</v>
      </c>
      <c r="C7" s="18">
        <f>'ESTADOS FINANCIEROS'!C10-'ESTADOS FINANCIEROS'!C23</f>
        <v>2349634.1584699461</v>
      </c>
      <c r="D7" s="13" t="s">
        <v>53</v>
      </c>
      <c r="E7" s="14"/>
      <c r="F7" s="14"/>
      <c r="G7" s="1"/>
      <c r="H7" s="1"/>
      <c r="I7" s="1"/>
      <c r="J7" s="1"/>
      <c r="K7" s="1"/>
      <c r="L7" s="1"/>
      <c r="M7" s="1"/>
      <c r="N7" s="1"/>
      <c r="O7" s="1"/>
      <c r="P7" s="1"/>
      <c r="Q7" s="1"/>
      <c r="R7" s="1"/>
      <c r="S7" s="1"/>
      <c r="T7" s="1"/>
      <c r="U7" s="1"/>
      <c r="V7" s="1"/>
      <c r="W7" s="1"/>
      <c r="X7" s="1"/>
      <c r="Y7" s="1"/>
      <c r="Z7" s="1"/>
    </row>
    <row r="8" spans="1:26" ht="39.950000000000003" customHeight="1">
      <c r="A8" s="19" t="s">
        <v>54</v>
      </c>
      <c r="B8" s="18">
        <f>('ESTADOS FINANCIEROS'!B6*360)/'ESTADOS FINANCIEROS'!B36</f>
        <v>61.155832634985643</v>
      </c>
      <c r="C8" s="18">
        <f>('ESTADOS FINANCIEROS'!C6*360)/'ESTADOS FINANCIEROS'!C36</f>
        <v>71.657224028220696</v>
      </c>
      <c r="D8" s="13" t="s">
        <v>55</v>
      </c>
      <c r="E8" s="14"/>
      <c r="F8" s="14"/>
      <c r="G8" s="1"/>
      <c r="H8" s="1"/>
      <c r="I8" s="1"/>
      <c r="J8" s="1"/>
      <c r="K8" s="1"/>
      <c r="L8" s="1"/>
      <c r="M8" s="1"/>
      <c r="N8" s="1"/>
      <c r="O8" s="1"/>
      <c r="P8" s="1"/>
      <c r="Q8" s="1"/>
      <c r="R8" s="1"/>
      <c r="S8" s="1"/>
      <c r="T8" s="1"/>
      <c r="U8" s="1"/>
      <c r="V8" s="1"/>
      <c r="W8" s="1"/>
      <c r="X8" s="1"/>
      <c r="Y8" s="1"/>
      <c r="Z8" s="1"/>
    </row>
    <row r="9" spans="1:26" ht="39.950000000000003" customHeight="1">
      <c r="A9" s="19" t="s">
        <v>56</v>
      </c>
      <c r="B9" s="12">
        <f>'ESTADOS FINANCIEROS'!B36/'ESTADOS FINANCIEROS'!B6</f>
        <v>5.8866012363643865</v>
      </c>
      <c r="C9" s="12">
        <f>'ESTADOS FINANCIEROS'!C36/'ESTADOS FINANCIEROS'!C6</f>
        <v>5.0239177540316318</v>
      </c>
      <c r="D9" s="13" t="s">
        <v>57</v>
      </c>
      <c r="E9" s="14"/>
      <c r="F9" s="14"/>
      <c r="G9" s="1"/>
      <c r="H9" s="1"/>
      <c r="I9" s="1"/>
      <c r="J9" s="1"/>
      <c r="K9" s="1"/>
      <c r="L9" s="1"/>
      <c r="M9" s="1"/>
      <c r="N9" s="1"/>
      <c r="O9" s="1"/>
      <c r="P9" s="1"/>
      <c r="Q9" s="1"/>
      <c r="R9" s="1"/>
      <c r="S9" s="1"/>
      <c r="T9" s="1"/>
      <c r="U9" s="1"/>
      <c r="V9" s="1"/>
      <c r="W9" s="1"/>
      <c r="X9" s="1"/>
      <c r="Y9" s="1"/>
      <c r="Z9" s="1"/>
    </row>
    <row r="10" spans="1:26" ht="27" customHeight="1">
      <c r="A10" s="64" t="s">
        <v>58</v>
      </c>
      <c r="B10" s="65">
        <v>2023</v>
      </c>
      <c r="C10" s="66">
        <v>2022</v>
      </c>
      <c r="D10" s="67" t="s">
        <v>124</v>
      </c>
      <c r="E10" s="9"/>
      <c r="F10" s="9"/>
      <c r="G10" s="10"/>
      <c r="H10" s="10"/>
      <c r="I10" s="10"/>
      <c r="J10" s="10"/>
      <c r="K10" s="10"/>
      <c r="L10" s="10"/>
      <c r="M10" s="10"/>
      <c r="N10" s="10"/>
      <c r="O10" s="10"/>
      <c r="P10" s="10"/>
      <c r="Q10" s="10"/>
      <c r="R10" s="10"/>
      <c r="S10" s="10"/>
      <c r="T10" s="10"/>
      <c r="U10" s="10"/>
      <c r="V10" s="10"/>
      <c r="W10" s="10"/>
      <c r="X10" s="10"/>
      <c r="Y10" s="10"/>
      <c r="Z10" s="10"/>
    </row>
    <row r="11" spans="1:26" ht="39.950000000000003" customHeight="1">
      <c r="A11" s="21" t="s">
        <v>59</v>
      </c>
      <c r="B11" s="22">
        <f>(('ESTADOS FINANCIEROS'!B6+'ESTADOS FINANCIEROS'!C6)/2)*360/('ESTADOS FINANCIEROS'!B36)</f>
        <v>63.970097862179486</v>
      </c>
      <c r="C11" s="22">
        <f>(('ESTADOS FINANCIEROS'!C6+'ESTADOS FINANCIEROS'!D6)/2)*360/('ESTADOS FINANCIEROS'!C36)</f>
        <v>35.828612014110348</v>
      </c>
      <c r="D11" s="88" t="s">
        <v>60</v>
      </c>
      <c r="E11" s="1"/>
      <c r="F11" s="1"/>
      <c r="G11" s="1"/>
      <c r="H11" s="1"/>
      <c r="I11" s="1"/>
      <c r="J11" s="1"/>
      <c r="K11" s="1"/>
      <c r="L11" s="1"/>
      <c r="M11" s="1"/>
      <c r="N11" s="1"/>
      <c r="O11" s="1"/>
      <c r="P11" s="1"/>
      <c r="Q11" s="1"/>
      <c r="R11" s="1"/>
      <c r="S11" s="1"/>
      <c r="T11" s="1"/>
      <c r="U11" s="1"/>
      <c r="V11" s="1"/>
      <c r="W11" s="1"/>
      <c r="X11" s="1"/>
      <c r="Y11" s="1"/>
      <c r="Z11" s="1"/>
    </row>
    <row r="12" spans="1:26" ht="39.950000000000003" customHeight="1">
      <c r="A12" s="23" t="s">
        <v>61</v>
      </c>
      <c r="B12" s="24">
        <f t="shared" ref="B12:C12" si="0">360/B11</f>
        <v>5.6276293460673266</v>
      </c>
      <c r="C12" s="25">
        <f t="shared" si="0"/>
        <v>10.047835508063264</v>
      </c>
      <c r="D12" s="89"/>
      <c r="E12" s="1"/>
      <c r="F12" s="1"/>
      <c r="G12" s="1"/>
      <c r="H12" s="1"/>
      <c r="I12" s="1"/>
      <c r="J12" s="1"/>
      <c r="K12" s="1"/>
      <c r="L12" s="1"/>
      <c r="M12" s="1"/>
      <c r="N12" s="1"/>
      <c r="O12" s="1"/>
      <c r="P12" s="1"/>
      <c r="Q12" s="1"/>
      <c r="R12" s="1"/>
      <c r="S12" s="1"/>
      <c r="T12" s="1"/>
      <c r="U12" s="1"/>
      <c r="V12" s="1"/>
      <c r="W12" s="1"/>
      <c r="X12" s="1"/>
      <c r="Y12" s="1"/>
      <c r="Z12" s="1"/>
    </row>
    <row r="13" spans="1:26" ht="39.950000000000003" customHeight="1">
      <c r="A13" s="21" t="s">
        <v>62</v>
      </c>
      <c r="B13" s="26">
        <f>((('ESTADOS FINANCIEROS'!B7+'ESTADOS FINANCIEROS'!C7)/2)*360)/'ESTADOS FINANCIEROS'!B40</f>
        <v>172.04577536544733</v>
      </c>
      <c r="C13" s="22">
        <f>('ESTADOS FINANCIEROS'!C7*360)/'ESTADOS FINANCIEROS'!C40</f>
        <v>177.53897026558371</v>
      </c>
      <c r="D13" s="90" t="s">
        <v>63</v>
      </c>
      <c r="E13" s="1"/>
      <c r="F13" s="1"/>
      <c r="G13" s="1"/>
      <c r="H13" s="1"/>
      <c r="I13" s="1"/>
      <c r="J13" s="1"/>
      <c r="K13" s="1"/>
      <c r="L13" s="1"/>
      <c r="M13" s="1"/>
      <c r="N13" s="1"/>
      <c r="O13" s="1"/>
      <c r="P13" s="1"/>
      <c r="Q13" s="1"/>
      <c r="R13" s="1"/>
      <c r="S13" s="1"/>
      <c r="T13" s="1"/>
      <c r="U13" s="1"/>
      <c r="V13" s="1"/>
      <c r="W13" s="1"/>
      <c r="X13" s="1"/>
      <c r="Y13" s="1"/>
      <c r="Z13" s="1"/>
    </row>
    <row r="14" spans="1:26" ht="39.950000000000003" customHeight="1">
      <c r="A14" s="27" t="s">
        <v>61</v>
      </c>
      <c r="B14" s="28">
        <f t="shared" ref="B14:C14" si="1">360/B13</f>
        <v>2.0924663755056687</v>
      </c>
      <c r="C14" s="29">
        <f t="shared" si="1"/>
        <v>2.027723825712572</v>
      </c>
      <c r="D14" s="91"/>
      <c r="E14" s="1"/>
      <c r="F14" s="1"/>
      <c r="G14" s="1"/>
      <c r="H14" s="1"/>
      <c r="I14" s="1"/>
      <c r="J14" s="1"/>
      <c r="K14" s="1"/>
      <c r="L14" s="1"/>
      <c r="M14" s="1"/>
      <c r="N14" s="1"/>
      <c r="O14" s="1"/>
      <c r="P14" s="1"/>
      <c r="Q14" s="1"/>
      <c r="R14" s="1"/>
      <c r="S14" s="1"/>
      <c r="T14" s="1"/>
      <c r="U14" s="1"/>
      <c r="V14" s="1"/>
      <c r="W14" s="1"/>
      <c r="X14" s="1"/>
      <c r="Y14" s="1"/>
      <c r="Z14" s="1"/>
    </row>
    <row r="15" spans="1:26" ht="39.950000000000003" customHeight="1">
      <c r="A15" s="27" t="s">
        <v>64</v>
      </c>
      <c r="B15" s="28">
        <f>'ESTADOS FINANCIEROS'!B40/(('ESTADOS FINANCIEROS'!B7+'ESTADOS FINANCIEROS'!C7)/2)</f>
        <v>2.0924663755056683</v>
      </c>
      <c r="C15" s="29">
        <f>'ESTADOS FINANCIEROS'!C40/'ESTADOS FINANCIEROS'!C7</f>
        <v>2.027723825712572</v>
      </c>
      <c r="D15" s="16" t="s">
        <v>65</v>
      </c>
      <c r="E15" s="1"/>
      <c r="F15" s="1"/>
      <c r="G15" s="1"/>
      <c r="H15" s="1"/>
      <c r="I15" s="1"/>
      <c r="J15" s="1"/>
      <c r="K15" s="1"/>
      <c r="L15" s="1"/>
      <c r="M15" s="1"/>
      <c r="N15" s="1"/>
      <c r="O15" s="1"/>
      <c r="P15" s="1"/>
      <c r="Q15" s="1"/>
      <c r="R15" s="1"/>
      <c r="S15" s="1"/>
      <c r="T15" s="1"/>
      <c r="U15" s="1"/>
      <c r="V15" s="1"/>
      <c r="W15" s="1"/>
      <c r="X15" s="1"/>
      <c r="Y15" s="1"/>
      <c r="Z15" s="1"/>
    </row>
    <row r="16" spans="1:26" ht="39.950000000000003" customHeight="1">
      <c r="A16" s="30" t="s">
        <v>66</v>
      </c>
      <c r="B16" s="31">
        <f>((('ESTADOS FINANCIEROS'!B20+'ESTADOS FINANCIEROS'!C20)/2)*360)/'ESTADOS FINANCIEROS'!B38</f>
        <v>21.342084537461961</v>
      </c>
      <c r="C16" s="31">
        <f>('ESTADOS FINANCIEROS'!C20*360)/'ESTADOS FINANCIEROS'!C38</f>
        <v>21.987395377970394</v>
      </c>
      <c r="D16" s="92" t="s">
        <v>67</v>
      </c>
      <c r="E16" s="1"/>
      <c r="F16" s="1"/>
      <c r="G16" s="1"/>
      <c r="H16" s="1"/>
      <c r="I16" s="1"/>
      <c r="J16" s="1"/>
      <c r="K16" s="1"/>
      <c r="L16" s="1"/>
      <c r="M16" s="1"/>
      <c r="N16" s="1"/>
      <c r="O16" s="1"/>
      <c r="P16" s="1"/>
      <c r="Q16" s="1"/>
      <c r="R16" s="1"/>
      <c r="S16" s="1"/>
      <c r="T16" s="1"/>
      <c r="U16" s="1"/>
      <c r="V16" s="1"/>
      <c r="W16" s="1"/>
      <c r="X16" s="1"/>
      <c r="Y16" s="1"/>
      <c r="Z16" s="1"/>
    </row>
    <row r="17" spans="1:26" ht="39.950000000000003" customHeight="1">
      <c r="A17" s="32" t="s">
        <v>61</v>
      </c>
      <c r="B17" s="33">
        <f t="shared" ref="B17:C17" si="2">360/B16</f>
        <v>16.868080499263726</v>
      </c>
      <c r="C17" s="33">
        <f t="shared" si="2"/>
        <v>16.373017076897209</v>
      </c>
      <c r="D17" s="93"/>
      <c r="E17" s="1"/>
      <c r="F17" s="1"/>
      <c r="G17" s="1"/>
      <c r="H17" s="1"/>
      <c r="I17" s="1"/>
      <c r="J17" s="1"/>
      <c r="K17" s="1"/>
      <c r="L17" s="1"/>
      <c r="M17" s="1"/>
      <c r="N17" s="1"/>
      <c r="O17" s="1"/>
      <c r="P17" s="1"/>
      <c r="Q17" s="1"/>
      <c r="R17" s="1"/>
      <c r="S17" s="1"/>
      <c r="T17" s="1"/>
      <c r="U17" s="1"/>
      <c r="V17" s="1"/>
      <c r="W17" s="1"/>
      <c r="X17" s="1"/>
      <c r="Y17" s="1"/>
      <c r="Z17" s="1"/>
    </row>
    <row r="18" spans="1:26" ht="39.950000000000003" customHeight="1">
      <c r="A18" s="34" t="s">
        <v>68</v>
      </c>
      <c r="B18" s="35">
        <f>('ESTADOS FINANCIEROS'!B5*360)/'ESTADOS FINANCIEROS'!B36</f>
        <v>41.249682550257241</v>
      </c>
      <c r="C18" s="35">
        <f>('ESTADOS FINANCIEROS'!C5*360)/'ESTADOS FINANCIEROS'!C36</f>
        <v>88.518857015710623</v>
      </c>
      <c r="D18" s="16" t="s">
        <v>69</v>
      </c>
      <c r="E18" s="1"/>
      <c r="F18" s="1"/>
      <c r="G18" s="1"/>
      <c r="H18" s="1"/>
      <c r="I18" s="1"/>
      <c r="J18" s="1"/>
      <c r="K18" s="1"/>
      <c r="L18" s="1"/>
      <c r="M18" s="1"/>
      <c r="N18" s="1"/>
      <c r="O18" s="1"/>
      <c r="P18" s="1"/>
      <c r="Q18" s="1"/>
      <c r="R18" s="1"/>
      <c r="S18" s="1"/>
      <c r="T18" s="1"/>
      <c r="U18" s="1"/>
      <c r="V18" s="1"/>
      <c r="W18" s="1"/>
      <c r="X18" s="1"/>
      <c r="Y18" s="1"/>
      <c r="Z18" s="1"/>
    </row>
    <row r="19" spans="1:26" ht="39.950000000000003" customHeight="1">
      <c r="A19" s="19" t="s">
        <v>70</v>
      </c>
      <c r="B19" s="12">
        <f>'ESTADOS FINANCIEROS'!B36/'ESTADOS FINANCIEROS'!B16</f>
        <v>1.1313201433375712</v>
      </c>
      <c r="C19" s="12">
        <f>'ESTADOS FINANCIEROS'!C36/'ESTADOS FINANCIEROS'!C16</f>
        <v>0.95714051254482035</v>
      </c>
      <c r="D19" s="16" t="s">
        <v>71</v>
      </c>
      <c r="E19" s="1"/>
      <c r="F19" s="1"/>
      <c r="G19" s="1"/>
      <c r="H19" s="1"/>
      <c r="I19" s="1"/>
      <c r="J19" s="1"/>
      <c r="K19" s="1"/>
      <c r="L19" s="1"/>
      <c r="M19" s="1"/>
      <c r="N19" s="1"/>
      <c r="O19" s="1"/>
      <c r="P19" s="1"/>
      <c r="Q19" s="1"/>
      <c r="R19" s="1"/>
      <c r="S19" s="1"/>
      <c r="T19" s="1"/>
      <c r="U19" s="1"/>
      <c r="V19" s="1"/>
      <c r="W19" s="1"/>
      <c r="X19" s="1"/>
      <c r="Y19" s="1"/>
      <c r="Z19" s="1"/>
    </row>
    <row r="20" spans="1:26" ht="39.950000000000003" customHeight="1">
      <c r="A20" s="19" t="s">
        <v>72</v>
      </c>
      <c r="B20" s="12">
        <f>'ESTADOS FINANCIEROS'!B36/'ESTADOS FINANCIEROS'!B13</f>
        <v>5.3952033424452432</v>
      </c>
      <c r="C20" s="12">
        <f>'ESTADOS FINANCIEROS'!C36/'ESTADOS FINANCIEROS'!C13</f>
        <v>4.9796477940290922</v>
      </c>
      <c r="D20" s="16" t="s">
        <v>73</v>
      </c>
      <c r="E20" s="1"/>
      <c r="F20" s="1"/>
      <c r="G20" s="1"/>
      <c r="H20" s="1"/>
      <c r="I20" s="1"/>
      <c r="J20" s="1"/>
      <c r="K20" s="1"/>
      <c r="L20" s="1"/>
      <c r="M20" s="1"/>
      <c r="N20" s="1"/>
      <c r="O20" s="1"/>
      <c r="P20" s="1"/>
      <c r="Q20" s="1"/>
      <c r="R20" s="1"/>
      <c r="S20" s="1"/>
      <c r="T20" s="1"/>
      <c r="U20" s="1"/>
      <c r="V20" s="1"/>
      <c r="W20" s="1"/>
      <c r="X20" s="1"/>
      <c r="Y20" s="1"/>
      <c r="Z20" s="1"/>
    </row>
    <row r="21" spans="1:26" ht="39.950000000000003" customHeight="1">
      <c r="A21" s="36"/>
      <c r="B21" s="1"/>
      <c r="C21" s="1"/>
      <c r="D21" s="1"/>
      <c r="E21" s="1"/>
      <c r="F21" s="1"/>
      <c r="G21" s="1"/>
      <c r="H21" s="1"/>
      <c r="I21" s="1"/>
      <c r="J21" s="1"/>
      <c r="K21" s="1"/>
      <c r="L21" s="1"/>
      <c r="M21" s="1"/>
      <c r="N21" s="1"/>
      <c r="O21" s="1"/>
      <c r="P21" s="1"/>
      <c r="Q21" s="1"/>
      <c r="R21" s="1"/>
      <c r="S21" s="1"/>
      <c r="T21" s="1"/>
      <c r="U21" s="1"/>
      <c r="V21" s="1"/>
      <c r="W21" s="1"/>
      <c r="X21" s="1"/>
      <c r="Y21" s="1"/>
      <c r="Z21" s="1"/>
    </row>
    <row r="22" spans="1:26" ht="39.950000000000003" customHeight="1">
      <c r="A22" s="68" t="s">
        <v>74</v>
      </c>
      <c r="B22" s="65">
        <v>2023</v>
      </c>
      <c r="C22" s="66">
        <v>2022</v>
      </c>
      <c r="D22" s="67" t="s">
        <v>124</v>
      </c>
      <c r="E22" s="38"/>
      <c r="F22" s="38"/>
      <c r="G22" s="38"/>
      <c r="H22" s="38"/>
      <c r="I22" s="38"/>
      <c r="J22" s="38"/>
      <c r="K22" s="38"/>
      <c r="L22" s="38"/>
      <c r="M22" s="38"/>
      <c r="N22" s="38"/>
      <c r="O22" s="38"/>
      <c r="P22" s="38"/>
      <c r="Q22" s="38"/>
      <c r="R22" s="38"/>
      <c r="S22" s="38"/>
      <c r="T22" s="38"/>
      <c r="U22" s="38"/>
      <c r="V22" s="38"/>
      <c r="W22" s="38"/>
      <c r="X22" s="38"/>
      <c r="Y22" s="38"/>
      <c r="Z22" s="38"/>
    </row>
    <row r="23" spans="1:26" ht="39.950000000000003" customHeight="1">
      <c r="A23" s="21" t="s">
        <v>75</v>
      </c>
      <c r="B23" s="39">
        <f>'ESTADOS FINANCIEROS'!B25/'ESTADOS FINANCIEROS'!B30</f>
        <v>0.81067766064743219</v>
      </c>
      <c r="C23" s="39">
        <f>'ESTADOS FINANCIEROS'!C25/'ESTADOS FINANCIEROS'!C30</f>
        <v>0.81202869102381481</v>
      </c>
      <c r="D23" s="40" t="s">
        <v>76</v>
      </c>
      <c r="E23" s="1"/>
      <c r="F23" s="1"/>
      <c r="G23" s="1"/>
      <c r="H23" s="1"/>
      <c r="I23" s="1"/>
      <c r="J23" s="1"/>
      <c r="K23" s="1"/>
      <c r="L23" s="1"/>
      <c r="M23" s="1"/>
      <c r="N23" s="1"/>
      <c r="O23" s="1"/>
      <c r="P23" s="1"/>
      <c r="Q23" s="1"/>
      <c r="R23" s="1"/>
      <c r="S23" s="1"/>
      <c r="T23" s="1"/>
      <c r="U23" s="1"/>
      <c r="V23" s="1"/>
      <c r="W23" s="1"/>
      <c r="X23" s="1"/>
      <c r="Y23" s="1"/>
      <c r="Z23" s="1"/>
    </row>
    <row r="24" spans="1:26" ht="39.950000000000003" customHeight="1">
      <c r="A24" s="21" t="s">
        <v>77</v>
      </c>
      <c r="B24" s="41">
        <f>'ESTADOS FINANCIEROS'!B25/'ESTADOS FINANCIEROS'!B16</f>
        <v>0.41222415493650139</v>
      </c>
      <c r="C24" s="41">
        <f>'ESTADOS FINANCIEROS'!C25/'ESTADOS FINANCIEROS'!C16</f>
        <v>0.36305298743592906</v>
      </c>
      <c r="D24" s="40" t="s">
        <v>78</v>
      </c>
      <c r="E24" s="1"/>
      <c r="F24" s="1"/>
      <c r="G24" s="1"/>
      <c r="H24" s="1"/>
      <c r="I24" s="1"/>
      <c r="J24" s="1"/>
      <c r="K24" s="1"/>
      <c r="L24" s="1"/>
      <c r="M24" s="1"/>
      <c r="N24" s="1"/>
      <c r="O24" s="1"/>
      <c r="P24" s="1"/>
      <c r="Q24" s="1"/>
      <c r="R24" s="1"/>
      <c r="S24" s="1"/>
      <c r="T24" s="1"/>
      <c r="U24" s="1"/>
      <c r="V24" s="1"/>
      <c r="W24" s="1"/>
      <c r="X24" s="1"/>
      <c r="Y24" s="1"/>
      <c r="Z24" s="1"/>
    </row>
    <row r="25" spans="1:26" ht="39.950000000000003" customHeight="1">
      <c r="A25" s="17" t="s">
        <v>79</v>
      </c>
      <c r="B25" s="12">
        <f>'ESTADOS FINANCIEROS'!B44/'ESTADOS FINANCIEROS'!B45</f>
        <v>4.6855549170907853</v>
      </c>
      <c r="C25" s="12">
        <f>'ESTADOS FINANCIEROS'!C44/'ESTADOS FINANCIEROS'!C45</f>
        <v>5.4516369474227391</v>
      </c>
      <c r="D25" s="42" t="s">
        <v>80</v>
      </c>
      <c r="E25" s="1"/>
      <c r="F25" s="1"/>
      <c r="G25" s="1"/>
      <c r="H25" s="1"/>
      <c r="I25" s="1"/>
      <c r="J25" s="1"/>
      <c r="K25" s="1"/>
      <c r="L25" s="1"/>
      <c r="M25" s="1"/>
      <c r="N25" s="1"/>
      <c r="O25" s="1"/>
      <c r="P25" s="1"/>
      <c r="Q25" s="1"/>
      <c r="R25" s="1"/>
      <c r="S25" s="1"/>
      <c r="T25" s="1"/>
      <c r="U25" s="1"/>
      <c r="V25" s="1"/>
      <c r="W25" s="1"/>
      <c r="X25" s="1"/>
      <c r="Y25" s="1"/>
      <c r="Z25" s="1"/>
    </row>
    <row r="26" spans="1:26" ht="39.950000000000003" customHeight="1">
      <c r="A26" s="34" t="s">
        <v>81</v>
      </c>
      <c r="B26" s="28">
        <f>'ESTADOS FINANCIEROS'!B41/('ESTADOS FINANCIEROS'!B42+'ESTADOS FINANCIEROS'!B43)</f>
        <v>1.4376758235258029</v>
      </c>
      <c r="C26" s="28">
        <f>'ESTADOS FINANCIEROS'!C41/('ESTADOS FINANCIEROS'!C42+'ESTADOS FINANCIEROS'!C43)</f>
        <v>1.4522610197063315</v>
      </c>
      <c r="D26" s="16" t="s">
        <v>82</v>
      </c>
      <c r="E26" s="1"/>
      <c r="F26" s="1"/>
      <c r="G26" s="1"/>
      <c r="H26" s="1"/>
      <c r="I26" s="1"/>
      <c r="J26" s="1"/>
      <c r="K26" s="1"/>
      <c r="L26" s="1"/>
      <c r="M26" s="1"/>
      <c r="N26" s="1"/>
      <c r="O26" s="1"/>
      <c r="P26" s="1"/>
      <c r="Q26" s="1"/>
      <c r="R26" s="1"/>
      <c r="S26" s="1"/>
      <c r="T26" s="1"/>
      <c r="U26" s="1"/>
      <c r="V26" s="1"/>
      <c r="W26" s="1"/>
      <c r="X26" s="1"/>
      <c r="Y26" s="1"/>
      <c r="Z26" s="1"/>
    </row>
    <row r="27" spans="1:26" ht="39.950000000000003" customHeight="1">
      <c r="A27" s="68" t="s">
        <v>83</v>
      </c>
      <c r="B27" s="65">
        <v>2023</v>
      </c>
      <c r="C27" s="66">
        <v>2022</v>
      </c>
      <c r="D27" s="67" t="s">
        <v>124</v>
      </c>
      <c r="E27" s="38"/>
      <c r="F27" s="38"/>
      <c r="G27" s="38"/>
      <c r="H27" s="38"/>
      <c r="I27" s="38"/>
      <c r="J27" s="38"/>
      <c r="K27" s="38"/>
      <c r="L27" s="38"/>
      <c r="M27" s="38"/>
      <c r="N27" s="38"/>
      <c r="O27" s="38"/>
      <c r="P27" s="38"/>
      <c r="Q27" s="38"/>
      <c r="R27" s="38"/>
      <c r="S27" s="38"/>
      <c r="T27" s="38"/>
      <c r="U27" s="38"/>
      <c r="V27" s="38"/>
      <c r="W27" s="38"/>
      <c r="X27" s="38"/>
      <c r="Y27" s="38"/>
      <c r="Z27" s="38"/>
    </row>
    <row r="28" spans="1:26" ht="39.950000000000003" customHeight="1">
      <c r="A28" s="21" t="s">
        <v>84</v>
      </c>
      <c r="B28" s="43">
        <f>'ESTADOS FINANCIEROS'!B50/'ESTADOS FINANCIEROS'!B30</f>
        <v>3.2471489060688918E-2</v>
      </c>
      <c r="C28" s="43">
        <f>'ESTADOS FINANCIEROS'!C50/'ESTADOS FINANCIEROS'!C30</f>
        <v>3.8977842006070462E-2</v>
      </c>
      <c r="D28" s="40" t="s">
        <v>85</v>
      </c>
      <c r="E28" s="1"/>
      <c r="F28" s="1"/>
      <c r="G28" s="1"/>
      <c r="H28" s="1"/>
      <c r="I28" s="1"/>
      <c r="J28" s="1"/>
      <c r="K28" s="1"/>
      <c r="L28" s="1"/>
      <c r="M28" s="1"/>
      <c r="N28" s="1"/>
      <c r="O28" s="1"/>
      <c r="P28" s="1"/>
      <c r="Q28" s="1"/>
      <c r="R28" s="1"/>
      <c r="S28" s="1"/>
      <c r="T28" s="1"/>
      <c r="U28" s="1"/>
      <c r="V28" s="1"/>
      <c r="W28" s="1"/>
      <c r="X28" s="1"/>
      <c r="Y28" s="1"/>
      <c r="Z28" s="1"/>
    </row>
    <row r="29" spans="1:26" ht="39.950000000000003" customHeight="1">
      <c r="A29" s="21" t="s">
        <v>86</v>
      </c>
      <c r="B29" s="44">
        <f>'ESTADOS FINANCIEROS'!B50/'ESTADOS FINANCIEROS'!B16</f>
        <v>1.6511534469671015E-2</v>
      </c>
      <c r="C29" s="44">
        <f>'ESTADOS FINANCIEROS'!C50/'ESTADOS FINANCIEROS'!C16</f>
        <v>1.7426751222629537E-2</v>
      </c>
      <c r="D29" s="40" t="s">
        <v>87</v>
      </c>
      <c r="E29" s="1"/>
      <c r="F29" s="1"/>
      <c r="G29" s="1"/>
      <c r="H29" s="1"/>
      <c r="I29" s="1"/>
      <c r="J29" s="1"/>
      <c r="K29" s="1"/>
      <c r="L29" s="1"/>
      <c r="M29" s="1"/>
      <c r="N29" s="1"/>
      <c r="O29" s="1"/>
      <c r="P29" s="1"/>
      <c r="Q29" s="1"/>
      <c r="R29" s="1"/>
      <c r="S29" s="1"/>
      <c r="T29" s="1"/>
      <c r="U29" s="1"/>
      <c r="V29" s="1"/>
      <c r="W29" s="1"/>
      <c r="X29" s="1"/>
      <c r="Y29" s="1"/>
      <c r="Z29" s="1"/>
    </row>
    <row r="30" spans="1:26" ht="39.950000000000003" customHeight="1">
      <c r="A30" s="21" t="s">
        <v>88</v>
      </c>
      <c r="B30" s="44">
        <f>'ESTADOS FINANCIEROS'!B44/'ESTADOS FINANCIEROS'!B16</f>
        <v>0.11321140988374143</v>
      </c>
      <c r="C30" s="44">
        <f>'ESTADOS FINANCIEROS'!C44/'ESTADOS FINANCIEROS'!C16</f>
        <v>9.7824176626868944E-2</v>
      </c>
      <c r="D30" s="40" t="s">
        <v>89</v>
      </c>
      <c r="E30" s="1"/>
      <c r="F30" s="1"/>
      <c r="G30" s="1"/>
      <c r="H30" s="1"/>
      <c r="I30" s="1"/>
      <c r="J30" s="1"/>
      <c r="K30" s="1"/>
      <c r="L30" s="1"/>
      <c r="M30" s="1"/>
      <c r="N30" s="1"/>
      <c r="O30" s="1"/>
      <c r="P30" s="1"/>
      <c r="Q30" s="1"/>
      <c r="R30" s="1"/>
      <c r="S30" s="1"/>
      <c r="T30" s="1"/>
      <c r="U30" s="1"/>
      <c r="V30" s="1"/>
      <c r="W30" s="1"/>
      <c r="X30" s="1"/>
      <c r="Y30" s="1"/>
      <c r="Z30" s="1"/>
    </row>
    <row r="31" spans="1:26" ht="39.950000000000003" customHeight="1">
      <c r="A31" s="21" t="s">
        <v>90</v>
      </c>
      <c r="B31" s="44">
        <f>'ESTADOS FINANCIEROS'!B44/'ESTADOS FINANCIEROS'!B36</f>
        <v>0.10007017956009347</v>
      </c>
      <c r="C31" s="44">
        <f>'ESTADOS FINANCIEROS'!C44/'ESTADOS FINANCIEROS'!C36</f>
        <v>0.10220461399839462</v>
      </c>
      <c r="D31" s="40" t="s">
        <v>91</v>
      </c>
      <c r="E31" s="1"/>
      <c r="F31" s="1"/>
      <c r="G31" s="1"/>
      <c r="H31" s="1"/>
      <c r="I31" s="1"/>
      <c r="J31" s="1"/>
      <c r="K31" s="1"/>
      <c r="L31" s="1"/>
      <c r="M31" s="1"/>
      <c r="N31" s="1"/>
      <c r="O31" s="1"/>
      <c r="P31" s="1"/>
      <c r="Q31" s="1"/>
      <c r="R31" s="1"/>
      <c r="S31" s="1"/>
      <c r="T31" s="1"/>
      <c r="U31" s="1"/>
      <c r="V31" s="1"/>
      <c r="W31" s="1"/>
      <c r="X31" s="1"/>
      <c r="Y31" s="1"/>
      <c r="Z31" s="1"/>
    </row>
    <row r="32" spans="1:26" ht="39.950000000000003" customHeight="1">
      <c r="A32" s="21" t="s">
        <v>92</v>
      </c>
      <c r="B32" s="45">
        <f>'ESTADOS FINANCIEROS'!B50/('ESTADOS FINANCIEROS'!B27/5.5)</f>
        <v>0.76161057486668726</v>
      </c>
      <c r="C32" s="45">
        <f>'ESTADOS FINANCIEROS'!C50/('ESTADOS FINANCIEROS'!C27/5.5)</f>
        <v>0.88550439138452131</v>
      </c>
      <c r="D32" s="40" t="s">
        <v>93</v>
      </c>
      <c r="E32" s="1"/>
      <c r="F32" s="1"/>
      <c r="G32" s="1"/>
      <c r="H32" s="1"/>
      <c r="I32" s="1"/>
      <c r="J32" s="1"/>
      <c r="K32" s="1"/>
      <c r="L32" s="1"/>
      <c r="M32" s="1"/>
      <c r="N32" s="1"/>
      <c r="O32" s="1"/>
      <c r="P32" s="1"/>
      <c r="Q32" s="1"/>
      <c r="R32" s="1"/>
      <c r="S32" s="1"/>
      <c r="T32" s="1"/>
      <c r="U32" s="1"/>
      <c r="V32" s="1"/>
      <c r="W32" s="1"/>
      <c r="X32" s="1"/>
      <c r="Y32" s="1"/>
      <c r="Z32" s="1"/>
    </row>
    <row r="33" spans="1:26" ht="39.950000000000003" customHeight="1">
      <c r="A33" s="46" t="s">
        <v>94</v>
      </c>
      <c r="B33" s="47">
        <f>('ESTADOS FINANCIEROS'!B36-'ESTADOS FINANCIEROS'!B40)/'ESTADOS FINANCIEROS'!B36</f>
        <v>0.32871013219433776</v>
      </c>
      <c r="C33" s="47">
        <f>('ESTADOS FINANCIEROS'!C36-'ESTADOS FINANCIEROS'!C40)/'ESTADOS FINANCIEROS'!C36</f>
        <v>0.32819051493843049</v>
      </c>
      <c r="D33" s="16" t="s">
        <v>95</v>
      </c>
      <c r="E33" s="1"/>
      <c r="F33" s="1"/>
      <c r="G33" s="1"/>
      <c r="H33" s="1"/>
      <c r="I33" s="1"/>
      <c r="J33" s="1"/>
      <c r="K33" s="1"/>
      <c r="L33" s="1"/>
      <c r="M33" s="1"/>
      <c r="N33" s="1"/>
      <c r="O33" s="1"/>
      <c r="P33" s="1"/>
      <c r="Q33" s="1"/>
      <c r="R33" s="1"/>
      <c r="S33" s="1"/>
      <c r="T33" s="1"/>
      <c r="U33" s="1"/>
      <c r="V33" s="1"/>
      <c r="W33" s="1"/>
      <c r="X33" s="1"/>
      <c r="Y33" s="1"/>
      <c r="Z33" s="1"/>
    </row>
    <row r="34" spans="1:26" ht="39.950000000000003" customHeight="1">
      <c r="A34" s="17" t="s">
        <v>96</v>
      </c>
      <c r="B34" s="48">
        <f>'ESTADOS FINANCIEROS'!B50/'ESTADOS FINANCIEROS'!B36</f>
        <v>1.459492661463572E-2</v>
      </c>
      <c r="C34" s="48">
        <f>'ESTADOS FINANCIEROS'!C50/'ESTADOS FINANCIEROS'!C36</f>
        <v>1.820709811592422E-2</v>
      </c>
      <c r="D34" s="42" t="s">
        <v>97</v>
      </c>
      <c r="E34" s="1"/>
      <c r="F34" s="1"/>
      <c r="G34" s="1"/>
      <c r="H34" s="1"/>
      <c r="I34" s="1"/>
      <c r="J34" s="1"/>
      <c r="K34" s="1"/>
      <c r="L34" s="1"/>
      <c r="M34" s="1"/>
      <c r="N34" s="1"/>
      <c r="O34" s="1"/>
      <c r="P34" s="1"/>
      <c r="Q34" s="1"/>
      <c r="R34" s="1"/>
      <c r="S34" s="1"/>
      <c r="T34" s="1"/>
      <c r="U34" s="1"/>
      <c r="V34" s="1"/>
      <c r="W34" s="1"/>
      <c r="X34" s="1"/>
      <c r="Y34" s="1"/>
      <c r="Z34" s="1"/>
    </row>
    <row r="35" spans="1:26" ht="39.950000000000003" customHeight="1">
      <c r="A35" s="34" t="s">
        <v>98</v>
      </c>
      <c r="B35" s="49">
        <f>'ESTADOS FINANCIEROS'!B46/'ESTADOS FINANCIEROS'!B16</f>
        <v>8.9049616481043842E-2</v>
      </c>
      <c r="C35" s="49">
        <f>'ESTADOS FINANCIEROS'!C46/'ESTADOS FINANCIEROS'!C16</f>
        <v>7.9880176032127326E-2</v>
      </c>
      <c r="D35" s="50" t="s">
        <v>99</v>
      </c>
      <c r="E35" s="1"/>
      <c r="F35" s="1"/>
      <c r="G35" s="1"/>
      <c r="H35" s="1"/>
      <c r="I35" s="1"/>
      <c r="J35" s="1"/>
      <c r="K35" s="1"/>
      <c r="L35" s="1"/>
      <c r="M35" s="1"/>
      <c r="N35" s="1"/>
      <c r="O35" s="1"/>
      <c r="P35" s="1"/>
      <c r="Q35" s="1"/>
      <c r="R35" s="1"/>
      <c r="S35" s="1"/>
      <c r="T35" s="1"/>
      <c r="U35" s="1"/>
      <c r="V35" s="1"/>
      <c r="W35" s="1"/>
      <c r="X35" s="1"/>
      <c r="Y35" s="1"/>
      <c r="Z35" s="1"/>
    </row>
    <row r="36" spans="1:26" ht="15" customHeight="1">
      <c r="A36" s="36"/>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6"/>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70" t="s">
        <v>125</v>
      </c>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69"/>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6"/>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6"/>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6"/>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6"/>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6"/>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6"/>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6"/>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6"/>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6"/>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6"/>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6"/>
      <c r="B50" s="1"/>
      <c r="C50" s="1"/>
      <c r="D50" s="1"/>
      <c r="E50" s="1"/>
      <c r="F50" s="1"/>
      <c r="G50" s="1"/>
      <c r="H50" s="1"/>
      <c r="I50" s="1"/>
      <c r="J50" s="1"/>
      <c r="K50" s="1"/>
      <c r="L50" s="1"/>
      <c r="M50" s="1"/>
      <c r="N50" s="1"/>
      <c r="O50" s="1"/>
      <c r="P50" s="1"/>
      <c r="Q50" s="1"/>
      <c r="R50" s="1"/>
      <c r="S50" s="1"/>
      <c r="T50" s="1"/>
      <c r="U50" s="1"/>
      <c r="V50" s="1"/>
      <c r="W50" s="1"/>
      <c r="X50" s="1"/>
      <c r="Y50" s="1"/>
      <c r="Z50" s="1"/>
    </row>
    <row r="51" spans="1:26" ht="20.100000000000001" customHeight="1">
      <c r="E51" s="71"/>
      <c r="F51" s="71"/>
      <c r="G51" s="74"/>
      <c r="H51" s="74"/>
      <c r="L51" s="1"/>
      <c r="M51" s="1"/>
      <c r="N51" s="1"/>
      <c r="O51" s="1"/>
      <c r="P51" s="1"/>
      <c r="Q51" s="1"/>
      <c r="R51" s="1"/>
      <c r="S51" s="1"/>
      <c r="T51" s="1"/>
      <c r="U51" s="1"/>
      <c r="V51" s="1"/>
      <c r="W51" s="1"/>
      <c r="X51" s="1"/>
      <c r="Y51" s="1"/>
      <c r="Z51" s="1"/>
    </row>
    <row r="52" spans="1:26" ht="20.100000000000001" customHeight="1">
      <c r="E52" s="71"/>
      <c r="F52" s="71"/>
      <c r="G52" s="74"/>
      <c r="H52" s="74"/>
      <c r="L52" s="1"/>
      <c r="M52" s="1"/>
      <c r="N52" s="1"/>
      <c r="O52" s="1"/>
      <c r="P52" s="1"/>
      <c r="Q52" s="1"/>
      <c r="R52" s="1"/>
      <c r="S52" s="1"/>
      <c r="T52" s="1"/>
      <c r="U52" s="1"/>
      <c r="V52" s="1"/>
      <c r="W52" s="1"/>
      <c r="X52" s="1"/>
      <c r="Y52" s="1"/>
      <c r="Z52" s="1"/>
    </row>
    <row r="53" spans="1:26" ht="20.100000000000001" customHeight="1">
      <c r="E53" s="72"/>
      <c r="F53" s="73" t="s">
        <v>129</v>
      </c>
      <c r="G53" s="72"/>
      <c r="H53" s="72"/>
      <c r="L53" s="1"/>
      <c r="M53" s="1"/>
      <c r="N53" s="1"/>
      <c r="O53" s="1"/>
      <c r="P53" s="1"/>
      <c r="Q53" s="1"/>
      <c r="R53" s="1"/>
      <c r="S53" s="1"/>
      <c r="T53" s="1"/>
      <c r="U53" s="1"/>
      <c r="V53" s="1"/>
      <c r="W53" s="1"/>
      <c r="X53" s="1"/>
      <c r="Y53" s="1"/>
      <c r="Z53" s="1"/>
    </row>
    <row r="54" spans="1:26" ht="12.75" customHeight="1">
      <c r="A54" s="36"/>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6"/>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6"/>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6"/>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K58" s="1"/>
      <c r="L58" s="1"/>
      <c r="M58" s="1"/>
      <c r="N58" s="1"/>
      <c r="O58" s="1"/>
      <c r="P58" s="1"/>
      <c r="Q58" s="1"/>
      <c r="R58" s="1"/>
      <c r="S58" s="1"/>
      <c r="T58" s="1"/>
      <c r="U58" s="1"/>
      <c r="V58" s="1"/>
      <c r="W58" s="1"/>
      <c r="X58" s="1"/>
      <c r="Y58" s="1"/>
      <c r="Z58" s="1"/>
    </row>
    <row r="59" spans="1:26" ht="12.75" customHeight="1">
      <c r="K59" s="1"/>
      <c r="L59" s="1"/>
      <c r="M59" s="1"/>
      <c r="N59" s="1"/>
      <c r="O59" s="1"/>
      <c r="P59" s="1"/>
      <c r="Q59" s="1"/>
      <c r="R59" s="1"/>
      <c r="S59" s="1"/>
      <c r="T59" s="1"/>
      <c r="U59" s="1"/>
      <c r="V59" s="1"/>
      <c r="W59" s="1"/>
      <c r="X59" s="1"/>
      <c r="Y59" s="1"/>
      <c r="Z59" s="1"/>
    </row>
    <row r="60" spans="1:26" ht="12.75" customHeight="1">
      <c r="K60" s="1"/>
      <c r="L60" s="1"/>
      <c r="M60" s="1"/>
      <c r="N60" s="1"/>
      <c r="O60" s="1"/>
      <c r="P60" s="1"/>
      <c r="Q60" s="1"/>
      <c r="R60" s="1"/>
      <c r="S60" s="1"/>
      <c r="T60" s="1"/>
      <c r="U60" s="1"/>
      <c r="V60" s="1"/>
      <c r="W60" s="1"/>
      <c r="X60" s="1"/>
      <c r="Y60" s="1"/>
      <c r="Z60" s="1"/>
    </row>
    <row r="61" spans="1:26" ht="12.75" customHeight="1">
      <c r="K61" s="1"/>
      <c r="L61" s="1"/>
      <c r="M61" s="1"/>
      <c r="N61" s="1"/>
      <c r="O61" s="1"/>
      <c r="P61" s="1"/>
      <c r="Q61" s="1"/>
      <c r="R61" s="1"/>
      <c r="S61" s="1"/>
      <c r="T61" s="1"/>
      <c r="U61" s="1"/>
      <c r="V61" s="1"/>
      <c r="W61" s="1"/>
      <c r="X61" s="1"/>
      <c r="Y61" s="1"/>
      <c r="Z61" s="1"/>
    </row>
    <row r="62" spans="1:26" ht="12.75" customHeight="1">
      <c r="K62" s="1"/>
      <c r="L62" s="1"/>
      <c r="M62" s="1"/>
      <c r="N62" s="1"/>
      <c r="O62" s="1"/>
      <c r="P62" s="1"/>
      <c r="Q62" s="1"/>
      <c r="R62" s="1"/>
      <c r="S62" s="1"/>
      <c r="T62" s="1"/>
      <c r="U62" s="1"/>
      <c r="V62" s="1"/>
      <c r="W62" s="1"/>
      <c r="X62" s="1"/>
      <c r="Y62" s="1"/>
      <c r="Z62" s="1"/>
    </row>
    <row r="63" spans="1:26" ht="12.75" customHeight="1">
      <c r="K63" s="1"/>
      <c r="L63" s="1"/>
      <c r="M63" s="1"/>
      <c r="N63" s="1"/>
      <c r="O63" s="1"/>
      <c r="P63" s="1"/>
      <c r="Q63" s="1"/>
      <c r="R63" s="1"/>
      <c r="S63" s="1"/>
      <c r="T63" s="1"/>
      <c r="U63" s="1"/>
      <c r="V63" s="1"/>
      <c r="W63" s="1"/>
      <c r="X63" s="1"/>
      <c r="Y63" s="1"/>
      <c r="Z63" s="1"/>
    </row>
    <row r="64" spans="1:26" ht="12.75" customHeight="1">
      <c r="K64" s="1"/>
      <c r="L64" s="1"/>
      <c r="M64" s="1"/>
      <c r="N64" s="1"/>
      <c r="O64" s="1"/>
      <c r="P64" s="1"/>
      <c r="Q64" s="1"/>
      <c r="R64" s="1"/>
      <c r="S64" s="1"/>
      <c r="T64" s="1"/>
      <c r="U64" s="1"/>
      <c r="V64" s="1"/>
      <c r="W64" s="1"/>
      <c r="X64" s="1"/>
      <c r="Y64" s="1"/>
      <c r="Z64" s="1"/>
    </row>
    <row r="65" spans="1:26" ht="12.75" customHeight="1">
      <c r="K65" s="1"/>
      <c r="L65" s="1"/>
      <c r="M65" s="1"/>
      <c r="N65" s="1"/>
      <c r="O65" s="1"/>
      <c r="P65" s="1"/>
      <c r="Q65" s="1"/>
      <c r="R65" s="1"/>
      <c r="S65" s="1"/>
      <c r="T65" s="1"/>
      <c r="U65" s="1"/>
      <c r="V65" s="1"/>
      <c r="W65" s="1"/>
      <c r="X65" s="1"/>
      <c r="Y65" s="1"/>
      <c r="Z65" s="1"/>
    </row>
    <row r="66" spans="1:26" ht="12.75" customHeight="1">
      <c r="K66" s="1"/>
      <c r="L66" s="1"/>
      <c r="M66" s="1"/>
      <c r="N66" s="1"/>
      <c r="O66" s="1"/>
      <c r="P66" s="1"/>
      <c r="Q66" s="1"/>
      <c r="R66" s="1"/>
      <c r="S66" s="1"/>
      <c r="T66" s="1"/>
      <c r="U66" s="1"/>
      <c r="V66" s="1"/>
      <c r="W66" s="1"/>
      <c r="X66" s="1"/>
      <c r="Y66" s="1"/>
      <c r="Z66" s="1"/>
    </row>
    <row r="67" spans="1:26" ht="12.75" customHeight="1">
      <c r="K67" s="1"/>
      <c r="L67" s="1"/>
      <c r="M67" s="1"/>
      <c r="N67" s="1"/>
      <c r="O67" s="1"/>
      <c r="P67" s="1"/>
      <c r="Q67" s="1"/>
      <c r="R67" s="1"/>
      <c r="S67" s="1"/>
      <c r="T67" s="1"/>
      <c r="U67" s="1"/>
      <c r="V67" s="1"/>
      <c r="W67" s="1"/>
      <c r="X67" s="1"/>
      <c r="Y67" s="1"/>
      <c r="Z67" s="1"/>
    </row>
    <row r="68" spans="1:26" ht="12.75" customHeight="1">
      <c r="K68" s="1"/>
      <c r="L68" s="1"/>
      <c r="M68" s="1"/>
      <c r="N68" s="1"/>
      <c r="O68" s="1"/>
      <c r="P68" s="1"/>
      <c r="Q68" s="1"/>
      <c r="R68" s="1"/>
      <c r="S68" s="1"/>
      <c r="T68" s="1"/>
      <c r="U68" s="1"/>
      <c r="V68" s="1"/>
      <c r="W68" s="1"/>
      <c r="X68" s="1"/>
      <c r="Y68" s="1"/>
      <c r="Z68" s="1"/>
    </row>
    <row r="69" spans="1:26" ht="12.75" customHeight="1">
      <c r="K69" s="1"/>
      <c r="L69" s="1"/>
      <c r="M69" s="1"/>
      <c r="N69" s="1"/>
      <c r="O69" s="1"/>
      <c r="P69" s="1"/>
      <c r="Q69" s="1"/>
      <c r="R69" s="1"/>
      <c r="S69" s="1"/>
      <c r="T69" s="1"/>
      <c r="U69" s="1"/>
      <c r="V69" s="1"/>
      <c r="W69" s="1"/>
      <c r="X69" s="1"/>
      <c r="Y69" s="1"/>
      <c r="Z69" s="1"/>
    </row>
    <row r="70" spans="1:26" ht="12.75" customHeight="1">
      <c r="K70" s="1"/>
      <c r="L70" s="1"/>
      <c r="M70" s="1"/>
      <c r="N70" s="1"/>
      <c r="O70" s="1"/>
      <c r="P70" s="1"/>
      <c r="Q70" s="1"/>
      <c r="R70" s="1"/>
      <c r="S70" s="1"/>
      <c r="T70" s="1"/>
      <c r="U70" s="1"/>
      <c r="V70" s="1"/>
      <c r="W70" s="1"/>
      <c r="X70" s="1"/>
      <c r="Y70" s="1"/>
      <c r="Z70" s="1"/>
    </row>
    <row r="71" spans="1:26" ht="12.75" customHeight="1">
      <c r="A71" s="71" t="s">
        <v>126</v>
      </c>
      <c r="B71" s="71"/>
      <c r="C71" s="74"/>
      <c r="D71" s="71" t="s">
        <v>126</v>
      </c>
      <c r="K71" s="1"/>
      <c r="L71" s="1"/>
      <c r="M71" s="1"/>
      <c r="N71" s="1"/>
      <c r="O71" s="1"/>
      <c r="P71" s="1"/>
      <c r="Q71" s="1"/>
      <c r="R71" s="1"/>
      <c r="S71" s="1"/>
      <c r="T71" s="1"/>
      <c r="U71" s="1"/>
      <c r="V71" s="1"/>
      <c r="W71" s="1"/>
      <c r="X71" s="1"/>
      <c r="Y71" s="1"/>
      <c r="Z71" s="1"/>
    </row>
    <row r="72" spans="1:26" ht="12.75" customHeight="1">
      <c r="A72" s="71" t="s">
        <v>127</v>
      </c>
      <c r="B72" s="71"/>
      <c r="C72" s="74"/>
      <c r="D72" s="71" t="s">
        <v>127</v>
      </c>
      <c r="K72" s="1"/>
      <c r="L72" s="1"/>
      <c r="M72" s="1"/>
      <c r="N72" s="1"/>
      <c r="O72" s="1"/>
      <c r="P72" s="1"/>
      <c r="Q72" s="1"/>
      <c r="R72" s="1"/>
      <c r="S72" s="1"/>
      <c r="T72" s="1"/>
      <c r="U72" s="1"/>
      <c r="V72" s="1"/>
      <c r="W72" s="1"/>
      <c r="X72" s="1"/>
      <c r="Y72" s="1"/>
      <c r="Z72" s="1"/>
    </row>
    <row r="73" spans="1:26" ht="12.75" customHeight="1">
      <c r="A73" s="73" t="s">
        <v>128</v>
      </c>
      <c r="B73" s="72"/>
      <c r="C73" s="73"/>
      <c r="D73" s="75" t="s">
        <v>130</v>
      </c>
      <c r="K73" s="1"/>
      <c r="L73" s="1"/>
      <c r="M73" s="1"/>
      <c r="N73" s="1"/>
      <c r="O73" s="1"/>
      <c r="P73" s="1"/>
      <c r="Q73" s="1"/>
      <c r="R73" s="1"/>
      <c r="S73" s="1"/>
      <c r="T73" s="1"/>
      <c r="U73" s="1"/>
      <c r="V73" s="1"/>
      <c r="W73" s="1"/>
      <c r="X73" s="1"/>
      <c r="Y73" s="1"/>
      <c r="Z73" s="1"/>
    </row>
    <row r="74" spans="1:26" ht="12.75" customHeight="1">
      <c r="K74" s="1"/>
      <c r="L74" s="1"/>
      <c r="M74" s="1"/>
      <c r="N74" s="1"/>
      <c r="O74" s="1"/>
      <c r="P74" s="1"/>
      <c r="Q74" s="1"/>
      <c r="R74" s="1"/>
      <c r="S74" s="1"/>
      <c r="T74" s="1"/>
      <c r="U74" s="1"/>
      <c r="V74" s="1"/>
      <c r="W74" s="1"/>
      <c r="X74" s="1"/>
      <c r="Y74" s="1"/>
      <c r="Z74" s="1"/>
    </row>
    <row r="75" spans="1:26" ht="12.75" customHeight="1">
      <c r="K75" s="1"/>
      <c r="L75" s="1"/>
      <c r="M75" s="1"/>
      <c r="N75" s="1"/>
      <c r="O75" s="1"/>
      <c r="P75" s="1"/>
      <c r="Q75" s="1"/>
      <c r="R75" s="1"/>
      <c r="S75" s="1"/>
      <c r="T75" s="1"/>
      <c r="U75" s="1"/>
      <c r="V75" s="1"/>
      <c r="W75" s="1"/>
      <c r="X75" s="1"/>
      <c r="Y75" s="1"/>
      <c r="Z75" s="1"/>
    </row>
    <row r="76" spans="1:26" ht="12.75" customHeight="1">
      <c r="K76" s="1"/>
      <c r="L76" s="1"/>
      <c r="M76" s="1"/>
      <c r="N76" s="1"/>
      <c r="O76" s="1"/>
      <c r="P76" s="1"/>
      <c r="Q76" s="1"/>
      <c r="R76" s="1"/>
      <c r="S76" s="1"/>
      <c r="T76" s="1"/>
      <c r="U76" s="1"/>
      <c r="V76" s="1"/>
      <c r="W76" s="1"/>
      <c r="X76" s="1"/>
      <c r="Y76" s="1"/>
      <c r="Z76" s="1"/>
    </row>
    <row r="77" spans="1:26" ht="12.75" customHeight="1">
      <c r="K77" s="1"/>
      <c r="L77" s="1"/>
      <c r="M77" s="1"/>
      <c r="N77" s="1"/>
      <c r="O77" s="1"/>
      <c r="P77" s="1"/>
      <c r="Q77" s="1"/>
      <c r="R77" s="1"/>
      <c r="S77" s="1"/>
      <c r="T77" s="1"/>
      <c r="U77" s="1"/>
      <c r="V77" s="1"/>
      <c r="W77" s="1"/>
      <c r="X77" s="1"/>
      <c r="Y77" s="1"/>
      <c r="Z77" s="1"/>
    </row>
    <row r="78" spans="1:26" ht="12.75" customHeight="1">
      <c r="K78" s="1"/>
      <c r="L78" s="1"/>
      <c r="M78" s="1"/>
      <c r="N78" s="1"/>
      <c r="O78" s="1"/>
      <c r="P78" s="1"/>
      <c r="Q78" s="1"/>
      <c r="R78" s="1"/>
      <c r="S78" s="1"/>
      <c r="T78" s="1"/>
      <c r="U78" s="1"/>
      <c r="V78" s="1"/>
      <c r="W78" s="1"/>
      <c r="X78" s="1"/>
      <c r="Y78" s="1"/>
      <c r="Z78" s="1"/>
    </row>
    <row r="79" spans="1:26" ht="12.75" customHeight="1">
      <c r="K79" s="1"/>
      <c r="L79" s="1"/>
      <c r="M79" s="1"/>
      <c r="N79" s="1"/>
      <c r="O79" s="1"/>
      <c r="P79" s="1"/>
      <c r="Q79" s="1"/>
      <c r="R79" s="1"/>
      <c r="S79" s="1"/>
      <c r="T79" s="1"/>
      <c r="U79" s="1"/>
      <c r="V79" s="1"/>
      <c r="W79" s="1"/>
      <c r="X79" s="1"/>
      <c r="Y79" s="1"/>
      <c r="Z79" s="1"/>
    </row>
    <row r="80" spans="1:26" ht="12.75" customHeight="1">
      <c r="K80" s="1"/>
      <c r="L80" s="1"/>
      <c r="M80" s="1"/>
      <c r="N80" s="1"/>
      <c r="O80" s="1"/>
      <c r="P80" s="1"/>
      <c r="Q80" s="1"/>
      <c r="R80" s="1"/>
      <c r="S80" s="1"/>
      <c r="T80" s="1"/>
      <c r="U80" s="1"/>
      <c r="V80" s="1"/>
      <c r="W80" s="1"/>
      <c r="X80" s="1"/>
      <c r="Y80" s="1"/>
      <c r="Z80" s="1"/>
    </row>
    <row r="81" spans="1:26" ht="12.75" customHeight="1">
      <c r="K81" s="1"/>
      <c r="L81" s="1"/>
      <c r="M81" s="1"/>
      <c r="N81" s="1"/>
      <c r="O81" s="1"/>
      <c r="P81" s="1"/>
      <c r="Q81" s="1"/>
      <c r="R81" s="1"/>
      <c r="S81" s="1"/>
      <c r="T81" s="1"/>
      <c r="U81" s="1"/>
      <c r="V81" s="1"/>
      <c r="W81" s="1"/>
      <c r="X81" s="1"/>
      <c r="Y81" s="1"/>
      <c r="Z81" s="1"/>
    </row>
    <row r="82" spans="1:26" ht="12.75" customHeight="1">
      <c r="K82" s="1"/>
      <c r="L82" s="1"/>
      <c r="M82" s="1"/>
      <c r="N82" s="1"/>
      <c r="O82" s="1"/>
      <c r="P82" s="1"/>
      <c r="Q82" s="1"/>
      <c r="R82" s="1"/>
      <c r="S82" s="1"/>
      <c r="T82" s="1"/>
      <c r="U82" s="1"/>
      <c r="V82" s="1"/>
      <c r="W82" s="1"/>
      <c r="X82" s="1"/>
      <c r="Y82" s="1"/>
      <c r="Z82" s="1"/>
    </row>
    <row r="83" spans="1:26" ht="12.75" customHeight="1">
      <c r="K83" s="1"/>
      <c r="L83" s="1"/>
      <c r="M83" s="1"/>
      <c r="N83" s="1"/>
      <c r="O83" s="1"/>
      <c r="P83" s="1"/>
      <c r="Q83" s="1"/>
      <c r="R83" s="1"/>
      <c r="S83" s="1"/>
      <c r="T83" s="1"/>
      <c r="U83" s="1"/>
      <c r="V83" s="1"/>
      <c r="W83" s="1"/>
      <c r="X83" s="1"/>
      <c r="Y83" s="1"/>
      <c r="Z83" s="1"/>
    </row>
    <row r="84" spans="1:26" ht="12.75" customHeight="1">
      <c r="K84" s="1"/>
      <c r="L84" s="1"/>
      <c r="M84" s="1"/>
      <c r="N84" s="1"/>
      <c r="O84" s="1"/>
      <c r="P84" s="1"/>
      <c r="Q84" s="1"/>
      <c r="R84" s="1"/>
      <c r="S84" s="1"/>
      <c r="T84" s="1"/>
      <c r="U84" s="1"/>
      <c r="V84" s="1"/>
      <c r="W84" s="1"/>
      <c r="X84" s="1"/>
      <c r="Y84" s="1"/>
      <c r="Z84" s="1"/>
    </row>
    <row r="85" spans="1:26" ht="12.75" customHeight="1">
      <c r="K85" s="1"/>
      <c r="L85" s="1"/>
      <c r="M85" s="1"/>
      <c r="N85" s="1"/>
      <c r="O85" s="1"/>
      <c r="P85" s="1"/>
      <c r="Q85" s="1"/>
      <c r="R85" s="1"/>
      <c r="S85" s="1"/>
      <c r="T85" s="1"/>
      <c r="U85" s="1"/>
      <c r="V85" s="1"/>
      <c r="W85" s="1"/>
      <c r="X85" s="1"/>
      <c r="Y85" s="1"/>
      <c r="Z85" s="1"/>
    </row>
    <row r="86" spans="1:26" ht="12.75" customHeight="1">
      <c r="K86" s="1"/>
      <c r="L86" s="1"/>
      <c r="M86" s="1"/>
      <c r="N86" s="1"/>
      <c r="O86" s="1"/>
      <c r="P86" s="1"/>
      <c r="Q86" s="1"/>
      <c r="R86" s="1"/>
      <c r="S86" s="1"/>
      <c r="T86" s="1"/>
      <c r="U86" s="1"/>
      <c r="V86" s="1"/>
      <c r="W86" s="1"/>
      <c r="X86" s="1"/>
      <c r="Y86" s="1"/>
      <c r="Z86" s="1"/>
    </row>
    <row r="87" spans="1:26" ht="12.75" customHeight="1">
      <c r="K87" s="1"/>
      <c r="L87" s="1"/>
      <c r="M87" s="1"/>
      <c r="N87" s="1"/>
      <c r="O87" s="1"/>
      <c r="P87" s="1"/>
      <c r="Q87" s="1"/>
      <c r="R87" s="1"/>
      <c r="S87" s="1"/>
      <c r="T87" s="1"/>
      <c r="U87" s="1"/>
      <c r="V87" s="1"/>
      <c r="W87" s="1"/>
      <c r="X87" s="1"/>
      <c r="Y87" s="1"/>
      <c r="Z87" s="1"/>
    </row>
    <row r="88" spans="1:26" ht="12.75" customHeight="1">
      <c r="A88" s="36"/>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6"/>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6"/>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6"/>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6"/>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6"/>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6"/>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6"/>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6"/>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6"/>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6"/>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6"/>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6"/>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6"/>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6"/>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76"/>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77"/>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78"/>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78"/>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76"/>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77"/>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78"/>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78"/>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76"/>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77"/>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78"/>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78"/>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76"/>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77"/>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78"/>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78"/>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76"/>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77"/>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78"/>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78"/>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76"/>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77"/>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78"/>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78"/>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6"/>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6"/>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6"/>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6"/>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6"/>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6"/>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6"/>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6"/>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6"/>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6"/>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6"/>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6"/>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6"/>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6"/>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6"/>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6"/>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6"/>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6"/>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6"/>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6"/>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6"/>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6"/>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6"/>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6"/>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6"/>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6"/>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6"/>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6"/>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6"/>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6"/>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6"/>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6"/>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6"/>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6"/>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6"/>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6"/>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6"/>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6"/>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6"/>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6"/>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6"/>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6"/>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6"/>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6"/>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6"/>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6"/>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6"/>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6"/>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6"/>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6"/>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6"/>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6"/>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6"/>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6"/>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6"/>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6"/>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6"/>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6"/>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6"/>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6"/>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6"/>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6"/>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6"/>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6"/>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6"/>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6"/>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6"/>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6"/>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6"/>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6"/>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6"/>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6"/>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6"/>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6"/>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6"/>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6"/>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6"/>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6"/>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6"/>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6"/>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6"/>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6"/>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6"/>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6"/>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6"/>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6"/>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6"/>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6"/>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6"/>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6"/>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6"/>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6"/>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6"/>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6"/>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6"/>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6"/>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6"/>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6"/>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6"/>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6"/>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6"/>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6"/>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6"/>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6"/>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6"/>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6"/>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6"/>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6"/>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6"/>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6"/>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6"/>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6"/>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6"/>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6"/>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6"/>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6"/>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6"/>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6"/>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6"/>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6"/>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6"/>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6"/>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6"/>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6"/>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6"/>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6"/>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6"/>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6"/>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6"/>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6"/>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6"/>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6"/>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6"/>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6"/>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6"/>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6"/>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6"/>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6"/>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6"/>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6"/>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6"/>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6"/>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6"/>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6"/>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6"/>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6"/>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6"/>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6"/>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6"/>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6"/>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6"/>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6"/>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6"/>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6"/>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6"/>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6"/>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6"/>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6"/>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6"/>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6"/>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6"/>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6"/>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6"/>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6"/>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6"/>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6"/>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6"/>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6"/>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6"/>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6"/>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6"/>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6"/>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6"/>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6"/>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6"/>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6"/>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6"/>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6"/>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6"/>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6"/>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6"/>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6"/>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6"/>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6"/>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6"/>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6"/>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6"/>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6"/>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6"/>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6"/>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6"/>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6"/>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6"/>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6"/>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6"/>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6"/>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6"/>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6"/>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6"/>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6"/>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6"/>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6"/>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6"/>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6"/>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6"/>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6"/>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6"/>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6"/>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6"/>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6"/>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6"/>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6"/>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6"/>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6"/>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6"/>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6"/>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6"/>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6"/>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6"/>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6"/>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6"/>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6"/>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6"/>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6"/>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6"/>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6"/>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6"/>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6"/>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6"/>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6"/>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6"/>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6"/>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6"/>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6"/>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6"/>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6"/>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6"/>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6"/>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6"/>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6"/>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6"/>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6"/>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6"/>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6"/>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6"/>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6"/>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6"/>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6"/>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6"/>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6"/>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6"/>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6"/>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6"/>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6"/>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6"/>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6"/>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6"/>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6"/>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6"/>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6"/>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6"/>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6"/>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6"/>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6"/>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6"/>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6"/>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6"/>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6"/>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6"/>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6"/>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6"/>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6"/>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6"/>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6"/>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6"/>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6"/>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6"/>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6"/>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6"/>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6"/>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6"/>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6"/>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6"/>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6"/>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6"/>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6"/>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6"/>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6"/>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6"/>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6"/>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6"/>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6"/>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6"/>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6"/>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6"/>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6"/>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6"/>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6"/>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6"/>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6"/>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6"/>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6"/>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6"/>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6"/>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6"/>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6"/>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6"/>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6"/>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6"/>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6"/>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6"/>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6"/>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6"/>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6"/>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6"/>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6"/>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6"/>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6"/>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6"/>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6"/>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6"/>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6"/>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6"/>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6"/>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6"/>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6"/>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6"/>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6"/>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6"/>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6"/>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6"/>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6"/>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6"/>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6"/>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6"/>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6"/>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6"/>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6"/>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6"/>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6"/>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6"/>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6"/>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6"/>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6"/>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6"/>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6"/>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6"/>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6"/>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6"/>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6"/>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6"/>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6"/>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6"/>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6"/>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6"/>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6"/>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6"/>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6"/>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6"/>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6"/>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6"/>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6"/>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6"/>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6"/>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6"/>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6"/>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6"/>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6"/>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6"/>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6"/>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6"/>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6"/>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6"/>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6"/>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6"/>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6"/>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6"/>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6"/>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6"/>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6"/>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6"/>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6"/>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6"/>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6"/>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6"/>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6"/>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6"/>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6"/>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6"/>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6"/>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6"/>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6"/>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6"/>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6"/>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6"/>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6"/>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6"/>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6"/>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6"/>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6"/>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6"/>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6"/>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6"/>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6"/>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6"/>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6"/>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6"/>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6"/>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6"/>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6"/>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6"/>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6"/>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6"/>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6"/>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6"/>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6"/>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6"/>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6"/>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6"/>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6"/>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6"/>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6"/>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6"/>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6"/>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6"/>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6"/>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6"/>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6"/>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6"/>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6"/>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6"/>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6"/>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6"/>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6"/>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6"/>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6"/>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6"/>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6"/>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6"/>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6"/>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6"/>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6"/>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6"/>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6"/>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6"/>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6"/>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6"/>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6"/>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6"/>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6"/>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6"/>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6"/>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6"/>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6"/>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6"/>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6"/>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6"/>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6"/>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6"/>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6"/>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6"/>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6"/>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6"/>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6"/>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6"/>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6"/>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6"/>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6"/>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6"/>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6"/>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6"/>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6"/>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6"/>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6"/>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6"/>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6"/>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6"/>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6"/>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6"/>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6"/>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6"/>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6"/>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6"/>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6"/>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6"/>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6"/>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6"/>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6"/>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6"/>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6"/>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6"/>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6"/>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6"/>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6"/>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6"/>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6"/>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6"/>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6"/>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6"/>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6"/>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6"/>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6"/>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6"/>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6"/>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6"/>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6"/>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6"/>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6"/>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6"/>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6"/>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6"/>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6"/>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6"/>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6"/>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6"/>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6"/>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6"/>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6"/>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6"/>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6"/>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6"/>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6"/>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6"/>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6"/>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6"/>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6"/>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6"/>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6"/>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6"/>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6"/>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6"/>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6"/>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6"/>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6"/>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6"/>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6"/>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6"/>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6"/>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6"/>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6"/>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6"/>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6"/>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6"/>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6"/>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6"/>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6"/>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6"/>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6"/>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6"/>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6"/>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6"/>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6"/>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6"/>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6"/>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6"/>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6"/>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6"/>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6"/>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6"/>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6"/>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6"/>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6"/>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6"/>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6"/>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6"/>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6"/>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6"/>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6"/>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6"/>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6"/>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6"/>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6"/>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6"/>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6"/>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6"/>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6"/>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6"/>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6"/>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6"/>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6"/>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6"/>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6"/>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6"/>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6"/>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6"/>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6"/>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6"/>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6"/>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6"/>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6"/>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6"/>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6"/>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6"/>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6"/>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6"/>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6"/>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6"/>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6"/>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6"/>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6"/>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6"/>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6"/>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6"/>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6"/>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6"/>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6"/>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6"/>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6"/>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6"/>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6"/>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6"/>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6"/>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6"/>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6"/>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6"/>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6"/>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6"/>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6"/>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6"/>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6"/>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6"/>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6"/>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6"/>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6"/>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6"/>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6"/>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6"/>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6"/>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6"/>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6"/>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6"/>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6"/>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6"/>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6"/>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6"/>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6"/>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6"/>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6"/>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6"/>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6"/>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6"/>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6"/>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6"/>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6"/>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6"/>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6"/>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6"/>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6"/>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6"/>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6"/>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6"/>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6"/>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6"/>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6"/>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6"/>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6"/>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6"/>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6"/>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6"/>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6"/>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6"/>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6"/>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6"/>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6"/>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6"/>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6"/>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6"/>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6"/>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6"/>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6"/>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6"/>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6"/>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6"/>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6"/>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6"/>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6"/>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6"/>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6"/>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6"/>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6"/>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6"/>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6"/>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6"/>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6"/>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6"/>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6"/>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6"/>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6"/>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6"/>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6"/>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6"/>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6"/>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6"/>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6"/>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6"/>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6"/>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6"/>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6"/>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6"/>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6"/>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6"/>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6"/>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6"/>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6"/>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6"/>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6"/>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6"/>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6"/>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6"/>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6"/>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6"/>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6"/>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6"/>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6"/>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6"/>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6"/>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6"/>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6"/>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6"/>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6"/>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6"/>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6"/>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6"/>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6"/>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6"/>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6"/>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6"/>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6"/>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6"/>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6"/>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6"/>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6"/>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6"/>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6"/>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6"/>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6"/>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6"/>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6"/>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6"/>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6"/>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6"/>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6"/>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6"/>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6"/>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6"/>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6"/>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6"/>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6"/>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6"/>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6"/>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6"/>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6"/>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6"/>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6"/>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6"/>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6"/>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6"/>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6"/>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6"/>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6"/>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6"/>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6"/>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6"/>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6"/>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6"/>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6"/>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6"/>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6"/>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6"/>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6"/>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6"/>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6"/>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6"/>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6"/>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6"/>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6"/>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6"/>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6"/>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6"/>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6"/>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6"/>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6"/>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6"/>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6"/>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6"/>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6"/>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6"/>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6"/>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6"/>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6"/>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6"/>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6"/>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6"/>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6"/>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6"/>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6"/>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6"/>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6"/>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6"/>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6"/>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6"/>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6"/>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6"/>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6"/>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6"/>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6"/>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6"/>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6"/>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6"/>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6"/>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6"/>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6"/>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6"/>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6"/>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6"/>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6"/>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6"/>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6"/>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6"/>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6"/>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6"/>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6"/>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6"/>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6"/>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6"/>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6"/>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6"/>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6"/>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6"/>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6"/>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6"/>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6"/>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6"/>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6"/>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6"/>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6"/>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6"/>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6"/>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6"/>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6"/>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6"/>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6"/>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6"/>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6"/>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6"/>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6"/>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6"/>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6"/>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6"/>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6"/>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6"/>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6"/>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6"/>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6"/>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6"/>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6"/>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6"/>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6"/>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6"/>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6"/>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6"/>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6"/>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6"/>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6"/>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6"/>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6"/>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6"/>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6"/>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6"/>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6"/>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A1:F1"/>
    <mergeCell ref="A2:D2"/>
    <mergeCell ref="D11:D12"/>
    <mergeCell ref="D13:D14"/>
    <mergeCell ref="D16:D17"/>
  </mergeCells>
  <printOptions horizontalCentered="1"/>
  <pageMargins left="0.78740157480314965" right="0.78740157480314965" top="0.98425196850393704" bottom="0.98425196850393704" header="0" footer="0"/>
  <pageSetup paperSize="9" orientation="landscape"/>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C1"/>
    </sheetView>
  </sheetViews>
  <sheetFormatPr baseColWidth="10" defaultColWidth="12.5703125" defaultRowHeight="15" customHeight="1"/>
  <cols>
    <col min="1" max="1" width="42.5703125" customWidth="1"/>
    <col min="2" max="2" width="0.140625" customWidth="1"/>
    <col min="3" max="3" width="11.42578125" hidden="1" customWidth="1"/>
    <col min="4" max="26" width="9.140625" customWidth="1"/>
  </cols>
  <sheetData>
    <row r="1" spans="1:26" ht="63" customHeight="1">
      <c r="A1" s="94"/>
      <c r="B1" s="82"/>
      <c r="C1" s="83"/>
      <c r="D1" s="1"/>
      <c r="E1" s="1"/>
      <c r="F1" s="1"/>
      <c r="G1" s="1"/>
      <c r="H1" s="1"/>
      <c r="I1" s="1"/>
      <c r="J1" s="1"/>
      <c r="K1" s="1"/>
      <c r="L1" s="1"/>
      <c r="M1" s="1"/>
      <c r="N1" s="1"/>
      <c r="O1" s="1"/>
      <c r="P1" s="1"/>
      <c r="Q1" s="1"/>
      <c r="R1" s="1"/>
      <c r="S1" s="1"/>
      <c r="T1" s="1"/>
      <c r="U1" s="1"/>
      <c r="V1" s="1"/>
      <c r="W1" s="1"/>
      <c r="X1" s="1"/>
      <c r="Y1" s="1"/>
      <c r="Z1" s="1"/>
    </row>
    <row r="2" spans="1:26" ht="36" customHeight="1">
      <c r="A2" s="5" t="s">
        <v>45</v>
      </c>
      <c r="B2" s="51"/>
      <c r="C2" s="51"/>
      <c r="D2" s="10"/>
      <c r="E2" s="10"/>
      <c r="F2" s="10"/>
      <c r="G2" s="10"/>
      <c r="H2" s="10"/>
      <c r="I2" s="10"/>
      <c r="J2" s="10"/>
      <c r="K2" s="10"/>
      <c r="L2" s="10"/>
      <c r="M2" s="10"/>
      <c r="N2" s="10"/>
      <c r="O2" s="10"/>
      <c r="P2" s="10"/>
      <c r="Q2" s="10"/>
      <c r="R2" s="10"/>
      <c r="S2" s="10"/>
      <c r="T2" s="10"/>
      <c r="U2" s="10"/>
      <c r="V2" s="10"/>
      <c r="W2" s="10"/>
      <c r="X2" s="10"/>
      <c r="Y2" s="10"/>
      <c r="Z2" s="10"/>
    </row>
    <row r="3" spans="1:26" ht="75" customHeight="1">
      <c r="A3" s="52" t="s">
        <v>100</v>
      </c>
      <c r="B3" s="14"/>
      <c r="C3" s="14"/>
      <c r="D3" s="1"/>
      <c r="E3" s="1"/>
      <c r="F3" s="1"/>
      <c r="G3" s="1"/>
      <c r="H3" s="1"/>
      <c r="I3" s="1"/>
      <c r="J3" s="1"/>
      <c r="K3" s="1"/>
      <c r="L3" s="1"/>
      <c r="M3" s="1"/>
      <c r="N3" s="1"/>
      <c r="O3" s="1"/>
      <c r="P3" s="1"/>
      <c r="Q3" s="1"/>
      <c r="R3" s="1"/>
      <c r="S3" s="1"/>
      <c r="T3" s="1"/>
      <c r="U3" s="1"/>
      <c r="V3" s="1"/>
      <c r="W3" s="1"/>
      <c r="X3" s="1"/>
      <c r="Y3" s="1"/>
      <c r="Z3" s="1"/>
    </row>
    <row r="4" spans="1:26" ht="75" customHeight="1">
      <c r="A4" s="53" t="s">
        <v>101</v>
      </c>
      <c r="B4" s="54"/>
      <c r="C4" s="54"/>
      <c r="D4" s="1"/>
      <c r="E4" s="1"/>
      <c r="F4" s="1"/>
      <c r="G4" s="1"/>
      <c r="H4" s="1"/>
      <c r="I4" s="1"/>
      <c r="J4" s="1"/>
      <c r="K4" s="1"/>
      <c r="L4" s="1"/>
      <c r="M4" s="1"/>
      <c r="N4" s="1"/>
      <c r="O4" s="1"/>
      <c r="P4" s="1"/>
      <c r="Q4" s="1"/>
      <c r="R4" s="1"/>
      <c r="S4" s="1"/>
      <c r="T4" s="1"/>
      <c r="U4" s="1"/>
      <c r="V4" s="1"/>
      <c r="W4" s="1"/>
      <c r="X4" s="1"/>
      <c r="Y4" s="1"/>
      <c r="Z4" s="1"/>
    </row>
    <row r="5" spans="1:26" ht="75" customHeight="1">
      <c r="A5" s="55" t="s">
        <v>102</v>
      </c>
      <c r="B5" s="14"/>
      <c r="C5" s="14"/>
      <c r="D5" s="1"/>
      <c r="E5" s="1"/>
      <c r="F5" s="1"/>
      <c r="G5" s="1"/>
      <c r="H5" s="1"/>
      <c r="I5" s="1"/>
      <c r="J5" s="1"/>
      <c r="K5" s="1"/>
      <c r="L5" s="1"/>
      <c r="M5" s="1"/>
      <c r="N5" s="1"/>
      <c r="O5" s="1"/>
      <c r="P5" s="1"/>
      <c r="Q5" s="1"/>
      <c r="R5" s="1"/>
      <c r="S5" s="1"/>
      <c r="T5" s="1"/>
      <c r="U5" s="1"/>
      <c r="V5" s="1"/>
      <c r="W5" s="1"/>
      <c r="X5" s="1"/>
      <c r="Y5" s="1"/>
      <c r="Z5" s="1"/>
    </row>
    <row r="6" spans="1:26" ht="75" customHeight="1">
      <c r="A6" s="19" t="s">
        <v>103</v>
      </c>
      <c r="B6" s="54"/>
      <c r="C6" s="54"/>
      <c r="D6" s="1"/>
      <c r="E6" s="1"/>
      <c r="F6" s="1"/>
      <c r="G6" s="1"/>
      <c r="H6" s="1"/>
      <c r="I6" s="1"/>
      <c r="J6" s="1"/>
      <c r="K6" s="1"/>
      <c r="L6" s="1"/>
      <c r="M6" s="1"/>
      <c r="N6" s="1"/>
      <c r="O6" s="1"/>
      <c r="P6" s="1"/>
      <c r="Q6" s="1"/>
      <c r="R6" s="1"/>
      <c r="S6" s="1"/>
      <c r="T6" s="1"/>
      <c r="U6" s="1"/>
      <c r="V6" s="1"/>
      <c r="W6" s="1"/>
      <c r="X6" s="1"/>
      <c r="Y6" s="1"/>
      <c r="Z6" s="1"/>
    </row>
    <row r="7" spans="1:26" ht="75" customHeight="1">
      <c r="A7" s="34" t="s">
        <v>104</v>
      </c>
      <c r="B7" s="14"/>
      <c r="C7" s="14"/>
      <c r="D7" s="1"/>
      <c r="E7" s="1"/>
      <c r="F7" s="1"/>
      <c r="G7" s="1"/>
      <c r="H7" s="1"/>
      <c r="I7" s="1"/>
      <c r="J7" s="1"/>
      <c r="K7" s="1"/>
      <c r="L7" s="1"/>
      <c r="M7" s="1"/>
      <c r="N7" s="1"/>
      <c r="O7" s="1"/>
      <c r="P7" s="1"/>
      <c r="Q7" s="1"/>
      <c r="R7" s="1"/>
      <c r="S7" s="1"/>
      <c r="T7" s="1"/>
      <c r="U7" s="1"/>
      <c r="V7" s="1"/>
      <c r="W7" s="1"/>
      <c r="X7" s="1"/>
      <c r="Y7" s="1"/>
      <c r="Z7" s="1"/>
    </row>
    <row r="8" spans="1:26" ht="75" customHeight="1">
      <c r="A8" s="19" t="s">
        <v>105</v>
      </c>
      <c r="B8" s="14"/>
      <c r="C8" s="14"/>
      <c r="D8" s="1"/>
      <c r="E8" s="1"/>
      <c r="F8" s="1"/>
      <c r="G8" s="1"/>
      <c r="H8" s="1"/>
      <c r="I8" s="1"/>
      <c r="J8" s="1"/>
      <c r="K8" s="1"/>
      <c r="L8" s="56"/>
      <c r="M8" s="1"/>
      <c r="N8" s="1"/>
      <c r="O8" s="1"/>
      <c r="P8" s="1"/>
      <c r="Q8" s="1"/>
      <c r="R8" s="1"/>
      <c r="S8" s="1"/>
      <c r="T8" s="1"/>
      <c r="U8" s="1"/>
      <c r="V8" s="1"/>
      <c r="W8" s="1"/>
      <c r="X8" s="1"/>
      <c r="Y8" s="1"/>
      <c r="Z8" s="1"/>
    </row>
    <row r="9" spans="1:26" ht="36" customHeight="1">
      <c r="A9" s="20" t="s">
        <v>58</v>
      </c>
      <c r="B9" s="9"/>
      <c r="C9" s="9"/>
      <c r="D9" s="10"/>
      <c r="E9" s="10"/>
      <c r="F9" s="10"/>
      <c r="G9" s="10"/>
      <c r="H9" s="10"/>
      <c r="I9" s="10"/>
      <c r="J9" s="10"/>
      <c r="K9" s="10"/>
      <c r="L9" s="10"/>
      <c r="M9" s="10"/>
      <c r="N9" s="10"/>
      <c r="O9" s="10"/>
      <c r="P9" s="10"/>
      <c r="Q9" s="10"/>
      <c r="R9" s="10"/>
      <c r="S9" s="10"/>
      <c r="T9" s="10"/>
      <c r="U9" s="10"/>
      <c r="V9" s="10"/>
      <c r="W9" s="10"/>
      <c r="X9" s="10"/>
      <c r="Y9" s="10"/>
      <c r="Z9" s="10"/>
    </row>
    <row r="10" spans="1:26" ht="75" customHeight="1">
      <c r="A10" s="52" t="s">
        <v>106</v>
      </c>
      <c r="B10" s="1"/>
      <c r="C10" s="1"/>
      <c r="D10" s="1"/>
      <c r="E10" s="1"/>
      <c r="F10" s="1"/>
      <c r="G10" s="1"/>
      <c r="H10" s="1"/>
      <c r="I10" s="1"/>
      <c r="J10" s="1"/>
      <c r="K10" s="1"/>
      <c r="L10" s="1"/>
      <c r="M10" s="1"/>
      <c r="N10" s="1"/>
      <c r="O10" s="1"/>
      <c r="P10" s="1"/>
      <c r="Q10" s="1"/>
      <c r="R10" s="1"/>
      <c r="S10" s="1"/>
      <c r="T10" s="1"/>
      <c r="U10" s="1"/>
      <c r="V10" s="1"/>
      <c r="W10" s="1"/>
      <c r="X10" s="1"/>
      <c r="Y10" s="1"/>
      <c r="Z10" s="1"/>
    </row>
    <row r="11" spans="1:26" ht="75" customHeight="1">
      <c r="A11" s="52" t="s">
        <v>107</v>
      </c>
      <c r="B11" s="1"/>
      <c r="C11" s="1"/>
      <c r="D11" s="1"/>
      <c r="E11" s="1"/>
      <c r="F11" s="1"/>
      <c r="G11" s="1"/>
      <c r="H11" s="1"/>
      <c r="I11" s="1"/>
      <c r="J11" s="1"/>
      <c r="K11" s="1"/>
      <c r="L11" s="1"/>
      <c r="M11" s="1"/>
      <c r="N11" s="1"/>
      <c r="O11" s="1"/>
      <c r="P11" s="1"/>
      <c r="Q11" s="1"/>
      <c r="R11" s="1"/>
      <c r="S11" s="1"/>
      <c r="T11" s="1"/>
      <c r="U11" s="1"/>
      <c r="V11" s="1"/>
      <c r="W11" s="1"/>
      <c r="X11" s="1"/>
      <c r="Y11" s="1"/>
      <c r="Z11" s="1"/>
    </row>
    <row r="12" spans="1:26" ht="75" customHeight="1">
      <c r="A12" s="57" t="s">
        <v>108</v>
      </c>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spans="1:26" ht="75" customHeight="1">
      <c r="A13" s="59" t="s">
        <v>109</v>
      </c>
      <c r="B13" s="1"/>
      <c r="C13" s="1"/>
      <c r="D13" s="1"/>
      <c r="E13" s="1"/>
      <c r="F13" s="1"/>
      <c r="G13" s="1"/>
      <c r="H13" s="1"/>
      <c r="I13" s="1"/>
      <c r="J13" s="1"/>
      <c r="K13" s="1"/>
      <c r="L13" s="1"/>
      <c r="M13" s="1"/>
      <c r="N13" s="1"/>
      <c r="O13" s="1"/>
      <c r="P13" s="1"/>
      <c r="Q13" s="1"/>
      <c r="R13" s="1"/>
      <c r="S13" s="1"/>
      <c r="T13" s="1"/>
      <c r="U13" s="1"/>
      <c r="V13" s="1"/>
      <c r="W13" s="1"/>
      <c r="X13" s="1"/>
      <c r="Y13" s="1"/>
      <c r="Z13" s="1"/>
    </row>
    <row r="14" spans="1:26" ht="75" customHeight="1">
      <c r="A14" s="59" t="s">
        <v>110</v>
      </c>
      <c r="B14" s="1"/>
      <c r="C14" s="1"/>
      <c r="D14" s="1"/>
      <c r="E14" s="1"/>
      <c r="F14" s="1"/>
      <c r="G14" s="1"/>
      <c r="H14" s="1"/>
      <c r="I14" s="1"/>
      <c r="J14" s="1"/>
      <c r="K14" s="1"/>
      <c r="L14" s="1"/>
      <c r="M14" s="1"/>
      <c r="N14" s="1"/>
      <c r="O14" s="1"/>
      <c r="P14" s="1"/>
      <c r="Q14" s="1"/>
      <c r="R14" s="1"/>
      <c r="S14" s="1"/>
      <c r="T14" s="1"/>
      <c r="U14" s="1"/>
      <c r="V14" s="1"/>
      <c r="W14" s="1"/>
      <c r="X14" s="1"/>
      <c r="Y14" s="1"/>
      <c r="Z14" s="1"/>
    </row>
    <row r="15" spans="1:26" ht="75" customHeight="1">
      <c r="A15" s="59" t="s">
        <v>111</v>
      </c>
      <c r="B15" s="1"/>
      <c r="C15" s="1"/>
      <c r="D15" s="1"/>
      <c r="E15" s="1"/>
      <c r="F15" s="1"/>
      <c r="G15" s="1"/>
      <c r="H15" s="1"/>
      <c r="I15" s="1"/>
      <c r="J15" s="1"/>
      <c r="K15" s="1"/>
      <c r="L15" s="1"/>
      <c r="M15" s="1"/>
      <c r="N15" s="1"/>
      <c r="O15" s="1"/>
      <c r="P15" s="1"/>
      <c r="Q15" s="1"/>
      <c r="R15" s="1"/>
      <c r="S15" s="1"/>
      <c r="T15" s="1"/>
      <c r="U15" s="1"/>
      <c r="V15" s="1"/>
      <c r="W15" s="1"/>
      <c r="X15" s="1"/>
      <c r="Y15" s="1"/>
      <c r="Z15" s="1"/>
    </row>
    <row r="16" spans="1:26" ht="36" customHeight="1">
      <c r="A16" s="37" t="s">
        <v>74</v>
      </c>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75" customHeight="1">
      <c r="A17" s="60" t="s">
        <v>112</v>
      </c>
      <c r="B17" s="1"/>
      <c r="C17" s="1"/>
      <c r="D17" s="1"/>
      <c r="E17" s="1"/>
      <c r="F17" s="1"/>
      <c r="G17" s="1"/>
      <c r="H17" s="1"/>
      <c r="I17" s="1"/>
      <c r="J17" s="1"/>
      <c r="K17" s="1"/>
      <c r="L17" s="1"/>
      <c r="M17" s="1"/>
      <c r="N17" s="1"/>
      <c r="O17" s="1"/>
      <c r="P17" s="1"/>
      <c r="Q17" s="1"/>
      <c r="R17" s="1"/>
      <c r="S17" s="1"/>
      <c r="T17" s="1"/>
      <c r="U17" s="1"/>
      <c r="V17" s="1"/>
      <c r="W17" s="1"/>
      <c r="X17" s="1"/>
      <c r="Y17" s="1"/>
      <c r="Z17" s="1"/>
    </row>
    <row r="18" spans="1:26" ht="75" customHeight="1">
      <c r="A18" s="60" t="s">
        <v>113</v>
      </c>
      <c r="B18" s="1"/>
      <c r="C18" s="1"/>
      <c r="D18" s="1"/>
      <c r="E18" s="1"/>
      <c r="F18" s="1"/>
      <c r="G18" s="1"/>
      <c r="H18" s="1"/>
      <c r="I18" s="1"/>
      <c r="J18" s="1"/>
      <c r="K18" s="1"/>
      <c r="L18" s="1"/>
      <c r="M18" s="1"/>
      <c r="N18" s="1"/>
      <c r="O18" s="1"/>
      <c r="P18" s="1"/>
      <c r="Q18" s="1"/>
      <c r="R18" s="1"/>
      <c r="S18" s="1"/>
      <c r="T18" s="1"/>
      <c r="U18" s="1"/>
      <c r="V18" s="1"/>
      <c r="W18" s="1"/>
      <c r="X18" s="1"/>
      <c r="Y18" s="1"/>
      <c r="Z18" s="1"/>
    </row>
    <row r="19" spans="1:26" ht="75" customHeight="1">
      <c r="A19" s="59" t="s">
        <v>114</v>
      </c>
      <c r="B19" s="1"/>
      <c r="C19" s="1"/>
      <c r="D19" s="1"/>
      <c r="E19" s="1"/>
      <c r="F19" s="1"/>
      <c r="G19" s="1"/>
      <c r="H19" s="1"/>
      <c r="I19" s="1"/>
      <c r="J19" s="1"/>
      <c r="K19" s="1"/>
      <c r="L19" s="1"/>
      <c r="M19" s="1"/>
      <c r="N19" s="1"/>
      <c r="O19" s="1"/>
      <c r="P19" s="1"/>
      <c r="Q19" s="1"/>
      <c r="R19" s="1"/>
      <c r="S19" s="1"/>
      <c r="T19" s="1"/>
      <c r="U19" s="1"/>
      <c r="V19" s="1"/>
      <c r="W19" s="1"/>
      <c r="X19" s="1"/>
      <c r="Y19" s="1"/>
      <c r="Z19" s="1"/>
    </row>
    <row r="20" spans="1:26" ht="75" customHeight="1">
      <c r="A20" s="61" t="s">
        <v>115</v>
      </c>
      <c r="B20" s="1"/>
      <c r="C20" s="1"/>
      <c r="D20" s="1"/>
      <c r="E20" s="1"/>
      <c r="F20" s="1"/>
      <c r="G20" s="1"/>
      <c r="H20" s="1"/>
      <c r="I20" s="1"/>
      <c r="J20" s="1"/>
      <c r="K20" s="1"/>
      <c r="L20" s="1"/>
      <c r="M20" s="1"/>
      <c r="N20" s="1"/>
      <c r="O20" s="1"/>
      <c r="P20" s="1"/>
      <c r="Q20" s="1"/>
      <c r="R20" s="1"/>
      <c r="S20" s="1"/>
      <c r="T20" s="1"/>
      <c r="U20" s="1"/>
      <c r="V20" s="1"/>
      <c r="W20" s="1"/>
      <c r="X20" s="1"/>
      <c r="Y20" s="1"/>
      <c r="Z20" s="1"/>
    </row>
    <row r="21" spans="1:26" ht="34.5" customHeight="1">
      <c r="A21" s="37" t="s">
        <v>83</v>
      </c>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75" customHeight="1">
      <c r="A22" s="60" t="s">
        <v>116</v>
      </c>
      <c r="B22" s="1"/>
      <c r="C22" s="1"/>
      <c r="D22" s="1"/>
      <c r="E22" s="1"/>
      <c r="F22" s="1"/>
      <c r="G22" s="1"/>
      <c r="H22" s="1"/>
      <c r="I22" s="1"/>
      <c r="J22" s="1"/>
      <c r="K22" s="1"/>
      <c r="L22" s="1"/>
      <c r="M22" s="1"/>
      <c r="N22" s="1"/>
      <c r="O22" s="1"/>
      <c r="P22" s="1"/>
      <c r="Q22" s="1"/>
      <c r="R22" s="1"/>
      <c r="S22" s="1"/>
      <c r="T22" s="1"/>
      <c r="U22" s="1"/>
      <c r="V22" s="1"/>
      <c r="W22" s="1"/>
      <c r="X22" s="1"/>
      <c r="Y22" s="1"/>
      <c r="Z22" s="1"/>
    </row>
    <row r="23" spans="1:26" ht="75" customHeight="1">
      <c r="A23" s="60" t="s">
        <v>117</v>
      </c>
      <c r="B23" s="1"/>
      <c r="C23" s="1"/>
      <c r="D23" s="1"/>
      <c r="E23" s="1"/>
      <c r="F23" s="1"/>
      <c r="G23" s="1"/>
      <c r="H23" s="1"/>
      <c r="I23" s="1"/>
      <c r="J23" s="1"/>
      <c r="K23" s="1"/>
      <c r="L23" s="1"/>
      <c r="M23" s="1"/>
      <c r="N23" s="1"/>
      <c r="O23" s="1"/>
      <c r="P23" s="1"/>
      <c r="Q23" s="1"/>
      <c r="R23" s="1"/>
      <c r="S23" s="1"/>
      <c r="T23" s="1"/>
      <c r="U23" s="1"/>
      <c r="V23" s="1"/>
      <c r="W23" s="1"/>
      <c r="X23" s="1"/>
      <c r="Y23" s="1"/>
      <c r="Z23" s="1"/>
    </row>
    <row r="24" spans="1:26" ht="75" customHeight="1">
      <c r="A24" s="60" t="s">
        <v>118</v>
      </c>
      <c r="B24" s="1"/>
      <c r="C24" s="1"/>
      <c r="D24" s="1"/>
      <c r="E24" s="1"/>
      <c r="F24" s="1"/>
      <c r="G24" s="1"/>
      <c r="H24" s="1"/>
      <c r="I24" s="1"/>
      <c r="J24" s="1"/>
      <c r="K24" s="1"/>
      <c r="L24" s="1"/>
      <c r="M24" s="1"/>
      <c r="N24" s="1"/>
      <c r="O24" s="1"/>
      <c r="P24" s="1"/>
      <c r="Q24" s="1"/>
      <c r="R24" s="1"/>
      <c r="S24" s="1"/>
      <c r="T24" s="1"/>
      <c r="U24" s="1"/>
      <c r="V24" s="1"/>
      <c r="W24" s="1"/>
      <c r="X24" s="1"/>
      <c r="Y24" s="1"/>
      <c r="Z24" s="1"/>
    </row>
    <row r="25" spans="1:26" ht="75" customHeight="1">
      <c r="A25" s="60" t="s">
        <v>119</v>
      </c>
      <c r="B25" s="1"/>
      <c r="C25" s="1"/>
      <c r="D25" s="1"/>
      <c r="E25" s="1"/>
      <c r="F25" s="1"/>
      <c r="G25" s="1"/>
      <c r="H25" s="1"/>
      <c r="I25" s="1"/>
      <c r="J25" s="1"/>
      <c r="K25" s="1"/>
      <c r="L25" s="1"/>
      <c r="M25" s="1"/>
      <c r="N25" s="1"/>
      <c r="O25" s="1"/>
      <c r="P25" s="1"/>
      <c r="Q25" s="1"/>
      <c r="R25" s="1"/>
      <c r="S25" s="1"/>
      <c r="T25" s="1"/>
      <c r="U25" s="1"/>
      <c r="V25" s="1"/>
      <c r="W25" s="1"/>
      <c r="X25" s="1"/>
      <c r="Y25" s="1"/>
      <c r="Z25" s="1"/>
    </row>
    <row r="26" spans="1:26" ht="75" customHeight="1">
      <c r="A26" s="60" t="s">
        <v>120</v>
      </c>
      <c r="B26" s="1"/>
      <c r="C26" s="1"/>
      <c r="D26" s="1"/>
      <c r="E26" s="1"/>
      <c r="F26" s="1"/>
      <c r="G26" s="1"/>
      <c r="H26" s="1"/>
      <c r="I26" s="1"/>
      <c r="J26" s="1"/>
      <c r="K26" s="1"/>
      <c r="L26" s="1"/>
      <c r="M26" s="1"/>
      <c r="N26" s="1"/>
      <c r="O26" s="1"/>
      <c r="P26" s="1"/>
      <c r="Q26" s="1"/>
      <c r="R26" s="1"/>
      <c r="S26" s="1"/>
      <c r="T26" s="1"/>
      <c r="U26" s="1"/>
      <c r="V26" s="1"/>
      <c r="W26" s="1"/>
      <c r="X26" s="1"/>
      <c r="Y26" s="1"/>
      <c r="Z26" s="1"/>
    </row>
    <row r="27" spans="1:26" ht="75" customHeight="1">
      <c r="A27" s="62" t="s">
        <v>121</v>
      </c>
      <c r="B27" s="1"/>
      <c r="C27" s="1"/>
      <c r="D27" s="1"/>
      <c r="E27" s="1"/>
      <c r="F27" s="1"/>
      <c r="G27" s="1"/>
      <c r="H27" s="1"/>
      <c r="I27" s="1"/>
      <c r="J27" s="1"/>
      <c r="K27" s="1"/>
      <c r="L27" s="1"/>
      <c r="M27" s="1"/>
      <c r="N27" s="1"/>
      <c r="O27" s="1"/>
      <c r="P27" s="1"/>
      <c r="Q27" s="1"/>
      <c r="R27" s="1"/>
      <c r="S27" s="1"/>
      <c r="T27" s="1"/>
      <c r="U27" s="1"/>
      <c r="V27" s="1"/>
      <c r="W27" s="1"/>
      <c r="X27" s="1"/>
      <c r="Y27" s="1"/>
      <c r="Z27" s="1"/>
    </row>
    <row r="28" spans="1:26" ht="75" customHeight="1">
      <c r="A28" s="59" t="s">
        <v>122</v>
      </c>
      <c r="B28" s="1"/>
      <c r="C28" s="1"/>
      <c r="D28" s="1"/>
      <c r="E28" s="1"/>
      <c r="F28" s="1"/>
      <c r="G28" s="1"/>
      <c r="H28" s="1"/>
      <c r="I28" s="1"/>
      <c r="J28" s="1"/>
      <c r="K28" s="1"/>
      <c r="L28" s="1"/>
      <c r="M28" s="1"/>
      <c r="N28" s="1"/>
      <c r="O28" s="1"/>
      <c r="P28" s="1"/>
      <c r="Q28" s="1"/>
      <c r="R28" s="1"/>
      <c r="S28" s="1"/>
      <c r="T28" s="1"/>
      <c r="U28" s="1"/>
      <c r="V28" s="1"/>
      <c r="W28" s="1"/>
      <c r="X28" s="1"/>
      <c r="Y28" s="1"/>
      <c r="Z28" s="1"/>
    </row>
    <row r="29" spans="1:26" ht="75" customHeight="1">
      <c r="A29" s="61" t="s">
        <v>123</v>
      </c>
      <c r="B29" s="63"/>
      <c r="C29" s="63"/>
      <c r="D29" s="1"/>
      <c r="E29" s="1"/>
      <c r="F29" s="1"/>
      <c r="G29" s="1"/>
      <c r="H29" s="1"/>
      <c r="I29" s="1"/>
      <c r="J29" s="1"/>
      <c r="K29" s="1"/>
      <c r="L29" s="1"/>
      <c r="M29" s="1"/>
      <c r="N29" s="1"/>
      <c r="O29" s="1"/>
      <c r="P29" s="1"/>
      <c r="Q29" s="1"/>
      <c r="R29" s="1"/>
      <c r="S29" s="1"/>
      <c r="T29" s="1"/>
      <c r="U29" s="1"/>
      <c r="V29" s="1"/>
      <c r="W29" s="1"/>
      <c r="X29" s="1"/>
      <c r="Y29" s="1"/>
      <c r="Z29" s="1"/>
    </row>
    <row r="30" spans="1:26" ht="15" customHeight="1">
      <c r="A30" s="36"/>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36"/>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36"/>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36"/>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36"/>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36"/>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36"/>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36"/>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36"/>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36"/>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36"/>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36"/>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36"/>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36"/>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36"/>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36"/>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36"/>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36"/>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36"/>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36"/>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36"/>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36"/>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36"/>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36"/>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36"/>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36"/>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36"/>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36"/>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36"/>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36"/>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36"/>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36"/>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36"/>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36"/>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36"/>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36"/>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36"/>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36"/>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36"/>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36"/>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36"/>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36"/>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36"/>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36"/>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36"/>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36"/>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36"/>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36"/>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36"/>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36"/>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36"/>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36"/>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36"/>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36"/>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36"/>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36"/>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36"/>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36"/>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36"/>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36"/>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36"/>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36"/>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36"/>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36"/>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36"/>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36"/>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36"/>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36"/>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36"/>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36"/>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36"/>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36"/>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36"/>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36"/>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36"/>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36"/>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36"/>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36"/>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36"/>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36"/>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36"/>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36"/>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36"/>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36"/>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36"/>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36"/>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36"/>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36"/>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36"/>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36"/>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36"/>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36"/>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36"/>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36"/>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36"/>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36"/>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36"/>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36"/>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36"/>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36"/>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36"/>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36"/>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36"/>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36"/>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36"/>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36"/>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36"/>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36"/>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36"/>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36"/>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36"/>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36"/>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36"/>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36"/>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36"/>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36"/>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36"/>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36"/>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36"/>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36"/>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36"/>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36"/>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36"/>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36"/>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36"/>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36"/>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36"/>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36"/>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36"/>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36"/>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36"/>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36"/>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36"/>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36"/>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36"/>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36"/>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36"/>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36"/>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36"/>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36"/>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36"/>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36"/>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36"/>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36"/>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36"/>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36"/>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36"/>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36"/>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36"/>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36"/>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36"/>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36"/>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36"/>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36"/>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36"/>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36"/>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36"/>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36"/>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36"/>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36"/>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36"/>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36"/>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36"/>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36"/>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36"/>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36"/>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36"/>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36"/>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36"/>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36"/>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36"/>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36"/>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36"/>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36"/>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36"/>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36"/>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36"/>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36"/>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36"/>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36"/>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36"/>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36"/>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36"/>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36"/>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36"/>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36"/>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36"/>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36"/>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36"/>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36"/>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36"/>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36"/>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36"/>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36"/>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36"/>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36"/>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36"/>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36"/>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36"/>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36"/>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36"/>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36"/>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36"/>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36"/>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36"/>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36"/>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36"/>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36"/>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36"/>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36"/>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36"/>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36"/>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36"/>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36"/>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36"/>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36"/>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36"/>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36"/>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36"/>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36"/>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36"/>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36"/>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36"/>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36"/>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36"/>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36"/>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36"/>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36"/>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36"/>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36"/>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36"/>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36"/>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36"/>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36"/>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36"/>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36"/>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36"/>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36"/>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36"/>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36"/>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36"/>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36"/>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36"/>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36"/>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36"/>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36"/>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36"/>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36"/>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36"/>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36"/>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36"/>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36"/>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36"/>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36"/>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36"/>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36"/>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36"/>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36"/>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36"/>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36"/>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36"/>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36"/>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36"/>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36"/>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36"/>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36"/>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36"/>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36"/>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36"/>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36"/>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36"/>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36"/>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36"/>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36"/>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36"/>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36"/>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36"/>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36"/>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36"/>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36"/>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36"/>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36"/>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36"/>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36"/>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36"/>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36"/>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36"/>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36"/>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36"/>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36"/>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36"/>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36"/>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36"/>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36"/>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36"/>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36"/>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36"/>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36"/>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36"/>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36"/>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36"/>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36"/>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36"/>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36"/>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36"/>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36"/>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36"/>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36"/>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36"/>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36"/>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36"/>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36"/>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36"/>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36"/>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36"/>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36"/>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36"/>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36"/>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36"/>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36"/>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36"/>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36"/>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36"/>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36"/>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36"/>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36"/>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36"/>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36"/>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36"/>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36"/>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36"/>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36"/>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36"/>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36"/>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36"/>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36"/>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36"/>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36"/>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36"/>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36"/>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36"/>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36"/>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36"/>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36"/>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36"/>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36"/>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36"/>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36"/>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36"/>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36"/>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36"/>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36"/>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36"/>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36"/>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36"/>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36"/>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36"/>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36"/>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36"/>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36"/>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36"/>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36"/>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36"/>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36"/>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36"/>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36"/>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36"/>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36"/>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36"/>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36"/>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36"/>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36"/>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36"/>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36"/>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36"/>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36"/>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36"/>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36"/>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36"/>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36"/>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36"/>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36"/>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36"/>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36"/>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36"/>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36"/>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36"/>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36"/>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36"/>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36"/>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36"/>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36"/>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36"/>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36"/>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36"/>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36"/>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36"/>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36"/>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36"/>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36"/>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36"/>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36"/>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36"/>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36"/>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36"/>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36"/>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36"/>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36"/>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36"/>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36"/>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36"/>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36"/>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36"/>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36"/>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36"/>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36"/>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36"/>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36"/>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36"/>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36"/>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36"/>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36"/>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36"/>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36"/>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36"/>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36"/>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36"/>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36"/>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36"/>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36"/>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36"/>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36"/>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36"/>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36"/>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36"/>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36"/>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36"/>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36"/>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36"/>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36"/>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36"/>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36"/>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36"/>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36"/>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36"/>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36"/>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36"/>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36"/>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36"/>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36"/>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36"/>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36"/>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36"/>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36"/>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36"/>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36"/>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36"/>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36"/>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36"/>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36"/>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36"/>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36"/>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36"/>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36"/>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36"/>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36"/>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36"/>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36"/>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36"/>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36"/>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36"/>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36"/>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36"/>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36"/>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36"/>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36"/>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36"/>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36"/>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36"/>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36"/>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36"/>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36"/>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36"/>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36"/>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36"/>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36"/>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36"/>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36"/>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36"/>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36"/>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36"/>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36"/>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36"/>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36"/>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36"/>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36"/>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36"/>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36"/>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36"/>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36"/>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36"/>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36"/>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36"/>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36"/>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36"/>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36"/>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36"/>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36"/>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36"/>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36"/>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36"/>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36"/>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36"/>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36"/>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36"/>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36"/>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36"/>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36"/>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36"/>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36"/>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36"/>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36"/>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36"/>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36"/>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36"/>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36"/>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36"/>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36"/>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36"/>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36"/>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36"/>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36"/>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36"/>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36"/>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36"/>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36"/>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36"/>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36"/>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36"/>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36"/>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36"/>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36"/>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36"/>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36"/>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36"/>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36"/>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36"/>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36"/>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36"/>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36"/>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36"/>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36"/>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36"/>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36"/>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36"/>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36"/>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36"/>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36"/>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36"/>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36"/>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36"/>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36"/>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36"/>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36"/>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36"/>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36"/>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36"/>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36"/>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36"/>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36"/>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36"/>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36"/>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36"/>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36"/>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36"/>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36"/>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36"/>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36"/>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36"/>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36"/>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36"/>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36"/>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36"/>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36"/>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36"/>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36"/>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36"/>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36"/>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36"/>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36"/>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36"/>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36"/>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36"/>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36"/>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36"/>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36"/>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36"/>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36"/>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36"/>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36"/>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36"/>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36"/>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36"/>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36"/>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36"/>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36"/>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36"/>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36"/>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36"/>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36"/>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36"/>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36"/>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36"/>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36"/>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36"/>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36"/>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36"/>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36"/>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36"/>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36"/>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36"/>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36"/>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36"/>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36"/>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36"/>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36"/>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36"/>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36"/>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36"/>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36"/>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36"/>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36"/>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36"/>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36"/>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36"/>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36"/>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36"/>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36"/>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36"/>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36"/>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36"/>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36"/>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36"/>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36"/>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36"/>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36"/>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36"/>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36"/>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36"/>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36"/>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36"/>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36"/>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36"/>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36"/>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36"/>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36"/>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36"/>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36"/>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36"/>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36"/>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36"/>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36"/>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36"/>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36"/>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36"/>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36"/>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36"/>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36"/>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36"/>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36"/>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36"/>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36"/>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36"/>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36"/>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36"/>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36"/>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36"/>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36"/>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36"/>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36"/>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36"/>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36"/>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36"/>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36"/>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36"/>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36"/>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36"/>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36"/>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36"/>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36"/>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36"/>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36"/>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36"/>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36"/>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36"/>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36"/>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36"/>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36"/>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36"/>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36"/>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36"/>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36"/>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36"/>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36"/>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36"/>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36"/>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36"/>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36"/>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36"/>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36"/>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36"/>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36"/>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36"/>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36"/>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36"/>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36"/>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36"/>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36"/>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36"/>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36"/>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36"/>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36"/>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36"/>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36"/>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36"/>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36"/>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36"/>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36"/>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36"/>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36"/>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36"/>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36"/>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36"/>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36"/>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36"/>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36"/>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36"/>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36"/>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36"/>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36"/>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36"/>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36"/>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36"/>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36"/>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36"/>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36"/>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36"/>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36"/>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36"/>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36"/>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36"/>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36"/>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36"/>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36"/>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36"/>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36"/>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36"/>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36"/>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36"/>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36"/>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36"/>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36"/>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36"/>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36"/>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36"/>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36"/>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36"/>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36"/>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36"/>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36"/>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36"/>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36"/>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36"/>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36"/>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36"/>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36"/>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36"/>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36"/>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36"/>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36"/>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36"/>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36"/>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36"/>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36"/>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36"/>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36"/>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36"/>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36"/>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36"/>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36"/>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36"/>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36"/>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36"/>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36"/>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36"/>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36"/>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36"/>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36"/>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36"/>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36"/>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36"/>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36"/>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36"/>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36"/>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36"/>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36"/>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36"/>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36"/>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36"/>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36"/>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36"/>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36"/>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36"/>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36"/>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36"/>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36"/>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36"/>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36"/>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36"/>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36"/>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36"/>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36"/>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36"/>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36"/>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36"/>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36"/>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36"/>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36"/>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36"/>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36"/>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36"/>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36"/>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36"/>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36"/>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36"/>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36"/>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36"/>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36"/>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36"/>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36"/>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36"/>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36"/>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36"/>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36"/>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36"/>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36"/>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36"/>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36"/>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36"/>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36"/>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36"/>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36"/>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36"/>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36"/>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36"/>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36"/>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36"/>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36"/>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36"/>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36"/>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36"/>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36"/>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36"/>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36"/>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36"/>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36"/>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36"/>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36"/>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36"/>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36"/>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36"/>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36"/>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36"/>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36"/>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36"/>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36"/>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36"/>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36"/>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36"/>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36"/>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36"/>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36"/>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36"/>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36"/>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36"/>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36"/>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36"/>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36"/>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36"/>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36"/>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36"/>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36"/>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36"/>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36"/>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36"/>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36"/>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36"/>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36"/>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36"/>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36"/>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36"/>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36"/>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36"/>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36"/>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36"/>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36"/>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36"/>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36"/>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36"/>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36"/>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36"/>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36"/>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36"/>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36"/>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36"/>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36"/>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36"/>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36"/>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36"/>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36"/>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36"/>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36"/>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36"/>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36"/>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36"/>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36"/>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36"/>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36"/>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36"/>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36"/>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36"/>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36"/>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36"/>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36"/>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36"/>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36"/>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36"/>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36"/>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36"/>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36"/>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36"/>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36"/>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36"/>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36"/>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36"/>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36"/>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36"/>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36"/>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36"/>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36"/>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36"/>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36"/>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36"/>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36"/>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36"/>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36"/>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36"/>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36"/>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36"/>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36"/>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36"/>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36"/>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36"/>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36"/>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36"/>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36"/>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36"/>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36"/>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36"/>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36"/>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36"/>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1:C1"/>
  </mergeCells>
  <conditionalFormatting sqref="B12:Z12">
    <cfRule type="notContainsBlanks" dxfId="0" priority="1">
      <formula>LEN(TRIM(B12))&gt;0</formula>
    </cfRule>
  </conditionalFormatting>
  <printOptions horizontalCentered="1"/>
  <pageMargins left="0.78740157480314965" right="0.78740157480314965" top="0.98425196850393704" bottom="0.98425196850393704" header="0" footer="0"/>
  <pageSetup paperSize="9"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ESTADOS FINANCIEROS</vt:lpstr>
      <vt:lpstr>EVALUACION RATIOS</vt:lpstr>
      <vt:lpstr>Formulas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Juárez</cp:lastModifiedBy>
  <dcterms:modified xsi:type="dcterms:W3CDTF">2025-04-08T18:21:00Z</dcterms:modified>
</cp:coreProperties>
</file>