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24226"/>
  <mc:AlternateContent xmlns:mc="http://schemas.openxmlformats.org/markup-compatibility/2006">
    <mc:Choice Requires="x15">
      <x15ac:absPath xmlns:x15ac="http://schemas.microsoft.com/office/spreadsheetml/2010/11/ac" url="/Users/edima/Documents/Coding/R/shiny/residential_rebate/"/>
    </mc:Choice>
  </mc:AlternateContent>
  <xr:revisionPtr revIDLastSave="0" documentId="13_ncr:1_{7FCE0E2B-5A65-DC4B-8285-E1530A601C41}" xr6:coauthVersionLast="45" xr6:coauthVersionMax="45" xr10:uidLastSave="{00000000-0000-0000-0000-000000000000}"/>
  <bookViews>
    <workbookView xWindow="2320" yWindow="500" windowWidth="25600" windowHeight="15540" tabRatio="846" xr2:uid="{00000000-000D-0000-FFFF-FFFF00000000}"/>
  </bookViews>
  <sheets>
    <sheet name="Data" sheetId="19" r:id="rId1"/>
    <sheet name="Ontario" sheetId="10" state="hidden" r:id="rId2"/>
    <sheet name="Chino" sheetId="11" state="hidden" r:id="rId3"/>
    <sheet name="Info" sheetId="18" r:id="rId4"/>
    <sheet name="Ontario Total" sheetId="9" r:id="rId5"/>
    <sheet name="Chino Total" sheetId="8" r:id="rId6"/>
  </sheets>
  <externalReferences>
    <externalReference r:id="rId7"/>
  </externalReferences>
  <definedNames>
    <definedName name="_xlnm.Print_Area" localSheetId="2">Chino!$A$143:$N$172</definedName>
    <definedName name="_xlnm.Print_Area" localSheetId="5">'Chino Total'!$A$41:$N$651,'Chino Total'!$1:$40</definedName>
    <definedName name="_xlnm.Print_Area" localSheetId="1">Ontario!$A$142:$N$173</definedName>
    <definedName name="_xlnm.Print_Area" localSheetId="4">'Ontario Total'!$A$41:$N$650,'Ontario Total'!$1:$40</definedName>
  </definedNames>
  <calcPr calcId="191029"/>
</workbook>
</file>

<file path=xl/calcChain.xml><?xml version="1.0" encoding="utf-8"?>
<calcChain xmlns="http://schemas.openxmlformats.org/spreadsheetml/2006/main">
  <c r="N477" i="19" l="1"/>
  <c r="N6" i="10"/>
  <c r="N7" i="10"/>
  <c r="N8" i="10"/>
  <c r="N9" i="10"/>
  <c r="N10" i="10"/>
  <c r="N11" i="10"/>
  <c r="N12" i="10"/>
  <c r="N13" i="10"/>
  <c r="N15" i="10"/>
  <c r="N16" i="10"/>
  <c r="N18" i="10"/>
  <c r="N19" i="10"/>
  <c r="N28" i="10" s="1"/>
  <c r="N20" i="10"/>
  <c r="N21" i="10"/>
  <c r="N22" i="10"/>
  <c r="N23" i="10"/>
  <c r="N24" i="10"/>
  <c r="N25" i="10"/>
  <c r="N26" i="10"/>
  <c r="N27" i="10"/>
  <c r="N30" i="10"/>
  <c r="N35" i="10" s="1"/>
  <c r="N31" i="10"/>
  <c r="N32" i="10"/>
  <c r="N33" i="10"/>
  <c r="N34" i="10"/>
  <c r="N41" i="10"/>
  <c r="N48" i="10" s="1"/>
  <c r="N42" i="10"/>
  <c r="N43" i="10"/>
  <c r="N44" i="10"/>
  <c r="N45" i="10"/>
  <c r="N50" i="10"/>
  <c r="N51" i="10" s="1"/>
  <c r="N53" i="10"/>
  <c r="N54" i="10"/>
  <c r="N55" i="10"/>
  <c r="N56" i="10"/>
  <c r="N57" i="10"/>
  <c r="N58" i="10"/>
  <c r="N59" i="10"/>
  <c r="N60" i="10"/>
  <c r="N61" i="10"/>
  <c r="N62" i="10"/>
  <c r="N63" i="10"/>
  <c r="N64" i="10"/>
  <c r="N65" i="10"/>
  <c r="N67" i="10"/>
  <c r="N68" i="10"/>
  <c r="N69" i="10"/>
  <c r="N70" i="10"/>
  <c r="N73" i="10" s="1"/>
  <c r="N71" i="10"/>
  <c r="N72" i="10"/>
  <c r="N79" i="10"/>
  <c r="N80" i="10"/>
  <c r="N81" i="10"/>
  <c r="N82" i="10"/>
  <c r="N83" i="10"/>
  <c r="N84" i="10"/>
  <c r="N85" i="10"/>
  <c r="N88" i="10"/>
  <c r="N89" i="10" s="1"/>
  <c r="N91" i="10"/>
  <c r="N92" i="10"/>
  <c r="N93" i="10"/>
  <c r="N103" i="10" s="1"/>
  <c r="N94" i="10"/>
  <c r="N95" i="10"/>
  <c r="N96" i="10"/>
  <c r="N97" i="10"/>
  <c r="N98" i="10"/>
  <c r="N99" i="10"/>
  <c r="N100" i="10"/>
  <c r="N101" i="10"/>
  <c r="N102" i="10"/>
  <c r="N105" i="10"/>
  <c r="N106" i="10"/>
  <c r="N111" i="10" s="1"/>
  <c r="N107" i="10"/>
  <c r="N108" i="10"/>
  <c r="N109" i="10"/>
  <c r="N110" i="10"/>
  <c r="N117" i="10"/>
  <c r="N118" i="10"/>
  <c r="N119" i="10"/>
  <c r="N124" i="10" s="1"/>
  <c r="N120" i="10"/>
  <c r="N121" i="10"/>
  <c r="N122" i="10"/>
  <c r="N123" i="10"/>
  <c r="N126" i="10"/>
  <c r="N127" i="10"/>
  <c r="N129" i="10"/>
  <c r="N140" i="10" s="1"/>
  <c r="N130" i="10"/>
  <c r="N131" i="10"/>
  <c r="N132" i="10"/>
  <c r="N133" i="10"/>
  <c r="N134" i="10"/>
  <c r="N135" i="10"/>
  <c r="N136" i="10"/>
  <c r="N137" i="10"/>
  <c r="N138" i="10"/>
  <c r="N139" i="10"/>
  <c r="N146" i="10"/>
  <c r="N153" i="10" s="1"/>
  <c r="N147" i="10"/>
  <c r="N148" i="10"/>
  <c r="N149" i="10"/>
  <c r="N150" i="10"/>
  <c r="N152" i="10"/>
  <c r="N157" i="10"/>
  <c r="N159" i="10"/>
  <c r="N160" i="10"/>
  <c r="N161" i="10"/>
  <c r="N162" i="10"/>
  <c r="N163" i="10"/>
  <c r="N164" i="10"/>
  <c r="N165" i="10"/>
  <c r="N166" i="10"/>
  <c r="N167" i="10"/>
  <c r="N168" i="10"/>
  <c r="N169" i="10"/>
  <c r="N171" i="10"/>
  <c r="N172" i="10"/>
  <c r="N178" i="10"/>
  <c r="N179" i="10"/>
  <c r="N180" i="10"/>
  <c r="N181" i="10"/>
  <c r="N187" i="10" s="1"/>
  <c r="N182" i="10"/>
  <c r="N184" i="10"/>
  <c r="N185" i="10"/>
  <c r="N186" i="10"/>
  <c r="N189" i="10"/>
  <c r="N190" i="10"/>
  <c r="N191" i="10"/>
  <c r="N193" i="10"/>
  <c r="N194" i="10"/>
  <c r="N195" i="10"/>
  <c r="N196" i="10"/>
  <c r="N197" i="10"/>
  <c r="N198" i="10"/>
  <c r="N199" i="10"/>
  <c r="N200" i="10"/>
  <c r="N201" i="10"/>
  <c r="N202" i="10"/>
  <c r="N203" i="10"/>
  <c r="N204" i="10"/>
  <c r="N205" i="10"/>
  <c r="N207" i="10"/>
  <c r="N208" i="10"/>
  <c r="N209" i="10"/>
  <c r="N215" i="10"/>
  <c r="N216" i="10"/>
  <c r="N217" i="10"/>
  <c r="N218" i="10"/>
  <c r="N225" i="10" s="1"/>
  <c r="N219" i="10"/>
  <c r="N220" i="10"/>
  <c r="N222" i="10"/>
  <c r="N223" i="10"/>
  <c r="N224" i="10"/>
  <c r="N227" i="10"/>
  <c r="N228" i="10"/>
  <c r="N229" i="10" s="1"/>
  <c r="N231" i="10"/>
  <c r="N232" i="10"/>
  <c r="N233" i="10"/>
  <c r="N248" i="10" s="1"/>
  <c r="N234" i="10"/>
  <c r="N235" i="10"/>
  <c r="N236" i="10"/>
  <c r="N237" i="10"/>
  <c r="N238" i="10"/>
  <c r="N239" i="10"/>
  <c r="N240" i="10"/>
  <c r="N241" i="10"/>
  <c r="N242" i="10"/>
  <c r="N243" i="10"/>
  <c r="N244" i="10"/>
  <c r="N246" i="10"/>
  <c r="N247" i="10"/>
  <c r="N253" i="10"/>
  <c r="N254" i="10"/>
  <c r="N264" i="10" s="1"/>
  <c r="N255" i="10"/>
  <c r="N256" i="10"/>
  <c r="N257" i="10"/>
  <c r="N258" i="10"/>
  <c r="N260" i="10"/>
  <c r="N261" i="10"/>
  <c r="N262" i="10"/>
  <c r="N263" i="10"/>
  <c r="N270" i="10"/>
  <c r="N271" i="10"/>
  <c r="N272" i="10"/>
  <c r="N287" i="10" s="1"/>
  <c r="N273" i="10"/>
  <c r="N274" i="10"/>
  <c r="N275" i="10"/>
  <c r="N276" i="10"/>
  <c r="N277" i="10"/>
  <c r="N278" i="10"/>
  <c r="N279" i="10"/>
  <c r="N280" i="10"/>
  <c r="N281" i="10"/>
  <c r="N282" i="10"/>
  <c r="N283" i="10"/>
  <c r="N286" i="10"/>
  <c r="N292" i="10"/>
  <c r="N293" i="10"/>
  <c r="N294" i="10"/>
  <c r="N304" i="10" s="1"/>
  <c r="N295" i="10"/>
  <c r="N296" i="10"/>
  <c r="N297" i="10"/>
  <c r="N298" i="10"/>
  <c r="N300" i="10"/>
  <c r="N301" i="10"/>
  <c r="N302" i="10"/>
  <c r="N303" i="10"/>
  <c r="N307" i="10"/>
  <c r="N308" i="10"/>
  <c r="N309" i="10"/>
  <c r="N321" i="10" s="1"/>
  <c r="N310" i="10"/>
  <c r="N311" i="10"/>
  <c r="N312" i="10"/>
  <c r="N313" i="10"/>
  <c r="N314" i="10"/>
  <c r="N315" i="10"/>
  <c r="N316" i="10"/>
  <c r="N317" i="10"/>
  <c r="N318" i="10"/>
  <c r="N320" i="10"/>
  <c r="N326" i="10"/>
  <c r="N327" i="10"/>
  <c r="N328" i="10"/>
  <c r="N329" i="10"/>
  <c r="N330" i="10"/>
  <c r="N331" i="10"/>
  <c r="N332" i="10"/>
  <c r="N333" i="10"/>
  <c r="N335" i="10"/>
  <c r="N336" i="10"/>
  <c r="N337" i="10"/>
  <c r="N338" i="10"/>
  <c r="N339" i="10"/>
  <c r="N341" i="10"/>
  <c r="N342" i="10"/>
  <c r="N343" i="10"/>
  <c r="N344" i="10"/>
  <c r="N355" i="10" s="1"/>
  <c r="N345" i="10"/>
  <c r="N346" i="10"/>
  <c r="N347" i="10"/>
  <c r="N348" i="10"/>
  <c r="N349" i="10"/>
  <c r="N350" i="10"/>
  <c r="N351" i="10"/>
  <c r="N352" i="10"/>
  <c r="N354" i="10"/>
  <c r="N360" i="10"/>
  <c r="N361" i="10"/>
  <c r="N373" i="10" s="1"/>
  <c r="N362" i="10"/>
  <c r="N363" i="10"/>
  <c r="N364" i="10"/>
  <c r="N365" i="10"/>
  <c r="N366" i="10"/>
  <c r="N367" i="10"/>
  <c r="N369" i="10"/>
  <c r="N370" i="10"/>
  <c r="N371" i="10"/>
  <c r="N372" i="10"/>
  <c r="N375" i="10"/>
  <c r="N389" i="10" s="1"/>
  <c r="N376" i="10"/>
  <c r="N377" i="10"/>
  <c r="N378" i="10"/>
  <c r="N379" i="10"/>
  <c r="N380" i="10"/>
  <c r="N381" i="10"/>
  <c r="N382" i="10"/>
  <c r="N383" i="10"/>
  <c r="N384" i="10"/>
  <c r="N385" i="10"/>
  <c r="N386" i="10"/>
  <c r="N388" i="10"/>
  <c r="N394" i="10"/>
  <c r="N395" i="10"/>
  <c r="N396" i="10"/>
  <c r="N397" i="10"/>
  <c r="N398" i="10"/>
  <c r="N399" i="10"/>
  <c r="N400" i="10"/>
  <c r="N401" i="10"/>
  <c r="N402" i="10"/>
  <c r="N403" i="10"/>
  <c r="N404" i="10"/>
  <c r="N405" i="10"/>
  <c r="N406" i="10"/>
  <c r="N408" i="10"/>
  <c r="N409" i="10"/>
  <c r="N410" i="10"/>
  <c r="N411" i="10"/>
  <c r="N412" i="10"/>
  <c r="N413" i="10"/>
  <c r="N414" i="10"/>
  <c r="N415" i="10"/>
  <c r="N416" i="10"/>
  <c r="N417" i="10"/>
  <c r="N418" i="10"/>
  <c r="N419" i="10"/>
  <c r="N420" i="10"/>
  <c r="N422" i="10"/>
  <c r="N428" i="10"/>
  <c r="N429" i="10"/>
  <c r="N430" i="10"/>
  <c r="N431" i="10"/>
  <c r="N432" i="10"/>
  <c r="N433" i="10"/>
  <c r="N434" i="10"/>
  <c r="N435" i="10"/>
  <c r="N436" i="10"/>
  <c r="N437" i="10"/>
  <c r="N438" i="10"/>
  <c r="N439" i="10"/>
  <c r="N440" i="10"/>
  <c r="N441" i="10"/>
  <c r="N443" i="10"/>
  <c r="N444" i="10"/>
  <c r="N445" i="10"/>
  <c r="N446" i="10"/>
  <c r="N447" i="10"/>
  <c r="N448" i="10"/>
  <c r="N449" i="10"/>
  <c r="N450" i="10"/>
  <c r="N451" i="10"/>
  <c r="N452" i="10"/>
  <c r="N453" i="10"/>
  <c r="N454" i="10"/>
  <c r="N455" i="10"/>
  <c r="N457" i="10"/>
  <c r="M6" i="8" l="1"/>
  <c r="M25" i="8"/>
  <c r="M31" i="9"/>
  <c r="M18" i="8"/>
  <c r="M17" i="8"/>
  <c r="M16" i="8"/>
  <c r="M15" i="8"/>
  <c r="M17" i="9"/>
  <c r="M16" i="9"/>
  <c r="M7" i="8"/>
  <c r="M9" i="8"/>
  <c r="M10" i="8"/>
  <c r="M10" i="9"/>
  <c r="F15" i="8" l="1"/>
  <c r="H15" i="8" s="1"/>
  <c r="F19" i="8" l="1"/>
  <c r="H19" i="8" s="1"/>
  <c r="L19" i="9" l="1"/>
  <c r="L19" i="8"/>
  <c r="K20" i="8" l="1"/>
  <c r="H25" i="8"/>
  <c r="L20" i="8"/>
  <c r="I20" i="8"/>
  <c r="B19" i="8"/>
  <c r="N441" i="11"/>
  <c r="J442" i="11"/>
  <c r="B442" i="11"/>
  <c r="B19" i="9"/>
  <c r="F19" i="9" s="1"/>
  <c r="H19" i="9" s="1"/>
  <c r="I20" i="9"/>
  <c r="I442" i="10"/>
  <c r="B442" i="10"/>
  <c r="J20" i="8"/>
  <c r="H20" i="8"/>
  <c r="F20" i="8"/>
  <c r="B20" i="8"/>
  <c r="D19" i="8"/>
  <c r="C442" i="11"/>
  <c r="D442" i="11"/>
  <c r="E442" i="11"/>
  <c r="F442" i="11"/>
  <c r="G442" i="11"/>
  <c r="H442" i="11"/>
  <c r="I442" i="11"/>
  <c r="K442" i="11"/>
  <c r="L442" i="11"/>
  <c r="M442" i="11"/>
  <c r="M442" i="10"/>
  <c r="C442" i="10"/>
  <c r="D442" i="10"/>
  <c r="E442" i="10"/>
  <c r="F442" i="10"/>
  <c r="G442" i="10"/>
  <c r="H442" i="10"/>
  <c r="J442" i="10"/>
  <c r="K442" i="10"/>
  <c r="L442" i="10"/>
  <c r="N442" i="10" l="1"/>
  <c r="D19" i="9"/>
  <c r="K8" i="9"/>
  <c r="L8" i="9" s="1"/>
  <c r="J8" i="9"/>
  <c r="K8" i="8"/>
  <c r="L8" i="8" s="1"/>
  <c r="J8" i="8"/>
  <c r="I31" i="9"/>
  <c r="H16" i="9" l="1"/>
  <c r="H16" i="8"/>
  <c r="F16" i="9"/>
  <c r="F16" i="8"/>
  <c r="L31" i="9"/>
  <c r="F31" i="9" l="1"/>
  <c r="F31" i="8"/>
  <c r="F26" i="9"/>
  <c r="F26" i="8"/>
  <c r="F8" i="9"/>
  <c r="F8" i="8"/>
  <c r="J16" i="9" l="1"/>
  <c r="F17" i="9" l="1"/>
  <c r="F17" i="8"/>
  <c r="J16" i="8" l="1"/>
  <c r="J18" i="9" l="1"/>
  <c r="J18" i="8"/>
  <c r="J17" i="9" l="1"/>
  <c r="J17" i="8"/>
  <c r="J15" i="9" l="1"/>
  <c r="J15" i="8"/>
  <c r="F10" i="9" l="1"/>
  <c r="F10" i="8"/>
  <c r="M458" i="11" l="1"/>
  <c r="L458" i="11"/>
  <c r="K458" i="11"/>
  <c r="J458" i="11"/>
  <c r="I458" i="11"/>
  <c r="H458" i="11"/>
  <c r="G458" i="11"/>
  <c r="F458" i="11"/>
  <c r="E458" i="11"/>
  <c r="D458" i="11"/>
  <c r="C458" i="11"/>
  <c r="B458" i="11"/>
  <c r="N457" i="11"/>
  <c r="N455" i="11"/>
  <c r="B33" i="8" s="1"/>
  <c r="F33" i="8" s="1"/>
  <c r="N454" i="11"/>
  <c r="B32" i="8" s="1"/>
  <c r="F32" i="8" s="1"/>
  <c r="N453" i="11"/>
  <c r="B31" i="8" s="1"/>
  <c r="N452" i="11"/>
  <c r="B30" i="8" s="1"/>
  <c r="F30" i="8" s="1"/>
  <c r="N451" i="11"/>
  <c r="B29" i="8" s="1"/>
  <c r="F29" i="8" s="1"/>
  <c r="N450" i="11"/>
  <c r="B28" i="8" s="1"/>
  <c r="F28" i="8" s="1"/>
  <c r="N449" i="11"/>
  <c r="B27" i="8" s="1"/>
  <c r="F27" i="8" s="1"/>
  <c r="N448" i="11"/>
  <c r="B26" i="8" s="1"/>
  <c r="N447" i="11"/>
  <c r="B25" i="8" s="1"/>
  <c r="F25" i="8" s="1"/>
  <c r="N446" i="11"/>
  <c r="B24" i="8" s="1"/>
  <c r="F24" i="8" s="1"/>
  <c r="N445" i="11"/>
  <c r="B23" i="8" s="1"/>
  <c r="F23" i="8" s="1"/>
  <c r="N444" i="11"/>
  <c r="B22" i="8" s="1"/>
  <c r="F22" i="8" s="1"/>
  <c r="N440" i="11"/>
  <c r="B18" i="8" s="1"/>
  <c r="F18" i="8" s="1"/>
  <c r="N439" i="11"/>
  <c r="B17" i="8" s="1"/>
  <c r="N438" i="11"/>
  <c r="B16" i="8" s="1"/>
  <c r="N437" i="11"/>
  <c r="B15" i="8" s="1"/>
  <c r="N435" i="11"/>
  <c r="B13" i="8" s="1"/>
  <c r="N434" i="11"/>
  <c r="B12" i="8" s="1"/>
  <c r="N433" i="11"/>
  <c r="B11" i="8" s="1"/>
  <c r="N432" i="11"/>
  <c r="B10" i="8" s="1"/>
  <c r="N431" i="11"/>
  <c r="B9" i="8" s="1"/>
  <c r="F9" i="8" s="1"/>
  <c r="N430" i="11"/>
  <c r="B8" i="8" s="1"/>
  <c r="N429" i="11"/>
  <c r="B7" i="8" s="1"/>
  <c r="F7" i="8" s="1"/>
  <c r="N428" i="11"/>
  <c r="B6" i="8" s="1"/>
  <c r="F6" i="8" s="1"/>
  <c r="K26" i="8" l="1"/>
  <c r="J26" i="8"/>
  <c r="D10" i="8" l="1"/>
  <c r="J25" i="8"/>
  <c r="J29" i="8"/>
  <c r="J30" i="8"/>
  <c r="J9" i="8"/>
  <c r="C407" i="11"/>
  <c r="M407" i="11"/>
  <c r="L407" i="11"/>
  <c r="K407" i="11"/>
  <c r="J407" i="11"/>
  <c r="I407" i="11"/>
  <c r="H407" i="11"/>
  <c r="G407" i="11"/>
  <c r="F407" i="11"/>
  <c r="E407" i="11"/>
  <c r="D407" i="11"/>
  <c r="B407" i="11"/>
  <c r="I36" i="8"/>
  <c r="F35" i="8"/>
  <c r="F34" i="8"/>
  <c r="J32" i="8"/>
  <c r="L31" i="8"/>
  <c r="H31" i="8"/>
  <c r="D31" i="8"/>
  <c r="K29" i="8"/>
  <c r="K28" i="8"/>
  <c r="J28" i="8"/>
  <c r="K27" i="8"/>
  <c r="J27" i="8"/>
  <c r="L26" i="8"/>
  <c r="H26" i="8"/>
  <c r="K25" i="8"/>
  <c r="K24" i="8"/>
  <c r="J24" i="8"/>
  <c r="K23" i="8"/>
  <c r="J23" i="8"/>
  <c r="K22" i="8"/>
  <c r="D22" i="8"/>
  <c r="J22" i="8"/>
  <c r="H17" i="8"/>
  <c r="D17" i="8"/>
  <c r="D16" i="8"/>
  <c r="D15" i="8"/>
  <c r="D20" i="8" s="1"/>
  <c r="F13" i="8"/>
  <c r="K13" i="8"/>
  <c r="D12" i="8"/>
  <c r="K12" i="8"/>
  <c r="F11" i="8"/>
  <c r="L10" i="8"/>
  <c r="H10" i="8"/>
  <c r="K9" i="8"/>
  <c r="I8" i="8"/>
  <c r="D8" i="8"/>
  <c r="K7" i="8"/>
  <c r="B407" i="10"/>
  <c r="C407" i="10"/>
  <c r="D407" i="10"/>
  <c r="E407" i="10"/>
  <c r="F407" i="10"/>
  <c r="G407" i="10"/>
  <c r="H407" i="10"/>
  <c r="I407" i="10"/>
  <c r="J407" i="10"/>
  <c r="K407" i="10"/>
  <c r="L407" i="10"/>
  <c r="M407" i="10"/>
  <c r="I36" i="9"/>
  <c r="F35" i="9"/>
  <c r="F34" i="9"/>
  <c r="H31" i="9"/>
  <c r="D31" i="9"/>
  <c r="H17" i="9"/>
  <c r="D17" i="9"/>
  <c r="D16" i="9"/>
  <c r="D12" i="9"/>
  <c r="L10" i="9"/>
  <c r="H10" i="9"/>
  <c r="D10" i="9"/>
  <c r="I8" i="9"/>
  <c r="M458" i="10"/>
  <c r="L458" i="10"/>
  <c r="K458" i="10"/>
  <c r="J458" i="10"/>
  <c r="I458" i="10"/>
  <c r="H458" i="10"/>
  <c r="G458" i="10"/>
  <c r="F458" i="10"/>
  <c r="E458" i="10"/>
  <c r="D458" i="10"/>
  <c r="C458" i="10"/>
  <c r="B458" i="10"/>
  <c r="B33" i="9"/>
  <c r="F33" i="9" s="1"/>
  <c r="B32" i="9"/>
  <c r="F32" i="9" s="1"/>
  <c r="B31" i="9"/>
  <c r="B30" i="9"/>
  <c r="F30" i="9" s="1"/>
  <c r="B29" i="9"/>
  <c r="B28" i="9"/>
  <c r="F28" i="9" s="1"/>
  <c r="B27" i="9"/>
  <c r="F27" i="9" s="1"/>
  <c r="B26" i="9"/>
  <c r="B25" i="9"/>
  <c r="B24" i="9"/>
  <c r="F24" i="9" s="1"/>
  <c r="B23" i="9"/>
  <c r="F23" i="9" s="1"/>
  <c r="B22" i="9"/>
  <c r="F22" i="9" s="1"/>
  <c r="B18" i="9"/>
  <c r="F18" i="9" s="1"/>
  <c r="M18" i="9" s="1"/>
  <c r="B17" i="9"/>
  <c r="B16" i="9"/>
  <c r="B15" i="9"/>
  <c r="F15" i="9" s="1"/>
  <c r="B13" i="9"/>
  <c r="B12" i="9"/>
  <c r="K12" i="9" s="1"/>
  <c r="B11" i="9"/>
  <c r="F11" i="9" s="1"/>
  <c r="B10" i="9"/>
  <c r="B9" i="9"/>
  <c r="F9" i="9" s="1"/>
  <c r="B8" i="9"/>
  <c r="B7" i="9"/>
  <c r="F7" i="9" s="1"/>
  <c r="B6" i="9"/>
  <c r="B20" i="9" l="1"/>
  <c r="N407" i="10"/>
  <c r="H15" i="9"/>
  <c r="M15" i="9"/>
  <c r="D15" i="9"/>
  <c r="F6" i="9"/>
  <c r="K25" i="9"/>
  <c r="J25" i="9"/>
  <c r="M25" i="9" s="1"/>
  <c r="F25" i="9"/>
  <c r="D25" i="9" s="1"/>
  <c r="K29" i="9"/>
  <c r="J29" i="9"/>
  <c r="F29" i="9"/>
  <c r="H29" i="9" s="1"/>
  <c r="K28" i="9"/>
  <c r="H28" i="9"/>
  <c r="D30" i="9"/>
  <c r="K27" i="9"/>
  <c r="H24" i="9"/>
  <c r="K24" i="9"/>
  <c r="J27" i="9"/>
  <c r="F13" i="9"/>
  <c r="D13" i="9" s="1"/>
  <c r="K23" i="9"/>
  <c r="J23" i="9"/>
  <c r="D32" i="9"/>
  <c r="J24" i="9"/>
  <c r="D26" i="9"/>
  <c r="H26" i="9"/>
  <c r="D8" i="9"/>
  <c r="D26" i="8"/>
  <c r="J28" i="9"/>
  <c r="K22" i="9"/>
  <c r="J22" i="9"/>
  <c r="M22" i="9" s="1"/>
  <c r="B36" i="9"/>
  <c r="J9" i="9"/>
  <c r="M9" i="9" s="1"/>
  <c r="K9" i="9"/>
  <c r="K6" i="9"/>
  <c r="K7" i="9"/>
  <c r="J7" i="9"/>
  <c r="M7" i="9" s="1"/>
  <c r="H28" i="8"/>
  <c r="H30" i="8"/>
  <c r="H24" i="8"/>
  <c r="H27" i="8"/>
  <c r="L28" i="8"/>
  <c r="H23" i="8"/>
  <c r="L27" i="8"/>
  <c r="H29" i="8"/>
  <c r="H9" i="8"/>
  <c r="D13" i="8"/>
  <c r="L29" i="8"/>
  <c r="K30" i="8"/>
  <c r="D23" i="8"/>
  <c r="D24" i="8"/>
  <c r="D25" i="8"/>
  <c r="D27" i="8"/>
  <c r="D28" i="8"/>
  <c r="D29" i="8"/>
  <c r="D30" i="8"/>
  <c r="H18" i="8"/>
  <c r="D18" i="8"/>
  <c r="D9" i="8"/>
  <c r="L9" i="8"/>
  <c r="H23" i="9"/>
  <c r="D27" i="9"/>
  <c r="J30" i="9"/>
  <c r="K30" i="9"/>
  <c r="D23" i="9"/>
  <c r="H27" i="9"/>
  <c r="D24" i="9"/>
  <c r="H30" i="9"/>
  <c r="K13" i="9"/>
  <c r="L23" i="8"/>
  <c r="L24" i="8"/>
  <c r="L25" i="8"/>
  <c r="H33" i="8"/>
  <c r="D33" i="8"/>
  <c r="M35" i="8"/>
  <c r="D35" i="8"/>
  <c r="H35" i="8"/>
  <c r="H11" i="8"/>
  <c r="D11" i="8"/>
  <c r="J11" i="8"/>
  <c r="B36" i="8"/>
  <c r="J6" i="8"/>
  <c r="I7" i="8"/>
  <c r="K11" i="8"/>
  <c r="H13" i="8"/>
  <c r="L22" i="8"/>
  <c r="K32" i="8"/>
  <c r="K33" i="8"/>
  <c r="J33" i="8"/>
  <c r="H8" i="8"/>
  <c r="K6" i="8"/>
  <c r="J7" i="8"/>
  <c r="J12" i="8"/>
  <c r="J13" i="8"/>
  <c r="H22" i="8"/>
  <c r="K35" i="8"/>
  <c r="J35" i="8" s="1"/>
  <c r="H11" i="9"/>
  <c r="D11" i="9"/>
  <c r="M35" i="9"/>
  <c r="D35" i="9"/>
  <c r="H35" i="9"/>
  <c r="H33" i="9"/>
  <c r="D33" i="9"/>
  <c r="H32" i="9"/>
  <c r="J32" i="9"/>
  <c r="J33" i="9"/>
  <c r="M33" i="9" s="1"/>
  <c r="J6" i="9"/>
  <c r="H8" i="9"/>
  <c r="K11" i="9"/>
  <c r="K32" i="9"/>
  <c r="K33" i="9"/>
  <c r="J13" i="9"/>
  <c r="K35" i="9"/>
  <c r="J35" i="9" s="1"/>
  <c r="J11" i="9"/>
  <c r="J12" i="9"/>
  <c r="K20" i="9" l="1"/>
  <c r="L7" i="9"/>
  <c r="F20" i="9"/>
  <c r="M6" i="9"/>
  <c r="J20" i="9"/>
  <c r="L24" i="9"/>
  <c r="L30" i="9"/>
  <c r="L29" i="9"/>
  <c r="M29" i="9"/>
  <c r="L27" i="9"/>
  <c r="L28" i="9"/>
  <c r="D29" i="9"/>
  <c r="L22" i="9"/>
  <c r="L23" i="9"/>
  <c r="L9" i="9"/>
  <c r="H13" i="9"/>
  <c r="D28" i="9"/>
  <c r="H18" i="9"/>
  <c r="D18" i="9"/>
  <c r="L25" i="9"/>
  <c r="H22" i="9"/>
  <c r="D22" i="9"/>
  <c r="D36" i="9" s="1"/>
  <c r="F36" i="9"/>
  <c r="H25" i="9"/>
  <c r="L32" i="8"/>
  <c r="L30" i="8"/>
  <c r="F36" i="8"/>
  <c r="J36" i="8"/>
  <c r="L12" i="8"/>
  <c r="L13" i="8"/>
  <c r="L11" i="8"/>
  <c r="L33" i="8"/>
  <c r="B37" i="8"/>
  <c r="L7" i="8"/>
  <c r="K36" i="9"/>
  <c r="J36" i="9"/>
  <c r="B37" i="9"/>
  <c r="L13" i="9"/>
  <c r="L12" i="9"/>
  <c r="L6" i="9"/>
  <c r="L6" i="8"/>
  <c r="I37" i="8"/>
  <c r="L36" i="8"/>
  <c r="D7" i="8"/>
  <c r="H7" i="8"/>
  <c r="H32" i="8"/>
  <c r="D32" i="8"/>
  <c r="D6" i="8"/>
  <c r="H6" i="8"/>
  <c r="H36" i="8"/>
  <c r="K36" i="8"/>
  <c r="L33" i="9"/>
  <c r="D7" i="9"/>
  <c r="H7" i="9"/>
  <c r="L11" i="9"/>
  <c r="D6" i="9"/>
  <c r="D20" i="9" s="1"/>
  <c r="H6" i="9"/>
  <c r="L32" i="9"/>
  <c r="H9" i="9"/>
  <c r="D9" i="9"/>
  <c r="D55" i="9"/>
  <c r="H20" i="9" l="1"/>
  <c r="L20" i="9"/>
  <c r="H36" i="9"/>
  <c r="F37" i="8"/>
  <c r="F37" i="9"/>
  <c r="J37" i="8"/>
  <c r="D36" i="8"/>
  <c r="H37" i="8"/>
  <c r="I37" i="9"/>
  <c r="J37" i="9"/>
  <c r="K37" i="9"/>
  <c r="K37" i="8"/>
  <c r="L36" i="9"/>
  <c r="D37" i="8" l="1"/>
  <c r="H37" i="9"/>
  <c r="D37" i="9"/>
  <c r="L37" i="8"/>
  <c r="L37" i="9"/>
  <c r="K65" i="8" l="1"/>
  <c r="J65" i="8"/>
  <c r="F65" i="8"/>
  <c r="K65" i="9"/>
  <c r="J65" i="9"/>
  <c r="F65" i="9"/>
  <c r="F48" i="9"/>
  <c r="K48" i="9"/>
  <c r="J48" i="9"/>
  <c r="I48" i="9"/>
  <c r="H48" i="9"/>
  <c r="J48" i="8"/>
  <c r="K48" i="8"/>
  <c r="I48" i="8"/>
  <c r="F48" i="8"/>
  <c r="D48" i="8" s="1"/>
  <c r="L65" i="9" l="1"/>
  <c r="F57" i="9" l="1"/>
  <c r="D56" i="9" l="1"/>
  <c r="F57" i="8" l="1"/>
  <c r="D52" i="9"/>
  <c r="F73" i="9"/>
  <c r="H50" i="8"/>
  <c r="L70" i="8"/>
  <c r="M70" i="8" s="1"/>
  <c r="L70" i="9"/>
  <c r="M70" i="9" s="1"/>
  <c r="D56" i="8" l="1"/>
  <c r="B64" i="9"/>
  <c r="B68" i="9"/>
  <c r="B55" i="9"/>
  <c r="I55" i="9" s="1"/>
  <c r="L55" i="9" s="1"/>
  <c r="B109" i="9"/>
  <c r="B56" i="9"/>
  <c r="B49" i="9"/>
  <c r="B47" i="9"/>
  <c r="B48" i="9"/>
  <c r="B50" i="9"/>
  <c r="B51" i="9"/>
  <c r="F51" i="9" s="1"/>
  <c r="B52" i="9"/>
  <c r="K52" i="9" s="1"/>
  <c r="B53" i="9"/>
  <c r="F53" i="9" s="1"/>
  <c r="H53" i="9" s="1"/>
  <c r="B58" i="9"/>
  <c r="B46" i="9"/>
  <c r="F46" i="9" s="1"/>
  <c r="D46" i="9" s="1"/>
  <c r="B74" i="9"/>
  <c r="F74" i="9" s="1"/>
  <c r="M423" i="10"/>
  <c r="L423" i="10"/>
  <c r="K423" i="10"/>
  <c r="J423" i="10"/>
  <c r="I423" i="10"/>
  <c r="H423" i="10"/>
  <c r="G423" i="10"/>
  <c r="F423" i="10"/>
  <c r="E423" i="10"/>
  <c r="D423" i="10"/>
  <c r="C423" i="10"/>
  <c r="B423" i="10"/>
  <c r="B72" i="9"/>
  <c r="B71" i="9"/>
  <c r="B70" i="9"/>
  <c r="B69" i="9"/>
  <c r="B67" i="9"/>
  <c r="B66" i="9"/>
  <c r="B65" i="9"/>
  <c r="B63" i="9"/>
  <c r="B62" i="9"/>
  <c r="B61" i="9"/>
  <c r="M423" i="11"/>
  <c r="L423" i="11"/>
  <c r="K423" i="11"/>
  <c r="J423" i="11"/>
  <c r="I423" i="11"/>
  <c r="H423" i="11"/>
  <c r="G423" i="11"/>
  <c r="F423" i="11"/>
  <c r="E423" i="11"/>
  <c r="D423" i="11"/>
  <c r="C423" i="11"/>
  <c r="B423" i="11"/>
  <c r="N422" i="11"/>
  <c r="B74" i="8" s="1"/>
  <c r="N420" i="11"/>
  <c r="B72" i="8" s="1"/>
  <c r="N419" i="11"/>
  <c r="B71" i="8" s="1"/>
  <c r="N418" i="11"/>
  <c r="B70" i="8" s="1"/>
  <c r="N417" i="11"/>
  <c r="B69" i="8" s="1"/>
  <c r="N416" i="11"/>
  <c r="B68" i="8" s="1"/>
  <c r="N415" i="11"/>
  <c r="B67" i="8" s="1"/>
  <c r="N414" i="11"/>
  <c r="B66" i="8" s="1"/>
  <c r="N413" i="11"/>
  <c r="B65" i="8" s="1"/>
  <c r="N412" i="11"/>
  <c r="B64" i="8" s="1"/>
  <c r="N411" i="11"/>
  <c r="B63" i="8" s="1"/>
  <c r="N410" i="11"/>
  <c r="B62" i="8" s="1"/>
  <c r="N409" i="11"/>
  <c r="B61" i="8" s="1"/>
  <c r="N406" i="11"/>
  <c r="B58" i="8" s="1"/>
  <c r="N405" i="11"/>
  <c r="B57" i="8" s="1"/>
  <c r="N404" i="11"/>
  <c r="B56" i="8" s="1"/>
  <c r="N403" i="11"/>
  <c r="N401" i="11"/>
  <c r="N400" i="11"/>
  <c r="N399" i="11"/>
  <c r="B51" i="8" s="1"/>
  <c r="N398" i="11"/>
  <c r="B50" i="8" s="1"/>
  <c r="N397" i="11"/>
  <c r="B49" i="8" s="1"/>
  <c r="N396" i="11"/>
  <c r="B48" i="8" s="1"/>
  <c r="N395" i="11"/>
  <c r="B47" i="8" s="1"/>
  <c r="N394" i="11"/>
  <c r="I75" i="9"/>
  <c r="H70" i="9"/>
  <c r="D70" i="9"/>
  <c r="H57" i="9"/>
  <c r="D57" i="9"/>
  <c r="H50" i="9"/>
  <c r="D50" i="9"/>
  <c r="I75" i="8"/>
  <c r="H70" i="8"/>
  <c r="D70" i="8"/>
  <c r="D52" i="8"/>
  <c r="D50" i="8"/>
  <c r="D65" i="8"/>
  <c r="D55" i="8"/>
  <c r="H55" i="8"/>
  <c r="H51" i="9"/>
  <c r="H57" i="8"/>
  <c r="D57" i="8"/>
  <c r="H48" i="8"/>
  <c r="D51" i="9"/>
  <c r="H65" i="8"/>
  <c r="D48" i="9"/>
  <c r="H55" i="9"/>
  <c r="F97" i="8"/>
  <c r="D97" i="8" s="1"/>
  <c r="F97" i="9"/>
  <c r="H96" i="9"/>
  <c r="M110" i="9"/>
  <c r="I115" i="9"/>
  <c r="H110" i="9"/>
  <c r="D110" i="9"/>
  <c r="D96" i="9"/>
  <c r="D92" i="9"/>
  <c r="H90" i="9"/>
  <c r="D90" i="9"/>
  <c r="I115" i="8"/>
  <c r="H110" i="8"/>
  <c r="D110" i="8"/>
  <c r="D96" i="8"/>
  <c r="D92" i="8"/>
  <c r="H90" i="8"/>
  <c r="D90" i="8"/>
  <c r="M389" i="11"/>
  <c r="L389" i="11"/>
  <c r="K389" i="11"/>
  <c r="J389" i="11"/>
  <c r="I389" i="11"/>
  <c r="H389" i="11"/>
  <c r="G389" i="11"/>
  <c r="F389" i="11"/>
  <c r="E389" i="11"/>
  <c r="D389" i="11"/>
  <c r="C389" i="11"/>
  <c r="B389" i="11"/>
  <c r="N388" i="11"/>
  <c r="B114" i="8" s="1"/>
  <c r="N386" i="11"/>
  <c r="B112" i="8" s="1"/>
  <c r="F112" i="8" s="1"/>
  <c r="N385" i="11"/>
  <c r="B111" i="8" s="1"/>
  <c r="K111" i="8" s="1"/>
  <c r="N384" i="11"/>
  <c r="B110" i="8"/>
  <c r="K110" i="8" s="1"/>
  <c r="N383" i="11"/>
  <c r="B109" i="8" s="1"/>
  <c r="N382" i="11"/>
  <c r="B108" i="8" s="1"/>
  <c r="N381" i="11"/>
  <c r="B107" i="8" s="1"/>
  <c r="F107" i="8" s="1"/>
  <c r="D107" i="8" s="1"/>
  <c r="N380" i="11"/>
  <c r="B106" i="8" s="1"/>
  <c r="J106" i="8" s="1"/>
  <c r="N379" i="11"/>
  <c r="B105" i="8" s="1"/>
  <c r="J105" i="8" s="1"/>
  <c r="N378" i="11"/>
  <c r="B104" i="8" s="1"/>
  <c r="K104" i="8" s="1"/>
  <c r="N377" i="11"/>
  <c r="B103" i="8" s="1"/>
  <c r="N376" i="11"/>
  <c r="B102" i="8" s="1"/>
  <c r="N375" i="11"/>
  <c r="B101" i="8" s="1"/>
  <c r="K101" i="8" s="1"/>
  <c r="M373" i="11"/>
  <c r="L373" i="11"/>
  <c r="K373" i="11"/>
  <c r="J373" i="11"/>
  <c r="I373" i="11"/>
  <c r="H373" i="11"/>
  <c r="G373" i="11"/>
  <c r="F373" i="11"/>
  <c r="E373" i="11"/>
  <c r="D373" i="11"/>
  <c r="C373" i="11"/>
  <c r="B373" i="11"/>
  <c r="N372" i="11"/>
  <c r="B98" i="8" s="1"/>
  <c r="K98" i="8" s="1"/>
  <c r="N371" i="11"/>
  <c r="B97" i="8" s="1"/>
  <c r="N370" i="11"/>
  <c r="B96" i="8" s="1"/>
  <c r="N369" i="11"/>
  <c r="B95" i="8" s="1"/>
  <c r="F95" i="8" s="1"/>
  <c r="D95" i="8" s="1"/>
  <c r="N367" i="11"/>
  <c r="B93" i="8" s="1"/>
  <c r="N366" i="11"/>
  <c r="B92" i="8" s="1"/>
  <c r="N365" i="11"/>
  <c r="B91" i="8" s="1"/>
  <c r="F91" i="8" s="1"/>
  <c r="D91" i="8" s="1"/>
  <c r="N364" i="11"/>
  <c r="B90" i="8" s="1"/>
  <c r="N363" i="11"/>
  <c r="B89" i="8" s="1"/>
  <c r="N362" i="11"/>
  <c r="B88" i="8" s="1"/>
  <c r="I88" i="8" s="1"/>
  <c r="N361" i="11"/>
  <c r="B87" i="8" s="1"/>
  <c r="I87" i="8" s="1"/>
  <c r="N360" i="11"/>
  <c r="B86" i="8" s="1"/>
  <c r="K86" i="8" s="1"/>
  <c r="M389" i="10"/>
  <c r="L389" i="10"/>
  <c r="K389" i="10"/>
  <c r="J389" i="10"/>
  <c r="I389" i="10"/>
  <c r="H389" i="10"/>
  <c r="G389" i="10"/>
  <c r="F389" i="10"/>
  <c r="E389" i="10"/>
  <c r="D389" i="10"/>
  <c r="C389" i="10"/>
  <c r="B389" i="10"/>
  <c r="B114" i="9"/>
  <c r="K114" i="9" s="1"/>
  <c r="J114" i="9" s="1"/>
  <c r="B112" i="9"/>
  <c r="B111" i="9"/>
  <c r="J111" i="9" s="1"/>
  <c r="B110" i="9"/>
  <c r="B108" i="9"/>
  <c r="K108" i="9" s="1"/>
  <c r="B107" i="9"/>
  <c r="B106" i="9"/>
  <c r="J106" i="9" s="1"/>
  <c r="B105" i="9"/>
  <c r="F105" i="9" s="1"/>
  <c r="B104" i="9"/>
  <c r="J104" i="9" s="1"/>
  <c r="B103" i="9"/>
  <c r="J103" i="9" s="1"/>
  <c r="B102" i="9"/>
  <c r="M373" i="10"/>
  <c r="L373" i="10"/>
  <c r="K373" i="10"/>
  <c r="J373" i="10"/>
  <c r="I373" i="10"/>
  <c r="H373" i="10"/>
  <c r="G373" i="10"/>
  <c r="F373" i="10"/>
  <c r="E373" i="10"/>
  <c r="D373" i="10"/>
  <c r="C373" i="10"/>
  <c r="B373" i="10"/>
  <c r="B98" i="9"/>
  <c r="F98" i="9" s="1"/>
  <c r="D98" i="9" s="1"/>
  <c r="B97" i="9"/>
  <c r="B96" i="9"/>
  <c r="B95" i="9"/>
  <c r="K95" i="9" s="1"/>
  <c r="J95" i="9" s="1"/>
  <c r="B93" i="9"/>
  <c r="B92" i="9"/>
  <c r="B91" i="9"/>
  <c r="J91" i="9" s="1"/>
  <c r="B90" i="9"/>
  <c r="K90" i="9" s="1"/>
  <c r="B88" i="9"/>
  <c r="F88" i="9" s="1"/>
  <c r="D88" i="9" s="1"/>
  <c r="B87" i="9"/>
  <c r="B86" i="9"/>
  <c r="F86" i="9" s="1"/>
  <c r="K98" i="9"/>
  <c r="J104" i="8"/>
  <c r="F108" i="9"/>
  <c r="H108" i="9" s="1"/>
  <c r="K107" i="8"/>
  <c r="J88" i="8"/>
  <c r="F114" i="9"/>
  <c r="H107" i="8"/>
  <c r="L150" i="8"/>
  <c r="M150" i="8" s="1"/>
  <c r="L150" i="9"/>
  <c r="M150" i="9" s="1"/>
  <c r="H98" i="9"/>
  <c r="K139" i="9"/>
  <c r="L135" i="8"/>
  <c r="L136" i="8"/>
  <c r="M136" i="8" s="1"/>
  <c r="L137" i="8"/>
  <c r="M137" i="8" s="1"/>
  <c r="L138" i="8"/>
  <c r="M138" i="8" s="1"/>
  <c r="L141" i="8"/>
  <c r="L142" i="8"/>
  <c r="L143" i="8"/>
  <c r="L144" i="8"/>
  <c r="L145" i="8"/>
  <c r="L146" i="8"/>
  <c r="L147" i="8"/>
  <c r="L148" i="8"/>
  <c r="L149" i="8"/>
  <c r="L151" i="8"/>
  <c r="L152" i="8"/>
  <c r="L129" i="8"/>
  <c r="L130" i="8"/>
  <c r="M130" i="8" s="1"/>
  <c r="L131" i="8"/>
  <c r="L132" i="8"/>
  <c r="L133" i="8"/>
  <c r="L126" i="8"/>
  <c r="L142" i="9"/>
  <c r="L143" i="9"/>
  <c r="L144" i="9"/>
  <c r="L145" i="9"/>
  <c r="L146" i="9"/>
  <c r="L147" i="9"/>
  <c r="L148" i="9"/>
  <c r="L149" i="9"/>
  <c r="L151" i="9"/>
  <c r="L152" i="9"/>
  <c r="L141" i="9"/>
  <c r="L126" i="9"/>
  <c r="L129" i="9"/>
  <c r="L130" i="9"/>
  <c r="L131" i="9"/>
  <c r="L132" i="9"/>
  <c r="M132" i="9" s="1"/>
  <c r="L133" i="9"/>
  <c r="L135" i="9"/>
  <c r="L136" i="9"/>
  <c r="M136" i="9" s="1"/>
  <c r="L137" i="9"/>
  <c r="L138" i="9"/>
  <c r="M137" i="9"/>
  <c r="M138" i="9"/>
  <c r="M130" i="9"/>
  <c r="M132" i="8"/>
  <c r="I155" i="8"/>
  <c r="I325" i="8"/>
  <c r="F259" i="8"/>
  <c r="J139" i="9"/>
  <c r="J139" i="8"/>
  <c r="K139" i="8"/>
  <c r="D177" i="9"/>
  <c r="D138" i="9"/>
  <c r="N332" i="11"/>
  <c r="B132" i="8" s="1"/>
  <c r="D339" i="10"/>
  <c r="E339" i="10"/>
  <c r="F339" i="10"/>
  <c r="G339" i="10"/>
  <c r="H339" i="10"/>
  <c r="I339" i="10"/>
  <c r="J339" i="10"/>
  <c r="K339" i="10"/>
  <c r="L339" i="10"/>
  <c r="M339" i="10"/>
  <c r="C339" i="10"/>
  <c r="B339" i="10"/>
  <c r="B132" i="9"/>
  <c r="D132" i="9"/>
  <c r="D132" i="8"/>
  <c r="D130" i="8"/>
  <c r="H150" i="8"/>
  <c r="H137" i="9"/>
  <c r="M355" i="11"/>
  <c r="L355" i="11"/>
  <c r="K355" i="11"/>
  <c r="J355" i="11"/>
  <c r="I355" i="11"/>
  <c r="H355" i="11"/>
  <c r="G355" i="11"/>
  <c r="F355" i="11"/>
  <c r="E355" i="11"/>
  <c r="D355" i="11"/>
  <c r="C355" i="11"/>
  <c r="B355" i="11"/>
  <c r="M339" i="11"/>
  <c r="L339" i="11"/>
  <c r="K339" i="11"/>
  <c r="J339" i="11"/>
  <c r="I339" i="11"/>
  <c r="H339" i="11"/>
  <c r="G339" i="11"/>
  <c r="F339" i="11"/>
  <c r="E339" i="11"/>
  <c r="D339" i="11"/>
  <c r="C339" i="11"/>
  <c r="B339" i="11"/>
  <c r="N330" i="11"/>
  <c r="B130" i="8" s="1"/>
  <c r="N354" i="11"/>
  <c r="N352" i="11"/>
  <c r="B152" i="8" s="1"/>
  <c r="F152" i="8" s="1"/>
  <c r="H152" i="8" s="1"/>
  <c r="N351" i="11"/>
  <c r="B151" i="8" s="1"/>
  <c r="F151" i="8" s="1"/>
  <c r="D151" i="8" s="1"/>
  <c r="N350" i="11"/>
  <c r="B150" i="8" s="1"/>
  <c r="N349" i="11"/>
  <c r="N348" i="11"/>
  <c r="B148" i="8" s="1"/>
  <c r="F148" i="8" s="1"/>
  <c r="N347" i="11"/>
  <c r="B147" i="8" s="1"/>
  <c r="F147" i="8" s="1"/>
  <c r="N346" i="11"/>
  <c r="B146" i="8" s="1"/>
  <c r="F146" i="8" s="1"/>
  <c r="N345" i="11"/>
  <c r="N344" i="11"/>
  <c r="B144" i="8" s="1"/>
  <c r="F144" i="8" s="1"/>
  <c r="H144" i="8" s="1"/>
  <c r="N343" i="11"/>
  <c r="B143" i="8" s="1"/>
  <c r="F143" i="8" s="1"/>
  <c r="N342" i="11"/>
  <c r="B142" i="8" s="1"/>
  <c r="N341" i="11"/>
  <c r="N338" i="11"/>
  <c r="B138" i="8" s="1"/>
  <c r="N337" i="11"/>
  <c r="B137" i="8" s="1"/>
  <c r="N336" i="11"/>
  <c r="B136" i="8" s="1"/>
  <c r="N335" i="11"/>
  <c r="B135" i="8" s="1"/>
  <c r="F135" i="8" s="1"/>
  <c r="M135" i="8" s="1"/>
  <c r="N333" i="11"/>
  <c r="B133" i="8" s="1"/>
  <c r="F133" i="8" s="1"/>
  <c r="N331" i="11"/>
  <c r="B131" i="8" s="1"/>
  <c r="F131" i="8" s="1"/>
  <c r="N329" i="11"/>
  <c r="B129" i="8" s="1"/>
  <c r="F129" i="8" s="1"/>
  <c r="N328" i="11"/>
  <c r="N327" i="11"/>
  <c r="B127" i="8" s="1"/>
  <c r="N326" i="11"/>
  <c r="B126" i="8" s="1"/>
  <c r="B355" i="10"/>
  <c r="I362" i="8"/>
  <c r="B141" i="8"/>
  <c r="F141" i="8" s="1"/>
  <c r="B145" i="8"/>
  <c r="F145" i="8" s="1"/>
  <c r="B149" i="8"/>
  <c r="F149" i="8" s="1"/>
  <c r="B154" i="8"/>
  <c r="K154" i="8" s="1"/>
  <c r="K155" i="8" s="1"/>
  <c r="K156" i="8" s="1"/>
  <c r="D137" i="8"/>
  <c r="D137" i="9"/>
  <c r="B137" i="9"/>
  <c r="B128" i="8"/>
  <c r="D150" i="8"/>
  <c r="D136" i="8"/>
  <c r="M355" i="10"/>
  <c r="L355" i="10"/>
  <c r="K355" i="10"/>
  <c r="J355" i="10"/>
  <c r="I355" i="10"/>
  <c r="H355" i="10"/>
  <c r="G355" i="10"/>
  <c r="F355" i="10"/>
  <c r="E355" i="10"/>
  <c r="D355" i="10"/>
  <c r="C355" i="10"/>
  <c r="B154" i="9"/>
  <c r="B152" i="9"/>
  <c r="F152" i="9" s="1"/>
  <c r="H152" i="9" s="1"/>
  <c r="B151" i="9"/>
  <c r="F151" i="9" s="1"/>
  <c r="B150" i="9"/>
  <c r="B149" i="9"/>
  <c r="B148" i="9"/>
  <c r="F148" i="9" s="1"/>
  <c r="M148" i="9" s="1"/>
  <c r="B147" i="9"/>
  <c r="F147" i="9" s="1"/>
  <c r="B146" i="9"/>
  <c r="F146" i="9" s="1"/>
  <c r="B144" i="9"/>
  <c r="F144" i="9" s="1"/>
  <c r="B143" i="9"/>
  <c r="F143" i="9" s="1"/>
  <c r="D143" i="9" s="1"/>
  <c r="B142" i="9"/>
  <c r="F142" i="9" s="1"/>
  <c r="D142" i="9" s="1"/>
  <c r="B141" i="9"/>
  <c r="F141" i="9" s="1"/>
  <c r="D141" i="9" s="1"/>
  <c r="B138" i="9"/>
  <c r="B136" i="9"/>
  <c r="B135" i="9"/>
  <c r="B133" i="9"/>
  <c r="B131" i="9"/>
  <c r="F131" i="9" s="1"/>
  <c r="B130" i="9"/>
  <c r="B129" i="9"/>
  <c r="F129" i="9" s="1"/>
  <c r="B128" i="9"/>
  <c r="B127" i="9"/>
  <c r="I127" i="9" s="1"/>
  <c r="J155" i="9"/>
  <c r="I155" i="9"/>
  <c r="H150" i="9"/>
  <c r="D150" i="9"/>
  <c r="D136" i="9"/>
  <c r="H130" i="9"/>
  <c r="D130" i="9"/>
  <c r="H130" i="8"/>
  <c r="H141" i="9"/>
  <c r="K214" i="9"/>
  <c r="L213" i="8"/>
  <c r="M213" i="8" s="1"/>
  <c r="L213" i="9"/>
  <c r="M213" i="9" s="1"/>
  <c r="L176" i="9"/>
  <c r="L175" i="8"/>
  <c r="M175" i="8" s="1"/>
  <c r="L175" i="9"/>
  <c r="H601" i="9"/>
  <c r="F586" i="9"/>
  <c r="F259" i="9"/>
  <c r="F584" i="8"/>
  <c r="I362" i="9"/>
  <c r="L186" i="8"/>
  <c r="L185" i="8"/>
  <c r="L184" i="8"/>
  <c r="L183" i="8"/>
  <c r="L182" i="8"/>
  <c r="L181" i="8"/>
  <c r="L180" i="8"/>
  <c r="L177" i="8"/>
  <c r="M177" i="8" s="1"/>
  <c r="L176" i="8"/>
  <c r="L170" i="8"/>
  <c r="L169" i="8"/>
  <c r="L166" i="8"/>
  <c r="L191" i="9"/>
  <c r="L190" i="9"/>
  <c r="L189" i="9"/>
  <c r="L188" i="9"/>
  <c r="L187" i="9"/>
  <c r="L186" i="9"/>
  <c r="L185" i="9"/>
  <c r="L184" i="9"/>
  <c r="L183" i="9"/>
  <c r="L182" i="9"/>
  <c r="L181" i="9"/>
  <c r="L180" i="9"/>
  <c r="L177" i="9"/>
  <c r="L170" i="9"/>
  <c r="L169" i="9"/>
  <c r="L166" i="9"/>
  <c r="L340" i="9"/>
  <c r="M340" i="9" s="1"/>
  <c r="J342" i="9"/>
  <c r="I343" i="9"/>
  <c r="I325" i="9"/>
  <c r="I194" i="9"/>
  <c r="B193" i="9"/>
  <c r="F193" i="9" s="1"/>
  <c r="N320" i="11"/>
  <c r="B193" i="8" s="1"/>
  <c r="F193" i="8" s="1"/>
  <c r="H193" i="8" s="1"/>
  <c r="K307" i="11"/>
  <c r="B181" i="9"/>
  <c r="N308" i="11"/>
  <c r="B181" i="8" s="1"/>
  <c r="F181" i="8" s="1"/>
  <c r="B182" i="9"/>
  <c r="F182" i="9" s="1"/>
  <c r="N309" i="11"/>
  <c r="B182" i="8" s="1"/>
  <c r="B183" i="9"/>
  <c r="F183" i="9" s="1"/>
  <c r="N310" i="11"/>
  <c r="B183" i="8" s="1"/>
  <c r="F183" i="8" s="1"/>
  <c r="M183" i="8" s="1"/>
  <c r="B184" i="9"/>
  <c r="F184" i="9" s="1"/>
  <c r="N311" i="11"/>
  <c r="B184" i="8" s="1"/>
  <c r="F184" i="8" s="1"/>
  <c r="H184" i="8" s="1"/>
  <c r="B185" i="9"/>
  <c r="N312" i="11"/>
  <c r="B185" i="8" s="1"/>
  <c r="F185" i="8" s="1"/>
  <c r="M185" i="8" s="1"/>
  <c r="B186" i="9"/>
  <c r="N313" i="11"/>
  <c r="B186" i="8" s="1"/>
  <c r="F186" i="8" s="1"/>
  <c r="M186" i="8" s="1"/>
  <c r="B187" i="9"/>
  <c r="N314" i="11"/>
  <c r="B187" i="8" s="1"/>
  <c r="F187" i="8" s="1"/>
  <c r="B188" i="9"/>
  <c r="F188" i="9" s="1"/>
  <c r="N315" i="11"/>
  <c r="B188" i="8" s="1"/>
  <c r="F188" i="8" s="1"/>
  <c r="B190" i="9"/>
  <c r="F190" i="9" s="1"/>
  <c r="D190" i="9" s="1"/>
  <c r="N317" i="11"/>
  <c r="B190" i="8" s="1"/>
  <c r="F190" i="8" s="1"/>
  <c r="M190" i="8" s="1"/>
  <c r="B191" i="9"/>
  <c r="F191" i="9" s="1"/>
  <c r="N318" i="11"/>
  <c r="B191" i="8" s="1"/>
  <c r="F191" i="8" s="1"/>
  <c r="B189" i="9"/>
  <c r="N316" i="11"/>
  <c r="B189" i="8" s="1"/>
  <c r="C51" i="11"/>
  <c r="D51" i="11"/>
  <c r="E51" i="11"/>
  <c r="F51" i="11"/>
  <c r="G51" i="11"/>
  <c r="H51" i="11"/>
  <c r="I51" i="11"/>
  <c r="J51" i="11"/>
  <c r="K51" i="11"/>
  <c r="L51" i="11"/>
  <c r="M51" i="11"/>
  <c r="B51" i="11"/>
  <c r="C48" i="11"/>
  <c r="D48" i="11"/>
  <c r="E48" i="11"/>
  <c r="F48" i="11"/>
  <c r="G48" i="11"/>
  <c r="H48" i="11"/>
  <c r="I48" i="11"/>
  <c r="J48" i="11"/>
  <c r="K48" i="11"/>
  <c r="L48" i="11"/>
  <c r="M48" i="11"/>
  <c r="B48" i="11"/>
  <c r="C153" i="11"/>
  <c r="D153" i="11"/>
  <c r="E153" i="11"/>
  <c r="F153" i="11"/>
  <c r="G153" i="11"/>
  <c r="H153" i="11"/>
  <c r="I153" i="11"/>
  <c r="J153" i="11"/>
  <c r="K153" i="11"/>
  <c r="L153" i="11"/>
  <c r="M153" i="11"/>
  <c r="B153" i="11"/>
  <c r="N157" i="11"/>
  <c r="C187" i="11"/>
  <c r="D187" i="11"/>
  <c r="E187" i="11"/>
  <c r="F187" i="11"/>
  <c r="G187" i="11"/>
  <c r="H187" i="11"/>
  <c r="I187" i="11"/>
  <c r="J187" i="11"/>
  <c r="K187" i="11"/>
  <c r="L187" i="11"/>
  <c r="M187" i="11"/>
  <c r="B187" i="11"/>
  <c r="C248" i="11"/>
  <c r="D248" i="11"/>
  <c r="E248" i="11"/>
  <c r="F248" i="11"/>
  <c r="G248" i="11"/>
  <c r="H248" i="11"/>
  <c r="I248" i="11"/>
  <c r="J248" i="11"/>
  <c r="K248" i="11"/>
  <c r="L248" i="11"/>
  <c r="M248" i="11"/>
  <c r="B248" i="11"/>
  <c r="B225" i="11"/>
  <c r="C225" i="11"/>
  <c r="D225" i="11"/>
  <c r="E225" i="11"/>
  <c r="F225" i="11"/>
  <c r="H225" i="11"/>
  <c r="I225" i="11"/>
  <c r="J225" i="11"/>
  <c r="K225" i="11"/>
  <c r="L225" i="11"/>
  <c r="M225" i="11"/>
  <c r="G225" i="11"/>
  <c r="K13" i="10"/>
  <c r="L13" i="10"/>
  <c r="M13" i="10"/>
  <c r="B13" i="10"/>
  <c r="C13" i="10"/>
  <c r="D13" i="10"/>
  <c r="E13" i="10"/>
  <c r="F13" i="10"/>
  <c r="G13" i="10"/>
  <c r="H13" i="10"/>
  <c r="I13" i="10"/>
  <c r="J13" i="10"/>
  <c r="B73" i="10"/>
  <c r="C73" i="10"/>
  <c r="D73" i="10"/>
  <c r="E73" i="10"/>
  <c r="F73" i="10"/>
  <c r="G73" i="10"/>
  <c r="H73" i="10"/>
  <c r="I73" i="10"/>
  <c r="J73" i="10"/>
  <c r="K73" i="10"/>
  <c r="L73" i="10"/>
  <c r="M73" i="10"/>
  <c r="B65" i="10"/>
  <c r="C65" i="10"/>
  <c r="D65" i="10"/>
  <c r="E65" i="10"/>
  <c r="F65" i="10"/>
  <c r="G65" i="10"/>
  <c r="H65" i="10"/>
  <c r="I65" i="10"/>
  <c r="J65" i="10"/>
  <c r="K65" i="10"/>
  <c r="L65" i="10"/>
  <c r="M65" i="10"/>
  <c r="B51" i="10"/>
  <c r="C51" i="10"/>
  <c r="D51" i="10"/>
  <c r="E51" i="10"/>
  <c r="F51" i="10"/>
  <c r="G51" i="10"/>
  <c r="H51" i="10"/>
  <c r="I51" i="10"/>
  <c r="J51" i="10"/>
  <c r="K51" i="10"/>
  <c r="L51" i="10"/>
  <c r="M51" i="10"/>
  <c r="B48" i="10"/>
  <c r="C48" i="10"/>
  <c r="D48" i="10"/>
  <c r="E48" i="10"/>
  <c r="F48" i="10"/>
  <c r="G48" i="10"/>
  <c r="H48" i="10"/>
  <c r="I48" i="10"/>
  <c r="J48" i="10"/>
  <c r="K48" i="10"/>
  <c r="L48" i="10"/>
  <c r="M48" i="10"/>
  <c r="L153" i="10"/>
  <c r="M172" i="10"/>
  <c r="L172" i="10"/>
  <c r="B187" i="10"/>
  <c r="C187" i="10"/>
  <c r="D187" i="10"/>
  <c r="E187" i="10"/>
  <c r="F187" i="10"/>
  <c r="G187" i="10"/>
  <c r="H187" i="10"/>
  <c r="I187" i="10"/>
  <c r="J187" i="10"/>
  <c r="K187" i="10"/>
  <c r="L187" i="10"/>
  <c r="M187" i="10"/>
  <c r="B191" i="10"/>
  <c r="C191" i="10"/>
  <c r="D191" i="10"/>
  <c r="E191" i="10"/>
  <c r="F191" i="10"/>
  <c r="G191" i="10"/>
  <c r="H191" i="10"/>
  <c r="I191" i="10"/>
  <c r="J191" i="10"/>
  <c r="K191" i="10"/>
  <c r="L191" i="10"/>
  <c r="B209" i="10"/>
  <c r="C209" i="10"/>
  <c r="D209" i="10"/>
  <c r="E209" i="10"/>
  <c r="F209" i="10"/>
  <c r="G209" i="10"/>
  <c r="H209" i="10"/>
  <c r="I209" i="10"/>
  <c r="J209" i="10"/>
  <c r="K209" i="10"/>
  <c r="L209" i="10"/>
  <c r="M191" i="10"/>
  <c r="M209" i="10"/>
  <c r="M225" i="10"/>
  <c r="C287" i="11"/>
  <c r="D287" i="11"/>
  <c r="E287" i="11"/>
  <c r="F287" i="11"/>
  <c r="G287" i="11"/>
  <c r="H287" i="11"/>
  <c r="I287" i="11"/>
  <c r="J287" i="11"/>
  <c r="K287" i="11"/>
  <c r="L287" i="11"/>
  <c r="M287" i="11"/>
  <c r="B287" i="11"/>
  <c r="B264" i="11"/>
  <c r="C264" i="11"/>
  <c r="D264" i="11"/>
  <c r="E264" i="11"/>
  <c r="F264" i="11"/>
  <c r="G264" i="11"/>
  <c r="H264" i="11"/>
  <c r="I264" i="11"/>
  <c r="J264" i="11"/>
  <c r="K264" i="11"/>
  <c r="L264" i="11"/>
  <c r="M264" i="11"/>
  <c r="N223" i="11"/>
  <c r="B258" i="8" s="1"/>
  <c r="F258" i="8" s="1"/>
  <c r="N224" i="11"/>
  <c r="B259" i="8" s="1"/>
  <c r="N216" i="11"/>
  <c r="B251" i="8" s="1"/>
  <c r="N217" i="11"/>
  <c r="B252" i="8" s="1"/>
  <c r="K252" i="8" s="1"/>
  <c r="N218" i="11"/>
  <c r="B253" i="8" s="1"/>
  <c r="N219" i="11"/>
  <c r="B254" i="8" s="1"/>
  <c r="K254" i="8" s="1"/>
  <c r="N220" i="11"/>
  <c r="B255" i="8" s="1"/>
  <c r="F255" i="8" s="1"/>
  <c r="H255" i="8" s="1"/>
  <c r="B321" i="11"/>
  <c r="C321" i="11"/>
  <c r="D321" i="11"/>
  <c r="E321" i="11"/>
  <c r="F321" i="11"/>
  <c r="G321" i="11"/>
  <c r="H321" i="11"/>
  <c r="I321" i="11"/>
  <c r="J321" i="11"/>
  <c r="L321" i="11"/>
  <c r="M321" i="11"/>
  <c r="B304" i="11"/>
  <c r="C304" i="11"/>
  <c r="D304" i="11"/>
  <c r="E304" i="11"/>
  <c r="F304" i="11"/>
  <c r="G304" i="11"/>
  <c r="H304" i="11"/>
  <c r="I304" i="11"/>
  <c r="J304" i="11"/>
  <c r="K304" i="11"/>
  <c r="L304" i="11"/>
  <c r="M304" i="11"/>
  <c r="B321" i="10"/>
  <c r="C321" i="10"/>
  <c r="D321" i="10"/>
  <c r="E321" i="10"/>
  <c r="F321" i="10"/>
  <c r="G321" i="10"/>
  <c r="H321" i="10"/>
  <c r="I321" i="10"/>
  <c r="J321" i="10"/>
  <c r="K321" i="10"/>
  <c r="L321" i="10"/>
  <c r="M321" i="10"/>
  <c r="B304" i="10"/>
  <c r="C304" i="10"/>
  <c r="D304" i="10"/>
  <c r="E304" i="10"/>
  <c r="F304" i="10"/>
  <c r="G304" i="10"/>
  <c r="H304" i="10"/>
  <c r="I304" i="10"/>
  <c r="J304" i="10"/>
  <c r="K304" i="10"/>
  <c r="L304" i="10"/>
  <c r="M304" i="10"/>
  <c r="M287" i="10"/>
  <c r="L287" i="10"/>
  <c r="K287" i="10"/>
  <c r="J287" i="10"/>
  <c r="I287" i="10"/>
  <c r="H287" i="10"/>
  <c r="G287" i="10"/>
  <c r="F287" i="10"/>
  <c r="E287" i="10"/>
  <c r="D287" i="10"/>
  <c r="C287" i="10"/>
  <c r="B287" i="10"/>
  <c r="M264" i="10"/>
  <c r="L264" i="10"/>
  <c r="K264" i="10"/>
  <c r="J264" i="10"/>
  <c r="I264" i="10"/>
  <c r="H264" i="10"/>
  <c r="G264" i="10"/>
  <c r="F264" i="10"/>
  <c r="E264" i="10"/>
  <c r="D264" i="10"/>
  <c r="C264" i="10"/>
  <c r="B264" i="10"/>
  <c r="J225" i="10"/>
  <c r="D175" i="9"/>
  <c r="D175" i="8"/>
  <c r="M175" i="9"/>
  <c r="F176" i="8"/>
  <c r="F176" i="9"/>
  <c r="F170" i="8"/>
  <c r="F189" i="8"/>
  <c r="F170" i="9"/>
  <c r="M170" i="9" s="1"/>
  <c r="F189" i="9"/>
  <c r="H189" i="9" s="1"/>
  <c r="L190" i="8"/>
  <c r="L191" i="8"/>
  <c r="B172" i="9"/>
  <c r="K172" i="9" s="1"/>
  <c r="N298" i="11"/>
  <c r="B172" i="8" s="1"/>
  <c r="J172" i="8" s="1"/>
  <c r="M177" i="9"/>
  <c r="B177" i="9"/>
  <c r="N303" i="11"/>
  <c r="B177" i="8" s="1"/>
  <c r="N263" i="11"/>
  <c r="N262" i="11"/>
  <c r="N300" i="11"/>
  <c r="B174" i="8" s="1"/>
  <c r="K174" i="8" s="1"/>
  <c r="N301" i="11"/>
  <c r="B175" i="8" s="1"/>
  <c r="N302" i="11"/>
  <c r="B176" i="8" s="1"/>
  <c r="B174" i="9"/>
  <c r="K174" i="9" s="1"/>
  <c r="B175" i="9"/>
  <c r="B176" i="9"/>
  <c r="N293" i="11"/>
  <c r="N294" i="11"/>
  <c r="B168" i="8" s="1"/>
  <c r="F168" i="8" s="1"/>
  <c r="H168" i="8" s="1"/>
  <c r="N295" i="11"/>
  <c r="B169" i="8" s="1"/>
  <c r="N296" i="11"/>
  <c r="B170" i="8" s="1"/>
  <c r="N297" i="11"/>
  <c r="B171" i="8" s="1"/>
  <c r="F171" i="8" s="1"/>
  <c r="N292" i="11"/>
  <c r="B166" i="8" s="1"/>
  <c r="F166" i="8" s="1"/>
  <c r="D166" i="8" s="1"/>
  <c r="B167" i="9"/>
  <c r="I167" i="9" s="1"/>
  <c r="B168" i="9"/>
  <c r="B169" i="9"/>
  <c r="F169" i="9" s="1"/>
  <c r="H169" i="9" s="1"/>
  <c r="B171" i="9"/>
  <c r="B166" i="9"/>
  <c r="I194" i="8"/>
  <c r="L189" i="8"/>
  <c r="L188" i="8"/>
  <c r="L187" i="8"/>
  <c r="D209" i="9"/>
  <c r="H209" i="9"/>
  <c r="L209" i="9"/>
  <c r="M209" i="9" s="1"/>
  <c r="D213" i="9"/>
  <c r="J214" i="9"/>
  <c r="L214" i="9" s="1"/>
  <c r="F217" i="9"/>
  <c r="H217" i="9" s="1"/>
  <c r="I217" i="9"/>
  <c r="J217" i="9"/>
  <c r="K217" i="9"/>
  <c r="F218" i="9"/>
  <c r="D218" i="9" s="1"/>
  <c r="I218" i="9"/>
  <c r="J218" i="9"/>
  <c r="K218" i="9"/>
  <c r="L221" i="9"/>
  <c r="L226" i="9"/>
  <c r="F234" i="9"/>
  <c r="L234" i="9"/>
  <c r="F237" i="9"/>
  <c r="J237" i="9"/>
  <c r="K237" i="9"/>
  <c r="I239" i="9"/>
  <c r="J194" i="9"/>
  <c r="D209" i="8"/>
  <c r="F234" i="8"/>
  <c r="D234" i="8" s="1"/>
  <c r="B205" i="9"/>
  <c r="K214" i="8"/>
  <c r="J214" i="8" s="1"/>
  <c r="L214" i="8" s="1"/>
  <c r="N286" i="11"/>
  <c r="B238" i="8" s="1"/>
  <c r="F238" i="8" s="1"/>
  <c r="B238" i="9"/>
  <c r="J238" i="9" s="1"/>
  <c r="N271" i="11"/>
  <c r="B222" i="8" s="1"/>
  <c r="K222" i="8" s="1"/>
  <c r="N272" i="11"/>
  <c r="B223" i="8" s="1"/>
  <c r="K223" i="8" s="1"/>
  <c r="N273" i="11"/>
  <c r="B224" i="8" s="1"/>
  <c r="J224" i="8" s="1"/>
  <c r="N274" i="11"/>
  <c r="B225" i="8" s="1"/>
  <c r="N275" i="11"/>
  <c r="B226" i="8" s="1"/>
  <c r="F226" i="8" s="1"/>
  <c r="D226" i="8" s="1"/>
  <c r="N276" i="11"/>
  <c r="B227" i="8" s="1"/>
  <c r="K227" i="8" s="1"/>
  <c r="N277" i="11"/>
  <c r="B228" i="8" s="1"/>
  <c r="N278" i="11"/>
  <c r="B229" i="8" s="1"/>
  <c r="F229" i="8" s="1"/>
  <c r="N279" i="11"/>
  <c r="B230" i="8" s="1"/>
  <c r="F230" i="8" s="1"/>
  <c r="H230" i="8" s="1"/>
  <c r="N280" i="11"/>
  <c r="B231" i="8" s="1"/>
  <c r="N281" i="11"/>
  <c r="B232" i="8" s="1"/>
  <c r="F232" i="8" s="1"/>
  <c r="D232" i="8" s="1"/>
  <c r="N282" i="11"/>
  <c r="B233" i="8" s="1"/>
  <c r="N283" i="11"/>
  <c r="N270" i="11"/>
  <c r="B221" i="8" s="1"/>
  <c r="J221" i="8" s="1"/>
  <c r="B222" i="9"/>
  <c r="K222" i="9" s="1"/>
  <c r="B226" i="9"/>
  <c r="F226" i="9" s="1"/>
  <c r="M226" i="9" s="1"/>
  <c r="B230" i="9"/>
  <c r="B232" i="9"/>
  <c r="F232" i="9" s="1"/>
  <c r="N260" i="11"/>
  <c r="B212" i="8" s="1"/>
  <c r="N261" i="11"/>
  <c r="B213" i="8" s="1"/>
  <c r="B213" i="9"/>
  <c r="N254" i="11"/>
  <c r="N255" i="11"/>
  <c r="B207" i="8" s="1"/>
  <c r="I207" i="8" s="1"/>
  <c r="N256" i="11"/>
  <c r="B208" i="8" s="1"/>
  <c r="K208" i="8" s="1"/>
  <c r="N257" i="11"/>
  <c r="N258" i="11"/>
  <c r="N253" i="11"/>
  <c r="B205" i="8" s="1"/>
  <c r="F237" i="8"/>
  <c r="D237" i="8" s="1"/>
  <c r="A237" i="8"/>
  <c r="A236" i="8"/>
  <c r="L234" i="8"/>
  <c r="L233" i="8"/>
  <c r="A233" i="8"/>
  <c r="L232" i="8"/>
  <c r="A232" i="8"/>
  <c r="L231" i="8"/>
  <c r="A231" i="8"/>
  <c r="A229" i="8"/>
  <c r="L228" i="8"/>
  <c r="A228" i="8"/>
  <c r="L226" i="8"/>
  <c r="A226" i="8"/>
  <c r="A224" i="8"/>
  <c r="A222" i="8"/>
  <c r="A221" i="8"/>
  <c r="A220" i="8"/>
  <c r="I218" i="8"/>
  <c r="A218" i="8"/>
  <c r="K217" i="8"/>
  <c r="J217" i="8"/>
  <c r="F217" i="8"/>
  <c r="D217" i="8" s="1"/>
  <c r="I217" i="8"/>
  <c r="A217" i="8"/>
  <c r="A216" i="8"/>
  <c r="A211" i="8"/>
  <c r="A208" i="8"/>
  <c r="A207" i="8"/>
  <c r="A206" i="8"/>
  <c r="A205" i="8"/>
  <c r="A204" i="8"/>
  <c r="H209" i="8"/>
  <c r="D213" i="8"/>
  <c r="K218" i="8"/>
  <c r="F218" i="8"/>
  <c r="J218" i="8"/>
  <c r="D259" i="8"/>
  <c r="L209" i="8"/>
  <c r="M209" i="8" s="1"/>
  <c r="B255" i="9"/>
  <c r="N244" i="11"/>
  <c r="B279" i="8" s="1"/>
  <c r="F279" i="8" s="1"/>
  <c r="H279" i="8" s="1"/>
  <c r="B279" i="9"/>
  <c r="J279" i="9" s="1"/>
  <c r="L279" i="8"/>
  <c r="L281" i="8"/>
  <c r="A281" i="8"/>
  <c r="A280" i="8"/>
  <c r="L278" i="8"/>
  <c r="A278" i="8"/>
  <c r="L277" i="8"/>
  <c r="A277" i="8"/>
  <c r="L276" i="8"/>
  <c r="A276" i="8"/>
  <c r="A274" i="8"/>
  <c r="A273" i="8"/>
  <c r="A271" i="8"/>
  <c r="A269" i="8"/>
  <c r="A267" i="8"/>
  <c r="A266" i="8"/>
  <c r="A265" i="8"/>
  <c r="A263" i="8"/>
  <c r="A262" i="8"/>
  <c r="A261" i="8"/>
  <c r="L259" i="8"/>
  <c r="L258" i="8"/>
  <c r="K257" i="8"/>
  <c r="L257" i="8" s="1"/>
  <c r="A256" i="8"/>
  <c r="A253" i="8"/>
  <c r="A252" i="8"/>
  <c r="A251" i="8"/>
  <c r="A250" i="8"/>
  <c r="A249" i="8"/>
  <c r="I283" i="9"/>
  <c r="L258" i="9"/>
  <c r="M258" i="9" s="1"/>
  <c r="D258" i="9"/>
  <c r="N247" i="11"/>
  <c r="B282" i="8" s="1"/>
  <c r="K282" i="8" s="1"/>
  <c r="A247" i="11"/>
  <c r="N246" i="11"/>
  <c r="B281" i="8" s="1"/>
  <c r="F281" i="8" s="1"/>
  <c r="H281" i="8" s="1"/>
  <c r="A246" i="11"/>
  <c r="A245" i="11"/>
  <c r="N243" i="11"/>
  <c r="B278" i="8" s="1"/>
  <c r="F278" i="8" s="1"/>
  <c r="A243" i="11"/>
  <c r="N242" i="11"/>
  <c r="B277" i="8" s="1"/>
  <c r="F277" i="8" s="1"/>
  <c r="A242" i="11"/>
  <c r="N241" i="11"/>
  <c r="B276" i="8" s="1"/>
  <c r="F276" i="8" s="1"/>
  <c r="H276" i="8" s="1"/>
  <c r="A241" i="11"/>
  <c r="N240" i="11"/>
  <c r="B275" i="8" s="1"/>
  <c r="N239" i="11"/>
  <c r="B274" i="8" s="1"/>
  <c r="K274" i="8" s="1"/>
  <c r="A239" i="11"/>
  <c r="N238" i="11"/>
  <c r="B273" i="8" s="1"/>
  <c r="F273" i="8" s="1"/>
  <c r="D273" i="8" s="1"/>
  <c r="A238" i="11"/>
  <c r="N237" i="11"/>
  <c r="B272" i="8" s="1"/>
  <c r="J272" i="8" s="1"/>
  <c r="N236" i="11"/>
  <c r="B271" i="8" s="1"/>
  <c r="F271" i="8" s="1"/>
  <c r="D271" i="8" s="1"/>
  <c r="A236" i="11"/>
  <c r="N235" i="11"/>
  <c r="B270" i="8" s="1"/>
  <c r="N234" i="11"/>
  <c r="B269" i="8" s="1"/>
  <c r="F269" i="8" s="1"/>
  <c r="D269" i="8" s="1"/>
  <c r="A234" i="11"/>
  <c r="N233" i="11"/>
  <c r="N232" i="11"/>
  <c r="B267" i="8" s="1"/>
  <c r="A232" i="11"/>
  <c r="A231" i="11"/>
  <c r="A230" i="11"/>
  <c r="M229" i="11"/>
  <c r="L229" i="11"/>
  <c r="K229" i="11"/>
  <c r="J229" i="11"/>
  <c r="I229" i="11"/>
  <c r="H229" i="11"/>
  <c r="G229" i="11"/>
  <c r="F229" i="11"/>
  <c r="E229" i="11"/>
  <c r="D229" i="11"/>
  <c r="C229" i="11"/>
  <c r="B229" i="11"/>
  <c r="N228" i="11"/>
  <c r="A228" i="11"/>
  <c r="N227" i="11"/>
  <c r="B262" i="8" s="1"/>
  <c r="A227" i="11"/>
  <c r="A226" i="11"/>
  <c r="A224" i="11"/>
  <c r="A223" i="11"/>
  <c r="N222" i="11"/>
  <c r="A222" i="11"/>
  <c r="A221" i="11"/>
  <c r="A218" i="11"/>
  <c r="A217" i="11"/>
  <c r="A216" i="11"/>
  <c r="N215" i="11"/>
  <c r="B250" i="8" s="1"/>
  <c r="J250" i="8" s="1"/>
  <c r="A215" i="11"/>
  <c r="A214" i="11"/>
  <c r="M248" i="10"/>
  <c r="L248" i="10"/>
  <c r="K248" i="10"/>
  <c r="J248" i="10"/>
  <c r="I248" i="10"/>
  <c r="H248" i="10"/>
  <c r="G248" i="10"/>
  <c r="F248" i="10"/>
  <c r="E248" i="10"/>
  <c r="D248" i="10"/>
  <c r="C248" i="10"/>
  <c r="B248" i="10"/>
  <c r="B282" i="9"/>
  <c r="F282" i="9" s="1"/>
  <c r="B281" i="9"/>
  <c r="J281" i="9" s="1"/>
  <c r="B278" i="9"/>
  <c r="B277" i="9"/>
  <c r="K277" i="9" s="1"/>
  <c r="B276" i="9"/>
  <c r="B275" i="9"/>
  <c r="B274" i="9"/>
  <c r="B273" i="9"/>
  <c r="J273" i="9" s="1"/>
  <c r="L273" i="9" s="1"/>
  <c r="B272" i="9"/>
  <c r="K272" i="9" s="1"/>
  <c r="B271" i="9"/>
  <c r="F271" i="9" s="1"/>
  <c r="B270" i="9"/>
  <c r="B269" i="9"/>
  <c r="B268" i="9"/>
  <c r="F268" i="9" s="1"/>
  <c r="H268" i="9" s="1"/>
  <c r="B267" i="9"/>
  <c r="J267" i="9" s="1"/>
  <c r="B266" i="9"/>
  <c r="F266" i="9" s="1"/>
  <c r="M229" i="10"/>
  <c r="L229" i="10"/>
  <c r="K229" i="10"/>
  <c r="J229" i="10"/>
  <c r="I229" i="10"/>
  <c r="H229" i="10"/>
  <c r="G229" i="10"/>
  <c r="F229" i="10"/>
  <c r="E229" i="10"/>
  <c r="D229" i="10"/>
  <c r="C229" i="10"/>
  <c r="B229" i="10"/>
  <c r="B262" i="9"/>
  <c r="K262" i="9" s="1"/>
  <c r="L225" i="10"/>
  <c r="K225" i="10"/>
  <c r="I225" i="10"/>
  <c r="H225" i="10"/>
  <c r="G225" i="10"/>
  <c r="F225" i="10"/>
  <c r="E225" i="10"/>
  <c r="D225" i="10"/>
  <c r="C225" i="10"/>
  <c r="B225" i="10"/>
  <c r="B259" i="9"/>
  <c r="B258" i="9"/>
  <c r="B257" i="9"/>
  <c r="B254" i="9"/>
  <c r="K254" i="9" s="1"/>
  <c r="B253" i="9"/>
  <c r="J253" i="9" s="1"/>
  <c r="B252" i="9"/>
  <c r="J252" i="9" s="1"/>
  <c r="B251" i="9"/>
  <c r="K251" i="9" s="1"/>
  <c r="B250" i="9"/>
  <c r="F250" i="9" s="1"/>
  <c r="B266" i="8"/>
  <c r="J266" i="8" s="1"/>
  <c r="L271" i="9"/>
  <c r="L271" i="8"/>
  <c r="L273" i="8"/>
  <c r="L266" i="9"/>
  <c r="I302" i="8"/>
  <c r="J320" i="9"/>
  <c r="K320" i="9"/>
  <c r="F316" i="9"/>
  <c r="H316" i="9" s="1"/>
  <c r="J302" i="8"/>
  <c r="K302" i="8"/>
  <c r="F302" i="8"/>
  <c r="H302" i="8" s="1"/>
  <c r="K300" i="8"/>
  <c r="L300" i="8" s="1"/>
  <c r="F320" i="9"/>
  <c r="L301" i="9"/>
  <c r="M301" i="9" s="1"/>
  <c r="A184" i="11"/>
  <c r="A206" i="11"/>
  <c r="A192" i="11"/>
  <c r="A188" i="11"/>
  <c r="A183" i="11"/>
  <c r="A177" i="11"/>
  <c r="A208" i="11"/>
  <c r="A207" i="11"/>
  <c r="A205" i="11"/>
  <c r="A204" i="11"/>
  <c r="A203" i="11"/>
  <c r="A201" i="11"/>
  <c r="A200" i="11"/>
  <c r="A198" i="11"/>
  <c r="A196" i="11"/>
  <c r="A194" i="11"/>
  <c r="A193" i="11"/>
  <c r="A190" i="11"/>
  <c r="A189" i="11"/>
  <c r="A186" i="11"/>
  <c r="A185" i="11"/>
  <c r="A179" i="11"/>
  <c r="A180" i="11"/>
  <c r="A181" i="11"/>
  <c r="A178" i="11"/>
  <c r="A322" i="8"/>
  <c r="A308" i="8"/>
  <c r="A304" i="8"/>
  <c r="A299" i="8"/>
  <c r="A293" i="8"/>
  <c r="A323" i="8"/>
  <c r="A321" i="8"/>
  <c r="A320" i="8"/>
  <c r="A319" i="8"/>
  <c r="A317" i="8"/>
  <c r="A316" i="8"/>
  <c r="A314" i="8"/>
  <c r="A310" i="8"/>
  <c r="A312" i="8"/>
  <c r="A309" i="8"/>
  <c r="A306" i="8"/>
  <c r="A305" i="8"/>
  <c r="A295" i="8"/>
  <c r="A296" i="8"/>
  <c r="A297" i="8"/>
  <c r="A294" i="8"/>
  <c r="C209" i="11"/>
  <c r="B209" i="11"/>
  <c r="N186" i="11"/>
  <c r="B302" i="8" s="1"/>
  <c r="B302" i="9"/>
  <c r="N184" i="11"/>
  <c r="B300" i="8" s="1"/>
  <c r="F300" i="8" s="1"/>
  <c r="B300" i="9"/>
  <c r="K300" i="9" s="1"/>
  <c r="L300" i="9" s="1"/>
  <c r="M302" i="9"/>
  <c r="J302" i="9"/>
  <c r="D302" i="9"/>
  <c r="C191" i="11"/>
  <c r="D191" i="11"/>
  <c r="E191" i="11"/>
  <c r="F191" i="11"/>
  <c r="G191" i="11"/>
  <c r="H191" i="11"/>
  <c r="I191" i="11"/>
  <c r="J191" i="11"/>
  <c r="K191" i="11"/>
  <c r="L191" i="11"/>
  <c r="M191" i="11"/>
  <c r="B191" i="11"/>
  <c r="D301" i="9"/>
  <c r="L298" i="8"/>
  <c r="L301" i="8"/>
  <c r="L323" i="8"/>
  <c r="L319" i="8"/>
  <c r="L320" i="8"/>
  <c r="L321" i="8"/>
  <c r="N194" i="11"/>
  <c r="B310" i="8" s="1"/>
  <c r="J310" i="8" s="1"/>
  <c r="N195" i="11"/>
  <c r="B311" i="8" s="1"/>
  <c r="N196" i="11"/>
  <c r="B312" i="8" s="1"/>
  <c r="N197" i="11"/>
  <c r="B313" i="8" s="1"/>
  <c r="K313" i="8" s="1"/>
  <c r="N198" i="11"/>
  <c r="B314" i="8" s="1"/>
  <c r="K314" i="8" s="1"/>
  <c r="N199" i="11"/>
  <c r="B315" i="8" s="1"/>
  <c r="K315" i="8" s="1"/>
  <c r="N200" i="11"/>
  <c r="B316" i="8" s="1"/>
  <c r="K316" i="8" s="1"/>
  <c r="N201" i="11"/>
  <c r="B317" i="8" s="1"/>
  <c r="N202" i="11"/>
  <c r="B318" i="8" s="1"/>
  <c r="N207" i="11"/>
  <c r="B323" i="8" s="1"/>
  <c r="F323" i="8" s="1"/>
  <c r="M323" i="8" s="1"/>
  <c r="N208" i="11"/>
  <c r="B324" i="8" s="1"/>
  <c r="N203" i="11"/>
  <c r="B319" i="8" s="1"/>
  <c r="F319" i="8" s="1"/>
  <c r="D319" i="8" s="1"/>
  <c r="N204" i="11"/>
  <c r="B320" i="8" s="1"/>
  <c r="N205" i="11"/>
  <c r="B321" i="8" s="1"/>
  <c r="F321" i="8" s="1"/>
  <c r="N190" i="11"/>
  <c r="B306" i="8" s="1"/>
  <c r="K306" i="8" s="1"/>
  <c r="K307" i="8" s="1"/>
  <c r="N189" i="11"/>
  <c r="B305" i="8" s="1"/>
  <c r="K305" i="8" s="1"/>
  <c r="N180" i="11"/>
  <c r="B296" i="8" s="1"/>
  <c r="F296" i="8" s="1"/>
  <c r="N181" i="11"/>
  <c r="N182" i="11"/>
  <c r="B298" i="8" s="1"/>
  <c r="B319" i="9"/>
  <c r="K319" i="9" s="1"/>
  <c r="B306" i="9"/>
  <c r="F306" i="9" s="1"/>
  <c r="D306" i="9" s="1"/>
  <c r="B305" i="9"/>
  <c r="B296" i="9"/>
  <c r="B297" i="9"/>
  <c r="B301" i="9"/>
  <c r="M209" i="11"/>
  <c r="L209" i="11"/>
  <c r="K209" i="11"/>
  <c r="J209" i="11"/>
  <c r="I209" i="11"/>
  <c r="H209" i="11"/>
  <c r="G209" i="11"/>
  <c r="F209" i="11"/>
  <c r="E209" i="11"/>
  <c r="D209" i="11"/>
  <c r="N193" i="11"/>
  <c r="N185" i="11"/>
  <c r="B301" i="8" s="1"/>
  <c r="F301" i="8" s="1"/>
  <c r="D301" i="8" s="1"/>
  <c r="N179" i="11"/>
  <c r="B295" i="8"/>
  <c r="I295" i="8" s="1"/>
  <c r="N178" i="11"/>
  <c r="B294" i="8" s="1"/>
  <c r="K294" i="8" s="1"/>
  <c r="B321" i="9"/>
  <c r="F321" i="9" s="1"/>
  <c r="B323" i="9"/>
  <c r="B318" i="9"/>
  <c r="B317" i="9"/>
  <c r="K317" i="9" s="1"/>
  <c r="B315" i="9"/>
  <c r="J315" i="9" s="1"/>
  <c r="B314" i="9"/>
  <c r="B313" i="9"/>
  <c r="J313" i="9" s="1"/>
  <c r="B312" i="9"/>
  <c r="B311" i="9"/>
  <c r="B310" i="9"/>
  <c r="B309" i="9"/>
  <c r="J309" i="9" s="1"/>
  <c r="B295" i="9"/>
  <c r="B294" i="9"/>
  <c r="M342" i="9"/>
  <c r="B346" i="8"/>
  <c r="J346" i="8" s="1"/>
  <c r="B345" i="8"/>
  <c r="F345" i="8" s="1"/>
  <c r="H345" i="8" s="1"/>
  <c r="C172" i="11"/>
  <c r="D172" i="11"/>
  <c r="E172" i="11"/>
  <c r="F172" i="11"/>
  <c r="G172" i="11"/>
  <c r="H172" i="11"/>
  <c r="I172" i="11"/>
  <c r="J172" i="11"/>
  <c r="K172" i="11"/>
  <c r="L172" i="11"/>
  <c r="M172" i="11"/>
  <c r="B172" i="11"/>
  <c r="B172" i="10"/>
  <c r="N171" i="11"/>
  <c r="B361" i="8" s="1"/>
  <c r="F361" i="8" s="1"/>
  <c r="D361" i="8" s="1"/>
  <c r="B361" i="9"/>
  <c r="C172" i="10"/>
  <c r="D172" i="10"/>
  <c r="E172" i="10"/>
  <c r="F172" i="10"/>
  <c r="G172" i="10"/>
  <c r="H172" i="10"/>
  <c r="I172" i="10"/>
  <c r="J172" i="10"/>
  <c r="K172" i="10"/>
  <c r="N169" i="11"/>
  <c r="C140" i="10"/>
  <c r="D140" i="10"/>
  <c r="E140" i="10"/>
  <c r="F140" i="10"/>
  <c r="G140" i="10"/>
  <c r="H140" i="10"/>
  <c r="I140" i="10"/>
  <c r="J140" i="10"/>
  <c r="K140" i="10"/>
  <c r="L140" i="10"/>
  <c r="M140" i="10"/>
  <c r="B140" i="10"/>
  <c r="C140" i="11"/>
  <c r="D140" i="11"/>
  <c r="E140" i="11"/>
  <c r="F140" i="11"/>
  <c r="G140" i="11"/>
  <c r="H140" i="11"/>
  <c r="I140" i="11"/>
  <c r="J140" i="11"/>
  <c r="K140" i="11"/>
  <c r="L140" i="11"/>
  <c r="M140" i="11"/>
  <c r="B140" i="11"/>
  <c r="N139" i="11"/>
  <c r="N123" i="11"/>
  <c r="C124" i="11"/>
  <c r="D124" i="11"/>
  <c r="E124" i="11"/>
  <c r="F124" i="11"/>
  <c r="G124" i="11"/>
  <c r="H124" i="11"/>
  <c r="I124" i="11"/>
  <c r="J124" i="11"/>
  <c r="K124" i="11"/>
  <c r="L124" i="11"/>
  <c r="M124" i="11"/>
  <c r="B124" i="11"/>
  <c r="B360" i="8"/>
  <c r="B358" i="9"/>
  <c r="K358" i="9" s="1"/>
  <c r="N168" i="11"/>
  <c r="B341" i="8"/>
  <c r="F341" i="8" s="1"/>
  <c r="D341" i="8" s="1"/>
  <c r="K341" i="8"/>
  <c r="L341" i="8" s="1"/>
  <c r="L340" i="8"/>
  <c r="M340" i="8"/>
  <c r="H340" i="8"/>
  <c r="B346" i="9"/>
  <c r="F346" i="9" s="1"/>
  <c r="H346" i="9" s="1"/>
  <c r="B345" i="9"/>
  <c r="B341" i="9"/>
  <c r="K341" i="9" s="1"/>
  <c r="L341" i="9" s="1"/>
  <c r="D342" i="9"/>
  <c r="H340" i="9"/>
  <c r="N167" i="11"/>
  <c r="B357" i="8" s="1"/>
  <c r="J357" i="8" s="1"/>
  <c r="N166" i="11"/>
  <c r="B356" i="8" s="1"/>
  <c r="J356" i="8" s="1"/>
  <c r="N165" i="11"/>
  <c r="B355" i="8" s="1"/>
  <c r="K355" i="8" s="1"/>
  <c r="N164" i="11"/>
  <c r="B354" i="8" s="1"/>
  <c r="N163" i="11"/>
  <c r="B353" i="8" s="1"/>
  <c r="J353" i="8" s="1"/>
  <c r="N162" i="11"/>
  <c r="B352" i="8" s="1"/>
  <c r="K352" i="8" s="1"/>
  <c r="N161" i="11"/>
  <c r="B351" i="8" s="1"/>
  <c r="F351" i="8" s="1"/>
  <c r="N160" i="11"/>
  <c r="B350" i="8" s="1"/>
  <c r="F350" i="8" s="1"/>
  <c r="N159" i="11"/>
  <c r="M157" i="11"/>
  <c r="L157" i="11"/>
  <c r="K157" i="11"/>
  <c r="J157" i="11"/>
  <c r="I157" i="11"/>
  <c r="H157" i="11"/>
  <c r="G157" i="11"/>
  <c r="F157" i="11"/>
  <c r="E157" i="11"/>
  <c r="D157" i="11"/>
  <c r="C157" i="11"/>
  <c r="B157" i="11"/>
  <c r="N152" i="11"/>
  <c r="B342" i="8"/>
  <c r="F342" i="8" s="1"/>
  <c r="N150" i="11"/>
  <c r="B340" i="8" s="1"/>
  <c r="N149" i="11"/>
  <c r="B339" i="8" s="1"/>
  <c r="F339" i="8" s="1"/>
  <c r="D339" i="8" s="1"/>
  <c r="N148" i="11"/>
  <c r="B338" i="8" s="1"/>
  <c r="K338" i="8" s="1"/>
  <c r="N147" i="11"/>
  <c r="B337" i="8" s="1"/>
  <c r="I337" i="8" s="1"/>
  <c r="N146" i="11"/>
  <c r="B357" i="9"/>
  <c r="K357" i="9" s="1"/>
  <c r="B356" i="9"/>
  <c r="B355" i="9"/>
  <c r="K355" i="9" s="1"/>
  <c r="B354" i="9"/>
  <c r="F354" i="9" s="1"/>
  <c r="B353" i="9"/>
  <c r="K353" i="9" s="1"/>
  <c r="B352" i="9"/>
  <c r="K352" i="9" s="1"/>
  <c r="B351" i="9"/>
  <c r="B349" i="9"/>
  <c r="F349" i="9" s="1"/>
  <c r="H349" i="9" s="1"/>
  <c r="M157" i="10"/>
  <c r="L157" i="10"/>
  <c r="K157" i="10"/>
  <c r="J157" i="10"/>
  <c r="I157" i="10"/>
  <c r="H157" i="10"/>
  <c r="G157" i="10"/>
  <c r="F157" i="10"/>
  <c r="E157" i="10"/>
  <c r="D157" i="10"/>
  <c r="C157" i="10"/>
  <c r="B157" i="10"/>
  <c r="M153" i="10"/>
  <c r="K153" i="10"/>
  <c r="J153" i="10"/>
  <c r="I153" i="10"/>
  <c r="H153" i="10"/>
  <c r="G153" i="10"/>
  <c r="F153" i="10"/>
  <c r="E153" i="10"/>
  <c r="D153" i="10"/>
  <c r="C153" i="10"/>
  <c r="B153" i="10"/>
  <c r="B340" i="9"/>
  <c r="B337" i="9"/>
  <c r="K337" i="9" s="1"/>
  <c r="B336" i="9"/>
  <c r="K336" i="9" s="1"/>
  <c r="L336" i="9" s="1"/>
  <c r="K378" i="8"/>
  <c r="L378" i="8" s="1"/>
  <c r="K378" i="9"/>
  <c r="L378" i="9" s="1"/>
  <c r="K377" i="9"/>
  <c r="J377" i="9"/>
  <c r="K377" i="8"/>
  <c r="J377" i="8"/>
  <c r="F377" i="8"/>
  <c r="F377" i="9"/>
  <c r="D379" i="9"/>
  <c r="N122" i="11"/>
  <c r="B378" i="8" s="1"/>
  <c r="F378" i="8" s="1"/>
  <c r="D378" i="8" s="1"/>
  <c r="B378" i="9"/>
  <c r="F378" i="9" s="1"/>
  <c r="B379" i="9"/>
  <c r="L379" i="9"/>
  <c r="M379" i="9" s="1"/>
  <c r="C124" i="10"/>
  <c r="D124" i="10"/>
  <c r="E124" i="10"/>
  <c r="F124" i="10"/>
  <c r="G124" i="10"/>
  <c r="H124" i="10"/>
  <c r="I124" i="10"/>
  <c r="J124" i="10"/>
  <c r="K124" i="10"/>
  <c r="L124" i="10"/>
  <c r="M124" i="10"/>
  <c r="B124" i="10"/>
  <c r="I396" i="8"/>
  <c r="I396" i="9"/>
  <c r="N138" i="11"/>
  <c r="B394" i="8" s="1"/>
  <c r="N137" i="11"/>
  <c r="B393" i="8" s="1"/>
  <c r="F393" i="8" s="1"/>
  <c r="N136" i="11"/>
  <c r="B392" i="8" s="1"/>
  <c r="F392" i="8" s="1"/>
  <c r="N135" i="11"/>
  <c r="B391" i="8" s="1"/>
  <c r="N134" i="11"/>
  <c r="B390" i="8" s="1"/>
  <c r="K390" i="8" s="1"/>
  <c r="N133" i="11"/>
  <c r="B389" i="8" s="1"/>
  <c r="F389" i="8" s="1"/>
  <c r="H389" i="8" s="1"/>
  <c r="N132" i="11"/>
  <c r="N131" i="11"/>
  <c r="B387" i="8" s="1"/>
  <c r="J387" i="8" s="1"/>
  <c r="N130" i="11"/>
  <c r="B386" i="8" s="1"/>
  <c r="K386" i="8" s="1"/>
  <c r="N129" i="11"/>
  <c r="B385" i="8" s="1"/>
  <c r="F385" i="8" s="1"/>
  <c r="M127" i="11"/>
  <c r="L127" i="11"/>
  <c r="K127" i="11"/>
  <c r="J127" i="11"/>
  <c r="I127" i="11"/>
  <c r="H127" i="11"/>
  <c r="G127" i="11"/>
  <c r="F127" i="11"/>
  <c r="E127" i="11"/>
  <c r="D127" i="11"/>
  <c r="C127" i="11"/>
  <c r="B127" i="11"/>
  <c r="N126" i="11"/>
  <c r="N121" i="11"/>
  <c r="N120" i="11"/>
  <c r="B376" i="8" s="1"/>
  <c r="N119" i="11"/>
  <c r="B375" i="8" s="1"/>
  <c r="N118" i="11"/>
  <c r="B374" i="8"/>
  <c r="F374" i="8" s="1"/>
  <c r="H374" i="8" s="1"/>
  <c r="N117" i="11"/>
  <c r="B394" i="9"/>
  <c r="B393" i="9"/>
  <c r="J393" i="9" s="1"/>
  <c r="B392" i="9"/>
  <c r="F392" i="9" s="1"/>
  <c r="D392" i="9" s="1"/>
  <c r="B391" i="9"/>
  <c r="J391" i="9" s="1"/>
  <c r="B390" i="9"/>
  <c r="B389" i="9"/>
  <c r="B387" i="9"/>
  <c r="F387" i="9" s="1"/>
  <c r="B386" i="9"/>
  <c r="B385" i="9"/>
  <c r="M127" i="10"/>
  <c r="L127" i="10"/>
  <c r="K127" i="10"/>
  <c r="J127" i="10"/>
  <c r="I127" i="10"/>
  <c r="H127" i="10"/>
  <c r="G127" i="10"/>
  <c r="F127" i="10"/>
  <c r="E127" i="10"/>
  <c r="D127" i="10"/>
  <c r="C127" i="10"/>
  <c r="B127" i="10"/>
  <c r="B376" i="9"/>
  <c r="F376" i="9" s="1"/>
  <c r="B375" i="9"/>
  <c r="B374" i="9"/>
  <c r="I374" i="9" s="1"/>
  <c r="F413" i="8"/>
  <c r="F412" i="9"/>
  <c r="D412" i="9" s="1"/>
  <c r="D438" i="8"/>
  <c r="K413" i="8"/>
  <c r="J413" i="8"/>
  <c r="J413" i="9"/>
  <c r="L413" i="9" s="1"/>
  <c r="M413" i="9" s="1"/>
  <c r="L438" i="9"/>
  <c r="K413" i="9"/>
  <c r="F413" i="9"/>
  <c r="H413" i="9" s="1"/>
  <c r="I439" i="8"/>
  <c r="L438" i="8"/>
  <c r="M438" i="8" s="1"/>
  <c r="H438" i="8"/>
  <c r="I431" i="8"/>
  <c r="H412" i="8"/>
  <c r="D412" i="8"/>
  <c r="M111" i="11"/>
  <c r="L111" i="11"/>
  <c r="K111" i="11"/>
  <c r="J111" i="11"/>
  <c r="I111" i="11"/>
  <c r="H111" i="11"/>
  <c r="G111" i="11"/>
  <c r="F111" i="11"/>
  <c r="E111" i="11"/>
  <c r="D111" i="11"/>
  <c r="C111" i="11"/>
  <c r="B111" i="11"/>
  <c r="N110" i="11"/>
  <c r="N109" i="11"/>
  <c r="B437" i="8" s="1"/>
  <c r="K437" i="8" s="1"/>
  <c r="N108" i="11"/>
  <c r="B436" i="8" s="1"/>
  <c r="N107" i="11"/>
  <c r="N106" i="11"/>
  <c r="B434" i="8" s="1"/>
  <c r="K434" i="8" s="1"/>
  <c r="N105" i="11"/>
  <c r="B433" i="8" s="1"/>
  <c r="K433" i="8" s="1"/>
  <c r="M103" i="11"/>
  <c r="L103" i="11"/>
  <c r="K103" i="11"/>
  <c r="J103" i="11"/>
  <c r="I103" i="11"/>
  <c r="H103" i="11"/>
  <c r="G103" i="11"/>
  <c r="F103" i="11"/>
  <c r="E103" i="11"/>
  <c r="D103" i="11"/>
  <c r="C103" i="11"/>
  <c r="B103" i="11"/>
  <c r="N102" i="11"/>
  <c r="B430" i="8" s="1"/>
  <c r="J430" i="8" s="1"/>
  <c r="N101" i="11"/>
  <c r="B429" i="8" s="1"/>
  <c r="K429" i="8" s="1"/>
  <c r="N100" i="11"/>
  <c r="B428" i="8" s="1"/>
  <c r="F428" i="8" s="1"/>
  <c r="H428" i="8" s="1"/>
  <c r="N99" i="11"/>
  <c r="B427" i="8" s="1"/>
  <c r="N98" i="11"/>
  <c r="B426" i="8" s="1"/>
  <c r="F426" i="8" s="1"/>
  <c r="H426" i="8" s="1"/>
  <c r="N97" i="11"/>
  <c r="B425" i="8" s="1"/>
  <c r="K425" i="8" s="1"/>
  <c r="N96" i="11"/>
  <c r="B424" i="8" s="1"/>
  <c r="F424" i="8" s="1"/>
  <c r="H424" i="8" s="1"/>
  <c r="N95" i="11"/>
  <c r="B423" i="8" s="1"/>
  <c r="K423" i="8" s="1"/>
  <c r="N94" i="11"/>
  <c r="B422" i="8" s="1"/>
  <c r="N93" i="11"/>
  <c r="N92" i="11"/>
  <c r="B420" i="8" s="1"/>
  <c r="J420" i="8" s="1"/>
  <c r="N91" i="11"/>
  <c r="B419" i="8" s="1"/>
  <c r="K419" i="8" s="1"/>
  <c r="M89" i="11"/>
  <c r="L89" i="11"/>
  <c r="K89" i="11"/>
  <c r="J89" i="11"/>
  <c r="I89" i="11"/>
  <c r="H89" i="11"/>
  <c r="G89" i="11"/>
  <c r="F89" i="11"/>
  <c r="E89" i="11"/>
  <c r="D89" i="11"/>
  <c r="C89" i="11"/>
  <c r="B89" i="11"/>
  <c r="N88" i="11"/>
  <c r="B416" i="8" s="1"/>
  <c r="J416" i="8" s="1"/>
  <c r="J417" i="8" s="1"/>
  <c r="M86" i="11"/>
  <c r="L86" i="11"/>
  <c r="K86" i="11"/>
  <c r="J86" i="11"/>
  <c r="I86" i="11"/>
  <c r="H86" i="11"/>
  <c r="G86" i="11"/>
  <c r="F86" i="11"/>
  <c r="E86" i="11"/>
  <c r="D86" i="11"/>
  <c r="C86" i="11"/>
  <c r="B86" i="11"/>
  <c r="N85" i="11"/>
  <c r="B413" i="8" s="1"/>
  <c r="N84" i="11"/>
  <c r="B412" i="8" s="1"/>
  <c r="K412" i="8" s="1"/>
  <c r="L412" i="8" s="1"/>
  <c r="N83" i="11"/>
  <c r="B411" i="8" s="1"/>
  <c r="N82" i="11"/>
  <c r="B410" i="8" s="1"/>
  <c r="N81" i="11"/>
  <c r="B409" i="8" s="1"/>
  <c r="N80" i="11"/>
  <c r="B408" i="8" s="1"/>
  <c r="N79" i="11"/>
  <c r="B407" i="8" s="1"/>
  <c r="C89" i="10"/>
  <c r="D89" i="10"/>
  <c r="E89" i="10"/>
  <c r="F89" i="10"/>
  <c r="G89" i="10"/>
  <c r="H89" i="10"/>
  <c r="I89" i="10"/>
  <c r="J89" i="10"/>
  <c r="K89" i="10"/>
  <c r="L89" i="10"/>
  <c r="M89" i="10"/>
  <c r="B89" i="10"/>
  <c r="B408" i="9"/>
  <c r="F408" i="9" s="1"/>
  <c r="D408" i="9" s="1"/>
  <c r="B409" i="9"/>
  <c r="B410" i="9"/>
  <c r="K410" i="9" s="1"/>
  <c r="B411" i="9"/>
  <c r="K411" i="9" s="1"/>
  <c r="B412" i="9"/>
  <c r="K412" i="9" s="1"/>
  <c r="L412" i="9" s="1"/>
  <c r="B413" i="9"/>
  <c r="I439" i="9"/>
  <c r="H438" i="9"/>
  <c r="D438" i="9"/>
  <c r="I431" i="9"/>
  <c r="M111" i="10"/>
  <c r="L111" i="10"/>
  <c r="K111" i="10"/>
  <c r="J111" i="10"/>
  <c r="I111" i="10"/>
  <c r="H111" i="10"/>
  <c r="G111" i="10"/>
  <c r="F111" i="10"/>
  <c r="E111" i="10"/>
  <c r="D111" i="10"/>
  <c r="C111" i="10"/>
  <c r="B111" i="10"/>
  <c r="B438" i="9"/>
  <c r="B436" i="9"/>
  <c r="J436" i="9" s="1"/>
  <c r="B435" i="9"/>
  <c r="K435" i="9" s="1"/>
  <c r="B434" i="9"/>
  <c r="F434" i="9" s="1"/>
  <c r="B433" i="9"/>
  <c r="M103" i="10"/>
  <c r="L103" i="10"/>
  <c r="K103" i="10"/>
  <c r="J103" i="10"/>
  <c r="I103" i="10"/>
  <c r="H103" i="10"/>
  <c r="G103" i="10"/>
  <c r="F103" i="10"/>
  <c r="E103" i="10"/>
  <c r="D103" i="10"/>
  <c r="C103" i="10"/>
  <c r="B103" i="10"/>
  <c r="B430" i="9"/>
  <c r="F430" i="9" s="1"/>
  <c r="B428" i="9"/>
  <c r="B427" i="9"/>
  <c r="F427" i="9" s="1"/>
  <c r="B426" i="9"/>
  <c r="F426" i="9" s="1"/>
  <c r="H426" i="9" s="1"/>
  <c r="B425" i="9"/>
  <c r="B424" i="9"/>
  <c r="J424" i="9" s="1"/>
  <c r="B423" i="9"/>
  <c r="J423" i="9" s="1"/>
  <c r="B422" i="9"/>
  <c r="B421" i="9"/>
  <c r="F421" i="9" s="1"/>
  <c r="H421" i="9" s="1"/>
  <c r="B420" i="9"/>
  <c r="K420" i="9" s="1"/>
  <c r="B419" i="9"/>
  <c r="J419" i="9" s="1"/>
  <c r="B416" i="9"/>
  <c r="J416" i="9" s="1"/>
  <c r="M86" i="10"/>
  <c r="L86" i="10"/>
  <c r="K86" i="10"/>
  <c r="J86" i="10"/>
  <c r="I86" i="10"/>
  <c r="H86" i="10"/>
  <c r="G86" i="10"/>
  <c r="F86" i="10"/>
  <c r="E86" i="10"/>
  <c r="D86" i="10"/>
  <c r="C86" i="10"/>
  <c r="B86" i="10"/>
  <c r="N86" i="10" s="1"/>
  <c r="B407" i="9"/>
  <c r="J407" i="9" s="1"/>
  <c r="F481" i="8"/>
  <c r="B455" i="8"/>
  <c r="F455" i="8"/>
  <c r="D455" i="8" s="1"/>
  <c r="B456" i="8"/>
  <c r="F456" i="8"/>
  <c r="D456" i="8" s="1"/>
  <c r="J456" i="8"/>
  <c r="K456" i="8"/>
  <c r="I474" i="8"/>
  <c r="K481" i="8"/>
  <c r="L481" i="8" s="1"/>
  <c r="I482" i="8"/>
  <c r="F499" i="8"/>
  <c r="H499" i="8" s="1"/>
  <c r="J499" i="8"/>
  <c r="K499" i="8"/>
  <c r="F513" i="8"/>
  <c r="H513" i="8" s="1"/>
  <c r="J513" i="8"/>
  <c r="K513" i="8"/>
  <c r="B514" i="8"/>
  <c r="K514" i="8" s="1"/>
  <c r="I515" i="8"/>
  <c r="I522" i="8"/>
  <c r="B533" i="8"/>
  <c r="F533" i="8" s="1"/>
  <c r="B534" i="8"/>
  <c r="F534" i="8" s="1"/>
  <c r="B535" i="8"/>
  <c r="B536" i="8"/>
  <c r="B537" i="8"/>
  <c r="F537" i="8" s="1"/>
  <c r="B538" i="8"/>
  <c r="F538" i="8" s="1"/>
  <c r="I539" i="8"/>
  <c r="B541" i="8"/>
  <c r="I541" i="8" s="1"/>
  <c r="I542" i="8" s="1"/>
  <c r="B544" i="8"/>
  <c r="J544" i="8" s="1"/>
  <c r="B545" i="8"/>
  <c r="J545" i="8" s="1"/>
  <c r="B546" i="8"/>
  <c r="K546" i="8" s="1"/>
  <c r="B547" i="8"/>
  <c r="B548" i="8"/>
  <c r="F548" i="8" s="1"/>
  <c r="B549" i="8"/>
  <c r="F549" i="8" s="1"/>
  <c r="B550" i="8"/>
  <c r="F550" i="8" s="1"/>
  <c r="H550" i="8" s="1"/>
  <c r="B551" i="8"/>
  <c r="F551" i="8" s="1"/>
  <c r="F563" i="8"/>
  <c r="J563" i="8"/>
  <c r="K563" i="8"/>
  <c r="F564" i="8"/>
  <c r="D564" i="8" s="1"/>
  <c r="K564" i="8"/>
  <c r="F565" i="8"/>
  <c r="D565" i="8" s="1"/>
  <c r="J565" i="8"/>
  <c r="J566" i="8"/>
  <c r="K565" i="8"/>
  <c r="F566" i="8"/>
  <c r="K566" i="8"/>
  <c r="B567" i="8"/>
  <c r="I567" i="8"/>
  <c r="F569" i="8"/>
  <c r="F570" i="8" s="1"/>
  <c r="J569" i="8"/>
  <c r="J570" i="8" s="1"/>
  <c r="K569" i="8"/>
  <c r="B570" i="8"/>
  <c r="I570" i="8"/>
  <c r="F572" i="8"/>
  <c r="F573" i="8"/>
  <c r="F574" i="8"/>
  <c r="D574" i="8" s="1"/>
  <c r="L574" i="8"/>
  <c r="F575" i="8"/>
  <c r="H575" i="8" s="1"/>
  <c r="L575" i="8"/>
  <c r="F576" i="8"/>
  <c r="L576" i="8"/>
  <c r="F577" i="8"/>
  <c r="D577" i="8" s="1"/>
  <c r="L577" i="8"/>
  <c r="B578" i="8"/>
  <c r="I578" i="8"/>
  <c r="J578" i="8"/>
  <c r="K578" i="8"/>
  <c r="H584" i="8"/>
  <c r="J584" i="8"/>
  <c r="K584" i="8"/>
  <c r="F585" i="8"/>
  <c r="D585" i="8" s="1"/>
  <c r="J585" i="8"/>
  <c r="K585" i="8"/>
  <c r="F586" i="8"/>
  <c r="H586" i="8" s="1"/>
  <c r="J586" i="8"/>
  <c r="K586" i="8"/>
  <c r="F587" i="8"/>
  <c r="D587" i="8" s="1"/>
  <c r="J587" i="8"/>
  <c r="K587" i="8"/>
  <c r="L587" i="8" s="1"/>
  <c r="M587" i="8" s="1"/>
  <c r="D588" i="8"/>
  <c r="F588" i="8" s="1"/>
  <c r="H588" i="8" s="1"/>
  <c r="L588" i="8"/>
  <c r="B589" i="8"/>
  <c r="I589" i="8"/>
  <c r="F591" i="8"/>
  <c r="F592" i="8" s="1"/>
  <c r="J591" i="8"/>
  <c r="J592" i="8" s="1"/>
  <c r="K591" i="8"/>
  <c r="K592" i="8" s="1"/>
  <c r="B592" i="8"/>
  <c r="I592" i="8"/>
  <c r="F594" i="8"/>
  <c r="K594" i="8"/>
  <c r="F595" i="8"/>
  <c r="D595" i="8" s="1"/>
  <c r="F596" i="8"/>
  <c r="H596" i="8" s="1"/>
  <c r="K596" i="8"/>
  <c r="L596" i="8" s="1"/>
  <c r="F597" i="8"/>
  <c r="L597" i="8"/>
  <c r="F598" i="8"/>
  <c r="L598" i="8"/>
  <c r="F599" i="8"/>
  <c r="D599" i="8" s="1"/>
  <c r="B600" i="8"/>
  <c r="I600" i="8"/>
  <c r="J600" i="8"/>
  <c r="F611" i="8"/>
  <c r="H611" i="8" s="1"/>
  <c r="L611" i="8"/>
  <c r="F612" i="8"/>
  <c r="D612" i="8" s="1"/>
  <c r="L612" i="8"/>
  <c r="F613" i="8"/>
  <c r="H613" i="8" s="1"/>
  <c r="L613" i="8"/>
  <c r="F614" i="8"/>
  <c r="D614" i="8" s="1"/>
  <c r="L614" i="8"/>
  <c r="H615" i="8"/>
  <c r="L615" i="8"/>
  <c r="B616" i="8"/>
  <c r="I616" i="8"/>
  <c r="J616" i="8"/>
  <c r="K616" i="8"/>
  <c r="F618" i="8"/>
  <c r="H618" i="8" s="1"/>
  <c r="H619" i="8" s="1"/>
  <c r="L618" i="8"/>
  <c r="L619" i="8" s="1"/>
  <c r="B619" i="8"/>
  <c r="I619" i="8"/>
  <c r="J619" i="8"/>
  <c r="K619" i="8"/>
  <c r="F621" i="8"/>
  <c r="D621" i="8" s="1"/>
  <c r="L621" i="8"/>
  <c r="F622" i="8"/>
  <c r="L622" i="8"/>
  <c r="F623" i="8"/>
  <c r="L623" i="8"/>
  <c r="F624" i="8"/>
  <c r="D624" i="8" s="1"/>
  <c r="L624" i="8"/>
  <c r="B625" i="8"/>
  <c r="I625" i="8"/>
  <c r="J625" i="8"/>
  <c r="K625" i="8"/>
  <c r="F631" i="8"/>
  <c r="H631" i="8" s="1"/>
  <c r="L631" i="8"/>
  <c r="F632" i="8"/>
  <c r="L632" i="8"/>
  <c r="F633" i="8"/>
  <c r="L633" i="8"/>
  <c r="F634" i="8"/>
  <c r="D634" i="8" s="1"/>
  <c r="L634" i="8"/>
  <c r="H635" i="8"/>
  <c r="L635" i="8"/>
  <c r="B636" i="8"/>
  <c r="I636" i="8"/>
  <c r="J636" i="8"/>
  <c r="K636" i="8"/>
  <c r="F638" i="8"/>
  <c r="L638" i="8"/>
  <c r="L639" i="8" s="1"/>
  <c r="B639" i="8"/>
  <c r="I639" i="8"/>
  <c r="J639" i="8"/>
  <c r="K639" i="8"/>
  <c r="F641" i="8"/>
  <c r="L641" i="8"/>
  <c r="F642" i="8"/>
  <c r="H642" i="8" s="1"/>
  <c r="L642" i="8"/>
  <c r="F643" i="8"/>
  <c r="H643" i="8" s="1"/>
  <c r="L643" i="8"/>
  <c r="F644" i="8"/>
  <c r="L644" i="8"/>
  <c r="B646" i="8"/>
  <c r="I646" i="8"/>
  <c r="J646" i="8"/>
  <c r="K646" i="8"/>
  <c r="N6" i="11"/>
  <c r="B493" i="8" s="1"/>
  <c r="N7" i="11"/>
  <c r="B494" i="8" s="1"/>
  <c r="N8" i="11"/>
  <c r="N9" i="11"/>
  <c r="B496" i="8" s="1"/>
  <c r="J496" i="8" s="1"/>
  <c r="N10" i="11"/>
  <c r="B497" i="8" s="1"/>
  <c r="K497" i="8" s="1"/>
  <c r="N11" i="11"/>
  <c r="B498" i="8" s="1"/>
  <c r="F498" i="8" s="1"/>
  <c r="N12" i="11"/>
  <c r="B499" i="8" s="1"/>
  <c r="B13" i="11"/>
  <c r="C13" i="11"/>
  <c r="D13" i="11"/>
  <c r="E13" i="11"/>
  <c r="F13" i="11"/>
  <c r="G13" i="11"/>
  <c r="H13" i="11"/>
  <c r="I13" i="11"/>
  <c r="J13" i="11"/>
  <c r="K13" i="11"/>
  <c r="L13" i="11"/>
  <c r="M13" i="11"/>
  <c r="N15" i="11"/>
  <c r="B16" i="11"/>
  <c r="C16" i="11"/>
  <c r="D16" i="11"/>
  <c r="E16" i="11"/>
  <c r="F16" i="11"/>
  <c r="G16" i="11"/>
  <c r="H16" i="11"/>
  <c r="I16" i="11"/>
  <c r="J16" i="11"/>
  <c r="K16" i="11"/>
  <c r="L16" i="11"/>
  <c r="M16" i="11"/>
  <c r="N18" i="11"/>
  <c r="B505" i="8" s="1"/>
  <c r="N19" i="11"/>
  <c r="B506" i="8" s="1"/>
  <c r="N20" i="11"/>
  <c r="B507" i="8" s="1"/>
  <c r="J507" i="8" s="1"/>
  <c r="N21" i="11"/>
  <c r="B508" i="8" s="1"/>
  <c r="F508" i="8" s="1"/>
  <c r="H508" i="8" s="1"/>
  <c r="N22" i="11"/>
  <c r="B509" i="8" s="1"/>
  <c r="N23" i="11"/>
  <c r="B510" i="8" s="1"/>
  <c r="N24" i="11"/>
  <c r="B511" i="8" s="1"/>
  <c r="N25" i="11"/>
  <c r="B512" i="8" s="1"/>
  <c r="K512" i="8" s="1"/>
  <c r="N26" i="11"/>
  <c r="B513" i="8" s="1"/>
  <c r="N27" i="11"/>
  <c r="B28" i="11"/>
  <c r="C28" i="11"/>
  <c r="D28" i="11"/>
  <c r="E28" i="11"/>
  <c r="F28" i="11"/>
  <c r="G28" i="11"/>
  <c r="H28" i="11"/>
  <c r="I28" i="11"/>
  <c r="J28" i="11"/>
  <c r="K28" i="11"/>
  <c r="L28" i="11"/>
  <c r="M28" i="11"/>
  <c r="N30" i="11"/>
  <c r="B517" i="8" s="1"/>
  <c r="J517" i="8" s="1"/>
  <c r="N31" i="11"/>
  <c r="B518" i="8" s="1"/>
  <c r="J518" i="8" s="1"/>
  <c r="N32" i="11"/>
  <c r="B519" i="8" s="1"/>
  <c r="N33" i="11"/>
  <c r="B520" i="8" s="1"/>
  <c r="K520" i="8" s="1"/>
  <c r="N34" i="11"/>
  <c r="B521" i="8" s="1"/>
  <c r="B35" i="11"/>
  <c r="C35" i="11"/>
  <c r="D35" i="11"/>
  <c r="E35" i="11"/>
  <c r="F35" i="11"/>
  <c r="G35" i="11"/>
  <c r="H35" i="11"/>
  <c r="I35" i="11"/>
  <c r="J35" i="11"/>
  <c r="K35" i="11"/>
  <c r="L35" i="11"/>
  <c r="M35" i="11"/>
  <c r="N41" i="11"/>
  <c r="B450" i="8" s="1"/>
  <c r="F450" i="8" s="1"/>
  <c r="D450" i="8" s="1"/>
  <c r="N42" i="11"/>
  <c r="N43" i="11"/>
  <c r="B452" i="8" s="1"/>
  <c r="N44" i="11"/>
  <c r="B453" i="8" s="1"/>
  <c r="I453" i="8" s="1"/>
  <c r="N45" i="11"/>
  <c r="B454" i="8" s="1"/>
  <c r="K454" i="8" s="1"/>
  <c r="N50" i="11"/>
  <c r="N53" i="11"/>
  <c r="B462" i="8" s="1"/>
  <c r="K462" i="8" s="1"/>
  <c r="N54" i="11"/>
  <c r="B463" i="8" s="1"/>
  <c r="F463" i="8" s="1"/>
  <c r="N55" i="11"/>
  <c r="B464" i="8" s="1"/>
  <c r="J464" i="8" s="1"/>
  <c r="N56" i="11"/>
  <c r="B465" i="8" s="1"/>
  <c r="K465" i="8" s="1"/>
  <c r="N57" i="11"/>
  <c r="B466" i="8" s="1"/>
  <c r="N58" i="11"/>
  <c r="B467" i="8" s="1"/>
  <c r="F467" i="8" s="1"/>
  <c r="N59" i="11"/>
  <c r="B468" i="8" s="1"/>
  <c r="K468" i="8" s="1"/>
  <c r="N60" i="11"/>
  <c r="B469" i="8" s="1"/>
  <c r="N61" i="11"/>
  <c r="B470" i="8" s="1"/>
  <c r="N62" i="11"/>
  <c r="B471" i="8" s="1"/>
  <c r="F471" i="8" s="1"/>
  <c r="N63" i="11"/>
  <c r="B472" i="8" s="1"/>
  <c r="N64" i="11"/>
  <c r="B473" i="8" s="1"/>
  <c r="J473" i="8" s="1"/>
  <c r="B65" i="11"/>
  <c r="C65" i="11"/>
  <c r="D65" i="11"/>
  <c r="E65" i="11"/>
  <c r="F65" i="11"/>
  <c r="G65" i="11"/>
  <c r="H65" i="11"/>
  <c r="I65" i="11"/>
  <c r="J65" i="11"/>
  <c r="K65" i="11"/>
  <c r="L65" i="11"/>
  <c r="M65" i="11"/>
  <c r="N67" i="11"/>
  <c r="B476" i="8" s="1"/>
  <c r="J476" i="8" s="1"/>
  <c r="N68" i="11"/>
  <c r="B477" i="8" s="1"/>
  <c r="K477" i="8" s="1"/>
  <c r="N69" i="11"/>
  <c r="B478" i="8" s="1"/>
  <c r="K478" i="8" s="1"/>
  <c r="N70" i="11"/>
  <c r="B479" i="8" s="1"/>
  <c r="N71" i="11"/>
  <c r="B480" i="8" s="1"/>
  <c r="N72" i="11"/>
  <c r="B481" i="8" s="1"/>
  <c r="B73" i="11"/>
  <c r="C73" i="11"/>
  <c r="D73" i="11"/>
  <c r="E73" i="11"/>
  <c r="F73" i="11"/>
  <c r="G73" i="11"/>
  <c r="H73" i="11"/>
  <c r="I73" i="11"/>
  <c r="J73" i="11"/>
  <c r="K73" i="11"/>
  <c r="L73" i="11"/>
  <c r="M73" i="11"/>
  <c r="F455" i="9"/>
  <c r="D455" i="9" s="1"/>
  <c r="J455" i="9"/>
  <c r="K455" i="9"/>
  <c r="F456" i="9"/>
  <c r="J456" i="9"/>
  <c r="K456" i="9"/>
  <c r="I474" i="9"/>
  <c r="F481" i="9"/>
  <c r="D481" i="9" s="1"/>
  <c r="K481" i="9"/>
  <c r="L481" i="9" s="1"/>
  <c r="F498" i="9"/>
  <c r="J498" i="9"/>
  <c r="F499" i="9"/>
  <c r="J499" i="9"/>
  <c r="K499" i="9"/>
  <c r="B513" i="9"/>
  <c r="I515" i="9"/>
  <c r="I522" i="9"/>
  <c r="B533" i="9"/>
  <c r="F533" i="9" s="1"/>
  <c r="B534" i="9"/>
  <c r="F534" i="9" s="1"/>
  <c r="H534" i="9" s="1"/>
  <c r="B535" i="9"/>
  <c r="B536" i="9"/>
  <c r="F536" i="9" s="1"/>
  <c r="H536" i="9" s="1"/>
  <c r="B537" i="9"/>
  <c r="J537" i="9" s="1"/>
  <c r="J539" i="9" s="1"/>
  <c r="B538" i="9"/>
  <c r="F538" i="9" s="1"/>
  <c r="I539" i="9"/>
  <c r="B541" i="9"/>
  <c r="K541" i="9" s="1"/>
  <c r="B544" i="9"/>
  <c r="B545" i="9"/>
  <c r="B546" i="9"/>
  <c r="B547" i="9"/>
  <c r="K547" i="9" s="1"/>
  <c r="L547" i="9" s="1"/>
  <c r="B548" i="9"/>
  <c r="F548" i="9" s="1"/>
  <c r="D548" i="9" s="1"/>
  <c r="B549" i="9"/>
  <c r="J549" i="9" s="1"/>
  <c r="B550" i="9"/>
  <c r="K550" i="9" s="1"/>
  <c r="L550" i="9" s="1"/>
  <c r="B551" i="9"/>
  <c r="F551" i="9" s="1"/>
  <c r="I552" i="9"/>
  <c r="F563" i="9"/>
  <c r="H563" i="9" s="1"/>
  <c r="J563" i="9"/>
  <c r="K563" i="9"/>
  <c r="F564" i="9"/>
  <c r="H564" i="9" s="1"/>
  <c r="L564" i="9"/>
  <c r="F565" i="9"/>
  <c r="D565" i="9" s="1"/>
  <c r="J565" i="9"/>
  <c r="K565" i="9"/>
  <c r="F566" i="9"/>
  <c r="D566" i="9" s="1"/>
  <c r="J566" i="9"/>
  <c r="K566" i="9"/>
  <c r="B567" i="9"/>
  <c r="I567" i="9"/>
  <c r="F569" i="9"/>
  <c r="J569" i="9"/>
  <c r="K569" i="9"/>
  <c r="B570" i="9"/>
  <c r="I570" i="9"/>
  <c r="F572" i="9"/>
  <c r="H572" i="9" s="1"/>
  <c r="J572" i="9"/>
  <c r="K572" i="9"/>
  <c r="F573" i="9"/>
  <c r="F574" i="9"/>
  <c r="K574" i="9"/>
  <c r="L574" i="9" s="1"/>
  <c r="F575" i="9"/>
  <c r="K575" i="9"/>
  <c r="F576" i="9"/>
  <c r="L576" i="9"/>
  <c r="F577" i="9"/>
  <c r="D577" i="9" s="1"/>
  <c r="L577" i="9"/>
  <c r="B578" i="9"/>
  <c r="I578" i="9"/>
  <c r="F584" i="9"/>
  <c r="D584" i="9" s="1"/>
  <c r="J584" i="9"/>
  <c r="K584" i="9"/>
  <c r="L584" i="9" s="1"/>
  <c r="F585" i="9"/>
  <c r="J585" i="9"/>
  <c r="K585" i="9"/>
  <c r="J586" i="9"/>
  <c r="K586" i="9"/>
  <c r="F587" i="9"/>
  <c r="D587" i="9" s="1"/>
  <c r="J587" i="9"/>
  <c r="K587" i="9"/>
  <c r="D588" i="9"/>
  <c r="F588" i="9" s="1"/>
  <c r="J588" i="9"/>
  <c r="L588" i="9" s="1"/>
  <c r="B589" i="9"/>
  <c r="I589" i="9"/>
  <c r="F591" i="9"/>
  <c r="J591" i="9"/>
  <c r="L591" i="9" s="1"/>
  <c r="L592" i="9" s="1"/>
  <c r="K591" i="9"/>
  <c r="K592" i="9" s="1"/>
  <c r="B592" i="9"/>
  <c r="I592" i="9"/>
  <c r="F594" i="9"/>
  <c r="H594" i="9" s="1"/>
  <c r="L594" i="9"/>
  <c r="F595" i="9"/>
  <c r="F596" i="9"/>
  <c r="H596" i="9" s="1"/>
  <c r="K596" i="9"/>
  <c r="F597" i="9"/>
  <c r="D597" i="9" s="1"/>
  <c r="L597" i="9"/>
  <c r="F598" i="9"/>
  <c r="L598" i="9"/>
  <c r="F599" i="9"/>
  <c r="D599" i="9" s="1"/>
  <c r="K599" i="9"/>
  <c r="B600" i="9"/>
  <c r="I600" i="9"/>
  <c r="J600" i="9"/>
  <c r="F611" i="9"/>
  <c r="H611" i="9" s="1"/>
  <c r="L611" i="9"/>
  <c r="F612" i="9"/>
  <c r="D612" i="9" s="1"/>
  <c r="L612" i="9"/>
  <c r="F613" i="9"/>
  <c r="L613" i="9"/>
  <c r="F614" i="9"/>
  <c r="H614" i="9" s="1"/>
  <c r="L614" i="9"/>
  <c r="H615" i="9"/>
  <c r="L615" i="9"/>
  <c r="B616" i="9"/>
  <c r="I616" i="9"/>
  <c r="J616" i="9"/>
  <c r="K616" i="9"/>
  <c r="F618" i="9"/>
  <c r="L618" i="9"/>
  <c r="L619" i="9" s="1"/>
  <c r="B619" i="9"/>
  <c r="I619" i="9"/>
  <c r="J619" i="9"/>
  <c r="K619" i="9"/>
  <c r="F621" i="9"/>
  <c r="H621" i="9" s="1"/>
  <c r="L621" i="9"/>
  <c r="F622" i="9"/>
  <c r="L622" i="9"/>
  <c r="F623" i="9"/>
  <c r="L623" i="9"/>
  <c r="F624" i="9"/>
  <c r="L624" i="9"/>
  <c r="B625" i="9"/>
  <c r="I625" i="9"/>
  <c r="J625" i="9"/>
  <c r="K625" i="9"/>
  <c r="F631" i="9"/>
  <c r="H631" i="9" s="1"/>
  <c r="L631" i="9"/>
  <c r="F632" i="9"/>
  <c r="L632" i="9"/>
  <c r="F633" i="9"/>
  <c r="D633" i="9" s="1"/>
  <c r="L633" i="9"/>
  <c r="F634" i="9"/>
  <c r="L634" i="9"/>
  <c r="H635" i="9"/>
  <c r="L635" i="9"/>
  <c r="B636" i="9"/>
  <c r="I636" i="9"/>
  <c r="J636" i="9"/>
  <c r="K636" i="9"/>
  <c r="F638" i="9"/>
  <c r="L638" i="9"/>
  <c r="B639" i="9"/>
  <c r="I639" i="9"/>
  <c r="J639" i="9"/>
  <c r="K639" i="9"/>
  <c r="F641" i="9"/>
  <c r="H641" i="9" s="1"/>
  <c r="L641" i="9"/>
  <c r="F642" i="9"/>
  <c r="L642" i="9"/>
  <c r="F643" i="9"/>
  <c r="D643" i="9" s="1"/>
  <c r="L643" i="9"/>
  <c r="F644" i="9"/>
  <c r="D644" i="9" s="1"/>
  <c r="L644" i="9"/>
  <c r="B646" i="9"/>
  <c r="I646" i="9"/>
  <c r="J646" i="9"/>
  <c r="K646" i="9"/>
  <c r="B493" i="9"/>
  <c r="K493" i="9" s="1"/>
  <c r="B495" i="9"/>
  <c r="B496" i="9"/>
  <c r="B498" i="9"/>
  <c r="B499" i="9"/>
  <c r="B16" i="10"/>
  <c r="C16" i="10"/>
  <c r="D16" i="10"/>
  <c r="E16" i="10"/>
  <c r="F16" i="10"/>
  <c r="G16" i="10"/>
  <c r="H16" i="10"/>
  <c r="I16" i="10"/>
  <c r="J16" i="10"/>
  <c r="K16" i="10"/>
  <c r="L16" i="10"/>
  <c r="M16" i="10"/>
  <c r="B506" i="9"/>
  <c r="J506" i="9" s="1"/>
  <c r="B507" i="9"/>
  <c r="B508" i="9"/>
  <c r="B509" i="9"/>
  <c r="J509" i="9" s="1"/>
  <c r="B510" i="9"/>
  <c r="F510" i="9" s="1"/>
  <c r="B511" i="9"/>
  <c r="B512" i="9"/>
  <c r="B28" i="10"/>
  <c r="C28" i="10"/>
  <c r="D28" i="10"/>
  <c r="E28" i="10"/>
  <c r="F28" i="10"/>
  <c r="G28" i="10"/>
  <c r="H28" i="10"/>
  <c r="I28" i="10"/>
  <c r="J28" i="10"/>
  <c r="K28" i="10"/>
  <c r="L28" i="10"/>
  <c r="M28" i="10"/>
  <c r="B517" i="9"/>
  <c r="B518" i="9"/>
  <c r="K518" i="9" s="1"/>
  <c r="B519" i="9"/>
  <c r="J519" i="9" s="1"/>
  <c r="B520" i="9"/>
  <c r="J520" i="9" s="1"/>
  <c r="B521" i="9"/>
  <c r="B35" i="10"/>
  <c r="C35" i="10"/>
  <c r="D35" i="10"/>
  <c r="E35" i="10"/>
  <c r="F35" i="10"/>
  <c r="G35" i="10"/>
  <c r="H35" i="10"/>
  <c r="I35" i="10"/>
  <c r="J35" i="10"/>
  <c r="K35" i="10"/>
  <c r="L35" i="10"/>
  <c r="M35" i="10"/>
  <c r="B451" i="9"/>
  <c r="F451" i="9" s="1"/>
  <c r="D451" i="9" s="1"/>
  <c r="B452" i="9"/>
  <c r="B453" i="9"/>
  <c r="B454" i="9"/>
  <c r="B462" i="9"/>
  <c r="B463" i="9"/>
  <c r="B464" i="9"/>
  <c r="F464" i="9" s="1"/>
  <c r="D464" i="9" s="1"/>
  <c r="B466" i="9"/>
  <c r="K466" i="9" s="1"/>
  <c r="B468" i="9"/>
  <c r="B469" i="9"/>
  <c r="F469" i="9" s="1"/>
  <c r="B470" i="9"/>
  <c r="B471" i="9"/>
  <c r="K471" i="9" s="1"/>
  <c r="B472" i="9"/>
  <c r="B473" i="9"/>
  <c r="B476" i="9"/>
  <c r="F476" i="9" s="1"/>
  <c r="D476" i="9" s="1"/>
  <c r="B478" i="9"/>
  <c r="B479" i="9"/>
  <c r="F479" i="9" s="1"/>
  <c r="B480" i="9"/>
  <c r="F480" i="9" s="1"/>
  <c r="H480" i="9" s="1"/>
  <c r="B481" i="9"/>
  <c r="L426" i="9"/>
  <c r="L354" i="9"/>
  <c r="B388" i="8"/>
  <c r="J316" i="9"/>
  <c r="K316" i="9"/>
  <c r="D176" i="8"/>
  <c r="H187" i="8"/>
  <c r="D611" i="8"/>
  <c r="F169" i="8"/>
  <c r="D169" i="8" s="1"/>
  <c r="D170" i="8"/>
  <c r="K171" i="8"/>
  <c r="D189" i="8"/>
  <c r="D575" i="8"/>
  <c r="L499" i="9"/>
  <c r="D302" i="8"/>
  <c r="D413" i="9"/>
  <c r="H577" i="8"/>
  <c r="H259" i="8"/>
  <c r="D189" i="9"/>
  <c r="M189" i="9"/>
  <c r="F336" i="9"/>
  <c r="H336" i="9" s="1"/>
  <c r="M271" i="8"/>
  <c r="J229" i="8"/>
  <c r="F212" i="8"/>
  <c r="M212" i="8" s="1"/>
  <c r="L212" i="8"/>
  <c r="B206" i="9"/>
  <c r="H129" i="9"/>
  <c r="B207" i="9"/>
  <c r="F207" i="9" s="1"/>
  <c r="B212" i="9"/>
  <c r="K212" i="9" s="1"/>
  <c r="L212" i="9" s="1"/>
  <c r="B233" i="9"/>
  <c r="K233" i="9" s="1"/>
  <c r="B229" i="9"/>
  <c r="K229" i="9" s="1"/>
  <c r="B225" i="9"/>
  <c r="B214" i="9"/>
  <c r="B208" i="9"/>
  <c r="J208" i="9" s="1"/>
  <c r="B228" i="9"/>
  <c r="B224" i="9"/>
  <c r="J224" i="9" s="1"/>
  <c r="B210" i="9"/>
  <c r="K210" i="9" s="1"/>
  <c r="B221" i="9"/>
  <c r="F221" i="9" s="1"/>
  <c r="B231" i="9"/>
  <c r="K231" i="9" s="1"/>
  <c r="B227" i="9"/>
  <c r="F227" i="9" s="1"/>
  <c r="H227" i="9" s="1"/>
  <c r="B223" i="9"/>
  <c r="F425" i="9"/>
  <c r="D425" i="9" s="1"/>
  <c r="M190" i="9"/>
  <c r="D563" i="9"/>
  <c r="M182" i="9"/>
  <c r="H182" i="9"/>
  <c r="D182" i="9"/>
  <c r="J314" i="9"/>
  <c r="J323" i="9"/>
  <c r="K323" i="9"/>
  <c r="B263" i="8"/>
  <c r="F263" i="8" s="1"/>
  <c r="H263" i="8" s="1"/>
  <c r="N229" i="11"/>
  <c r="H412" i="9"/>
  <c r="F323" i="9"/>
  <c r="H323" i="9" s="1"/>
  <c r="H597" i="9"/>
  <c r="N191" i="11"/>
  <c r="H638" i="8"/>
  <c r="H639" i="8" s="1"/>
  <c r="D638" i="8"/>
  <c r="D639" i="8" s="1"/>
  <c r="D250" i="9"/>
  <c r="J250" i="9"/>
  <c r="K250" i="9"/>
  <c r="J361" i="9"/>
  <c r="F361" i="9"/>
  <c r="D361" i="9" s="1"/>
  <c r="F266" i="8"/>
  <c r="K219" i="8"/>
  <c r="F205" i="8"/>
  <c r="D205" i="8" s="1"/>
  <c r="L217" i="9"/>
  <c r="M217" i="9" s="1"/>
  <c r="J306" i="9"/>
  <c r="K390" i="9"/>
  <c r="H643" i="9"/>
  <c r="D316" i="9"/>
  <c r="D258" i="8"/>
  <c r="H258" i="8"/>
  <c r="D623" i="9"/>
  <c r="H623" i="9"/>
  <c r="K321" i="11"/>
  <c r="N307" i="11"/>
  <c r="B180" i="8" s="1"/>
  <c r="N51" i="11"/>
  <c r="B459" i="8"/>
  <c r="F459" i="8" s="1"/>
  <c r="H459" i="8" s="1"/>
  <c r="H460" i="8" s="1"/>
  <c r="K626" i="8"/>
  <c r="I626" i="8"/>
  <c r="J222" i="8"/>
  <c r="H577" i="9"/>
  <c r="D631" i="9"/>
  <c r="H633" i="9"/>
  <c r="B459" i="9"/>
  <c r="B647" i="8"/>
  <c r="K225" i="8"/>
  <c r="F225" i="8"/>
  <c r="D225" i="8" s="1"/>
  <c r="H624" i="9"/>
  <c r="D624" i="9"/>
  <c r="F625" i="9"/>
  <c r="L625" i="8"/>
  <c r="B298" i="9"/>
  <c r="F298" i="9" s="1"/>
  <c r="H298" i="9" s="1"/>
  <c r="J267" i="8"/>
  <c r="K267" i="8"/>
  <c r="H306" i="9"/>
  <c r="L575" i="9"/>
  <c r="M575" i="9" s="1"/>
  <c r="M584" i="9"/>
  <c r="J592" i="9"/>
  <c r="K464" i="9"/>
  <c r="B502" i="8"/>
  <c r="K502" i="8" s="1"/>
  <c r="K503" i="8" s="1"/>
  <c r="N16" i="11"/>
  <c r="H176" i="9"/>
  <c r="D176" i="9"/>
  <c r="M594" i="9"/>
  <c r="H575" i="9"/>
  <c r="D575" i="9"/>
  <c r="D498" i="9"/>
  <c r="H498" i="9"/>
  <c r="I579" i="8"/>
  <c r="I168" i="9"/>
  <c r="K168" i="9"/>
  <c r="D377" i="9"/>
  <c r="H377" i="9"/>
  <c r="L456" i="9"/>
  <c r="M456" i="9" s="1"/>
  <c r="L377" i="9"/>
  <c r="M377" i="9" s="1"/>
  <c r="M184" i="8"/>
  <c r="B626" i="9"/>
  <c r="J589" i="9"/>
  <c r="J601" i="9" s="1"/>
  <c r="L320" i="9"/>
  <c r="M320" i="9" s="1"/>
  <c r="L237" i="9"/>
  <c r="M237" i="9" s="1"/>
  <c r="H587" i="8"/>
  <c r="M481" i="8"/>
  <c r="F294" i="8"/>
  <c r="D294" i="8" s="1"/>
  <c r="K317" i="8"/>
  <c r="K600" i="8"/>
  <c r="D642" i="8"/>
  <c r="H624" i="8"/>
  <c r="H565" i="8"/>
  <c r="H455" i="8"/>
  <c r="H456" i="8"/>
  <c r="L636" i="8"/>
  <c r="L513" i="8"/>
  <c r="M513" i="8" s="1"/>
  <c r="K207" i="8"/>
  <c r="M234" i="8"/>
  <c r="D584" i="8"/>
  <c r="F639" i="8"/>
  <c r="H634" i="8"/>
  <c r="H234" i="8"/>
  <c r="J519" i="8"/>
  <c r="F222" i="8"/>
  <c r="J324" i="8"/>
  <c r="J514" i="8"/>
  <c r="L514" i="8" s="1"/>
  <c r="J419" i="8"/>
  <c r="F267" i="8"/>
  <c r="J225" i="8"/>
  <c r="J385" i="8"/>
  <c r="K385" i="8"/>
  <c r="D389" i="8"/>
  <c r="B451" i="8"/>
  <c r="F451" i="8" s="1"/>
  <c r="H451" i="8" s="1"/>
  <c r="N48" i="11"/>
  <c r="B382" i="9"/>
  <c r="F382" i="9" s="1"/>
  <c r="F313" i="8"/>
  <c r="B257" i="8"/>
  <c r="F257" i="8" s="1"/>
  <c r="H257" i="8" s="1"/>
  <c r="N225" i="11"/>
  <c r="D255" i="8"/>
  <c r="J232" i="9"/>
  <c r="K232" i="9"/>
  <c r="M214" i="9"/>
  <c r="D183" i="9"/>
  <c r="H183" i="9"/>
  <c r="K193" i="9"/>
  <c r="J570" i="9"/>
  <c r="F476" i="8"/>
  <c r="D641" i="8"/>
  <c r="H641" i="8"/>
  <c r="L616" i="8"/>
  <c r="J410" i="9"/>
  <c r="K411" i="8"/>
  <c r="L411" i="8" s="1"/>
  <c r="J411" i="8"/>
  <c r="K430" i="8"/>
  <c r="L430" i="8" s="1"/>
  <c r="B435" i="8"/>
  <c r="K435" i="8" s="1"/>
  <c r="D377" i="8"/>
  <c r="H377" i="8"/>
  <c r="K356" i="9"/>
  <c r="J356" i="9"/>
  <c r="H320" i="9"/>
  <c r="D320" i="9"/>
  <c r="I262" i="9"/>
  <c r="K255" i="8"/>
  <c r="F172" i="8"/>
  <c r="H176" i="8"/>
  <c r="J387" i="9"/>
  <c r="L316" i="9"/>
  <c r="M316" i="9" s="1"/>
  <c r="F356" i="9"/>
  <c r="D356" i="9" s="1"/>
  <c r="H595" i="8"/>
  <c r="B494" i="9"/>
  <c r="J494" i="9" s="1"/>
  <c r="H598" i="9"/>
  <c r="D598" i="9"/>
  <c r="D585" i="9"/>
  <c r="H585" i="9"/>
  <c r="B626" i="8"/>
  <c r="J409" i="9"/>
  <c r="F436" i="8"/>
  <c r="F310" i="9"/>
  <c r="D310" i="9" s="1"/>
  <c r="K313" i="9"/>
  <c r="L313" i="9" s="1"/>
  <c r="B309" i="8"/>
  <c r="J309" i="8" s="1"/>
  <c r="F296" i="9"/>
  <c r="H296" i="9" s="1"/>
  <c r="I296" i="9"/>
  <c r="K407" i="9"/>
  <c r="F419" i="8"/>
  <c r="H419" i="8" s="1"/>
  <c r="N35" i="11"/>
  <c r="B514" i="9"/>
  <c r="F514" i="9" s="1"/>
  <c r="H514" i="9" s="1"/>
  <c r="D641" i="9"/>
  <c r="D595" i="9"/>
  <c r="H595" i="9"/>
  <c r="L587" i="9"/>
  <c r="D586" i="9"/>
  <c r="H586" i="9"/>
  <c r="J352" i="9"/>
  <c r="L352" i="9" s="1"/>
  <c r="F224" i="8"/>
  <c r="H224" i="8" s="1"/>
  <c r="M183" i="9"/>
  <c r="B450" i="9"/>
  <c r="K535" i="9"/>
  <c r="L535" i="9" s="1"/>
  <c r="D569" i="8"/>
  <c r="D570" i="8" s="1"/>
  <c r="H569" i="8"/>
  <c r="H570" i="8" s="1"/>
  <c r="D566" i="8"/>
  <c r="H566" i="8"/>
  <c r="H271" i="9"/>
  <c r="D277" i="8"/>
  <c r="H277" i="8"/>
  <c r="D598" i="8"/>
  <c r="H598" i="8"/>
  <c r="D591" i="8"/>
  <c r="D592" i="8" s="1"/>
  <c r="H591" i="8"/>
  <c r="H592" i="8" s="1"/>
  <c r="B579" i="8"/>
  <c r="N86" i="11"/>
  <c r="F281" i="9"/>
  <c r="D281" i="9" s="1"/>
  <c r="B502" i="9"/>
  <c r="B503" i="9" s="1"/>
  <c r="L563" i="8"/>
  <c r="K205" i="8"/>
  <c r="J205" i="8"/>
  <c r="J626" i="9"/>
  <c r="L413" i="8"/>
  <c r="M413" i="8" s="1"/>
  <c r="F267" i="9"/>
  <c r="H234" i="9"/>
  <c r="D234" i="9"/>
  <c r="M176" i="8"/>
  <c r="J168" i="9"/>
  <c r="F168" i="9"/>
  <c r="D168" i="9" s="1"/>
  <c r="H170" i="9"/>
  <c r="D170" i="9"/>
  <c r="M234" i="9"/>
  <c r="B180" i="9"/>
  <c r="F180" i="9" s="1"/>
  <c r="F219" i="9"/>
  <c r="H191" i="9"/>
  <c r="K219" i="9"/>
  <c r="J386" i="8"/>
  <c r="L386" i="8" s="1"/>
  <c r="D596" i="8"/>
  <c r="F600" i="8"/>
  <c r="D576" i="8"/>
  <c r="H576" i="8"/>
  <c r="K351" i="8"/>
  <c r="F219" i="8"/>
  <c r="D218" i="8"/>
  <c r="D219" i="8" s="1"/>
  <c r="J479" i="8"/>
  <c r="H361" i="8"/>
  <c r="L586" i="8"/>
  <c r="M586" i="8" s="1"/>
  <c r="L569" i="8"/>
  <c r="K570" i="8"/>
  <c r="K269" i="8"/>
  <c r="H226" i="8"/>
  <c r="F390" i="8"/>
  <c r="J390" i="8"/>
  <c r="L390" i="8" s="1"/>
  <c r="D613" i="8"/>
  <c r="D616" i="8" s="1"/>
  <c r="H585" i="8"/>
  <c r="J521" i="8"/>
  <c r="L646" i="8"/>
  <c r="L566" i="8"/>
  <c r="J422" i="8"/>
  <c r="J269" i="8"/>
  <c r="L269" i="8" s="1"/>
  <c r="L217" i="8"/>
  <c r="M217" i="8" s="1"/>
  <c r="H237" i="8"/>
  <c r="F407" i="8"/>
  <c r="H623" i="8"/>
  <c r="D623" i="8"/>
  <c r="I601" i="8"/>
  <c r="L564" i="8"/>
  <c r="K250" i="8"/>
  <c r="D631" i="8"/>
  <c r="K311" i="8"/>
  <c r="H574" i="8"/>
  <c r="I452" i="8"/>
  <c r="D622" i="8"/>
  <c r="H622" i="8"/>
  <c r="J589" i="8"/>
  <c r="J601" i="8"/>
  <c r="K567" i="8"/>
  <c r="D413" i="8"/>
  <c r="H413" i="8"/>
  <c r="D374" i="8"/>
  <c r="H218" i="8"/>
  <c r="K229" i="8"/>
  <c r="H186" i="8"/>
  <c r="D186" i="8"/>
  <c r="L377" i="8"/>
  <c r="M377" i="8" s="1"/>
  <c r="D193" i="8"/>
  <c r="D276" i="8"/>
  <c r="K545" i="8"/>
  <c r="L545" i="8" s="1"/>
  <c r="F423" i="8"/>
  <c r="H423" i="8" s="1"/>
  <c r="J423" i="8"/>
  <c r="L423" i="8" s="1"/>
  <c r="K407" i="8"/>
  <c r="L407" i="8" s="1"/>
  <c r="J407" i="8"/>
  <c r="K353" i="8"/>
  <c r="L353" i="8" s="1"/>
  <c r="I345" i="8"/>
  <c r="J316" i="8"/>
  <c r="L316" i="8" s="1"/>
  <c r="F316" i="8"/>
  <c r="D316" i="8" s="1"/>
  <c r="J253" i="8"/>
  <c r="K253" i="8"/>
  <c r="L253" i="8" s="1"/>
  <c r="F253" i="8"/>
  <c r="J282" i="8"/>
  <c r="F207" i="8"/>
  <c r="F227" i="8"/>
  <c r="H227" i="8" s="1"/>
  <c r="F174" i="8"/>
  <c r="H174" i="8" s="1"/>
  <c r="H181" i="8"/>
  <c r="D181" i="8"/>
  <c r="F386" i="8"/>
  <c r="H386" i="8" s="1"/>
  <c r="H300" i="8"/>
  <c r="I346" i="8"/>
  <c r="F254" i="8"/>
  <c r="J207" i="8"/>
  <c r="I168" i="8"/>
  <c r="K193" i="8"/>
  <c r="F320" i="8"/>
  <c r="M320" i="8" s="1"/>
  <c r="J294" i="8"/>
  <c r="L294" i="8" s="1"/>
  <c r="M294" i="8" s="1"/>
  <c r="D345" i="8"/>
  <c r="F411" i="8"/>
  <c r="K473" i="8"/>
  <c r="L473" i="8" s="1"/>
  <c r="F465" i="8"/>
  <c r="D465" i="8" s="1"/>
  <c r="J465" i="8"/>
  <c r="L465" i="8" s="1"/>
  <c r="M465" i="8" s="1"/>
  <c r="K455" i="8"/>
  <c r="L455" i="8" s="1"/>
  <c r="M455" i="8" s="1"/>
  <c r="K393" i="8"/>
  <c r="H278" i="8"/>
  <c r="M277" i="8"/>
  <c r="K238" i="8"/>
  <c r="D184" i="8"/>
  <c r="F272" i="8"/>
  <c r="H272" i="8" s="1"/>
  <c r="M258" i="8"/>
  <c r="J219" i="8"/>
  <c r="D230" i="8"/>
  <c r="H218" i="9"/>
  <c r="H219" i="9" s="1"/>
  <c r="L218" i="9"/>
  <c r="M218" i="9" s="1"/>
  <c r="D217" i="9"/>
  <c r="D219" i="9" s="1"/>
  <c r="I219" i="9"/>
  <c r="F376" i="8"/>
  <c r="D376" i="8" s="1"/>
  <c r="J376" i="8"/>
  <c r="F182" i="8"/>
  <c r="M182" i="8" s="1"/>
  <c r="K376" i="8"/>
  <c r="M301" i="8"/>
  <c r="B350" i="9"/>
  <c r="K350" i="9" s="1"/>
  <c r="J353" i="9"/>
  <c r="L353" i="9" s="1"/>
  <c r="F353" i="9"/>
  <c r="F337" i="8"/>
  <c r="H337" i="8" s="1"/>
  <c r="D346" i="9"/>
  <c r="F477" i="8"/>
  <c r="H477" i="8" s="1"/>
  <c r="J477" i="8"/>
  <c r="L584" i="8"/>
  <c r="H573" i="8"/>
  <c r="D573" i="8"/>
  <c r="J386" i="9"/>
  <c r="K386" i="9"/>
  <c r="F295" i="8"/>
  <c r="H295" i="8" s="1"/>
  <c r="M319" i="8"/>
  <c r="F386" i="9"/>
  <c r="H386" i="9" s="1"/>
  <c r="B349" i="8"/>
  <c r="F349" i="8" s="1"/>
  <c r="M588" i="8"/>
  <c r="J305" i="8"/>
  <c r="F305" i="8"/>
  <c r="H305" i="8" s="1"/>
  <c r="I305" i="8"/>
  <c r="F506" i="8"/>
  <c r="D506" i="8" s="1"/>
  <c r="H564" i="8"/>
  <c r="J454" i="9"/>
  <c r="K512" i="9"/>
  <c r="H455" i="9"/>
  <c r="J463" i="8"/>
  <c r="J497" i="8"/>
  <c r="F497" i="8"/>
  <c r="H497" i="8" s="1"/>
  <c r="D618" i="8"/>
  <c r="D619" i="8" s="1"/>
  <c r="F619" i="8"/>
  <c r="H614" i="8"/>
  <c r="F616" i="8"/>
  <c r="L600" i="8"/>
  <c r="M596" i="8"/>
  <c r="L578" i="8"/>
  <c r="H572" i="8"/>
  <c r="D572" i="8"/>
  <c r="F578" i="8"/>
  <c r="H266" i="9"/>
  <c r="D266" i="9"/>
  <c r="M266" i="9"/>
  <c r="F338" i="8"/>
  <c r="H338" i="8" s="1"/>
  <c r="K509" i="8"/>
  <c r="F509" i="8"/>
  <c r="H509" i="8" s="1"/>
  <c r="J509" i="8"/>
  <c r="D586" i="8"/>
  <c r="F589" i="8"/>
  <c r="F601" i="8" s="1"/>
  <c r="I416" i="8"/>
  <c r="I417" i="8" s="1"/>
  <c r="B417" i="8"/>
  <c r="F355" i="8"/>
  <c r="H355" i="8" s="1"/>
  <c r="K270" i="8"/>
  <c r="F270" i="8"/>
  <c r="H270" i="8" s="1"/>
  <c r="J270" i="8"/>
  <c r="K589" i="8"/>
  <c r="N89" i="11"/>
  <c r="F416" i="8"/>
  <c r="H416" i="8" s="1"/>
  <c r="H417" i="8" s="1"/>
  <c r="K416" i="8"/>
  <c r="K417" i="8" s="1"/>
  <c r="B467" i="9"/>
  <c r="F467" i="9" s="1"/>
  <c r="D467" i="9" s="1"/>
  <c r="L639" i="9"/>
  <c r="D622" i="9"/>
  <c r="H622" i="9"/>
  <c r="H625" i="9" s="1"/>
  <c r="L599" i="9"/>
  <c r="K600" i="9"/>
  <c r="L596" i="9"/>
  <c r="M596" i="9" s="1"/>
  <c r="H588" i="9"/>
  <c r="M588" i="9"/>
  <c r="H587" i="9"/>
  <c r="F589" i="9"/>
  <c r="K589" i="9"/>
  <c r="K601" i="9" s="1"/>
  <c r="J578" i="9"/>
  <c r="L572" i="9"/>
  <c r="H566" i="9"/>
  <c r="D456" i="9"/>
  <c r="H456" i="9"/>
  <c r="D481" i="8"/>
  <c r="H481" i="8"/>
  <c r="B437" i="9"/>
  <c r="J437" i="9" s="1"/>
  <c r="F471" i="9"/>
  <c r="D471" i="9" s="1"/>
  <c r="L625" i="9"/>
  <c r="D614" i="9"/>
  <c r="F616" i="9"/>
  <c r="D594" i="9"/>
  <c r="F600" i="9"/>
  <c r="L565" i="9"/>
  <c r="J494" i="8"/>
  <c r="D594" i="8"/>
  <c r="H594" i="8"/>
  <c r="K426" i="8"/>
  <c r="J426" i="8"/>
  <c r="B388" i="9"/>
  <c r="J388" i="9" s="1"/>
  <c r="B324" i="9"/>
  <c r="F324" i="9" s="1"/>
  <c r="D324" i="9" s="1"/>
  <c r="B297" i="8"/>
  <c r="J297" i="8" s="1"/>
  <c r="N187" i="11"/>
  <c r="F470" i="9"/>
  <c r="D470" i="9" s="1"/>
  <c r="F463" i="9"/>
  <c r="D463" i="9" s="1"/>
  <c r="F546" i="9"/>
  <c r="D499" i="9"/>
  <c r="H499" i="9"/>
  <c r="K498" i="8"/>
  <c r="J498" i="8"/>
  <c r="I647" i="8"/>
  <c r="F625" i="8"/>
  <c r="H621" i="8"/>
  <c r="D563" i="8"/>
  <c r="H563" i="8"/>
  <c r="F567" i="8"/>
  <c r="K424" i="8"/>
  <c r="B339" i="9"/>
  <c r="J339" i="9" s="1"/>
  <c r="D499" i="8"/>
  <c r="F253" i="9"/>
  <c r="B268" i="8"/>
  <c r="F268" i="8" s="1"/>
  <c r="H273" i="8"/>
  <c r="D229" i="8"/>
  <c r="H229" i="8"/>
  <c r="L302" i="8"/>
  <c r="M302" i="8" s="1"/>
  <c r="J251" i="9"/>
  <c r="I251" i="9"/>
  <c r="K270" i="9"/>
  <c r="F270" i="9"/>
  <c r="H270" i="9" s="1"/>
  <c r="J270" i="9"/>
  <c r="F251" i="8"/>
  <c r="D251" i="8" s="1"/>
  <c r="M279" i="8"/>
  <c r="H250" i="9"/>
  <c r="K266" i="8"/>
  <c r="J254" i="9"/>
  <c r="L254" i="9" s="1"/>
  <c r="F254" i="9"/>
  <c r="D254" i="9" s="1"/>
  <c r="B263" i="9"/>
  <c r="F263" i="9" s="1"/>
  <c r="J262" i="8"/>
  <c r="J274" i="9"/>
  <c r="K274" i="9"/>
  <c r="F274" i="9"/>
  <c r="H274" i="9" s="1"/>
  <c r="H217" i="8"/>
  <c r="I219" i="8"/>
  <c r="L218" i="8"/>
  <c r="L219" i="8" s="1"/>
  <c r="M259" i="8"/>
  <c r="B210" i="8"/>
  <c r="K210" i="8" s="1"/>
  <c r="J223" i="8"/>
  <c r="L223" i="8" s="1"/>
  <c r="F223" i="8"/>
  <c r="H223" i="8" s="1"/>
  <c r="F231" i="8"/>
  <c r="H231" i="8" s="1"/>
  <c r="K205" i="9"/>
  <c r="F205" i="9"/>
  <c r="H205" i="9" s="1"/>
  <c r="J205" i="9"/>
  <c r="B170" i="9"/>
  <c r="F233" i="8"/>
  <c r="F172" i="9"/>
  <c r="H172" i="9" s="1"/>
  <c r="F238" i="9"/>
  <c r="H238" i="9" s="1"/>
  <c r="M181" i="8"/>
  <c r="F174" i="9"/>
  <c r="D174" i="9" s="1"/>
  <c r="J174" i="9"/>
  <c r="L174" i="9" s="1"/>
  <c r="F166" i="9"/>
  <c r="M166" i="9" s="1"/>
  <c r="F187" i="9"/>
  <c r="D187" i="9" s="1"/>
  <c r="D237" i="9"/>
  <c r="H237" i="9"/>
  <c r="J171" i="8"/>
  <c r="B167" i="8"/>
  <c r="F167" i="8" s="1"/>
  <c r="H189" i="8"/>
  <c r="M189" i="8"/>
  <c r="H170" i="8"/>
  <c r="M170" i="8"/>
  <c r="M169" i="8"/>
  <c r="D168" i="8"/>
  <c r="D336" i="9"/>
  <c r="J229" i="9"/>
  <c r="L229" i="9" s="1"/>
  <c r="D263" i="8"/>
  <c r="I263" i="8"/>
  <c r="H212" i="8"/>
  <c r="B260" i="8"/>
  <c r="F223" i="9"/>
  <c r="D223" i="9" s="1"/>
  <c r="F135" i="9"/>
  <c r="M135" i="9" s="1"/>
  <c r="F133" i="9"/>
  <c r="H133" i="9" s="1"/>
  <c r="H147" i="9"/>
  <c r="F128" i="9"/>
  <c r="H128" i="9" s="1"/>
  <c r="I128" i="9"/>
  <c r="L128" i="9" s="1"/>
  <c r="H144" i="9"/>
  <c r="D144" i="9"/>
  <c r="F154" i="9"/>
  <c r="D154" i="9" s="1"/>
  <c r="K154" i="9"/>
  <c r="K155" i="9" s="1"/>
  <c r="K156" i="9" s="1"/>
  <c r="B503" i="8"/>
  <c r="J502" i="8"/>
  <c r="J503" i="8" s="1"/>
  <c r="H310" i="9"/>
  <c r="L267" i="8"/>
  <c r="J502" i="9"/>
  <c r="J503" i="9" s="1"/>
  <c r="H225" i="8"/>
  <c r="L168" i="8"/>
  <c r="M168" i="8" s="1"/>
  <c r="D459" i="8"/>
  <c r="D460" i="8" s="1"/>
  <c r="K601" i="8"/>
  <c r="D589" i="9"/>
  <c r="H294" i="8"/>
  <c r="L385" i="8"/>
  <c r="H193" i="9"/>
  <c r="D193" i="9"/>
  <c r="D257" i="8"/>
  <c r="M257" i="8"/>
  <c r="M587" i="9"/>
  <c r="D480" i="9"/>
  <c r="J435" i="8"/>
  <c r="L435" i="8" s="1"/>
  <c r="D508" i="8"/>
  <c r="H465" i="8"/>
  <c r="D386" i="8"/>
  <c r="D238" i="9"/>
  <c r="F417" i="8"/>
  <c r="D337" i="8"/>
  <c r="D353" i="9"/>
  <c r="K268" i="8"/>
  <c r="H253" i="9"/>
  <c r="K349" i="8"/>
  <c r="M218" i="8"/>
  <c r="J339" i="8"/>
  <c r="K339" i="8"/>
  <c r="K467" i="9"/>
  <c r="J467" i="9"/>
  <c r="M584" i="8"/>
  <c r="D205" i="9"/>
  <c r="H470" i="9"/>
  <c r="F626" i="8"/>
  <c r="K437" i="9"/>
  <c r="L127" i="9"/>
  <c r="J156" i="9"/>
  <c r="D135" i="9"/>
  <c r="H339" i="8"/>
  <c r="F393" i="9" l="1"/>
  <c r="D393" i="9" s="1"/>
  <c r="L168" i="9"/>
  <c r="J420" i="9"/>
  <c r="L420" i="9" s="1"/>
  <c r="L250" i="9"/>
  <c r="M250" i="9" s="1"/>
  <c r="J324" i="9"/>
  <c r="J277" i="9"/>
  <c r="L277" i="9" s="1"/>
  <c r="J408" i="9"/>
  <c r="J349" i="9"/>
  <c r="F167" i="9"/>
  <c r="M336" i="9"/>
  <c r="J350" i="9"/>
  <c r="F350" i="9"/>
  <c r="H350" i="9" s="1"/>
  <c r="F212" i="9"/>
  <c r="M212" i="9" s="1"/>
  <c r="J471" i="9"/>
  <c r="J464" i="9"/>
  <c r="D471" i="8"/>
  <c r="H471" i="8"/>
  <c r="H463" i="8"/>
  <c r="D463" i="8"/>
  <c r="H171" i="8"/>
  <c r="D171" i="8"/>
  <c r="L463" i="8"/>
  <c r="H376" i="8"/>
  <c r="D224" i="8"/>
  <c r="B283" i="8"/>
  <c r="M166" i="8"/>
  <c r="M273" i="8"/>
  <c r="K356" i="8"/>
  <c r="L356" i="8" s="1"/>
  <c r="I338" i="8"/>
  <c r="K224" i="8"/>
  <c r="L224" i="8" s="1"/>
  <c r="M224" i="8" s="1"/>
  <c r="F356" i="8"/>
  <c r="D356" i="8" s="1"/>
  <c r="F514" i="8"/>
  <c r="D514" i="8" s="1"/>
  <c r="D227" i="8"/>
  <c r="I502" i="8"/>
  <c r="I503" i="8" s="1"/>
  <c r="H166" i="8"/>
  <c r="J429" i="8"/>
  <c r="L429" i="8" s="1"/>
  <c r="K463" i="8"/>
  <c r="K310" i="8"/>
  <c r="L310" i="8" s="1"/>
  <c r="H301" i="8"/>
  <c r="J252" i="8"/>
  <c r="J393" i="8"/>
  <c r="L393" i="8" s="1"/>
  <c r="M276" i="8"/>
  <c r="F434" i="8"/>
  <c r="H434" i="8" s="1"/>
  <c r="K296" i="8"/>
  <c r="J352" i="8"/>
  <c r="L352" i="8" s="1"/>
  <c r="J389" i="8"/>
  <c r="L389" i="8" s="1"/>
  <c r="J255" i="8"/>
  <c r="J313" i="8"/>
  <c r="K467" i="8"/>
  <c r="L250" i="8"/>
  <c r="L222" i="8"/>
  <c r="L426" i="8"/>
  <c r="M426" i="8" s="1"/>
  <c r="J338" i="8"/>
  <c r="I252" i="8"/>
  <c r="J450" i="8"/>
  <c r="J434" i="8"/>
  <c r="L434" i="8" s="1"/>
  <c r="F545" i="8"/>
  <c r="D545" i="8" s="1"/>
  <c r="I457" i="8"/>
  <c r="F352" i="8"/>
  <c r="D212" i="8"/>
  <c r="J392" i="8"/>
  <c r="L392" i="8" s="1"/>
  <c r="F453" i="8"/>
  <c r="D453" i="8" s="1"/>
  <c r="J210" i="8"/>
  <c r="D477" i="8"/>
  <c r="F460" i="8"/>
  <c r="J459" i="8"/>
  <c r="J460" i="8" s="1"/>
  <c r="I459" i="8"/>
  <c r="F502" i="8"/>
  <c r="K459" i="8"/>
  <c r="K460" i="8" s="1"/>
  <c r="D279" i="8"/>
  <c r="K392" i="8"/>
  <c r="F429" i="8"/>
  <c r="L305" i="8"/>
  <c r="M305" i="8" s="1"/>
  <c r="F310" i="8"/>
  <c r="H310" i="8" s="1"/>
  <c r="K507" i="8"/>
  <c r="L507" i="8" s="1"/>
  <c r="L376" i="8"/>
  <c r="M376" i="8" s="1"/>
  <c r="F252" i="8"/>
  <c r="H252" i="8" s="1"/>
  <c r="J193" i="8"/>
  <c r="J194" i="8" s="1"/>
  <c r="F353" i="8"/>
  <c r="F420" i="8"/>
  <c r="H420" i="8" s="1"/>
  <c r="J508" i="8"/>
  <c r="K389" i="8"/>
  <c r="J227" i="8"/>
  <c r="L227" i="8" s="1"/>
  <c r="F357" i="8"/>
  <c r="H271" i="8"/>
  <c r="B194" i="8"/>
  <c r="H319" i="8"/>
  <c r="K357" i="8"/>
  <c r="L357" i="8" s="1"/>
  <c r="K312" i="8"/>
  <c r="F312" i="8"/>
  <c r="J312" i="8"/>
  <c r="M188" i="8"/>
  <c r="H188" i="8"/>
  <c r="D268" i="8"/>
  <c r="H268" i="8"/>
  <c r="D498" i="8"/>
  <c r="H498" i="8"/>
  <c r="H351" i="8"/>
  <c r="D351" i="8"/>
  <c r="D321" i="8"/>
  <c r="H321" i="8"/>
  <c r="M321" i="8"/>
  <c r="D509" i="8"/>
  <c r="D182" i="8"/>
  <c r="J268" i="8"/>
  <c r="L268" i="8" s="1"/>
  <c r="M268" i="8" s="1"/>
  <c r="H251" i="8"/>
  <c r="D223" i="8"/>
  <c r="H320" i="8"/>
  <c r="F435" i="8"/>
  <c r="D424" i="8"/>
  <c r="K309" i="8"/>
  <c r="L309" i="8" s="1"/>
  <c r="K263" i="8"/>
  <c r="L263" i="8" s="1"/>
  <c r="M263" i="8" s="1"/>
  <c r="H169" i="8"/>
  <c r="N304" i="11"/>
  <c r="D190" i="8"/>
  <c r="N248" i="11"/>
  <c r="J424" i="8"/>
  <c r="F496" i="8"/>
  <c r="F387" i="8"/>
  <c r="J295" i="8"/>
  <c r="K337" i="8"/>
  <c r="K374" i="8"/>
  <c r="K345" i="8"/>
  <c r="K450" i="8"/>
  <c r="L450" i="8" s="1"/>
  <c r="J254" i="8"/>
  <c r="L254" i="8" s="1"/>
  <c r="F282" i="8"/>
  <c r="J345" i="8"/>
  <c r="L345" i="8" s="1"/>
  <c r="M345" i="8" s="1"/>
  <c r="M226" i="8"/>
  <c r="J454" i="8"/>
  <c r="H450" i="8"/>
  <c r="F250" i="8"/>
  <c r="D250" i="8" s="1"/>
  <c r="F520" i="8"/>
  <c r="D520" i="8" s="1"/>
  <c r="J351" i="8"/>
  <c r="J274" i="8"/>
  <c r="L274" i="8" s="1"/>
  <c r="K172" i="8"/>
  <c r="L172" i="8" s="1"/>
  <c r="M172" i="8" s="1"/>
  <c r="K230" i="8"/>
  <c r="D426" i="8"/>
  <c r="F315" i="8"/>
  <c r="H506" i="8"/>
  <c r="D272" i="8"/>
  <c r="J315" i="8"/>
  <c r="L315" i="8" s="1"/>
  <c r="H182" i="8"/>
  <c r="D231" i="8"/>
  <c r="D295" i="8"/>
  <c r="J355" i="8"/>
  <c r="L207" i="8"/>
  <c r="M207" i="8" s="1"/>
  <c r="K518" i="8"/>
  <c r="L518" i="8" s="1"/>
  <c r="F454" i="8"/>
  <c r="H454" i="8" s="1"/>
  <c r="N140" i="11"/>
  <c r="D428" i="8"/>
  <c r="J428" i="8"/>
  <c r="K387" i="8"/>
  <c r="D355" i="8"/>
  <c r="F309" i="8"/>
  <c r="H309" i="8" s="1"/>
  <c r="D419" i="8"/>
  <c r="H514" i="8"/>
  <c r="H205" i="8"/>
  <c r="N321" i="11"/>
  <c r="B460" i="8"/>
  <c r="J263" i="8"/>
  <c r="N287" i="11"/>
  <c r="N73" i="11"/>
  <c r="N65" i="11"/>
  <c r="K295" i="8"/>
  <c r="K272" i="8"/>
  <c r="L272" i="8" s="1"/>
  <c r="M272" i="8" s="1"/>
  <c r="J238" i="8"/>
  <c r="L238" i="8" s="1"/>
  <c r="M238" i="8" s="1"/>
  <c r="I374" i="8"/>
  <c r="J174" i="8"/>
  <c r="L174" i="8" s="1"/>
  <c r="M174" i="8" s="1"/>
  <c r="F274" i="8"/>
  <c r="H274" i="8" s="1"/>
  <c r="F518" i="8"/>
  <c r="K508" i="8"/>
  <c r="K420" i="8"/>
  <c r="L420" i="8" s="1"/>
  <c r="K428" i="8"/>
  <c r="N209" i="11"/>
  <c r="K476" i="8"/>
  <c r="L476" i="8" s="1"/>
  <c r="F430" i="8"/>
  <c r="J230" i="8"/>
  <c r="M147" i="8"/>
  <c r="H479" i="9"/>
  <c r="D479" i="9"/>
  <c r="D172" i="9"/>
  <c r="K514" i="9"/>
  <c r="D152" i="9"/>
  <c r="F224" i="9"/>
  <c r="H224" i="9" s="1"/>
  <c r="F317" i="9"/>
  <c r="K480" i="9"/>
  <c r="L480" i="9" s="1"/>
  <c r="M480" i="9" s="1"/>
  <c r="J480" i="9"/>
  <c r="F277" i="9"/>
  <c r="H277" i="9" s="1"/>
  <c r="I306" i="9"/>
  <c r="H408" i="9"/>
  <c r="F341" i="9"/>
  <c r="H341" i="9" s="1"/>
  <c r="H463" i="9"/>
  <c r="K224" i="9"/>
  <c r="L224" i="9" s="1"/>
  <c r="F407" i="9"/>
  <c r="D128" i="9"/>
  <c r="D212" i="9"/>
  <c r="H212" i="9"/>
  <c r="H471" i="9"/>
  <c r="J514" i="9"/>
  <c r="F494" i="9"/>
  <c r="H494" i="9" s="1"/>
  <c r="K502" i="9"/>
  <c r="K503" i="9" s="1"/>
  <c r="I502" i="9"/>
  <c r="I503" i="9" s="1"/>
  <c r="F502" i="9"/>
  <c r="F127" i="9"/>
  <c r="J207" i="9"/>
  <c r="I207" i="9"/>
  <c r="J227" i="9"/>
  <c r="K238" i="9"/>
  <c r="J172" i="9"/>
  <c r="K253" i="9"/>
  <c r="D268" i="9"/>
  <c r="J317" i="9"/>
  <c r="L317" i="9" s="1"/>
  <c r="M317" i="9" s="1"/>
  <c r="M169" i="9"/>
  <c r="D169" i="9"/>
  <c r="K408" i="9"/>
  <c r="K387" i="9"/>
  <c r="L387" i="9" s="1"/>
  <c r="K306" i="9"/>
  <c r="I139" i="9"/>
  <c r="I156" i="9" s="1"/>
  <c r="D227" i="9"/>
  <c r="K207" i="9"/>
  <c r="K227" i="9"/>
  <c r="F313" i="9"/>
  <c r="K178" i="9"/>
  <c r="F273" i="9"/>
  <c r="H273" i="9" s="1"/>
  <c r="J476" i="9"/>
  <c r="H382" i="9"/>
  <c r="H383" i="9" s="1"/>
  <c r="D382" i="9"/>
  <c r="D383" i="9" s="1"/>
  <c r="F383" i="9"/>
  <c r="F311" i="9"/>
  <c r="M146" i="9"/>
  <c r="D146" i="9"/>
  <c r="H146" i="9"/>
  <c r="D180" i="9"/>
  <c r="H180" i="9"/>
  <c r="D430" i="9"/>
  <c r="H430" i="9"/>
  <c r="F295" i="9"/>
  <c r="D295" i="9" s="1"/>
  <c r="B303" i="9"/>
  <c r="J276" i="9"/>
  <c r="F276" i="9"/>
  <c r="H276" i="9" s="1"/>
  <c r="K276" i="9"/>
  <c r="D282" i="9"/>
  <c r="H282" i="9"/>
  <c r="K382" i="9"/>
  <c r="K383" i="9" s="1"/>
  <c r="H356" i="9"/>
  <c r="H361" i="9"/>
  <c r="H148" i="9"/>
  <c r="D421" i="9"/>
  <c r="J272" i="9"/>
  <c r="J392" i="9"/>
  <c r="F520" i="9"/>
  <c r="J430" i="9"/>
  <c r="J262" i="9"/>
  <c r="H392" i="9"/>
  <c r="K434" i="9"/>
  <c r="K476" i="9"/>
  <c r="F358" i="9"/>
  <c r="F337" i="9"/>
  <c r="H135" i="9"/>
  <c r="D386" i="9"/>
  <c r="M426" i="9"/>
  <c r="H254" i="9"/>
  <c r="K388" i="9"/>
  <c r="D270" i="9"/>
  <c r="D296" i="9"/>
  <c r="K339" i="9"/>
  <c r="L339" i="9" s="1"/>
  <c r="H451" i="9"/>
  <c r="D349" i="9"/>
  <c r="D148" i="9"/>
  <c r="H226" i="9"/>
  <c r="D323" i="9"/>
  <c r="D341" i="9"/>
  <c r="J210" i="9"/>
  <c r="L210" i="9" s="1"/>
  <c r="M210" i="9" s="1"/>
  <c r="M341" i="9"/>
  <c r="J268" i="9"/>
  <c r="F272" i="9"/>
  <c r="K392" i="9"/>
  <c r="L392" i="9" s="1"/>
  <c r="M392" i="9" s="1"/>
  <c r="K520" i="9"/>
  <c r="L520" i="9" s="1"/>
  <c r="K267" i="9"/>
  <c r="L267" i="9" s="1"/>
  <c r="K281" i="9"/>
  <c r="L281" i="9" s="1"/>
  <c r="M281" i="9" s="1"/>
  <c r="F300" i="9"/>
  <c r="M300" i="9" s="1"/>
  <c r="F262" i="9"/>
  <c r="K430" i="9"/>
  <c r="F420" i="9"/>
  <c r="M420" i="9" s="1"/>
  <c r="J434" i="9"/>
  <c r="L434" i="9" s="1"/>
  <c r="J346" i="9"/>
  <c r="I346" i="9"/>
  <c r="J358" i="9"/>
  <c r="L358" i="9" s="1"/>
  <c r="J90" i="9"/>
  <c r="F388" i="9"/>
  <c r="H388" i="9" s="1"/>
  <c r="F437" i="9"/>
  <c r="F339" i="9"/>
  <c r="H339" i="9" s="1"/>
  <c r="H425" i="9"/>
  <c r="K208" i="9"/>
  <c r="L208" i="9" s="1"/>
  <c r="D226" i="9"/>
  <c r="F208" i="9"/>
  <c r="D208" i="9" s="1"/>
  <c r="F229" i="9"/>
  <c r="M229" i="9" s="1"/>
  <c r="K268" i="9"/>
  <c r="F352" i="9"/>
  <c r="K346" i="9"/>
  <c r="K349" i="9"/>
  <c r="F95" i="9"/>
  <c r="M95" i="9" s="1"/>
  <c r="L350" i="9"/>
  <c r="M350" i="9" s="1"/>
  <c r="L356" i="9"/>
  <c r="M356" i="9" s="1"/>
  <c r="L464" i="9"/>
  <c r="M464" i="9" s="1"/>
  <c r="D576" i="9"/>
  <c r="H576" i="9"/>
  <c r="H131" i="8"/>
  <c r="D131" i="8"/>
  <c r="M131" i="8"/>
  <c r="N127" i="11"/>
  <c r="B382" i="8"/>
  <c r="H632" i="9"/>
  <c r="D632" i="9"/>
  <c r="J513" i="9"/>
  <c r="K513" i="9"/>
  <c r="L227" i="9"/>
  <c r="M227" i="9" s="1"/>
  <c r="M223" i="8"/>
  <c r="L498" i="8"/>
  <c r="L338" i="8"/>
  <c r="H584" i="9"/>
  <c r="J154" i="8"/>
  <c r="J155" i="8" s="1"/>
  <c r="J156" i="8" s="1"/>
  <c r="M151" i="8"/>
  <c r="F154" i="8"/>
  <c r="F101" i="8"/>
  <c r="D101" i="8" s="1"/>
  <c r="D108" i="9"/>
  <c r="K95" i="8"/>
  <c r="J95" i="8" s="1"/>
  <c r="M152" i="9"/>
  <c r="F88" i="8"/>
  <c r="J110" i="8"/>
  <c r="L110" i="8" s="1"/>
  <c r="M110" i="8" s="1"/>
  <c r="J108" i="9"/>
  <c r="D420" i="8"/>
  <c r="L274" i="9"/>
  <c r="I496" i="8"/>
  <c r="L471" i="9"/>
  <c r="K579" i="8"/>
  <c r="M269" i="8"/>
  <c r="L508" i="8"/>
  <c r="M508" i="8" s="1"/>
  <c r="K453" i="8"/>
  <c r="J453" i="8"/>
  <c r="D149" i="8"/>
  <c r="H149" i="8"/>
  <c r="M149" i="8"/>
  <c r="L272" i="9"/>
  <c r="I347" i="8"/>
  <c r="H219" i="8"/>
  <c r="F470" i="8"/>
  <c r="J470" i="8"/>
  <c r="K470" i="8"/>
  <c r="L470" i="8" s="1"/>
  <c r="H166" i="9"/>
  <c r="K297" i="8"/>
  <c r="K303" i="8" s="1"/>
  <c r="L253" i="9"/>
  <c r="M253" i="9" s="1"/>
  <c r="M386" i="8"/>
  <c r="F275" i="8"/>
  <c r="F283" i="8" s="1"/>
  <c r="J275" i="8"/>
  <c r="K275" i="8"/>
  <c r="L408" i="9"/>
  <c r="M408" i="9" s="1"/>
  <c r="L626" i="8"/>
  <c r="H612" i="9"/>
  <c r="D564" i="9"/>
  <c r="L586" i="9"/>
  <c r="M586" i="9" s="1"/>
  <c r="B601" i="8"/>
  <c r="I601" i="9"/>
  <c r="L585" i="9"/>
  <c r="M585" i="9" s="1"/>
  <c r="K578" i="9"/>
  <c r="B579" i="9"/>
  <c r="L585" i="8"/>
  <c r="M313" i="9"/>
  <c r="H476" i="9"/>
  <c r="K626" i="9"/>
  <c r="L569" i="9"/>
  <c r="L570" i="9" s="1"/>
  <c r="D349" i="8"/>
  <c r="H349" i="8"/>
  <c r="H263" i="9"/>
  <c r="F264" i="9"/>
  <c r="J496" i="9"/>
  <c r="K496" i="9"/>
  <c r="I496" i="9"/>
  <c r="I647" i="9"/>
  <c r="H324" i="9"/>
  <c r="D270" i="8"/>
  <c r="L437" i="9"/>
  <c r="H174" i="9"/>
  <c r="D305" i="8"/>
  <c r="D416" i="8"/>
  <c r="D417" i="8" s="1"/>
  <c r="F297" i="8"/>
  <c r="L219" i="9"/>
  <c r="D454" i="8"/>
  <c r="D411" i="8"/>
  <c r="H411" i="8"/>
  <c r="L374" i="8"/>
  <c r="M374" i="8" s="1"/>
  <c r="M316" i="8"/>
  <c r="H262" i="9"/>
  <c r="D262" i="9"/>
  <c r="K451" i="8"/>
  <c r="J451" i="8"/>
  <c r="L451" i="8" s="1"/>
  <c r="M451" i="8" s="1"/>
  <c r="I459" i="9"/>
  <c r="I460" i="9" s="1"/>
  <c r="J459" i="9"/>
  <c r="J460" i="9" s="1"/>
  <c r="K459" i="9"/>
  <c r="J223" i="9"/>
  <c r="K223" i="9"/>
  <c r="F225" i="9"/>
  <c r="K225" i="9"/>
  <c r="J225" i="9"/>
  <c r="L225" i="9" s="1"/>
  <c r="D207" i="9"/>
  <c r="H207" i="9"/>
  <c r="K479" i="9"/>
  <c r="J479" i="9"/>
  <c r="B477" i="9"/>
  <c r="H469" i="9"/>
  <c r="D469" i="9"/>
  <c r="D207" i="8"/>
  <c r="H207" i="8"/>
  <c r="H223" i="9"/>
  <c r="D426" i="9"/>
  <c r="L339" i="8"/>
  <c r="M339" i="8" s="1"/>
  <c r="D166" i="9"/>
  <c r="D188" i="8"/>
  <c r="H316" i="8"/>
  <c r="H390" i="8"/>
  <c r="D390" i="8"/>
  <c r="H269" i="8"/>
  <c r="L255" i="8"/>
  <c r="M255" i="8" s="1"/>
  <c r="L313" i="8"/>
  <c r="M313" i="8" s="1"/>
  <c r="H267" i="8"/>
  <c r="D267" i="8"/>
  <c r="F636" i="9"/>
  <c r="F493" i="8"/>
  <c r="J493" i="8"/>
  <c r="K493" i="8"/>
  <c r="F496" i="9"/>
  <c r="H567" i="8"/>
  <c r="H296" i="8"/>
  <c r="D296" i="8"/>
  <c r="J382" i="9"/>
  <c r="J383" i="9" s="1"/>
  <c r="I382" i="9"/>
  <c r="I383" i="9" s="1"/>
  <c r="B383" i="9"/>
  <c r="J374" i="9"/>
  <c r="F374" i="9"/>
  <c r="K374" i="9"/>
  <c r="D642" i="9"/>
  <c r="D646" i="9" s="1"/>
  <c r="H642" i="9"/>
  <c r="D638" i="9"/>
  <c r="D639" i="9" s="1"/>
  <c r="H638" i="9"/>
  <c r="H639" i="9" s="1"/>
  <c r="H591" i="9"/>
  <c r="H592" i="9" s="1"/>
  <c r="F592" i="9"/>
  <c r="J545" i="9"/>
  <c r="F545" i="9"/>
  <c r="D545" i="9" s="1"/>
  <c r="K385" i="9"/>
  <c r="F385" i="9"/>
  <c r="J385" i="9"/>
  <c r="M411" i="8"/>
  <c r="F178" i="8"/>
  <c r="M274" i="9"/>
  <c r="L509" i="8"/>
  <c r="D578" i="8"/>
  <c r="J520" i="8"/>
  <c r="L520" i="8" s="1"/>
  <c r="D643" i="8"/>
  <c r="L232" i="9"/>
  <c r="M232" i="9" s="1"/>
  <c r="H612" i="8"/>
  <c r="K549" i="9"/>
  <c r="L549" i="9" s="1"/>
  <c r="M591" i="9"/>
  <c r="L476" i="9"/>
  <c r="D591" i="9"/>
  <c r="D592" i="9" s="1"/>
  <c r="D621" i="9"/>
  <c r="D597" i="8"/>
  <c r="H597" i="8"/>
  <c r="L456" i="8"/>
  <c r="M456" i="8" s="1"/>
  <c r="K376" i="9"/>
  <c r="J376" i="9"/>
  <c r="M267" i="8"/>
  <c r="H464" i="9"/>
  <c r="L210" i="8"/>
  <c r="M210" i="8" s="1"/>
  <c r="L251" i="9"/>
  <c r="H589" i="9"/>
  <c r="D589" i="8"/>
  <c r="L229" i="8"/>
  <c r="M229" i="8" s="1"/>
  <c r="K496" i="8"/>
  <c r="L496" i="8" s="1"/>
  <c r="M496" i="8" s="1"/>
  <c r="K545" i="9"/>
  <c r="F513" i="9"/>
  <c r="F639" i="9"/>
  <c r="D596" i="9"/>
  <c r="D600" i="9" s="1"/>
  <c r="D601" i="9" s="1"/>
  <c r="D611" i="9"/>
  <c r="H600" i="9"/>
  <c r="H573" i="9"/>
  <c r="D573" i="9"/>
  <c r="H481" i="9"/>
  <c r="K535" i="8"/>
  <c r="L535" i="8" s="1"/>
  <c r="F535" i="8"/>
  <c r="D535" i="8" s="1"/>
  <c r="K91" i="9"/>
  <c r="L91" i="9" s="1"/>
  <c r="F91" i="9"/>
  <c r="D91" i="9" s="1"/>
  <c r="F102" i="8"/>
  <c r="H102" i="8" s="1"/>
  <c r="J102" i="8"/>
  <c r="J109" i="8"/>
  <c r="F109" i="8"/>
  <c r="K109" i="8"/>
  <c r="D144" i="8"/>
  <c r="M152" i="8"/>
  <c r="D152" i="8"/>
  <c r="K102" i="8"/>
  <c r="L102" i="8" s="1"/>
  <c r="K92" i="9"/>
  <c r="J92" i="9"/>
  <c r="L92" i="9" s="1"/>
  <c r="M92" i="9" s="1"/>
  <c r="J97" i="8"/>
  <c r="K97" i="8"/>
  <c r="K647" i="8"/>
  <c r="L647" i="8"/>
  <c r="K86" i="9"/>
  <c r="J86" i="9"/>
  <c r="J112" i="9"/>
  <c r="F112" i="9"/>
  <c r="K112" i="9"/>
  <c r="K90" i="8"/>
  <c r="J90" i="8"/>
  <c r="J93" i="8"/>
  <c r="F93" i="8"/>
  <c r="K93" i="8"/>
  <c r="H97" i="9"/>
  <c r="D97" i="9"/>
  <c r="M481" i="9"/>
  <c r="F128" i="8"/>
  <c r="I128" i="8"/>
  <c r="L128" i="8" s="1"/>
  <c r="F127" i="8"/>
  <c r="H127" i="8" s="1"/>
  <c r="I127" i="8"/>
  <c r="D86" i="9"/>
  <c r="H86" i="9"/>
  <c r="J109" i="9"/>
  <c r="K109" i="9"/>
  <c r="F109" i="9"/>
  <c r="H97" i="8"/>
  <c r="H538" i="9"/>
  <c r="D538" i="9"/>
  <c r="H535" i="8"/>
  <c r="F549" i="9"/>
  <c r="H549" i="9" s="1"/>
  <c r="K550" i="8"/>
  <c r="L550" i="8" s="1"/>
  <c r="H545" i="8"/>
  <c r="D550" i="8"/>
  <c r="B55" i="8"/>
  <c r="I55" i="8" s="1"/>
  <c r="B52" i="8"/>
  <c r="J52" i="8" s="1"/>
  <c r="B53" i="8"/>
  <c r="B46" i="8"/>
  <c r="F46" i="8" s="1"/>
  <c r="D350" i="8"/>
  <c r="H350" i="8"/>
  <c r="J511" i="8"/>
  <c r="K511" i="8"/>
  <c r="F511" i="8"/>
  <c r="F494" i="8"/>
  <c r="F547" i="8"/>
  <c r="K547" i="8"/>
  <c r="L547" i="8" s="1"/>
  <c r="K536" i="8"/>
  <c r="L536" i="8" s="1"/>
  <c r="F536" i="8"/>
  <c r="F539" i="8" s="1"/>
  <c r="F409" i="8"/>
  <c r="I409" i="8"/>
  <c r="F422" i="8"/>
  <c r="K422" i="8"/>
  <c r="L422" i="8" s="1"/>
  <c r="F425" i="8"/>
  <c r="J425" i="8"/>
  <c r="L425" i="8" s="1"/>
  <c r="F433" i="8"/>
  <c r="J433" i="8"/>
  <c r="J436" i="8"/>
  <c r="K436" i="8"/>
  <c r="H392" i="8"/>
  <c r="D392" i="8"/>
  <c r="M187" i="8"/>
  <c r="D187" i="8"/>
  <c r="H185" i="8"/>
  <c r="D185" i="8"/>
  <c r="D183" i="8"/>
  <c r="H183" i="8"/>
  <c r="H148" i="8"/>
  <c r="D148" i="8"/>
  <c r="K360" i="8"/>
  <c r="J360" i="8"/>
  <c r="D254" i="8"/>
  <c r="H254" i="8"/>
  <c r="F360" i="8"/>
  <c r="F180" i="8"/>
  <c r="D180" i="8" s="1"/>
  <c r="K167" i="8"/>
  <c r="H378" i="8"/>
  <c r="D497" i="8"/>
  <c r="D174" i="8"/>
  <c r="D423" i="8"/>
  <c r="K494" i="8"/>
  <c r="L494" i="8" s="1"/>
  <c r="F507" i="8"/>
  <c r="K346" i="8"/>
  <c r="M254" i="8"/>
  <c r="M341" i="8"/>
  <c r="H341" i="8"/>
  <c r="L351" i="8"/>
  <c r="L205" i="8"/>
  <c r="M205" i="8" s="1"/>
  <c r="H393" i="8"/>
  <c r="D393" i="8"/>
  <c r="K251" i="8"/>
  <c r="K260" i="8" s="1"/>
  <c r="I251" i="8"/>
  <c r="J251" i="8"/>
  <c r="D191" i="8"/>
  <c r="H191" i="8"/>
  <c r="M191" i="8"/>
  <c r="D141" i="8"/>
  <c r="H141" i="8"/>
  <c r="K91" i="8"/>
  <c r="J91" i="8"/>
  <c r="K114" i="8"/>
  <c r="J114" i="8" s="1"/>
  <c r="F114" i="8"/>
  <c r="M114" i="8" s="1"/>
  <c r="J394" i="8"/>
  <c r="K394" i="8"/>
  <c r="K354" i="8"/>
  <c r="F354" i="8"/>
  <c r="J354" i="8"/>
  <c r="H135" i="8"/>
  <c r="D135" i="8"/>
  <c r="D112" i="8"/>
  <c r="H112" i="8"/>
  <c r="D451" i="8"/>
  <c r="D338" i="8"/>
  <c r="D320" i="8"/>
  <c r="L346" i="8"/>
  <c r="M378" i="8"/>
  <c r="F394" i="8"/>
  <c r="K194" i="8"/>
  <c r="F346" i="8"/>
  <c r="D253" i="8"/>
  <c r="H253" i="8"/>
  <c r="H353" i="8"/>
  <c r="D353" i="8"/>
  <c r="D434" i="8"/>
  <c r="L454" i="8"/>
  <c r="M454" i="8" s="1"/>
  <c r="H222" i="8"/>
  <c r="D222" i="8"/>
  <c r="B347" i="8"/>
  <c r="H315" i="8"/>
  <c r="D315" i="8"/>
  <c r="B482" i="8"/>
  <c r="J296" i="8"/>
  <c r="I296" i="8"/>
  <c r="I303" i="8" s="1"/>
  <c r="J306" i="8"/>
  <c r="J307" i="8" s="1"/>
  <c r="I306" i="8"/>
  <c r="I307" i="8" s="1"/>
  <c r="F306" i="8"/>
  <c r="B307" i="8"/>
  <c r="F324" i="8"/>
  <c r="K324" i="8"/>
  <c r="L324" i="8" s="1"/>
  <c r="F317" i="8"/>
  <c r="J317" i="8"/>
  <c r="F314" i="8"/>
  <c r="J314" i="8"/>
  <c r="L314" i="8" s="1"/>
  <c r="F311" i="8"/>
  <c r="J311" i="8"/>
  <c r="L311" i="8" s="1"/>
  <c r="B325" i="8"/>
  <c r="K262" i="8"/>
  <c r="F262" i="8"/>
  <c r="B264" i="8"/>
  <c r="B284" i="8" s="1"/>
  <c r="I262" i="8"/>
  <c r="I264" i="8" s="1"/>
  <c r="M278" i="8"/>
  <c r="D278" i="8"/>
  <c r="D281" i="8"/>
  <c r="M281" i="8"/>
  <c r="F208" i="8"/>
  <c r="J208" i="8"/>
  <c r="L208" i="8" s="1"/>
  <c r="K221" i="8"/>
  <c r="L221" i="8" s="1"/>
  <c r="F221" i="8"/>
  <c r="D221" i="8" s="1"/>
  <c r="M232" i="8"/>
  <c r="H232" i="8"/>
  <c r="L355" i="8"/>
  <c r="L282" i="8"/>
  <c r="M282" i="8" s="1"/>
  <c r="F512" i="8"/>
  <c r="H512" i="8" s="1"/>
  <c r="F468" i="8"/>
  <c r="J468" i="8"/>
  <c r="L468" i="8" s="1"/>
  <c r="M250" i="8"/>
  <c r="M222" i="8"/>
  <c r="J264" i="8"/>
  <c r="L171" i="8"/>
  <c r="M171" i="8" s="1"/>
  <c r="J512" i="8"/>
  <c r="L512" i="8" s="1"/>
  <c r="M315" i="8"/>
  <c r="K88" i="8"/>
  <c r="L88" i="8" s="1"/>
  <c r="M88" i="8" s="1"/>
  <c r="J101" i="8"/>
  <c r="L101" i="8" s="1"/>
  <c r="J107" i="8"/>
  <c r="L107" i="8" s="1"/>
  <c r="M107" i="8" s="1"/>
  <c r="F104" i="8"/>
  <c r="H46" i="9"/>
  <c r="D53" i="9"/>
  <c r="D300" i="9"/>
  <c r="D376" i="9"/>
  <c r="H376" i="9"/>
  <c r="J511" i="9"/>
  <c r="F511" i="9"/>
  <c r="D511" i="9" s="1"/>
  <c r="K511" i="9"/>
  <c r="K544" i="9"/>
  <c r="F544" i="9"/>
  <c r="D544" i="9" s="1"/>
  <c r="J544" i="9"/>
  <c r="D224" i="9"/>
  <c r="M133" i="9"/>
  <c r="H168" i="9"/>
  <c r="H510" i="9"/>
  <c r="D510" i="9"/>
  <c r="F206" i="9"/>
  <c r="K206" i="9"/>
  <c r="K215" i="9" s="1"/>
  <c r="B215" i="9"/>
  <c r="J206" i="9"/>
  <c r="J97" i="9"/>
  <c r="K97" i="9"/>
  <c r="K103" i="9"/>
  <c r="F103" i="9"/>
  <c r="F106" i="9"/>
  <c r="K106" i="9"/>
  <c r="L106" i="9" s="1"/>
  <c r="J110" i="9"/>
  <c r="K110" i="9"/>
  <c r="H295" i="9"/>
  <c r="I206" i="9"/>
  <c r="F459" i="9"/>
  <c r="B460" i="9"/>
  <c r="D167" i="9"/>
  <c r="H167" i="9"/>
  <c r="H91" i="9"/>
  <c r="F508" i="9"/>
  <c r="J508" i="9"/>
  <c r="I305" i="9"/>
  <c r="I307" i="9" s="1"/>
  <c r="F305" i="9"/>
  <c r="B307" i="9"/>
  <c r="K305" i="9"/>
  <c r="K307" i="9" s="1"/>
  <c r="H300" i="9"/>
  <c r="M168" i="9"/>
  <c r="D350" i="9"/>
  <c r="D133" i="9"/>
  <c r="H154" i="9"/>
  <c r="K324" i="9"/>
  <c r="L324" i="9" s="1"/>
  <c r="M324" i="9" s="1"/>
  <c r="M180" i="9"/>
  <c r="H142" i="9"/>
  <c r="L154" i="9"/>
  <c r="M142" i="9"/>
  <c r="D274" i="9"/>
  <c r="D253" i="9"/>
  <c r="J305" i="9"/>
  <c r="J307" i="9" s="1"/>
  <c r="J231" i="9"/>
  <c r="L231" i="9" s="1"/>
  <c r="F231" i="9"/>
  <c r="H231" i="9" s="1"/>
  <c r="J233" i="9"/>
  <c r="L233" i="9" s="1"/>
  <c r="F233" i="9"/>
  <c r="M143" i="9"/>
  <c r="H143" i="9"/>
  <c r="J462" i="9"/>
  <c r="F462" i="9"/>
  <c r="H462" i="9" s="1"/>
  <c r="J453" i="9"/>
  <c r="I453" i="9"/>
  <c r="F453" i="9"/>
  <c r="K453" i="9"/>
  <c r="I495" i="9"/>
  <c r="I500" i="9" s="1"/>
  <c r="I523" i="9" s="1"/>
  <c r="K495" i="9"/>
  <c r="F495" i="9"/>
  <c r="J422" i="9"/>
  <c r="F422" i="9"/>
  <c r="K422" i="9"/>
  <c r="J428" i="9"/>
  <c r="K428" i="9"/>
  <c r="F428" i="9"/>
  <c r="K433" i="9"/>
  <c r="J433" i="9"/>
  <c r="K409" i="9"/>
  <c r="K414" i="9" s="1"/>
  <c r="B414" i="9"/>
  <c r="F409" i="9"/>
  <c r="I409" i="9"/>
  <c r="K375" i="9"/>
  <c r="I375" i="9"/>
  <c r="F375" i="9"/>
  <c r="J375" i="9"/>
  <c r="F390" i="9"/>
  <c r="J390" i="9"/>
  <c r="L390" i="9" s="1"/>
  <c r="K393" i="9"/>
  <c r="L393" i="9" s="1"/>
  <c r="K351" i="9"/>
  <c r="F257" i="9"/>
  <c r="K257" i="9"/>
  <c r="L257" i="9" s="1"/>
  <c r="J269" i="9"/>
  <c r="F269" i="9"/>
  <c r="K269" i="9"/>
  <c r="B283" i="9"/>
  <c r="F275" i="9"/>
  <c r="D275" i="9" s="1"/>
  <c r="K275" i="9"/>
  <c r="J275" i="9"/>
  <c r="F278" i="9"/>
  <c r="K278" i="9"/>
  <c r="J278" i="9"/>
  <c r="K255" i="9"/>
  <c r="F255" i="9"/>
  <c r="J255" i="9"/>
  <c r="F230" i="9"/>
  <c r="K230" i="9"/>
  <c r="K239" i="9" s="1"/>
  <c r="J230" i="9"/>
  <c r="F222" i="9"/>
  <c r="J222" i="9"/>
  <c r="L222" i="9" s="1"/>
  <c r="F171" i="9"/>
  <c r="J171" i="9"/>
  <c r="L167" i="9"/>
  <c r="I178" i="9"/>
  <c r="I195" i="9" s="1"/>
  <c r="H188" i="9"/>
  <c r="D188" i="9"/>
  <c r="M188" i="9"/>
  <c r="F186" i="9"/>
  <c r="D184" i="9"/>
  <c r="M184" i="9"/>
  <c r="H184" i="9"/>
  <c r="F181" i="9"/>
  <c r="M147" i="9"/>
  <c r="D147" i="9"/>
  <c r="M151" i="9"/>
  <c r="D151" i="9"/>
  <c r="H88" i="9"/>
  <c r="H264" i="9"/>
  <c r="M272" i="9"/>
  <c r="M128" i="9"/>
  <c r="L238" i="9"/>
  <c r="F466" i="9"/>
  <c r="J466" i="9"/>
  <c r="J463" i="9"/>
  <c r="K463" i="9"/>
  <c r="F519" i="9"/>
  <c r="D519" i="9" s="1"/>
  <c r="K519" i="9"/>
  <c r="L519" i="9" s="1"/>
  <c r="F423" i="9"/>
  <c r="K423" i="9"/>
  <c r="L423" i="9" s="1"/>
  <c r="H434" i="9"/>
  <c r="D434" i="9"/>
  <c r="J411" i="9"/>
  <c r="F411" i="9"/>
  <c r="J355" i="9"/>
  <c r="L355" i="9" s="1"/>
  <c r="F355" i="9"/>
  <c r="J319" i="9"/>
  <c r="L319" i="9" s="1"/>
  <c r="F319" i="9"/>
  <c r="F251" i="9"/>
  <c r="B260" i="9"/>
  <c r="D271" i="9"/>
  <c r="M271" i="9"/>
  <c r="J282" i="9"/>
  <c r="K282" i="9"/>
  <c r="F279" i="9"/>
  <c r="F283" i="9" s="1"/>
  <c r="K279" i="9"/>
  <c r="L279" i="9" s="1"/>
  <c r="M191" i="9"/>
  <c r="D191" i="9"/>
  <c r="F185" i="9"/>
  <c r="H185" i="9" s="1"/>
  <c r="M129" i="9"/>
  <c r="D129" i="9"/>
  <c r="J88" i="9"/>
  <c r="K88" i="9"/>
  <c r="L108" i="9"/>
  <c r="M108" i="9" s="1"/>
  <c r="F111" i="9"/>
  <c r="D111" i="9" s="1"/>
  <c r="K111" i="9"/>
  <c r="L111" i="9" s="1"/>
  <c r="J518" i="9"/>
  <c r="L518" i="9" s="1"/>
  <c r="F518" i="9"/>
  <c r="D518" i="9" s="1"/>
  <c r="F493" i="9"/>
  <c r="J493" i="9"/>
  <c r="B417" i="9"/>
  <c r="I416" i="9"/>
  <c r="I417" i="9" s="1"/>
  <c r="K416" i="9"/>
  <c r="K417" i="9" s="1"/>
  <c r="F416" i="9"/>
  <c r="K295" i="9"/>
  <c r="I295" i="9"/>
  <c r="J295" i="9"/>
  <c r="J311" i="9"/>
  <c r="K311" i="9"/>
  <c r="F314" i="9"/>
  <c r="K314" i="9"/>
  <c r="J318" i="9"/>
  <c r="F318" i="9"/>
  <c r="K318" i="9"/>
  <c r="K297" i="9"/>
  <c r="F297" i="9"/>
  <c r="D297" i="9" s="1"/>
  <c r="J297" i="9"/>
  <c r="I88" i="9"/>
  <c r="H109" i="9"/>
  <c r="D109" i="9"/>
  <c r="L270" i="9"/>
  <c r="M270" i="9" s="1"/>
  <c r="M471" i="9"/>
  <c r="B194" i="9"/>
  <c r="L112" i="9"/>
  <c r="M112" i="9" s="1"/>
  <c r="L386" i="9"/>
  <c r="M386" i="9" s="1"/>
  <c r="L323" i="9"/>
  <c r="M323" i="9" s="1"/>
  <c r="L349" i="9"/>
  <c r="M349" i="9" s="1"/>
  <c r="H467" i="9"/>
  <c r="L467" i="9"/>
  <c r="M467" i="9" s="1"/>
  <c r="H281" i="9"/>
  <c r="F473" i="9"/>
  <c r="J473" i="9"/>
  <c r="K479" i="8"/>
  <c r="F479" i="8"/>
  <c r="D479" i="8" s="1"/>
  <c r="K466" i="8"/>
  <c r="F466" i="8"/>
  <c r="J466" i="8"/>
  <c r="B474" i="8"/>
  <c r="K521" i="8"/>
  <c r="L521" i="8" s="1"/>
  <c r="F521" i="8"/>
  <c r="J505" i="8"/>
  <c r="F505" i="8"/>
  <c r="K505" i="8"/>
  <c r="D263" i="9"/>
  <c r="D264" i="9" s="1"/>
  <c r="D388" i="9"/>
  <c r="M353" i="9"/>
  <c r="H353" i="9"/>
  <c r="D298" i="9"/>
  <c r="M298" i="9"/>
  <c r="B178" i="9"/>
  <c r="M569" i="8"/>
  <c r="L570" i="8"/>
  <c r="L479" i="8"/>
  <c r="H476" i="8"/>
  <c r="D476" i="8"/>
  <c r="D514" i="9"/>
  <c r="J349" i="8"/>
  <c r="H578" i="8"/>
  <c r="H579" i="8" s="1"/>
  <c r="H172" i="8"/>
  <c r="D172" i="8"/>
  <c r="L466" i="9"/>
  <c r="L514" i="9"/>
  <c r="M174" i="9"/>
  <c r="M238" i="9"/>
  <c r="D600" i="8"/>
  <c r="D601" i="8" s="1"/>
  <c r="F601" i="9"/>
  <c r="L270" i="8"/>
  <c r="M270" i="8" s="1"/>
  <c r="L306" i="9"/>
  <c r="M306" i="9" s="1"/>
  <c r="K468" i="9"/>
  <c r="F468" i="9"/>
  <c r="J468" i="9"/>
  <c r="J521" i="9"/>
  <c r="F521" i="9"/>
  <c r="K521" i="9"/>
  <c r="J512" i="9"/>
  <c r="L512" i="9" s="1"/>
  <c r="F512" i="9"/>
  <c r="K510" i="9"/>
  <c r="J510" i="9"/>
  <c r="F506" i="9"/>
  <c r="K506" i="9"/>
  <c r="L506" i="9" s="1"/>
  <c r="L388" i="9"/>
  <c r="L205" i="9"/>
  <c r="F579" i="8"/>
  <c r="I452" i="9"/>
  <c r="J452" i="9"/>
  <c r="F452" i="9"/>
  <c r="H452" i="9" s="1"/>
  <c r="K452" i="9"/>
  <c r="K519" i="8"/>
  <c r="L519" i="8" s="1"/>
  <c r="F519" i="8"/>
  <c r="B522" i="8"/>
  <c r="L295" i="8"/>
  <c r="M295" i="8" s="1"/>
  <c r="L314" i="9"/>
  <c r="K647" i="9"/>
  <c r="B601" i="9"/>
  <c r="M499" i="9"/>
  <c r="M585" i="8"/>
  <c r="F437" i="8"/>
  <c r="J437" i="8"/>
  <c r="D625" i="8"/>
  <c r="M227" i="8"/>
  <c r="L317" i="8"/>
  <c r="M317" i="8" s="1"/>
  <c r="B647" i="9"/>
  <c r="D572" i="9"/>
  <c r="K570" i="9"/>
  <c r="I579" i="9"/>
  <c r="L565" i="8"/>
  <c r="M565" i="8" s="1"/>
  <c r="L499" i="8"/>
  <c r="M499" i="8" s="1"/>
  <c r="J435" i="9"/>
  <c r="F435" i="9"/>
  <c r="L225" i="8"/>
  <c r="M225" i="8" s="1"/>
  <c r="I626" i="9"/>
  <c r="F646" i="8"/>
  <c r="J647" i="8"/>
  <c r="J626" i="8"/>
  <c r="J567" i="8"/>
  <c r="B482" i="9"/>
  <c r="L455" i="9"/>
  <c r="M455" i="9" s="1"/>
  <c r="B439" i="9"/>
  <c r="J219" i="9"/>
  <c r="M141" i="8"/>
  <c r="K72" i="9"/>
  <c r="J72" i="9"/>
  <c r="F72" i="9"/>
  <c r="M141" i="9"/>
  <c r="M144" i="9"/>
  <c r="M148" i="8"/>
  <c r="M144" i="8"/>
  <c r="J57" i="8"/>
  <c r="K57" i="8"/>
  <c r="K63" i="8"/>
  <c r="J63" i="8"/>
  <c r="F63" i="8"/>
  <c r="K71" i="8"/>
  <c r="J71" i="8"/>
  <c r="F71" i="8"/>
  <c r="K61" i="9"/>
  <c r="J61" i="9"/>
  <c r="F61" i="9"/>
  <c r="K66" i="9"/>
  <c r="J66" i="9"/>
  <c r="F66" i="9"/>
  <c r="K71" i="9"/>
  <c r="J71" i="9"/>
  <c r="F71" i="9"/>
  <c r="J49" i="9"/>
  <c r="F49" i="9"/>
  <c r="K68" i="9"/>
  <c r="J68" i="9"/>
  <c r="F68" i="9"/>
  <c r="F49" i="8"/>
  <c r="J49" i="8"/>
  <c r="K58" i="8"/>
  <c r="J58" i="8"/>
  <c r="F58" i="8"/>
  <c r="K64" i="8"/>
  <c r="J64" i="8"/>
  <c r="F64" i="8"/>
  <c r="K66" i="8"/>
  <c r="J66" i="8"/>
  <c r="F66" i="8"/>
  <c r="K68" i="8"/>
  <c r="J68" i="8"/>
  <c r="F68" i="8"/>
  <c r="K72" i="8"/>
  <c r="J72" i="8"/>
  <c r="F72" i="8"/>
  <c r="K62" i="9"/>
  <c r="J62" i="9"/>
  <c r="F62" i="9"/>
  <c r="K67" i="9"/>
  <c r="J67" i="9"/>
  <c r="F67" i="9"/>
  <c r="I56" i="9"/>
  <c r="J56" i="9"/>
  <c r="K56" i="9"/>
  <c r="K64" i="9"/>
  <c r="J64" i="9"/>
  <c r="F64" i="9"/>
  <c r="K61" i="8"/>
  <c r="J61" i="8"/>
  <c r="F61" i="8"/>
  <c r="K67" i="8"/>
  <c r="J67" i="8"/>
  <c r="F67" i="8"/>
  <c r="K69" i="8"/>
  <c r="J69" i="8"/>
  <c r="F69" i="8"/>
  <c r="K63" i="9"/>
  <c r="J63" i="9"/>
  <c r="F63" i="9"/>
  <c r="K69" i="9"/>
  <c r="J69" i="9"/>
  <c r="F69" i="9"/>
  <c r="F47" i="8"/>
  <c r="K47" i="8"/>
  <c r="J47" i="8"/>
  <c r="J51" i="8"/>
  <c r="F51" i="8"/>
  <c r="J56" i="8"/>
  <c r="I56" i="8"/>
  <c r="K56" i="8"/>
  <c r="K62" i="8"/>
  <c r="J62" i="8"/>
  <c r="F62" i="8"/>
  <c r="K58" i="9"/>
  <c r="J58" i="9"/>
  <c r="F58" i="9"/>
  <c r="K47" i="9"/>
  <c r="J47" i="9"/>
  <c r="F47" i="9"/>
  <c r="B75" i="9"/>
  <c r="B542" i="8"/>
  <c r="F541" i="9"/>
  <c r="D541" i="9" s="1"/>
  <c r="D542" i="9" s="1"/>
  <c r="K534" i="8"/>
  <c r="L534" i="8" s="1"/>
  <c r="F541" i="8"/>
  <c r="F542" i="8" s="1"/>
  <c r="J541" i="8"/>
  <c r="J542" i="8" s="1"/>
  <c r="K541" i="8"/>
  <c r="K542" i="8" s="1"/>
  <c r="H551" i="9"/>
  <c r="D551" i="9"/>
  <c r="H544" i="9"/>
  <c r="K538" i="8"/>
  <c r="L538" i="8" s="1"/>
  <c r="M538" i="8" s="1"/>
  <c r="K537" i="9"/>
  <c r="L537" i="9" s="1"/>
  <c r="K536" i="9"/>
  <c r="L536" i="9" s="1"/>
  <c r="F537" i="9"/>
  <c r="F550" i="9"/>
  <c r="K551" i="8"/>
  <c r="L551" i="8" s="1"/>
  <c r="M551" i="8" s="1"/>
  <c r="K537" i="8"/>
  <c r="K551" i="9"/>
  <c r="L551" i="9" s="1"/>
  <c r="M551" i="9" s="1"/>
  <c r="J537" i="8"/>
  <c r="J539" i="8" s="1"/>
  <c r="B57" i="9"/>
  <c r="B59" i="9" s="1"/>
  <c r="D534" i="8"/>
  <c r="H534" i="8"/>
  <c r="D533" i="8"/>
  <c r="H533" i="8"/>
  <c r="K548" i="8"/>
  <c r="L548" i="8" s="1"/>
  <c r="K533" i="9"/>
  <c r="L533" i="9" s="1"/>
  <c r="M533" i="9" s="1"/>
  <c r="B552" i="9"/>
  <c r="K548" i="9"/>
  <c r="L548" i="9" s="1"/>
  <c r="M548" i="9" s="1"/>
  <c r="F547" i="9"/>
  <c r="J549" i="8"/>
  <c r="K549" i="8"/>
  <c r="K533" i="8"/>
  <c r="L533" i="8" s="1"/>
  <c r="M533" i="8" s="1"/>
  <c r="B539" i="8"/>
  <c r="B542" i="9"/>
  <c r="F544" i="8"/>
  <c r="D534" i="9"/>
  <c r="B552" i="8"/>
  <c r="I541" i="9"/>
  <c r="I542" i="9" s="1"/>
  <c r="I553" i="9" s="1"/>
  <c r="H548" i="9"/>
  <c r="J541" i="9"/>
  <c r="J542" i="9" s="1"/>
  <c r="K542" i="9"/>
  <c r="D538" i="8"/>
  <c r="H538" i="8"/>
  <c r="H537" i="8"/>
  <c r="D537" i="8"/>
  <c r="H533" i="9"/>
  <c r="D533" i="9"/>
  <c r="D549" i="8"/>
  <c r="H549" i="8"/>
  <c r="D548" i="8"/>
  <c r="H548" i="8"/>
  <c r="M548" i="8"/>
  <c r="J46" i="9"/>
  <c r="L65" i="8"/>
  <c r="M65" i="8" s="1"/>
  <c r="L502" i="8"/>
  <c r="F194" i="8"/>
  <c r="F195" i="8" s="1"/>
  <c r="I460" i="8"/>
  <c r="I483" i="8" s="1"/>
  <c r="D546" i="9"/>
  <c r="H546" i="9"/>
  <c r="M572" i="9"/>
  <c r="L578" i="9"/>
  <c r="L600" i="9"/>
  <c r="M599" i="9"/>
  <c r="L589" i="8"/>
  <c r="D626" i="8"/>
  <c r="L567" i="8"/>
  <c r="L579" i="8" s="1"/>
  <c r="M566" i="8"/>
  <c r="H436" i="8"/>
  <c r="D436" i="8"/>
  <c r="I343" i="8"/>
  <c r="I363" i="8" s="1"/>
  <c r="L337" i="8"/>
  <c r="M337" i="8" s="1"/>
  <c r="D407" i="8"/>
  <c r="H407" i="8"/>
  <c r="D452" i="9"/>
  <c r="M222" i="9"/>
  <c r="L139" i="9"/>
  <c r="M127" i="9"/>
  <c r="F503" i="9"/>
  <c r="H502" i="9"/>
  <c r="H503" i="9" s="1"/>
  <c r="D502" i="9"/>
  <c r="D503" i="9" s="1"/>
  <c r="H429" i="8"/>
  <c r="D429" i="8"/>
  <c r="F450" i="9"/>
  <c r="J450" i="9"/>
  <c r="K450" i="9"/>
  <c r="B457" i="9"/>
  <c r="J417" i="9"/>
  <c r="D313" i="8"/>
  <c r="H313" i="8"/>
  <c r="D167" i="8"/>
  <c r="H167" i="8"/>
  <c r="L297" i="8"/>
  <c r="M297" i="8" s="1"/>
  <c r="D494" i="9"/>
  <c r="K263" i="9"/>
  <c r="K264" i="9" s="1"/>
  <c r="I263" i="9"/>
  <c r="B264" i="9"/>
  <c r="B284" i="9" s="1"/>
  <c r="J263" i="9"/>
  <c r="J264" i="9" s="1"/>
  <c r="L266" i="8"/>
  <c r="L493" i="8"/>
  <c r="M233" i="8"/>
  <c r="D233" i="8"/>
  <c r="H233" i="8"/>
  <c r="L477" i="8"/>
  <c r="L497" i="8"/>
  <c r="H385" i="8"/>
  <c r="D385" i="8"/>
  <c r="K362" i="9"/>
  <c r="L193" i="9"/>
  <c r="K194" i="9"/>
  <c r="K195" i="9" s="1"/>
  <c r="D232" i="9"/>
  <c r="H232" i="9"/>
  <c r="L349" i="8"/>
  <c r="K460" i="9"/>
  <c r="I237" i="8"/>
  <c r="M267" i="9"/>
  <c r="D267" i="9"/>
  <c r="H267" i="9"/>
  <c r="D354" i="9"/>
  <c r="M354" i="9"/>
  <c r="H354" i="9"/>
  <c r="L419" i="8"/>
  <c r="F228" i="8"/>
  <c r="B239" i="8"/>
  <c r="H358" i="9"/>
  <c r="D358" i="9"/>
  <c r="D221" i="9"/>
  <c r="M221" i="9"/>
  <c r="H221" i="9"/>
  <c r="D387" i="9"/>
  <c r="H387" i="9"/>
  <c r="J388" i="8"/>
  <c r="K388" i="8"/>
  <c r="K396" i="8" s="1"/>
  <c r="F388" i="8"/>
  <c r="B396" i="8"/>
  <c r="F510" i="8"/>
  <c r="J510" i="8"/>
  <c r="K510" i="8"/>
  <c r="B515" i="8"/>
  <c r="N13" i="11"/>
  <c r="B495" i="8"/>
  <c r="D644" i="8"/>
  <c r="D646" i="8" s="1"/>
  <c r="H644" i="8"/>
  <c r="H646" i="8" s="1"/>
  <c r="H633" i="8"/>
  <c r="F636" i="8"/>
  <c r="F647" i="8" s="1"/>
  <c r="D633" i="8"/>
  <c r="J579" i="8"/>
  <c r="K424" i="9"/>
  <c r="L424" i="9" s="1"/>
  <c r="F424" i="9"/>
  <c r="H427" i="9"/>
  <c r="D427" i="9"/>
  <c r="B429" i="9"/>
  <c r="I410" i="8"/>
  <c r="K410" i="8"/>
  <c r="J410" i="8"/>
  <c r="F410" i="8"/>
  <c r="K427" i="8"/>
  <c r="F427" i="8"/>
  <c r="J427" i="8"/>
  <c r="B373" i="9"/>
  <c r="F394" i="9"/>
  <c r="J394" i="9"/>
  <c r="K394" i="9"/>
  <c r="B396" i="9"/>
  <c r="K391" i="8"/>
  <c r="J391" i="8"/>
  <c r="F391" i="8"/>
  <c r="B338" i="9"/>
  <c r="F357" i="9"/>
  <c r="J357" i="9"/>
  <c r="L357" i="9" s="1"/>
  <c r="B362" i="9"/>
  <c r="H342" i="8"/>
  <c r="D342" i="8"/>
  <c r="I345" i="9"/>
  <c r="B347" i="9"/>
  <c r="F345" i="9"/>
  <c r="J345" i="9"/>
  <c r="J347" i="9" s="1"/>
  <c r="K345" i="9"/>
  <c r="K347" i="9" s="1"/>
  <c r="B358" i="8"/>
  <c r="N172" i="11"/>
  <c r="F315" i="9"/>
  <c r="K315" i="9"/>
  <c r="L315" i="9" s="1"/>
  <c r="B325" i="9"/>
  <c r="H187" i="9"/>
  <c r="H625" i="8"/>
  <c r="D321" i="9"/>
  <c r="H321" i="9"/>
  <c r="D625" i="9"/>
  <c r="J228" i="9"/>
  <c r="F228" i="9"/>
  <c r="J472" i="9"/>
  <c r="K472" i="9"/>
  <c r="K507" i="9"/>
  <c r="J507" i="9"/>
  <c r="F507" i="9"/>
  <c r="B505" i="9"/>
  <c r="B497" i="9"/>
  <c r="L493" i="9"/>
  <c r="J647" i="9"/>
  <c r="H618" i="9"/>
  <c r="H619" i="9" s="1"/>
  <c r="F619" i="9"/>
  <c r="D618" i="9"/>
  <c r="D619" i="9" s="1"/>
  <c r="D574" i="9"/>
  <c r="D578" i="9" s="1"/>
  <c r="H574" i="9"/>
  <c r="H578" i="9" s="1"/>
  <c r="F578" i="9"/>
  <c r="D567" i="9"/>
  <c r="K546" i="9"/>
  <c r="J546" i="9"/>
  <c r="D231" i="9"/>
  <c r="H453" i="8"/>
  <c r="M231" i="8"/>
  <c r="B178" i="8"/>
  <c r="B195" i="8" s="1"/>
  <c r="L433" i="8"/>
  <c r="M185" i="9"/>
  <c r="K494" i="9"/>
  <c r="L262" i="9"/>
  <c r="B239" i="9"/>
  <c r="B240" i="9" s="1"/>
  <c r="M224" i="9"/>
  <c r="J260" i="8"/>
  <c r="L268" i="9"/>
  <c r="L424" i="8"/>
  <c r="M565" i="9"/>
  <c r="H644" i="9"/>
  <c r="H646" i="9" s="1"/>
  <c r="L312" i="8"/>
  <c r="L416" i="8"/>
  <c r="L417" i="8" s="1"/>
  <c r="H589" i="8"/>
  <c r="K469" i="9"/>
  <c r="L407" i="9"/>
  <c r="H616" i="8"/>
  <c r="D467" i="8"/>
  <c r="H467" i="8"/>
  <c r="F517" i="8"/>
  <c r="K517" i="8"/>
  <c r="J506" i="8"/>
  <c r="K506" i="8"/>
  <c r="H551" i="8"/>
  <c r="D551" i="8"/>
  <c r="F546" i="8"/>
  <c r="J546" i="8"/>
  <c r="L546" i="8" s="1"/>
  <c r="J421" i="9"/>
  <c r="K421" i="9"/>
  <c r="D423" i="9"/>
  <c r="H423" i="9"/>
  <c r="K408" i="8"/>
  <c r="F408" i="8"/>
  <c r="J408" i="8"/>
  <c r="B414" i="8"/>
  <c r="N103" i="11"/>
  <c r="B421" i="8"/>
  <c r="B373" i="8"/>
  <c r="N124" i="11"/>
  <c r="F375" i="8"/>
  <c r="J375" i="8"/>
  <c r="I375" i="8"/>
  <c r="K375" i="8"/>
  <c r="L337" i="9"/>
  <c r="B336" i="8"/>
  <c r="N153" i="11"/>
  <c r="F309" i="9"/>
  <c r="K309" i="9"/>
  <c r="J312" i="9"/>
  <c r="K312" i="9"/>
  <c r="F312" i="9"/>
  <c r="F298" i="8"/>
  <c r="B303" i="8"/>
  <c r="K318" i="8"/>
  <c r="F318" i="8"/>
  <c r="J318" i="8"/>
  <c r="B206" i="8"/>
  <c r="N264" i="11"/>
  <c r="M187" i="9"/>
  <c r="I167" i="8"/>
  <c r="M253" i="8"/>
  <c r="L589" i="9"/>
  <c r="H393" i="9"/>
  <c r="J178" i="8"/>
  <c r="J195" i="8" s="1"/>
  <c r="M277" i="9"/>
  <c r="D277" i="9"/>
  <c r="M254" i="9"/>
  <c r="D567" i="8"/>
  <c r="D579" i="8" s="1"/>
  <c r="F626" i="9"/>
  <c r="F567" i="9"/>
  <c r="F472" i="9"/>
  <c r="I552" i="8"/>
  <c r="I553" i="8" s="1"/>
  <c r="B539" i="9"/>
  <c r="F646" i="9"/>
  <c r="F647" i="9" s="1"/>
  <c r="J469" i="9"/>
  <c r="M549" i="9"/>
  <c r="D549" i="9"/>
  <c r="D266" i="8"/>
  <c r="H266" i="8"/>
  <c r="K538" i="9"/>
  <c r="J470" i="9"/>
  <c r="K470" i="9"/>
  <c r="B465" i="9"/>
  <c r="K454" i="9"/>
  <c r="L454" i="9" s="1"/>
  <c r="F454" i="9"/>
  <c r="F517" i="9"/>
  <c r="J517" i="9"/>
  <c r="B522" i="9"/>
  <c r="K517" i="9"/>
  <c r="K498" i="9"/>
  <c r="L498" i="9" s="1"/>
  <c r="M498" i="9" s="1"/>
  <c r="L646" i="9"/>
  <c r="L636" i="9"/>
  <c r="D613" i="9"/>
  <c r="D616" i="9" s="1"/>
  <c r="H613" i="9"/>
  <c r="H616" i="9" s="1"/>
  <c r="F570" i="9"/>
  <c r="D569" i="9"/>
  <c r="D570" i="9" s="1"/>
  <c r="M569" i="9"/>
  <c r="H569" i="9"/>
  <c r="H570" i="9" s="1"/>
  <c r="L566" i="9"/>
  <c r="J567" i="9"/>
  <c r="J579" i="9" s="1"/>
  <c r="H565" i="9"/>
  <c r="H567" i="9" s="1"/>
  <c r="L563" i="9"/>
  <c r="K567" i="9"/>
  <c r="K579" i="9" s="1"/>
  <c r="D536" i="9"/>
  <c r="K534" i="9"/>
  <c r="K472" i="8"/>
  <c r="F472" i="8"/>
  <c r="J472" i="8"/>
  <c r="K469" i="8"/>
  <c r="F469" i="8"/>
  <c r="J469" i="8"/>
  <c r="J467" i="8"/>
  <c r="L467" i="8" s="1"/>
  <c r="M467" i="8" s="1"/>
  <c r="K464" i="8"/>
  <c r="F464" i="8"/>
  <c r="J462" i="8"/>
  <c r="F462" i="8"/>
  <c r="K452" i="8"/>
  <c r="J452" i="8"/>
  <c r="F452" i="8"/>
  <c r="B457" i="8"/>
  <c r="F478" i="9"/>
  <c r="K478" i="9"/>
  <c r="J478" i="9"/>
  <c r="K451" i="9"/>
  <c r="J451" i="9"/>
  <c r="F509" i="9"/>
  <c r="K509" i="9"/>
  <c r="L509" i="9" s="1"/>
  <c r="L545" i="9"/>
  <c r="J480" i="8"/>
  <c r="F480" i="8"/>
  <c r="K480" i="8"/>
  <c r="J478" i="8"/>
  <c r="F478" i="8"/>
  <c r="F473" i="8"/>
  <c r="M473" i="8" s="1"/>
  <c r="J471" i="8"/>
  <c r="K471" i="8"/>
  <c r="K419" i="9"/>
  <c r="F419" i="9"/>
  <c r="J425" i="9"/>
  <c r="K425" i="9"/>
  <c r="K436" i="9"/>
  <c r="F436" i="9"/>
  <c r="K391" i="9"/>
  <c r="L391" i="9" s="1"/>
  <c r="F391" i="9"/>
  <c r="D378" i="9"/>
  <c r="H378" i="9"/>
  <c r="M378" i="9"/>
  <c r="K310" i="9"/>
  <c r="J310" i="9"/>
  <c r="K296" i="9"/>
  <c r="J296" i="9"/>
  <c r="D323" i="8"/>
  <c r="H323" i="8"/>
  <c r="M300" i="8"/>
  <c r="D300" i="8"/>
  <c r="K252" i="9"/>
  <c r="K260" i="9" s="1"/>
  <c r="I252" i="9"/>
  <c r="F252" i="9"/>
  <c r="F535" i="9"/>
  <c r="F410" i="9"/>
  <c r="I410" i="9"/>
  <c r="K409" i="8"/>
  <c r="J409" i="8"/>
  <c r="B438" i="8"/>
  <c r="N111" i="11"/>
  <c r="L387" i="8"/>
  <c r="K350" i="8"/>
  <c r="J350" i="8"/>
  <c r="K321" i="9"/>
  <c r="J321" i="9"/>
  <c r="D259" i="9"/>
  <c r="H259" i="9"/>
  <c r="M259" i="9"/>
  <c r="B126" i="9"/>
  <c r="D131" i="9"/>
  <c r="H131" i="9"/>
  <c r="B145" i="9"/>
  <c r="F149" i="9"/>
  <c r="D145" i="8"/>
  <c r="M145" i="8"/>
  <c r="H145" i="8"/>
  <c r="F389" i="9"/>
  <c r="J389" i="9"/>
  <c r="H133" i="8"/>
  <c r="D133" i="8"/>
  <c r="K427" i="9"/>
  <c r="L437" i="8"/>
  <c r="D390" i="9"/>
  <c r="H390" i="9"/>
  <c r="L318" i="9"/>
  <c r="N28" i="11"/>
  <c r="L591" i="8"/>
  <c r="F433" i="9"/>
  <c r="K473" i="9"/>
  <c r="K544" i="8"/>
  <c r="L544" i="8" s="1"/>
  <c r="K462" i="9"/>
  <c r="K508" i="9"/>
  <c r="L508" i="9" s="1"/>
  <c r="J495" i="9"/>
  <c r="J427" i="9"/>
  <c r="J351" i="9"/>
  <c r="D513" i="8"/>
  <c r="D634" i="9"/>
  <c r="D636" i="9" s="1"/>
  <c r="D647" i="9" s="1"/>
  <c r="H634" i="9"/>
  <c r="H636" i="9" s="1"/>
  <c r="L616" i="9"/>
  <c r="L626" i="9" s="1"/>
  <c r="M574" i="9"/>
  <c r="H632" i="8"/>
  <c r="D632" i="8"/>
  <c r="D636" i="8" s="1"/>
  <c r="H599" i="8"/>
  <c r="H600" i="8" s="1"/>
  <c r="K389" i="9"/>
  <c r="F351" i="9"/>
  <c r="J294" i="9"/>
  <c r="K294" i="9"/>
  <c r="F294" i="9"/>
  <c r="D238" i="8"/>
  <c r="H238" i="8"/>
  <c r="D129" i="8"/>
  <c r="H129" i="8"/>
  <c r="D143" i="8"/>
  <c r="H143" i="8"/>
  <c r="M143" i="8"/>
  <c r="F126" i="8"/>
  <c r="B139" i="8"/>
  <c r="L127" i="8"/>
  <c r="F142" i="8"/>
  <c r="B155" i="8"/>
  <c r="D146" i="8"/>
  <c r="M146" i="8"/>
  <c r="H146" i="8"/>
  <c r="M131" i="9"/>
  <c r="M133" i="8"/>
  <c r="M129" i="8"/>
  <c r="M176" i="9"/>
  <c r="I96" i="9"/>
  <c r="K96" i="9"/>
  <c r="J96" i="9"/>
  <c r="J102" i="9"/>
  <c r="F102" i="9"/>
  <c r="K102" i="9"/>
  <c r="K105" i="9"/>
  <c r="J105" i="9"/>
  <c r="H147" i="8"/>
  <c r="D147" i="8"/>
  <c r="L103" i="9"/>
  <c r="M103" i="9" s="1"/>
  <c r="F87" i="9"/>
  <c r="I87" i="9"/>
  <c r="J87" i="9"/>
  <c r="L90" i="9"/>
  <c r="M90" i="9" s="1"/>
  <c r="K93" i="9"/>
  <c r="J93" i="9"/>
  <c r="F93" i="9"/>
  <c r="K74" i="9"/>
  <c r="K87" i="9"/>
  <c r="K107" i="9"/>
  <c r="J107" i="9"/>
  <c r="F107" i="9"/>
  <c r="K87" i="8"/>
  <c r="J87" i="8"/>
  <c r="F87" i="8"/>
  <c r="K92" i="8"/>
  <c r="J92" i="8"/>
  <c r="K96" i="8"/>
  <c r="I96" i="8"/>
  <c r="I99" i="8" s="1"/>
  <c r="I116" i="8" s="1"/>
  <c r="J96" i="8"/>
  <c r="F103" i="8"/>
  <c r="J103" i="8"/>
  <c r="B115" i="8"/>
  <c r="K103" i="8"/>
  <c r="K106" i="8"/>
  <c r="L106" i="8" s="1"/>
  <c r="F106" i="8"/>
  <c r="F111" i="8"/>
  <c r="D111" i="8" s="1"/>
  <c r="J111" i="8"/>
  <c r="L111" i="8" s="1"/>
  <c r="H91" i="8"/>
  <c r="D114" i="9"/>
  <c r="H114" i="9"/>
  <c r="M114" i="9"/>
  <c r="B89" i="9"/>
  <c r="B99" i="9" s="1"/>
  <c r="B101" i="9"/>
  <c r="K104" i="9"/>
  <c r="L104" i="9" s="1"/>
  <c r="F104" i="9"/>
  <c r="F86" i="8"/>
  <c r="B99" i="8"/>
  <c r="J86" i="8"/>
  <c r="F89" i="8"/>
  <c r="J89" i="8"/>
  <c r="K89" i="8"/>
  <c r="H95" i="8"/>
  <c r="M95" i="8"/>
  <c r="J98" i="8"/>
  <c r="F98" i="8"/>
  <c r="K105" i="8"/>
  <c r="L105" i="8" s="1"/>
  <c r="F105" i="8"/>
  <c r="J108" i="8"/>
  <c r="K108" i="8"/>
  <c r="F108" i="8"/>
  <c r="J98" i="9"/>
  <c r="L98" i="9" s="1"/>
  <c r="M98" i="9" s="1"/>
  <c r="L104" i="8"/>
  <c r="K112" i="8"/>
  <c r="J112" i="8"/>
  <c r="K74" i="8"/>
  <c r="J74" i="8" s="1"/>
  <c r="F74" i="8"/>
  <c r="J46" i="8"/>
  <c r="L67" i="8"/>
  <c r="B75" i="8"/>
  <c r="K52" i="8"/>
  <c r="K51" i="8"/>
  <c r="L50" i="8"/>
  <c r="M50" i="8" s="1"/>
  <c r="K49" i="8"/>
  <c r="I47" i="8"/>
  <c r="K53" i="9"/>
  <c r="J53" i="9"/>
  <c r="J52" i="9"/>
  <c r="J51" i="9"/>
  <c r="K51" i="9"/>
  <c r="K46" i="9"/>
  <c r="K49" i="9"/>
  <c r="I47" i="9"/>
  <c r="L276" i="9" l="1"/>
  <c r="J215" i="9"/>
  <c r="L496" i="9"/>
  <c r="M496" i="9" s="1"/>
  <c r="H208" i="9"/>
  <c r="M208" i="9"/>
  <c r="L346" i="9"/>
  <c r="M346" i="9" s="1"/>
  <c r="M390" i="9"/>
  <c r="D127" i="8"/>
  <c r="H356" i="8"/>
  <c r="L230" i="8"/>
  <c r="M230" i="8" s="1"/>
  <c r="L428" i="8"/>
  <c r="H357" i="8"/>
  <c r="D357" i="8"/>
  <c r="D102" i="8"/>
  <c r="H178" i="8"/>
  <c r="D252" i="8"/>
  <c r="L93" i="8"/>
  <c r="M93" i="8" s="1"/>
  <c r="M102" i="8"/>
  <c r="D310" i="8"/>
  <c r="F503" i="8"/>
  <c r="H502" i="8"/>
  <c r="H503" i="8" s="1"/>
  <c r="D502" i="8"/>
  <c r="D503" i="8" s="1"/>
  <c r="M310" i="8"/>
  <c r="K53" i="8"/>
  <c r="M104" i="8"/>
  <c r="D512" i="8"/>
  <c r="F239" i="8"/>
  <c r="L459" i="8"/>
  <c r="J303" i="8"/>
  <c r="L193" i="8"/>
  <c r="M193" i="8" s="1"/>
  <c r="H520" i="8"/>
  <c r="K178" i="8"/>
  <c r="J439" i="8"/>
  <c r="I139" i="8"/>
  <c r="I156" i="8" s="1"/>
  <c r="H101" i="8"/>
  <c r="L275" i="8"/>
  <c r="M275" i="8" s="1"/>
  <c r="L154" i="8"/>
  <c r="L155" i="8" s="1"/>
  <c r="H352" i="8"/>
  <c r="D352" i="8"/>
  <c r="L252" i="8"/>
  <c r="M252" i="8" s="1"/>
  <c r="K283" i="8"/>
  <c r="M274" i="8"/>
  <c r="J347" i="8"/>
  <c r="H250" i="8"/>
  <c r="H430" i="8"/>
  <c r="D430" i="8"/>
  <c r="H282" i="8"/>
  <c r="D282" i="8"/>
  <c r="H496" i="8"/>
  <c r="D496" i="8"/>
  <c r="H260" i="8"/>
  <c r="D387" i="8"/>
  <c r="H387" i="8"/>
  <c r="K457" i="8"/>
  <c r="K482" i="8"/>
  <c r="H221" i="8"/>
  <c r="K325" i="8"/>
  <c r="K326" i="8" s="1"/>
  <c r="J283" i="8"/>
  <c r="J284" i="8" s="1"/>
  <c r="J522" i="8"/>
  <c r="F260" i="8"/>
  <c r="D309" i="8"/>
  <c r="D274" i="8"/>
  <c r="D312" i="8"/>
  <c r="H312" i="8"/>
  <c r="K46" i="8"/>
  <c r="L347" i="8"/>
  <c r="K264" i="8"/>
  <c r="K284" i="8" s="1"/>
  <c r="K347" i="8"/>
  <c r="L453" i="8"/>
  <c r="M453" i="8" s="1"/>
  <c r="M309" i="8"/>
  <c r="D518" i="8"/>
  <c r="H518" i="8"/>
  <c r="M518" i="8"/>
  <c r="D435" i="8"/>
  <c r="H435" i="8"/>
  <c r="L502" i="9"/>
  <c r="H95" i="9"/>
  <c r="L172" i="9"/>
  <c r="M172" i="9" s="1"/>
  <c r="L207" i="9"/>
  <c r="M207" i="9" s="1"/>
  <c r="D127" i="9"/>
  <c r="H127" i="9"/>
  <c r="H317" i="9"/>
  <c r="D317" i="9"/>
  <c r="D273" i="9"/>
  <c r="D95" i="9"/>
  <c r="L374" i="9"/>
  <c r="M374" i="9" s="1"/>
  <c r="H313" i="9"/>
  <c r="D313" i="9"/>
  <c r="K522" i="9"/>
  <c r="L473" i="9"/>
  <c r="M473" i="9" s="1"/>
  <c r="M273" i="9"/>
  <c r="H545" i="9"/>
  <c r="M339" i="9"/>
  <c r="H407" i="9"/>
  <c r="D407" i="9"/>
  <c r="D311" i="9"/>
  <c r="H311" i="9"/>
  <c r="L459" i="9"/>
  <c r="L460" i="9" s="1"/>
  <c r="D339" i="9"/>
  <c r="M276" i="9"/>
  <c r="D352" i="9"/>
  <c r="H352" i="9"/>
  <c r="D437" i="9"/>
  <c r="H437" i="9"/>
  <c r="H420" i="9"/>
  <c r="D420" i="9"/>
  <c r="H337" i="9"/>
  <c r="D337" i="9"/>
  <c r="D520" i="9"/>
  <c r="H520" i="9"/>
  <c r="H518" i="9"/>
  <c r="L495" i="9"/>
  <c r="M495" i="9" s="1"/>
  <c r="D462" i="9"/>
  <c r="H275" i="9"/>
  <c r="H511" i="9"/>
  <c r="L311" i="9"/>
  <c r="M311" i="9" s="1"/>
  <c r="L382" i="9"/>
  <c r="L109" i="9"/>
  <c r="M109" i="9" s="1"/>
  <c r="L86" i="9"/>
  <c r="M86" i="9" s="1"/>
  <c r="D276" i="9"/>
  <c r="D229" i="9"/>
  <c r="H229" i="9"/>
  <c r="D272" i="9"/>
  <c r="H272" i="9"/>
  <c r="M314" i="9"/>
  <c r="L255" i="9"/>
  <c r="M255" i="9" s="1"/>
  <c r="L430" i="9"/>
  <c r="L513" i="9"/>
  <c r="M355" i="9"/>
  <c r="D154" i="8"/>
  <c r="H154" i="8"/>
  <c r="M154" i="8"/>
  <c r="J382" i="8"/>
  <c r="J383" i="8" s="1"/>
  <c r="I382" i="8"/>
  <c r="I383" i="8" s="1"/>
  <c r="F382" i="8"/>
  <c r="B383" i="8"/>
  <c r="K382" i="8"/>
  <c r="H519" i="9"/>
  <c r="M225" i="9"/>
  <c r="L472" i="8"/>
  <c r="L376" i="9"/>
  <c r="H88" i="8"/>
  <c r="D88" i="8"/>
  <c r="L354" i="8"/>
  <c r="M105" i="8"/>
  <c r="L480" i="8"/>
  <c r="M480" i="8" s="1"/>
  <c r="L61" i="9"/>
  <c r="L230" i="9"/>
  <c r="M230" i="9" s="1"/>
  <c r="L278" i="9"/>
  <c r="M278" i="9" s="1"/>
  <c r="L453" i="9"/>
  <c r="M453" i="9" s="1"/>
  <c r="M231" i="9"/>
  <c r="M106" i="9"/>
  <c r="L97" i="9"/>
  <c r="M97" i="9" s="1"/>
  <c r="D541" i="8"/>
  <c r="D542" i="8" s="1"/>
  <c r="F515" i="8"/>
  <c r="L97" i="8"/>
  <c r="M97" i="8" s="1"/>
  <c r="M91" i="9"/>
  <c r="H275" i="8"/>
  <c r="H283" i="8" s="1"/>
  <c r="D275" i="8"/>
  <c r="L51" i="8"/>
  <c r="L647" i="9"/>
  <c r="M519" i="8"/>
  <c r="M506" i="9"/>
  <c r="L463" i="9"/>
  <c r="L275" i="9"/>
  <c r="M275" i="9" s="1"/>
  <c r="L428" i="9"/>
  <c r="M422" i="8"/>
  <c r="H470" i="8"/>
  <c r="D470" i="8"/>
  <c r="H385" i="9"/>
  <c r="D385" i="9"/>
  <c r="D496" i="9"/>
  <c r="H496" i="9"/>
  <c r="B326" i="9"/>
  <c r="I326" i="8"/>
  <c r="D260" i="8"/>
  <c r="L511" i="8"/>
  <c r="D93" i="8"/>
  <c r="H93" i="8"/>
  <c r="H493" i="8"/>
  <c r="D493" i="8"/>
  <c r="J477" i="9"/>
  <c r="K477" i="9"/>
  <c r="L477" i="9" s="1"/>
  <c r="F477" i="9"/>
  <c r="D297" i="8"/>
  <c r="H297" i="8"/>
  <c r="B326" i="8"/>
  <c r="H297" i="9"/>
  <c r="K283" i="9"/>
  <c r="L62" i="8"/>
  <c r="M279" i="9"/>
  <c r="M128" i="8"/>
  <c r="H112" i="9"/>
  <c r="D112" i="9"/>
  <c r="L109" i="8"/>
  <c r="M109" i="8" s="1"/>
  <c r="L479" i="9"/>
  <c r="D225" i="9"/>
  <c r="H225" i="9"/>
  <c r="M519" i="9"/>
  <c r="L601" i="9"/>
  <c r="M104" i="9"/>
  <c r="D114" i="8"/>
  <c r="K303" i="9"/>
  <c r="H636" i="8"/>
  <c r="H647" i="8" s="1"/>
  <c r="M318" i="9"/>
  <c r="K515" i="8"/>
  <c r="J396" i="8"/>
  <c r="D178" i="8"/>
  <c r="L69" i="9"/>
  <c r="L297" i="9"/>
  <c r="M297" i="9" s="1"/>
  <c r="M111" i="9"/>
  <c r="L282" i="9"/>
  <c r="M282" i="9" s="1"/>
  <c r="M221" i="8"/>
  <c r="M311" i="8"/>
  <c r="M346" i="8"/>
  <c r="L360" i="8"/>
  <c r="M360" i="8" s="1"/>
  <c r="M547" i="8"/>
  <c r="D128" i="8"/>
  <c r="H128" i="8"/>
  <c r="L90" i="8"/>
  <c r="M90" i="8" s="1"/>
  <c r="D109" i="8"/>
  <c r="H109" i="8"/>
  <c r="D513" i="9"/>
  <c r="H513" i="9"/>
  <c r="L385" i="9"/>
  <c r="D374" i="9"/>
  <c r="H374" i="9"/>
  <c r="L223" i="9"/>
  <c r="M223" i="9" s="1"/>
  <c r="F552" i="9"/>
  <c r="H541" i="9"/>
  <c r="H542" i="9" s="1"/>
  <c r="M67" i="8"/>
  <c r="L61" i="8"/>
  <c r="L55" i="8"/>
  <c r="M55" i="8" s="1"/>
  <c r="D46" i="8"/>
  <c r="H46" i="8"/>
  <c r="J53" i="8"/>
  <c r="L53" i="8" s="1"/>
  <c r="F53" i="8"/>
  <c r="B59" i="8"/>
  <c r="L52" i="8"/>
  <c r="M52" i="8" s="1"/>
  <c r="M62" i="8"/>
  <c r="H468" i="8"/>
  <c r="D468" i="8"/>
  <c r="H208" i="8"/>
  <c r="D208" i="8"/>
  <c r="D317" i="8"/>
  <c r="H317" i="8"/>
  <c r="H306" i="8"/>
  <c r="H307" i="8" s="1"/>
  <c r="D306" i="8"/>
  <c r="D307" i="8" s="1"/>
  <c r="L194" i="8"/>
  <c r="D507" i="8"/>
  <c r="H507" i="8"/>
  <c r="H360" i="8"/>
  <c r="D360" i="8"/>
  <c r="D511" i="8"/>
  <c r="H511" i="8"/>
  <c r="M61" i="8"/>
  <c r="H114" i="8"/>
  <c r="M437" i="8"/>
  <c r="L262" i="8"/>
  <c r="M262" i="8" s="1"/>
  <c r="I414" i="8"/>
  <c r="I440" i="8" s="1"/>
  <c r="H479" i="8"/>
  <c r="M507" i="8"/>
  <c r="F307" i="8"/>
  <c r="M314" i="8"/>
  <c r="L306" i="8"/>
  <c r="L394" i="8"/>
  <c r="K195" i="8"/>
  <c r="D425" i="8"/>
  <c r="H425" i="8"/>
  <c r="H409" i="8"/>
  <c r="D409" i="8"/>
  <c r="D547" i="8"/>
  <c r="H547" i="8"/>
  <c r="L436" i="8"/>
  <c r="K439" i="8"/>
  <c r="J115" i="8"/>
  <c r="D314" i="8"/>
  <c r="H314" i="8"/>
  <c r="D324" i="8"/>
  <c r="H324" i="8"/>
  <c r="H394" i="8"/>
  <c r="D394" i="8"/>
  <c r="D354" i="8"/>
  <c r="H354" i="8"/>
  <c r="M324" i="8"/>
  <c r="L251" i="8"/>
  <c r="I260" i="8"/>
  <c r="I284" i="8" s="1"/>
  <c r="H180" i="8"/>
  <c r="H194" i="8" s="1"/>
  <c r="M180" i="8"/>
  <c r="D536" i="8"/>
  <c r="H536" i="8"/>
  <c r="H539" i="8" s="1"/>
  <c r="D104" i="8"/>
  <c r="H104" i="8"/>
  <c r="M51" i="8"/>
  <c r="B483" i="8"/>
  <c r="L108" i="8"/>
  <c r="M108" i="8" s="1"/>
  <c r="L89" i="8"/>
  <c r="M89" i="8" s="1"/>
  <c r="D194" i="8"/>
  <c r="H541" i="8"/>
  <c r="H542" i="8" s="1"/>
  <c r="B553" i="8"/>
  <c r="L541" i="8"/>
  <c r="L542" i="8" s="1"/>
  <c r="L296" i="8"/>
  <c r="M208" i="8"/>
  <c r="H262" i="8"/>
  <c r="H264" i="8" s="1"/>
  <c r="D262" i="8"/>
  <c r="D264" i="8" s="1"/>
  <c r="F264" i="8"/>
  <c r="D311" i="8"/>
  <c r="H311" i="8"/>
  <c r="H346" i="8"/>
  <c r="H347" i="8" s="1"/>
  <c r="F347" i="8"/>
  <c r="D346" i="8"/>
  <c r="D347" i="8" s="1"/>
  <c r="L91" i="8"/>
  <c r="M91" i="8" s="1"/>
  <c r="H433" i="8"/>
  <c r="D433" i="8"/>
  <c r="D422" i="8"/>
  <c r="H422" i="8"/>
  <c r="D494" i="8"/>
  <c r="H494" i="8"/>
  <c r="M69" i="9"/>
  <c r="K240" i="9"/>
  <c r="D319" i="9"/>
  <c r="H319" i="9"/>
  <c r="D181" i="9"/>
  <c r="H181" i="9"/>
  <c r="L171" i="9"/>
  <c r="M171" i="9" s="1"/>
  <c r="J178" i="9"/>
  <c r="J195" i="9" s="1"/>
  <c r="F542" i="9"/>
  <c r="J260" i="9"/>
  <c r="B195" i="9"/>
  <c r="H314" i="9"/>
  <c r="D314" i="9"/>
  <c r="L295" i="9"/>
  <c r="M295" i="9" s="1"/>
  <c r="I303" i="9"/>
  <c r="I326" i="9" s="1"/>
  <c r="L88" i="9"/>
  <c r="M88" i="9" s="1"/>
  <c r="M319" i="9"/>
  <c r="L411" i="9"/>
  <c r="J414" i="9"/>
  <c r="F194" i="9"/>
  <c r="M186" i="9"/>
  <c r="H186" i="9"/>
  <c r="D186" i="9"/>
  <c r="H171" i="9"/>
  <c r="H178" i="9" s="1"/>
  <c r="D171" i="9"/>
  <c r="D178" i="9" s="1"/>
  <c r="H255" i="9"/>
  <c r="D255" i="9"/>
  <c r="D278" i="9"/>
  <c r="H278" i="9"/>
  <c r="L375" i="9"/>
  <c r="I380" i="9"/>
  <c r="I397" i="9" s="1"/>
  <c r="H428" i="9"/>
  <c r="D428" i="9"/>
  <c r="H453" i="9"/>
  <c r="D453" i="9"/>
  <c r="D233" i="9"/>
  <c r="H233" i="9"/>
  <c r="F460" i="9"/>
  <c r="H459" i="9"/>
  <c r="H460" i="9" s="1"/>
  <c r="D459" i="9"/>
  <c r="D460" i="9" s="1"/>
  <c r="F178" i="9"/>
  <c r="F195" i="9" s="1"/>
  <c r="D106" i="9"/>
  <c r="H106" i="9"/>
  <c r="F215" i="9"/>
  <c r="H206" i="9"/>
  <c r="D206" i="9"/>
  <c r="D215" i="9" s="1"/>
  <c r="D493" i="9"/>
  <c r="H493" i="9"/>
  <c r="H411" i="9"/>
  <c r="D411" i="9"/>
  <c r="D269" i="9"/>
  <c r="H269" i="9"/>
  <c r="D257" i="9"/>
  <c r="H257" i="9"/>
  <c r="H375" i="9"/>
  <c r="D375" i="9"/>
  <c r="D409" i="9"/>
  <c r="H409" i="9"/>
  <c r="D495" i="9"/>
  <c r="H495" i="9"/>
  <c r="D508" i="9"/>
  <c r="H508" i="9"/>
  <c r="L206" i="9"/>
  <c r="M206" i="9" s="1"/>
  <c r="I215" i="9"/>
  <c r="I240" i="9" s="1"/>
  <c r="M508" i="9"/>
  <c r="D185" i="9"/>
  <c r="M61" i="9"/>
  <c r="L425" i="9"/>
  <c r="M425" i="9" s="1"/>
  <c r="L416" i="9"/>
  <c r="L417" i="9" s="1"/>
  <c r="L521" i="9"/>
  <c r="D318" i="9"/>
  <c r="H318" i="9"/>
  <c r="M518" i="9"/>
  <c r="H355" i="9"/>
  <c r="D355" i="9"/>
  <c r="L269" i="9"/>
  <c r="M269" i="9" s="1"/>
  <c r="J283" i="9"/>
  <c r="M428" i="9"/>
  <c r="D422" i="9"/>
  <c r="H422" i="9"/>
  <c r="M233" i="9"/>
  <c r="H103" i="9"/>
  <c r="D103" i="9"/>
  <c r="L544" i="9"/>
  <c r="L155" i="9"/>
  <c r="L156" i="9" s="1"/>
  <c r="M154" i="9"/>
  <c r="M181" i="9"/>
  <c r="L321" i="9"/>
  <c r="M321" i="9" s="1"/>
  <c r="L252" i="9"/>
  <c r="M252" i="9" s="1"/>
  <c r="L451" i="9"/>
  <c r="M451" i="9" s="1"/>
  <c r="L305" i="9"/>
  <c r="M305" i="9" s="1"/>
  <c r="H416" i="9"/>
  <c r="H417" i="9" s="1"/>
  <c r="F417" i="9"/>
  <c r="D416" i="9"/>
  <c r="D417" i="9" s="1"/>
  <c r="H279" i="9"/>
  <c r="D279" i="9"/>
  <c r="D251" i="9"/>
  <c r="H251" i="9"/>
  <c r="D466" i="9"/>
  <c r="H466" i="9"/>
  <c r="M167" i="9"/>
  <c r="L178" i="9"/>
  <c r="H222" i="9"/>
  <c r="D222" i="9"/>
  <c r="H230" i="9"/>
  <c r="D230" i="9"/>
  <c r="M257" i="9"/>
  <c r="L409" i="9"/>
  <c r="M409" i="9" s="1"/>
  <c r="L433" i="9"/>
  <c r="L422" i="9"/>
  <c r="M422" i="9" s="1"/>
  <c r="L383" i="9"/>
  <c r="M382" i="9"/>
  <c r="D305" i="9"/>
  <c r="D307" i="9" s="1"/>
  <c r="H305" i="9"/>
  <c r="H307" i="9" s="1"/>
  <c r="F307" i="9"/>
  <c r="L511" i="9"/>
  <c r="M511" i="9" s="1"/>
  <c r="M251" i="9"/>
  <c r="B116" i="8"/>
  <c r="L389" i="9"/>
  <c r="L452" i="8"/>
  <c r="M452" i="8" s="1"/>
  <c r="L469" i="8"/>
  <c r="M469" i="8" s="1"/>
  <c r="D579" i="9"/>
  <c r="L507" i="9"/>
  <c r="M507" i="9" s="1"/>
  <c r="M424" i="9"/>
  <c r="L510" i="8"/>
  <c r="K57" i="9"/>
  <c r="K59" i="9" s="1"/>
  <c r="J57" i="9"/>
  <c r="D58" i="9"/>
  <c r="H58" i="9"/>
  <c r="D63" i="9"/>
  <c r="H63" i="9"/>
  <c r="H64" i="9"/>
  <c r="D64" i="9"/>
  <c r="D72" i="8"/>
  <c r="H72" i="8"/>
  <c r="H58" i="8"/>
  <c r="D58" i="8"/>
  <c r="H49" i="8"/>
  <c r="D49" i="8"/>
  <c r="D68" i="9"/>
  <c r="H68" i="9"/>
  <c r="D66" i="9"/>
  <c r="H66" i="9"/>
  <c r="L57" i="8"/>
  <c r="J439" i="9"/>
  <c r="L435" i="9"/>
  <c r="H437" i="8"/>
  <c r="D437" i="8"/>
  <c r="H519" i="8"/>
  <c r="D519" i="8"/>
  <c r="H521" i="9"/>
  <c r="D521" i="9"/>
  <c r="D521" i="8"/>
  <c r="H521" i="8"/>
  <c r="H466" i="8"/>
  <c r="D466" i="8"/>
  <c r="H47" i="9"/>
  <c r="D47" i="9"/>
  <c r="D51" i="8"/>
  <c r="H51" i="8"/>
  <c r="H47" i="8"/>
  <c r="D47" i="8"/>
  <c r="D69" i="9"/>
  <c r="H69" i="9"/>
  <c r="H61" i="8"/>
  <c r="D61" i="8"/>
  <c r="H62" i="9"/>
  <c r="D62" i="9"/>
  <c r="H64" i="8"/>
  <c r="D64" i="8"/>
  <c r="D71" i="9"/>
  <c r="H71" i="9"/>
  <c r="D63" i="8"/>
  <c r="H63" i="8"/>
  <c r="I457" i="9"/>
  <c r="L452" i="9"/>
  <c r="M452" i="9" s="1"/>
  <c r="H512" i="9"/>
  <c r="D512" i="9"/>
  <c r="K325" i="9"/>
  <c r="K326" i="9" s="1"/>
  <c r="H601" i="8"/>
  <c r="L439" i="8"/>
  <c r="M315" i="9"/>
  <c r="L394" i="9"/>
  <c r="H67" i="8"/>
  <c r="D67" i="8"/>
  <c r="D67" i="9"/>
  <c r="H67" i="9"/>
  <c r="D66" i="8"/>
  <c r="H66" i="8"/>
  <c r="D71" i="8"/>
  <c r="H71" i="8"/>
  <c r="H506" i="9"/>
  <c r="D506" i="9"/>
  <c r="L468" i="9"/>
  <c r="M468" i="9" s="1"/>
  <c r="L503" i="9"/>
  <c r="M502" i="9"/>
  <c r="H505" i="8"/>
  <c r="D505" i="8"/>
  <c r="H62" i="8"/>
  <c r="D62" i="8"/>
  <c r="H69" i="8"/>
  <c r="D69" i="8"/>
  <c r="D68" i="8"/>
  <c r="H68" i="8"/>
  <c r="H49" i="9"/>
  <c r="D49" i="9"/>
  <c r="D61" i="9"/>
  <c r="H61" i="9"/>
  <c r="D72" i="9"/>
  <c r="H72" i="9"/>
  <c r="H435" i="9"/>
  <c r="D435" i="9"/>
  <c r="M205" i="9"/>
  <c r="L510" i="9"/>
  <c r="M510" i="9" s="1"/>
  <c r="D468" i="9"/>
  <c r="H468" i="9"/>
  <c r="L505" i="8"/>
  <c r="L466" i="8"/>
  <c r="H473" i="9"/>
  <c r="D473" i="9"/>
  <c r="F439" i="8"/>
  <c r="D65" i="9"/>
  <c r="H65" i="9"/>
  <c r="D539" i="8"/>
  <c r="H550" i="9"/>
  <c r="D550" i="9"/>
  <c r="D537" i="9"/>
  <c r="H537" i="9"/>
  <c r="M537" i="9"/>
  <c r="L537" i="8"/>
  <c r="M537" i="8" s="1"/>
  <c r="K539" i="8"/>
  <c r="L549" i="8"/>
  <c r="M549" i="8" s="1"/>
  <c r="D547" i="9"/>
  <c r="H547" i="9"/>
  <c r="L541" i="9"/>
  <c r="M541" i="9" s="1"/>
  <c r="B553" i="9"/>
  <c r="H544" i="8"/>
  <c r="D544" i="8"/>
  <c r="M535" i="8"/>
  <c r="L56" i="8"/>
  <c r="M56" i="8" s="1"/>
  <c r="L72" i="9"/>
  <c r="M72" i="9" s="1"/>
  <c r="I59" i="8"/>
  <c r="I76" i="8" s="1"/>
  <c r="L62" i="9"/>
  <c r="M62" i="9" s="1"/>
  <c r="L64" i="8"/>
  <c r="M64" i="8" s="1"/>
  <c r="L46" i="8"/>
  <c r="M46" i="8" s="1"/>
  <c r="M65" i="9"/>
  <c r="L48" i="9"/>
  <c r="M48" i="9" s="1"/>
  <c r="M74" i="8"/>
  <c r="D74" i="8"/>
  <c r="F75" i="8"/>
  <c r="F76" i="8" s="1"/>
  <c r="H74" i="8"/>
  <c r="M57" i="8"/>
  <c r="H87" i="9"/>
  <c r="D87" i="9"/>
  <c r="D102" i="9"/>
  <c r="H102" i="9"/>
  <c r="M127" i="8"/>
  <c r="L139" i="8"/>
  <c r="L156" i="8" s="1"/>
  <c r="D126" i="8"/>
  <c r="D139" i="8" s="1"/>
  <c r="M126" i="8"/>
  <c r="F139" i="8"/>
  <c r="H126" i="8"/>
  <c r="H139" i="8" s="1"/>
  <c r="D294" i="9"/>
  <c r="D303" i="9" s="1"/>
  <c r="H294" i="9"/>
  <c r="H303" i="9" s="1"/>
  <c r="F303" i="9"/>
  <c r="M149" i="9"/>
  <c r="D149" i="9"/>
  <c r="H149" i="9"/>
  <c r="D478" i="8"/>
  <c r="H478" i="8"/>
  <c r="F482" i="8"/>
  <c r="D452" i="8"/>
  <c r="D457" i="8" s="1"/>
  <c r="F457" i="8"/>
  <c r="H452" i="8"/>
  <c r="H457" i="8" s="1"/>
  <c r="J474" i="8"/>
  <c r="L462" i="8"/>
  <c r="L534" i="9"/>
  <c r="K539" i="9"/>
  <c r="M563" i="9"/>
  <c r="L567" i="9"/>
  <c r="L579" i="9" s="1"/>
  <c r="H647" i="9"/>
  <c r="J206" i="8"/>
  <c r="J215" i="8" s="1"/>
  <c r="B215" i="8"/>
  <c r="B240" i="8" s="1"/>
  <c r="K206" i="8"/>
  <c r="K215" i="8" s="1"/>
  <c r="F206" i="8"/>
  <c r="I206" i="8"/>
  <c r="H298" i="8"/>
  <c r="D298" i="8"/>
  <c r="D303" i="8" s="1"/>
  <c r="M298" i="8"/>
  <c r="F421" i="8"/>
  <c r="K421" i="8"/>
  <c r="K431" i="8" s="1"/>
  <c r="B431" i="8"/>
  <c r="J421" i="8"/>
  <c r="J414" i="8"/>
  <c r="L408" i="8"/>
  <c r="D546" i="8"/>
  <c r="H546" i="8"/>
  <c r="J497" i="9"/>
  <c r="F497" i="9"/>
  <c r="K497" i="9"/>
  <c r="K500" i="9" s="1"/>
  <c r="K338" i="9"/>
  <c r="K343" i="9" s="1"/>
  <c r="K363" i="9" s="1"/>
  <c r="F338" i="9"/>
  <c r="J338" i="9"/>
  <c r="B343" i="9"/>
  <c r="B363" i="9" s="1"/>
  <c r="D394" i="9"/>
  <c r="H394" i="9"/>
  <c r="K429" i="9"/>
  <c r="K431" i="9" s="1"/>
  <c r="J429" i="9"/>
  <c r="J431" i="9" s="1"/>
  <c r="J440" i="9" s="1"/>
  <c r="F429" i="9"/>
  <c r="B431" i="9"/>
  <c r="B440" i="9" s="1"/>
  <c r="M493" i="8"/>
  <c r="M416" i="9"/>
  <c r="D450" i="9"/>
  <c r="H450" i="9"/>
  <c r="F457" i="9"/>
  <c r="L460" i="8"/>
  <c r="M459" i="8"/>
  <c r="L503" i="8"/>
  <c r="M502" i="8"/>
  <c r="H98" i="8"/>
  <c r="D98" i="8"/>
  <c r="H87" i="8"/>
  <c r="D87" i="8"/>
  <c r="L592" i="8"/>
  <c r="L601" i="8" s="1"/>
  <c r="M591" i="8"/>
  <c r="D419" i="9"/>
  <c r="H419" i="9"/>
  <c r="F522" i="9"/>
  <c r="H517" i="9"/>
  <c r="H522" i="9" s="1"/>
  <c r="D517" i="9"/>
  <c r="L112" i="8"/>
  <c r="M112" i="8" s="1"/>
  <c r="D86" i="8"/>
  <c r="F99" i="8"/>
  <c r="H86" i="8"/>
  <c r="K101" i="9"/>
  <c r="J101" i="9"/>
  <c r="J115" i="9" s="1"/>
  <c r="B115" i="9"/>
  <c r="B116" i="9" s="1"/>
  <c r="F101" i="9"/>
  <c r="L96" i="8"/>
  <c r="M96" i="8" s="1"/>
  <c r="L107" i="9"/>
  <c r="M107" i="9" s="1"/>
  <c r="H433" i="9"/>
  <c r="F439" i="9"/>
  <c r="D433" i="9"/>
  <c r="D389" i="9"/>
  <c r="H389" i="9"/>
  <c r="L436" i="9"/>
  <c r="L439" i="9" s="1"/>
  <c r="K439" i="9"/>
  <c r="L419" i="9"/>
  <c r="L478" i="8"/>
  <c r="J482" i="8"/>
  <c r="M545" i="9"/>
  <c r="D464" i="8"/>
  <c r="H464" i="8"/>
  <c r="D472" i="8"/>
  <c r="H472" i="8"/>
  <c r="H626" i="9"/>
  <c r="L470" i="9"/>
  <c r="L538" i="9"/>
  <c r="D312" i="9"/>
  <c r="H312" i="9"/>
  <c r="D309" i="9"/>
  <c r="H309" i="9"/>
  <c r="F325" i="9"/>
  <c r="H375" i="8"/>
  <c r="D375" i="8"/>
  <c r="D408" i="8"/>
  <c r="H408" i="8"/>
  <c r="L506" i="8"/>
  <c r="J515" i="8"/>
  <c r="H626" i="8"/>
  <c r="M268" i="9"/>
  <c r="H228" i="9"/>
  <c r="F239" i="9"/>
  <c r="D228" i="9"/>
  <c r="J358" i="8"/>
  <c r="K358" i="8"/>
  <c r="K362" i="8" s="1"/>
  <c r="F358" i="8"/>
  <c r="I347" i="9"/>
  <c r="I363" i="9" s="1"/>
  <c r="L345" i="9"/>
  <c r="H357" i="9"/>
  <c r="D357" i="9"/>
  <c r="D391" i="8"/>
  <c r="H391" i="8"/>
  <c r="L388" i="8"/>
  <c r="M459" i="9"/>
  <c r="L283" i="8"/>
  <c r="M266" i="8"/>
  <c r="I264" i="9"/>
  <c r="L263" i="9"/>
  <c r="M263" i="9" s="1"/>
  <c r="J500" i="9"/>
  <c r="F414" i="8"/>
  <c r="H105" i="8"/>
  <c r="D105" i="8"/>
  <c r="H89" i="8"/>
  <c r="D89" i="8"/>
  <c r="D104" i="9"/>
  <c r="H104" i="9"/>
  <c r="M106" i="8"/>
  <c r="D103" i="8"/>
  <c r="H103" i="8"/>
  <c r="F115" i="8"/>
  <c r="L87" i="8"/>
  <c r="M87" i="8" s="1"/>
  <c r="M101" i="8"/>
  <c r="L56" i="9"/>
  <c r="M56" i="9" s="1"/>
  <c r="D74" i="9"/>
  <c r="H74" i="9"/>
  <c r="F75" i="9"/>
  <c r="F76" i="9" s="1"/>
  <c r="M74" i="9"/>
  <c r="L48" i="8"/>
  <c r="M48" i="8" s="1"/>
  <c r="L72" i="8"/>
  <c r="M72" i="8" s="1"/>
  <c r="L105" i="9"/>
  <c r="M105" i="9" s="1"/>
  <c r="L98" i="8"/>
  <c r="M98" i="8" s="1"/>
  <c r="H142" i="8"/>
  <c r="D142" i="8"/>
  <c r="M142" i="8"/>
  <c r="F155" i="8"/>
  <c r="L294" i="9"/>
  <c r="J303" i="9"/>
  <c r="F414" i="9"/>
  <c r="D410" i="9"/>
  <c r="H410" i="9"/>
  <c r="H414" i="9" s="1"/>
  <c r="L296" i="9"/>
  <c r="M296" i="9" s="1"/>
  <c r="L471" i="8"/>
  <c r="M509" i="9"/>
  <c r="K474" i="8"/>
  <c r="D469" i="8"/>
  <c r="H469" i="8"/>
  <c r="M454" i="9"/>
  <c r="H472" i="9"/>
  <c r="D472" i="9"/>
  <c r="I260" i="9"/>
  <c r="I284" i="9" s="1"/>
  <c r="L318" i="8"/>
  <c r="M318" i="8" s="1"/>
  <c r="M337" i="9"/>
  <c r="K414" i="8"/>
  <c r="K522" i="8"/>
  <c r="L517" i="8"/>
  <c r="L522" i="8" s="1"/>
  <c r="B439" i="8"/>
  <c r="B362" i="8"/>
  <c r="J325" i="8"/>
  <c r="J326" i="8" s="1"/>
  <c r="L546" i="9"/>
  <c r="J552" i="9"/>
  <c r="J553" i="9" s="1"/>
  <c r="F579" i="9"/>
  <c r="M493" i="9"/>
  <c r="J505" i="9"/>
  <c r="F505" i="9"/>
  <c r="B515" i="9"/>
  <c r="K505" i="9"/>
  <c r="K515" i="9" s="1"/>
  <c r="L228" i="9"/>
  <c r="J239" i="9"/>
  <c r="J240" i="9" s="1"/>
  <c r="J396" i="9"/>
  <c r="H315" i="9"/>
  <c r="D315" i="9"/>
  <c r="L391" i="8"/>
  <c r="K373" i="9"/>
  <c r="K380" i="9" s="1"/>
  <c r="J373" i="9"/>
  <c r="B380" i="9"/>
  <c r="B397" i="9" s="1"/>
  <c r="F373" i="9"/>
  <c r="L427" i="8"/>
  <c r="L410" i="8"/>
  <c r="D647" i="8"/>
  <c r="F396" i="9"/>
  <c r="M228" i="8"/>
  <c r="H228" i="8"/>
  <c r="D228" i="8"/>
  <c r="D239" i="8" s="1"/>
  <c r="L494" i="9"/>
  <c r="M494" i="9" s="1"/>
  <c r="K457" i="9"/>
  <c r="K89" i="9"/>
  <c r="F89" i="9"/>
  <c r="J89" i="9"/>
  <c r="J99" i="9" s="1"/>
  <c r="J74" i="9"/>
  <c r="J75" i="9" s="1"/>
  <c r="K99" i="8"/>
  <c r="L462" i="9"/>
  <c r="L260" i="9"/>
  <c r="L310" i="9"/>
  <c r="M310" i="9" s="1"/>
  <c r="J325" i="9"/>
  <c r="H436" i="9"/>
  <c r="D436" i="9"/>
  <c r="L67" i="9"/>
  <c r="M67" i="9" s="1"/>
  <c r="L63" i="9"/>
  <c r="M63" i="9" s="1"/>
  <c r="H106" i="8"/>
  <c r="D106" i="8"/>
  <c r="L87" i="9"/>
  <c r="D93" i="9"/>
  <c r="H93" i="9"/>
  <c r="D105" i="9"/>
  <c r="H105" i="9"/>
  <c r="K396" i="9"/>
  <c r="L410" i="9"/>
  <c r="I414" i="9"/>
  <c r="I440" i="9" s="1"/>
  <c r="K284" i="9"/>
  <c r="H478" i="9"/>
  <c r="D478" i="9"/>
  <c r="F482" i="9"/>
  <c r="H454" i="9"/>
  <c r="D454" i="9"/>
  <c r="F303" i="8"/>
  <c r="L472" i="9"/>
  <c r="H510" i="8"/>
  <c r="D510" i="8"/>
  <c r="D515" i="8" s="1"/>
  <c r="M193" i="9"/>
  <c r="L194" i="9"/>
  <c r="L195" i="9" s="1"/>
  <c r="L52" i="9"/>
  <c r="M52" i="9" s="1"/>
  <c r="D108" i="8"/>
  <c r="H108" i="8"/>
  <c r="J99" i="8"/>
  <c r="L86" i="8"/>
  <c r="M111" i="8"/>
  <c r="K115" i="8"/>
  <c r="L103" i="8"/>
  <c r="M103" i="8" s="1"/>
  <c r="L92" i="8"/>
  <c r="M92" i="8" s="1"/>
  <c r="D107" i="9"/>
  <c r="H107" i="9"/>
  <c r="L93" i="9"/>
  <c r="M93" i="9" s="1"/>
  <c r="I99" i="9"/>
  <c r="I116" i="9" s="1"/>
  <c r="L102" i="9"/>
  <c r="M102" i="9" s="1"/>
  <c r="L96" i="9"/>
  <c r="M96" i="9" s="1"/>
  <c r="B156" i="8"/>
  <c r="D351" i="9"/>
  <c r="H351" i="9"/>
  <c r="F362" i="9"/>
  <c r="L351" i="9"/>
  <c r="J362" i="9"/>
  <c r="L427" i="9"/>
  <c r="K552" i="8"/>
  <c r="B155" i="9"/>
  <c r="F145" i="9"/>
  <c r="B139" i="9"/>
  <c r="F126" i="9"/>
  <c r="L350" i="8"/>
  <c r="M350" i="8" s="1"/>
  <c r="J362" i="8"/>
  <c r="L409" i="8"/>
  <c r="M409" i="8" s="1"/>
  <c r="D535" i="9"/>
  <c r="H535" i="9"/>
  <c r="H539" i="9" s="1"/>
  <c r="M535" i="9"/>
  <c r="F539" i="9"/>
  <c r="F553" i="9" s="1"/>
  <c r="H252" i="9"/>
  <c r="F260" i="9"/>
  <c r="F284" i="9" s="1"/>
  <c r="D252" i="9"/>
  <c r="D260" i="9" s="1"/>
  <c r="H391" i="9"/>
  <c r="D391" i="9"/>
  <c r="D473" i="8"/>
  <c r="H473" i="8"/>
  <c r="H480" i="8"/>
  <c r="D480" i="8"/>
  <c r="D509" i="9"/>
  <c r="H509" i="9"/>
  <c r="J482" i="9"/>
  <c r="L478" i="9"/>
  <c r="I482" i="9"/>
  <c r="H462" i="8"/>
  <c r="D462" i="8"/>
  <c r="F474" i="8"/>
  <c r="M566" i="9"/>
  <c r="J522" i="9"/>
  <c r="L517" i="9"/>
  <c r="L522" i="9" s="1"/>
  <c r="F465" i="9"/>
  <c r="K465" i="9"/>
  <c r="K474" i="9" s="1"/>
  <c r="B474" i="9"/>
  <c r="B483" i="9" s="1"/>
  <c r="J465" i="9"/>
  <c r="L469" i="9"/>
  <c r="M469" i="9" s="1"/>
  <c r="H239" i="8"/>
  <c r="L309" i="9"/>
  <c r="J457" i="8"/>
  <c r="J483" i="8" s="1"/>
  <c r="I178" i="8"/>
  <c r="I195" i="8" s="1"/>
  <c r="L167" i="8"/>
  <c r="D318" i="8"/>
  <c r="H318" i="8"/>
  <c r="F325" i="8"/>
  <c r="L312" i="9"/>
  <c r="M312" i="9" s="1"/>
  <c r="K336" i="8"/>
  <c r="K343" i="8" s="1"/>
  <c r="F336" i="8"/>
  <c r="J336" i="8"/>
  <c r="B343" i="8"/>
  <c r="I380" i="8"/>
  <c r="I397" i="8" s="1"/>
  <c r="L375" i="8"/>
  <c r="F373" i="8"/>
  <c r="J373" i="8"/>
  <c r="K373" i="8"/>
  <c r="K380" i="8" s="1"/>
  <c r="B380" i="8"/>
  <c r="B397" i="8" s="1"/>
  <c r="L421" i="9"/>
  <c r="M421" i="9" s="1"/>
  <c r="H517" i="8"/>
  <c r="D517" i="8"/>
  <c r="F522" i="8"/>
  <c r="M312" i="8"/>
  <c r="M262" i="9"/>
  <c r="L264" i="9"/>
  <c r="H579" i="9"/>
  <c r="D507" i="9"/>
  <c r="H507" i="9"/>
  <c r="D626" i="9"/>
  <c r="B500" i="9"/>
  <c r="L464" i="8"/>
  <c r="M464" i="8" s="1"/>
  <c r="D345" i="9"/>
  <c r="D347" i="9" s="1"/>
  <c r="H345" i="9"/>
  <c r="H347" i="9" s="1"/>
  <c r="F347" i="9"/>
  <c r="H427" i="8"/>
  <c r="D427" i="8"/>
  <c r="H410" i="8"/>
  <c r="D410" i="8"/>
  <c r="H424" i="9"/>
  <c r="D424" i="9"/>
  <c r="K495" i="8"/>
  <c r="K500" i="8" s="1"/>
  <c r="F495" i="8"/>
  <c r="I495" i="8"/>
  <c r="B500" i="8"/>
  <c r="B523" i="8" s="1"/>
  <c r="J495" i="8"/>
  <c r="J500" i="8" s="1"/>
  <c r="D388" i="8"/>
  <c r="H388" i="8"/>
  <c r="F396" i="8"/>
  <c r="D239" i="9"/>
  <c r="D240" i="9" s="1"/>
  <c r="K552" i="9"/>
  <c r="J237" i="8"/>
  <c r="J239" i="8" s="1"/>
  <c r="J552" i="8"/>
  <c r="J553" i="8" s="1"/>
  <c r="F552" i="8"/>
  <c r="F553" i="8" s="1"/>
  <c r="L450" i="9"/>
  <c r="J457" i="9"/>
  <c r="L58" i="9"/>
  <c r="M58" i="9" s="1"/>
  <c r="L58" i="8"/>
  <c r="M58" i="8" s="1"/>
  <c r="L71" i="8"/>
  <c r="M71" i="8" s="1"/>
  <c r="L69" i="8"/>
  <c r="M69" i="8" s="1"/>
  <c r="L68" i="8"/>
  <c r="M68" i="8" s="1"/>
  <c r="J75" i="8"/>
  <c r="L66" i="8"/>
  <c r="M66" i="8" s="1"/>
  <c r="B76" i="8"/>
  <c r="K75" i="8"/>
  <c r="L63" i="8"/>
  <c r="M63" i="8" s="1"/>
  <c r="L71" i="9"/>
  <c r="M71" i="9" s="1"/>
  <c r="L68" i="9"/>
  <c r="M68" i="9" s="1"/>
  <c r="L66" i="9"/>
  <c r="M66" i="9" s="1"/>
  <c r="K75" i="9"/>
  <c r="L64" i="9"/>
  <c r="M64" i="9" s="1"/>
  <c r="B76" i="9"/>
  <c r="L49" i="8"/>
  <c r="M49" i="8" s="1"/>
  <c r="L47" i="8"/>
  <c r="M47" i="8" s="1"/>
  <c r="K59" i="8"/>
  <c r="L53" i="9"/>
  <c r="M53" i="9" s="1"/>
  <c r="L51" i="9"/>
  <c r="M51" i="9" s="1"/>
  <c r="L50" i="9"/>
  <c r="M50" i="9" s="1"/>
  <c r="L46" i="9"/>
  <c r="L49" i="9"/>
  <c r="M49" i="9" s="1"/>
  <c r="L47" i="9"/>
  <c r="M47" i="9" s="1"/>
  <c r="I59" i="9"/>
  <c r="I76" i="9" s="1"/>
  <c r="D283" i="9" l="1"/>
  <c r="H522" i="8"/>
  <c r="D414" i="8"/>
  <c r="D195" i="8"/>
  <c r="D283" i="8"/>
  <c r="D284" i="8" s="1"/>
  <c r="J523" i="8"/>
  <c r="B440" i="8"/>
  <c r="M541" i="8"/>
  <c r="H195" i="8"/>
  <c r="L264" i="8"/>
  <c r="L457" i="8"/>
  <c r="D396" i="8"/>
  <c r="D155" i="8"/>
  <c r="F284" i="8"/>
  <c r="J59" i="8"/>
  <c r="J76" i="8" s="1"/>
  <c r="D522" i="8"/>
  <c r="K483" i="8"/>
  <c r="H155" i="8"/>
  <c r="H303" i="8"/>
  <c r="L215" i="9"/>
  <c r="I483" i="9"/>
  <c r="D539" i="9"/>
  <c r="H283" i="9"/>
  <c r="H284" i="9" s="1"/>
  <c r="H396" i="9"/>
  <c r="H260" i="9"/>
  <c r="D522" i="9"/>
  <c r="L382" i="8"/>
  <c r="L383" i="8" s="1"/>
  <c r="K383" i="8"/>
  <c r="K397" i="8" s="1"/>
  <c r="K482" i="9"/>
  <c r="K483" i="9" s="1"/>
  <c r="F383" i="8"/>
  <c r="H382" i="8"/>
  <c r="H383" i="8" s="1"/>
  <c r="D382" i="8"/>
  <c r="D383" i="8" s="1"/>
  <c r="L396" i="9"/>
  <c r="H284" i="8"/>
  <c r="F240" i="9"/>
  <c r="L283" i="9"/>
  <c r="L284" i="9" s="1"/>
  <c r="L482" i="8"/>
  <c r="D414" i="9"/>
  <c r="H439" i="8"/>
  <c r="L325" i="8"/>
  <c r="K99" i="9"/>
  <c r="L307" i="9"/>
  <c r="D194" i="9"/>
  <c r="D195" i="9" s="1"/>
  <c r="H239" i="9"/>
  <c r="H240" i="9" s="1"/>
  <c r="J284" i="9"/>
  <c r="H477" i="9"/>
  <c r="H482" i="9" s="1"/>
  <c r="D477" i="9"/>
  <c r="D482" i="9" s="1"/>
  <c r="D53" i="8"/>
  <c r="H53" i="8"/>
  <c r="M53" i="8"/>
  <c r="H75" i="8"/>
  <c r="M306" i="8"/>
  <c r="L307" i="8"/>
  <c r="H325" i="8"/>
  <c r="H326" i="8" s="1"/>
  <c r="M296" i="8"/>
  <c r="L303" i="8"/>
  <c r="B363" i="8"/>
  <c r="D325" i="8"/>
  <c r="D326" i="8" s="1"/>
  <c r="L515" i="8"/>
  <c r="D75" i="8"/>
  <c r="M251" i="8"/>
  <c r="L260" i="8"/>
  <c r="L284" i="8" s="1"/>
  <c r="H515" i="8"/>
  <c r="D439" i="8"/>
  <c r="H396" i="8"/>
  <c r="H474" i="8"/>
  <c r="J116" i="8"/>
  <c r="K440" i="8"/>
  <c r="H156" i="8"/>
  <c r="L414" i="9"/>
  <c r="H552" i="9"/>
  <c r="H553" i="9" s="1"/>
  <c r="H194" i="9"/>
  <c r="H195" i="9" s="1"/>
  <c r="H362" i="9"/>
  <c r="D362" i="9"/>
  <c r="J116" i="9"/>
  <c r="L429" i="9"/>
  <c r="L57" i="9"/>
  <c r="M57" i="9" s="1"/>
  <c r="H115" i="8"/>
  <c r="H414" i="8"/>
  <c r="M46" i="9"/>
  <c r="K116" i="8"/>
  <c r="D115" i="8"/>
  <c r="D396" i="9"/>
  <c r="H99" i="8"/>
  <c r="F326" i="9"/>
  <c r="B523" i="9"/>
  <c r="H325" i="9"/>
  <c r="H326" i="9" s="1"/>
  <c r="F116" i="8"/>
  <c r="D457" i="9"/>
  <c r="D59" i="9"/>
  <c r="L396" i="8"/>
  <c r="D439" i="9"/>
  <c r="K523" i="9"/>
  <c r="H59" i="9"/>
  <c r="D552" i="9"/>
  <c r="D553" i="9" s="1"/>
  <c r="L539" i="8"/>
  <c r="L542" i="9"/>
  <c r="D552" i="8"/>
  <c r="D553" i="8" s="1"/>
  <c r="K553" i="8"/>
  <c r="L552" i="8"/>
  <c r="H552" i="8"/>
  <c r="H553" i="8" s="1"/>
  <c r="K76" i="8"/>
  <c r="I500" i="8"/>
  <c r="I523" i="8" s="1"/>
  <c r="L495" i="8"/>
  <c r="L178" i="8"/>
  <c r="L195" i="8" s="1"/>
  <c r="M167" i="8"/>
  <c r="D145" i="9"/>
  <c r="D155" i="9" s="1"/>
  <c r="M145" i="9"/>
  <c r="H145" i="9"/>
  <c r="H155" i="9" s="1"/>
  <c r="F155" i="9"/>
  <c r="M86" i="8"/>
  <c r="L99" i="8"/>
  <c r="M87" i="9"/>
  <c r="D75" i="9"/>
  <c r="M345" i="9"/>
  <c r="L347" i="9"/>
  <c r="M538" i="9"/>
  <c r="D101" i="9"/>
  <c r="D115" i="9" s="1"/>
  <c r="F115" i="9"/>
  <c r="H101" i="9"/>
  <c r="H115" i="9" s="1"/>
  <c r="D429" i="9"/>
  <c r="D431" i="9" s="1"/>
  <c r="H429" i="9"/>
  <c r="H431" i="9" s="1"/>
  <c r="L338" i="9"/>
  <c r="J343" i="9"/>
  <c r="J363" i="9" s="1"/>
  <c r="D497" i="9"/>
  <c r="D500" i="9" s="1"/>
  <c r="H497" i="9"/>
  <c r="H500" i="9" s="1"/>
  <c r="F500" i="9"/>
  <c r="H421" i="8"/>
  <c r="H431" i="8" s="1"/>
  <c r="D421" i="8"/>
  <c r="D431" i="8" s="1"/>
  <c r="F431" i="8"/>
  <c r="F440" i="8" s="1"/>
  <c r="K553" i="9"/>
  <c r="F483" i="8"/>
  <c r="L325" i="9"/>
  <c r="M309" i="9"/>
  <c r="M351" i="9"/>
  <c r="L362" i="9"/>
  <c r="L75" i="9"/>
  <c r="L457" i="9"/>
  <c r="M450" i="9"/>
  <c r="F500" i="8"/>
  <c r="F523" i="8" s="1"/>
  <c r="D495" i="8"/>
  <c r="D500" i="8" s="1"/>
  <c r="H495" i="8"/>
  <c r="H500" i="8" s="1"/>
  <c r="H523" i="8" s="1"/>
  <c r="L336" i="8"/>
  <c r="J343" i="8"/>
  <c r="J363" i="8" s="1"/>
  <c r="H89" i="9"/>
  <c r="D89" i="9"/>
  <c r="L373" i="9"/>
  <c r="J380" i="9"/>
  <c r="J397" i="9" s="1"/>
  <c r="L358" i="8"/>
  <c r="L362" i="8" s="1"/>
  <c r="D325" i="9"/>
  <c r="D326" i="9" s="1"/>
  <c r="L421" i="8"/>
  <c r="J431" i="8"/>
  <c r="J440" i="8" s="1"/>
  <c r="M534" i="9"/>
  <c r="L539" i="9"/>
  <c r="H482" i="8"/>
  <c r="F156" i="8"/>
  <c r="K76" i="9"/>
  <c r="K523" i="8"/>
  <c r="H373" i="8"/>
  <c r="H380" i="8" s="1"/>
  <c r="D373" i="8"/>
  <c r="D380" i="8" s="1"/>
  <c r="F380" i="8"/>
  <c r="F397" i="8" s="1"/>
  <c r="H336" i="8"/>
  <c r="H343" i="8" s="1"/>
  <c r="D336" i="8"/>
  <c r="D343" i="8" s="1"/>
  <c r="F343" i="8"/>
  <c r="L465" i="9"/>
  <c r="M465" i="9" s="1"/>
  <c r="J474" i="9"/>
  <c r="J483" i="9" s="1"/>
  <c r="H465" i="9"/>
  <c r="H474" i="9" s="1"/>
  <c r="D465" i="9"/>
  <c r="D474" i="9" s="1"/>
  <c r="F474" i="9"/>
  <c r="F483" i="9" s="1"/>
  <c r="M478" i="9"/>
  <c r="L482" i="9"/>
  <c r="D284" i="9"/>
  <c r="M126" i="9"/>
  <c r="H126" i="9"/>
  <c r="H139" i="9" s="1"/>
  <c r="F139" i="9"/>
  <c r="D126" i="9"/>
  <c r="D139" i="9" s="1"/>
  <c r="D156" i="9" s="1"/>
  <c r="L89" i="9"/>
  <c r="K397" i="9"/>
  <c r="M228" i="9"/>
  <c r="L239" i="9"/>
  <c r="L240" i="9" s="1"/>
  <c r="D505" i="9"/>
  <c r="D515" i="9" s="1"/>
  <c r="H505" i="9"/>
  <c r="H515" i="9" s="1"/>
  <c r="F515" i="9"/>
  <c r="F523" i="9" s="1"/>
  <c r="J326" i="9"/>
  <c r="H358" i="8"/>
  <c r="H362" i="8" s="1"/>
  <c r="D358" i="8"/>
  <c r="D362" i="8" s="1"/>
  <c r="F362" i="8"/>
  <c r="L552" i="9"/>
  <c r="L431" i="9"/>
  <c r="H439" i="9"/>
  <c r="D99" i="8"/>
  <c r="H338" i="9"/>
  <c r="H343" i="9" s="1"/>
  <c r="F343" i="9"/>
  <c r="F363" i="9" s="1"/>
  <c r="D338" i="9"/>
  <c r="D343" i="9" s="1"/>
  <c r="L497" i="9"/>
  <c r="M408" i="8"/>
  <c r="L414" i="8"/>
  <c r="I215" i="8"/>
  <c r="I240" i="8" s="1"/>
  <c r="L206" i="8"/>
  <c r="L474" i="8"/>
  <c r="D482" i="8"/>
  <c r="L373" i="8"/>
  <c r="J380" i="8"/>
  <c r="J397" i="8" s="1"/>
  <c r="F326" i="8"/>
  <c r="K363" i="8"/>
  <c r="D474" i="8"/>
  <c r="B156" i="9"/>
  <c r="H373" i="9"/>
  <c r="H380" i="9" s="1"/>
  <c r="H397" i="9" s="1"/>
  <c r="D373" i="9"/>
  <c r="D380" i="9" s="1"/>
  <c r="D397" i="9" s="1"/>
  <c r="F380" i="9"/>
  <c r="F397" i="9" s="1"/>
  <c r="L505" i="9"/>
  <c r="L515" i="9" s="1"/>
  <c r="J515" i="9"/>
  <c r="J523" i="9" s="1"/>
  <c r="M294" i="9"/>
  <c r="L303" i="9"/>
  <c r="H75" i="9"/>
  <c r="L115" i="8"/>
  <c r="K440" i="9"/>
  <c r="L101" i="9"/>
  <c r="K115" i="9"/>
  <c r="K116" i="9" s="1"/>
  <c r="F431" i="9"/>
  <c r="F440" i="9" s="1"/>
  <c r="H457" i="9"/>
  <c r="H206" i="8"/>
  <c r="H215" i="8" s="1"/>
  <c r="H240" i="8" s="1"/>
  <c r="D206" i="8"/>
  <c r="D215" i="8" s="1"/>
  <c r="D240" i="8" s="1"/>
  <c r="F215" i="8"/>
  <c r="F240" i="8" s="1"/>
  <c r="J240" i="8"/>
  <c r="D156" i="8"/>
  <c r="F99" i="9"/>
  <c r="K237" i="8"/>
  <c r="L75" i="8"/>
  <c r="L59" i="8"/>
  <c r="D523" i="8" l="1"/>
  <c r="H397" i="8"/>
  <c r="D116" i="8"/>
  <c r="D440" i="8"/>
  <c r="H523" i="9"/>
  <c r="L326" i="9"/>
  <c r="H363" i="9"/>
  <c r="L440" i="9"/>
  <c r="D397" i="8"/>
  <c r="D440" i="9"/>
  <c r="L483" i="8"/>
  <c r="H483" i="8"/>
  <c r="L326" i="8"/>
  <c r="H99" i="9"/>
  <c r="H116" i="9" s="1"/>
  <c r="H59" i="8"/>
  <c r="H76" i="8" s="1"/>
  <c r="D59" i="8"/>
  <c r="D76" i="8" s="1"/>
  <c r="H440" i="8"/>
  <c r="H483" i="9"/>
  <c r="L553" i="8"/>
  <c r="D76" i="9"/>
  <c r="D363" i="9"/>
  <c r="F156" i="9"/>
  <c r="L116" i="8"/>
  <c r="D363" i="8"/>
  <c r="D523" i="9"/>
  <c r="H76" i="9"/>
  <c r="D483" i="8"/>
  <c r="D483" i="9"/>
  <c r="F363" i="8"/>
  <c r="H116" i="8"/>
  <c r="L115" i="9"/>
  <c r="M101" i="9"/>
  <c r="L380" i="8"/>
  <c r="L397" i="8" s="1"/>
  <c r="M373" i="8"/>
  <c r="M89" i="9"/>
  <c r="M373" i="9"/>
  <c r="L380" i="9"/>
  <c r="L397" i="9" s="1"/>
  <c r="D99" i="9"/>
  <c r="D116" i="9" s="1"/>
  <c r="L99" i="9"/>
  <c r="L116" i="9" s="1"/>
  <c r="H156" i="9"/>
  <c r="M497" i="9"/>
  <c r="L500" i="9"/>
  <c r="L523" i="9" s="1"/>
  <c r="M421" i="8"/>
  <c r="L431" i="8"/>
  <c r="L440" i="8" s="1"/>
  <c r="M338" i="9"/>
  <c r="L343" i="9"/>
  <c r="L363" i="9" s="1"/>
  <c r="K239" i="8"/>
  <c r="K240" i="8" s="1"/>
  <c r="L237" i="8"/>
  <c r="F116" i="9"/>
  <c r="L215" i="8"/>
  <c r="M206" i="8"/>
  <c r="H440" i="9"/>
  <c r="H363" i="8"/>
  <c r="L553" i="9"/>
  <c r="L474" i="9"/>
  <c r="L483" i="9" s="1"/>
  <c r="M336" i="8"/>
  <c r="L343" i="8"/>
  <c r="L363" i="8" s="1"/>
  <c r="M495" i="8"/>
  <c r="L500" i="8"/>
  <c r="L523" i="8" s="1"/>
  <c r="M59" i="8"/>
  <c r="L76" i="8"/>
  <c r="M237" i="8" l="1"/>
  <c r="L239" i="8"/>
  <c r="L240" i="8" s="1"/>
  <c r="L59" i="9" l="1"/>
  <c r="M59" i="9" s="1"/>
  <c r="M55" i="9"/>
  <c r="J59" i="9" l="1"/>
  <c r="J76" i="9" s="1"/>
  <c r="L7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Garcia</author>
  </authors>
  <commentList>
    <comment ref="I7" authorId="0" shapeId="0" xr:uid="{74A2E88F-731B-44EE-9309-D28077A14E8D}">
      <text>
        <r>
          <rPr>
            <b/>
            <sz val="9"/>
            <color indexed="81"/>
            <rFont val="Tahoma"/>
            <family val="2"/>
          </rPr>
          <t>Christopher Garcia:</t>
        </r>
        <r>
          <rPr>
            <sz val="9"/>
            <color indexed="81"/>
            <rFont val="Tahoma"/>
            <family val="2"/>
          </rPr>
          <t xml:space="preserve">
Ontario's Added Rebate</t>
        </r>
      </text>
    </comment>
    <comment ref="I31" authorId="0" shapeId="0" xr:uid="{6EE8DE76-A77F-457A-9FDC-A658C79FA8E6}">
      <text>
        <r>
          <rPr>
            <b/>
            <sz val="9"/>
            <color indexed="81"/>
            <rFont val="Tahoma"/>
            <family val="2"/>
          </rPr>
          <t>Christopher Garcia:</t>
        </r>
        <r>
          <rPr>
            <sz val="9"/>
            <color indexed="81"/>
            <rFont val="Tahoma"/>
            <family val="2"/>
          </rPr>
          <t xml:space="preserve">
$5,220 from SAWPA Grant and $3,191 from Ontario Added Rebate</t>
        </r>
      </text>
    </comment>
  </commentList>
</comments>
</file>

<file path=xl/sharedStrings.xml><?xml version="1.0" encoding="utf-8"?>
<sst xmlns="http://schemas.openxmlformats.org/spreadsheetml/2006/main" count="5122" uniqueCount="241">
  <si>
    <t>Funding Sources (dollars)</t>
  </si>
  <si>
    <t>District Devices/</t>
  </si>
  <si>
    <t>Gallons Saved</t>
  </si>
  <si>
    <t>AF Saved</t>
  </si>
  <si>
    <t>Payback Period</t>
  </si>
  <si>
    <t>Program</t>
  </si>
  <si>
    <t>Rebates</t>
  </si>
  <si>
    <t>(year)</t>
  </si>
  <si>
    <t>IEUA</t>
  </si>
  <si>
    <t>MWD</t>
  </si>
  <si>
    <t>Total</t>
  </si>
  <si>
    <t>Multi-Family Program</t>
  </si>
  <si>
    <t>X-Ray Film Processor (MWD CII)</t>
  </si>
  <si>
    <t>High Efficiency Clothes Washers</t>
  </si>
  <si>
    <t>Pool Cover Rebates</t>
  </si>
  <si>
    <t>Water Brooms</t>
  </si>
  <si>
    <t>Pre-Rinse Spray Nozzles</t>
  </si>
  <si>
    <t>TOTAL</t>
  </si>
  <si>
    <r>
      <t>(1)</t>
    </r>
    <r>
      <rPr>
        <sz val="10"/>
        <rFont val="Arial"/>
        <family val="2"/>
      </rPr>
      <t xml:space="preserve"> Payback period =</t>
    </r>
  </si>
  <si>
    <t>AF saved/year x MWD Tier II rate/AF</t>
  </si>
  <si>
    <t>Conductivity Controller</t>
  </si>
  <si>
    <t>Restaurant Table Tent Program</t>
  </si>
  <si>
    <t>N/A</t>
  </si>
  <si>
    <t>Conductivity Controller (MWD CII)</t>
  </si>
  <si>
    <t>Rotating Sprinkler Nozzles</t>
  </si>
  <si>
    <t>ULFT Tank</t>
  </si>
  <si>
    <t>ULFT Flushometer</t>
  </si>
  <si>
    <t>Zero Water Urinal</t>
  </si>
  <si>
    <t>Ultra Low Flush Toilets (ULFT)</t>
  </si>
  <si>
    <t>High Efficiency Toilets (HET)</t>
  </si>
  <si>
    <t>Weather Based Irrigation Controllers (WBIC)</t>
  </si>
  <si>
    <t>Multi-Family Toilet Program (HET/ULFT)</t>
  </si>
  <si>
    <t>High Effeciency Toilets (HET)</t>
  </si>
  <si>
    <t>High Efficiency Clothes Washers (HECW)</t>
  </si>
  <si>
    <t>FY 2007-08</t>
  </si>
  <si>
    <t>July</t>
  </si>
  <si>
    <t>August</t>
  </si>
  <si>
    <t>September</t>
  </si>
  <si>
    <t>October</t>
  </si>
  <si>
    <t>November</t>
  </si>
  <si>
    <t>December</t>
  </si>
  <si>
    <t>January</t>
  </si>
  <si>
    <t>February</t>
  </si>
  <si>
    <t>March</t>
  </si>
  <si>
    <t>April</t>
  </si>
  <si>
    <t xml:space="preserve">May </t>
  </si>
  <si>
    <t>June</t>
  </si>
  <si>
    <t xml:space="preserve">Water Brooms </t>
  </si>
  <si>
    <t>Residential Rebate Programs</t>
  </si>
  <si>
    <t>IEUA Mulit-Family Direct Install Prog. (HET/ULFT)</t>
  </si>
  <si>
    <t>CII Save-A-Buck Rebate Program</t>
  </si>
  <si>
    <t>Waterless Urinals</t>
  </si>
  <si>
    <t>Weather based Irrigation Controllers (WBIC)</t>
  </si>
  <si>
    <t>Synthetic Turf (Sq. Ft.)</t>
  </si>
  <si>
    <t>MWD Public Sector Program</t>
  </si>
  <si>
    <t>Central Computer Irrigation Controllers (CCIC)</t>
  </si>
  <si>
    <t>Rotating Nozzles for Pop-up Spray Heads</t>
  </si>
  <si>
    <t>Water Wise Landscape (Turf Buy Back) (Sq. Ft.)</t>
  </si>
  <si>
    <t>Lifetime</t>
  </si>
  <si>
    <t xml:space="preserve"> Total direct program costs</t>
  </si>
  <si>
    <t>Subtotal</t>
  </si>
  <si>
    <t>Residential Programs</t>
  </si>
  <si>
    <t>City Event (ULFT)</t>
  </si>
  <si>
    <t>IEUA Regional Event (ULFT)</t>
  </si>
  <si>
    <t>IEUA Rebate Program (ULFT)</t>
  </si>
  <si>
    <t xml:space="preserve">Multi-Family Program </t>
  </si>
  <si>
    <t>ULFT's (Tank)</t>
  </si>
  <si>
    <t>ULFT (Tank)</t>
  </si>
  <si>
    <t xml:space="preserve">Conductivity Controller </t>
  </si>
  <si>
    <t xml:space="preserve">X-Ray Film Processor </t>
  </si>
  <si>
    <t>Water Brooms (Rebate)</t>
  </si>
  <si>
    <t>Water Brooms (Distribution)</t>
  </si>
  <si>
    <t>Weather Based Irrigation Controllers (WBIC) - Rebate</t>
  </si>
  <si>
    <t>Weather Based Irrigation Controllers (WBIC) - Distribution</t>
  </si>
  <si>
    <t>Water Wise Landscape (Turf BuyBack) (2,682 Sq. Ft.)</t>
  </si>
  <si>
    <t>Synthetic Turf (4,977 Sq. Ft.)</t>
  </si>
  <si>
    <t>Synthetic Turf (2,215 Sq. Ft.)</t>
  </si>
  <si>
    <t>Synthetic Turf (30,400 Sq. Ft.)</t>
  </si>
  <si>
    <t xml:space="preserve">Weather Based Irrigation Controllers (WBIC) </t>
  </si>
  <si>
    <t>Water Wise Landscape (Turf Buy Back) (2,682 Sq. Ft.)</t>
  </si>
  <si>
    <t>FY 2008-09</t>
  </si>
  <si>
    <t>Synthetic Turf (163,285 Sq. Ft.)</t>
  </si>
  <si>
    <t>Synthetic Turf (22,327)</t>
  </si>
  <si>
    <t>Pre-Rinse Nozzles</t>
  </si>
  <si>
    <t>Water Wise Landscape (Turf Buy Back) (14,991 Sq. Ft.)</t>
  </si>
  <si>
    <t>Synthetic Turf (13,174 Sq. Ft.)</t>
  </si>
  <si>
    <t>Water Wise Landscape (Turf Buy Back) (5,966Sq. Ft.)</t>
  </si>
  <si>
    <t>Water Wise Landscape (Turf BuyBack) (14,991 Sq. Ft.)</t>
  </si>
  <si>
    <t>Synthetic Turf (22,327 Sq. Ft.)</t>
  </si>
  <si>
    <t>Large Rotary Nozzles</t>
  </si>
  <si>
    <t>Synthetic Turf (6233 Sq. Ft.)</t>
  </si>
  <si>
    <t>IEUA Mulit-Family Direct Install Prog. (HET)</t>
  </si>
  <si>
    <t>Water Wise Landscape (Turf Buy Back) (5,966 Sq. Ft.)</t>
  </si>
  <si>
    <t>Synthetic Turf (6,233 Sq. Ft.)</t>
  </si>
  <si>
    <t>FY 2008-2009</t>
  </si>
  <si>
    <t>FY 2007-2008</t>
  </si>
  <si>
    <t>FY 2006-2007</t>
  </si>
  <si>
    <t>FY 2005-2006</t>
  </si>
  <si>
    <t>FY 2004-2005</t>
  </si>
  <si>
    <t>FY 2003-2004</t>
  </si>
  <si>
    <t>FY 2002-2003</t>
  </si>
  <si>
    <t>FY 2009-10</t>
  </si>
  <si>
    <t>FY 2009-2010</t>
  </si>
  <si>
    <r>
      <t xml:space="preserve">(years) </t>
    </r>
    <r>
      <rPr>
        <vertAlign val="superscript"/>
        <sz val="12"/>
        <rFont val="Arial"/>
        <family val="2"/>
      </rPr>
      <t>(1)</t>
    </r>
  </si>
  <si>
    <t>IEUA Multi-Family Direct Install Prog. (HET)</t>
  </si>
  <si>
    <t>IEUA Multi-Family Direct Install Prog. (HET/ULFT)</t>
  </si>
  <si>
    <t>Water Wise Landscape (Turf Buy Back) (0 Sq. Ft.)</t>
  </si>
  <si>
    <t>Synthetic Turf (2,720 Sq. Ft.)</t>
  </si>
  <si>
    <t>Synthetic Turf (0 Sq. Ft.)</t>
  </si>
  <si>
    <t>Synthetic Turf (1,404 Sq. Ft.)</t>
  </si>
  <si>
    <t>Water Wise Landscape (Turf Buy Back) (0)</t>
  </si>
  <si>
    <t>FY 2010-11</t>
  </si>
  <si>
    <t>FY 2010-2011</t>
  </si>
  <si>
    <t>FreeSprinklerNozzles.com Program</t>
  </si>
  <si>
    <t>Residential Landscape Retrofit Program</t>
  </si>
  <si>
    <t>Fontana Unified School Retrofit Program</t>
  </si>
  <si>
    <t>Synthetic Turf (600 Sq. Ft.)</t>
  </si>
  <si>
    <t>PH Conductivity Controller</t>
  </si>
  <si>
    <t>Synthetic Turf (1176 Sq. Ft.)</t>
  </si>
  <si>
    <t>FY 2011-12</t>
  </si>
  <si>
    <t>IEUA Single-Family Direct Install Prog. (HET/ULFT)</t>
  </si>
  <si>
    <t>FY 2011-2012</t>
  </si>
  <si>
    <t>IEUA Single-Family Direct Install Prog. (HET)</t>
  </si>
  <si>
    <t>Synthetic Turf ( Sq. Ft.)</t>
  </si>
  <si>
    <t xml:space="preserve">Central Computerized Irrigation Controller </t>
  </si>
  <si>
    <t>FY 2012-2013</t>
  </si>
  <si>
    <t>FY 2012-13</t>
  </si>
  <si>
    <t>Laminar Flow Restrictor</t>
  </si>
  <si>
    <t>Air-Cooled Ice Machine</t>
  </si>
  <si>
    <t>SoCal Water$mart Residential Rebates</t>
  </si>
  <si>
    <t>IEUA Locally Implemented Residential Programs</t>
  </si>
  <si>
    <t xml:space="preserve">IEUA High Efficiency Toilet (HET) Installation Prog. </t>
  </si>
  <si>
    <t>IEUA Locally Implemented Commercial Programs</t>
  </si>
  <si>
    <t>Landscape Transformation Program</t>
  </si>
  <si>
    <t>SoCal Water$mart Commercial Rebates</t>
  </si>
  <si>
    <t xml:space="preserve">Outside </t>
  </si>
  <si>
    <t>Funding</t>
  </si>
  <si>
    <t>Outside</t>
  </si>
  <si>
    <t xml:space="preserve">Funding </t>
  </si>
  <si>
    <t>Landscape Transformation Program (5,648 Sq. Ft.)</t>
  </si>
  <si>
    <t>Cooling Tower Controller</t>
  </si>
  <si>
    <t xml:space="preserve">FreeSprinklerNozzles.com Program </t>
  </si>
  <si>
    <t xml:space="preserve">Residential Landscape Retrofit Program </t>
  </si>
  <si>
    <t>FY 2013-14</t>
  </si>
  <si>
    <t>FY 2013-2014</t>
  </si>
  <si>
    <t xml:space="preserve">Rain Barrels </t>
  </si>
  <si>
    <t>Turf Removal</t>
  </si>
  <si>
    <t>Rain Barrels</t>
  </si>
  <si>
    <t>Landscape Transformation Program (5,599 Sq. Ft.)</t>
  </si>
  <si>
    <t>Landscape Transformation Program (10,571 Sq. Ft)</t>
  </si>
  <si>
    <t>Residential Landscape Retrofit Program (53 WBIC/445 Nozzles)</t>
  </si>
  <si>
    <t>FY 2014-2015</t>
  </si>
  <si>
    <t>FY 2014-15</t>
  </si>
  <si>
    <t>Landscape Transformation Program (26,500 Sq. Ft)</t>
  </si>
  <si>
    <t>Landscape Transformation Program (13,900 Sq. Ft.)</t>
  </si>
  <si>
    <t>Residential Landscape Retrofit Program (20 WBIC/69 Nozzles)</t>
  </si>
  <si>
    <t>Residential Landscape Retrofit Program (47 WBIC/516 Nozzles)</t>
  </si>
  <si>
    <t xml:space="preserve">Turf Removal (52,644 Sq. Ft.) </t>
  </si>
  <si>
    <t>Turf Removal (110,540 Sq. Ft.)</t>
  </si>
  <si>
    <t>Turf Removal (5,544 Sq. Ft)</t>
  </si>
  <si>
    <t>FY 2015-16</t>
  </si>
  <si>
    <t>Ultra Low/Waterless Urinals</t>
  </si>
  <si>
    <t>FY 2015-2016</t>
  </si>
  <si>
    <t>Residential Pressure Regulation Program</t>
  </si>
  <si>
    <t xml:space="preserve">Soil Moisture Sensor Systems </t>
  </si>
  <si>
    <t>Plumbing Flow Control</t>
  </si>
  <si>
    <t>Soil Moisture Sensor Systems</t>
  </si>
  <si>
    <r>
      <t>(1)</t>
    </r>
    <r>
      <rPr>
        <sz val="12"/>
        <rFont val="Arial"/>
        <family val="2"/>
      </rPr>
      <t xml:space="preserve"> Payback period =</t>
    </r>
  </si>
  <si>
    <t>IEUA Rebate Program (ULFT)+A43</t>
  </si>
  <si>
    <t xml:space="preserve"> </t>
  </si>
  <si>
    <t>Synthetic Turf (1,176 Sq. Ft.)</t>
  </si>
  <si>
    <t>Turf Removal (409,006 Sq. Ft.)</t>
  </si>
  <si>
    <t>Turf Removal (379,066 Sq. Ft.)</t>
  </si>
  <si>
    <t>Turf Removal (144,502 Sq. Ft.)</t>
  </si>
  <si>
    <t>Landscape Transformation Program (6,700 Sq. Ft.)</t>
  </si>
  <si>
    <t>Turf Removal (44,912 Sq. Ft.)</t>
  </si>
  <si>
    <t>Landscape Transformation Program (2,400 Sq. Ft.)</t>
  </si>
  <si>
    <t>Turf Removal (4,710 Sq. Ft.)</t>
  </si>
  <si>
    <t>Residential Landscape Retrofit Program (127 WBIC/1,029 Nozzles)</t>
  </si>
  <si>
    <t>Water Wise Landscape (Turf BuyBack) (Sq. Ft.)</t>
  </si>
  <si>
    <t>Residential Landscape Retrofit Program (58 WBIC/245 Nozzles)</t>
  </si>
  <si>
    <t>FY 2016-17</t>
  </si>
  <si>
    <t>FY 2016-2017</t>
  </si>
  <si>
    <t>Turf Removal (7,531 Sq. Ft.)</t>
  </si>
  <si>
    <t>Turf Removal (121,375 Sq. Ft.)</t>
  </si>
  <si>
    <t>Turf Removal (22,224 Sq. Ft.)</t>
  </si>
  <si>
    <t>Turf Removal (0 Sq. Ft.)</t>
  </si>
  <si>
    <t>Cisterns</t>
  </si>
  <si>
    <t>Residential Landscape Retrofit Program (2 WBIC/0 Nozzles)</t>
  </si>
  <si>
    <t xml:space="preserve">RES Education, Survey, and Controller Upgrade Program </t>
  </si>
  <si>
    <t>Turf Removal (282,521 Sq. Ft.)</t>
  </si>
  <si>
    <t>Residential Landscape Retrofit Program (16 WBIC/27 Nozzles)</t>
  </si>
  <si>
    <t xml:space="preserve">Residential Education, Survey, and Controller Upgrade Program </t>
  </si>
  <si>
    <t>FY 2017-18</t>
  </si>
  <si>
    <t>FY 2017-2018</t>
  </si>
  <si>
    <t>Residential Landscape Retrofit Program (20 WBIC/ 119 Nozzles)</t>
  </si>
  <si>
    <t>Residential Landscape Retrofit Program (0 WBIC/ 0 Nozzles)</t>
  </si>
  <si>
    <t>Rotating Nozzles for Pop-up Spray Heads (1 Apps/ 30 Nozzles)</t>
  </si>
  <si>
    <t>Rotating Nozzles for Pop-up Spray Heads (0 Apps/ 0 Nozzles)</t>
  </si>
  <si>
    <t>Rotating Nozzles for Pop-up Spray Heads (3 Apps/ 5,050 Nozzles)</t>
  </si>
  <si>
    <t>Residential Education, Survey, and Controller Upgrade Program (16 WBIC)</t>
  </si>
  <si>
    <t>Residential Education, Survey, and Controller Upgrade Program (5 WBIC)</t>
  </si>
  <si>
    <t>FreeSprinklerNozzles.com Program ($829.50 Total Cost)</t>
  </si>
  <si>
    <t>FreeSprinklerNozzles.com Program ($15,676.50 Total Cost)</t>
  </si>
  <si>
    <t>FreeSprinklerNozzles.com Program ($528.50 Total Cost)</t>
  </si>
  <si>
    <t>FreeSprinklerNozzles.com Program  ($0 Total Cost)</t>
  </si>
  <si>
    <t>FY 2018-2019</t>
  </si>
  <si>
    <t>FY 2018-19</t>
  </si>
  <si>
    <t>Landscape Tune-Up Program</t>
  </si>
  <si>
    <t>Residential Landscape Retrofit Program (12 WBIC/ 108 Nozzles)</t>
  </si>
  <si>
    <t>Turf Removal (7,416 Sq. Ft.)</t>
  </si>
  <si>
    <t>Turf Removal (4,986 Sq. Ft.)</t>
  </si>
  <si>
    <t>Rotating Nozzles for Pop-up Spray Heads (1 App/ 231 Nozzles)</t>
  </si>
  <si>
    <t xml:space="preserve">Res. Education, Survey, and Controller Upgrade Program (2 WBIC) </t>
  </si>
  <si>
    <t>Landscape Tune-Up Program (60 Small Sites/ 7 Large Sites)</t>
  </si>
  <si>
    <t>Landscape Tune-Up Program (1 Small Site/ 0 Large Sites)</t>
  </si>
  <si>
    <t xml:space="preserve">Res. Education, Survey, and Controller Upgrade Program (71 WBIC) </t>
  </si>
  <si>
    <t>FY 2019-20</t>
  </si>
  <si>
    <t>FY 2019-2020</t>
  </si>
  <si>
    <t>Rotating Nozzles for Pop-up Spray Heads (0 App/ 0 Nozzles)</t>
  </si>
  <si>
    <t>Turf Removal (6,839 Sq. Ft.)</t>
  </si>
  <si>
    <t>Turf Removal (18,169 Sq. Ft.)</t>
  </si>
  <si>
    <t>Turf Removal (32,839 Sq. Ft.)</t>
  </si>
  <si>
    <t xml:space="preserve">Res. Education, Survey, and Controller Upgrade Program (88 WBIC) </t>
  </si>
  <si>
    <t xml:space="preserve">Res. Education, Survey, and Controller Upgrade Program (5 WBIC) </t>
  </si>
  <si>
    <t>Residential Landscape Retrofit Program (13 WBIC/ 41 Nozzles)</t>
  </si>
  <si>
    <t>Residential Landscape Retrofit Program (1 WBIC/ 0 Nozzles)</t>
  </si>
  <si>
    <t>Leak Detection Pilot Program</t>
  </si>
  <si>
    <t xml:space="preserve">IEUA Payback </t>
  </si>
  <si>
    <r>
      <t xml:space="preserve">Period (years) </t>
    </r>
    <r>
      <rPr>
        <vertAlign val="superscript"/>
        <sz val="12"/>
        <rFont val="Arial"/>
        <family val="2"/>
      </rPr>
      <t>(1)</t>
    </r>
  </si>
  <si>
    <t>Instructions</t>
  </si>
  <si>
    <t>I'm looking for assistance in creating a dashboard for tracking the activity of multiple services. Each service (or program) has monthly activity, funding sources, area served, cost, cost effectiveness, and water savings These need to be rolled up and presented in summary level stats with graphs. Costs and savings may change over time</t>
  </si>
  <si>
    <t>Steps needed</t>
  </si>
  <si>
    <t>Clean up data</t>
  </si>
  <si>
    <t>Fiscal Year</t>
  </si>
  <si>
    <t>Type</t>
  </si>
  <si>
    <t>Type Detail</t>
  </si>
  <si>
    <t>Ontario</t>
  </si>
  <si>
    <t>`</t>
  </si>
  <si>
    <t>Chino</t>
  </si>
  <si>
    <t>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</si>
</sst>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44" formatCode="_(&quot;$&quot;* #,##0.00_);_(&quot;$&quot;* \(#,##0.00\);_(&quot;$&quot;* &quot;-&quot;??_);_(@_)"/>
    <numFmt numFmtId="43" formatCode="_(* #,##0.00_);_(* \(#,##0.00\);_(* &quot;-&quot;??_);_(@_)"/>
    <numFmt numFmtId="164" formatCode="0.0"/>
    <numFmt numFmtId="165" formatCode="&quot;$&quot;#,##0"/>
    <numFmt numFmtId="167" formatCode="&quot;$&quot;#,##0.00"/>
    <numFmt numFmtId="168" formatCode="0.000"/>
  </numFmts>
  <fonts count="20">
    <font>
      <sz val="10"/>
      <name val="Arial"/>
    </font>
    <font>
      <sz val="10"/>
      <name val="Arial"/>
      <family val="2"/>
    </font>
    <font>
      <sz val="8"/>
      <name val="Arial"/>
      <family val="2"/>
    </font>
    <font>
      <vertAlign val="superscript"/>
      <sz val="10"/>
      <name val="Arial"/>
      <family val="2"/>
    </font>
    <font>
      <b/>
      <sz val="12"/>
      <name val="Arial"/>
      <family val="2"/>
    </font>
    <font>
      <b/>
      <sz val="10"/>
      <name val="Arial"/>
      <family val="2"/>
    </font>
    <font>
      <sz val="10"/>
      <name val="Arial"/>
      <family val="2"/>
    </font>
    <font>
      <b/>
      <i/>
      <sz val="10"/>
      <name val="Arial"/>
      <family val="2"/>
    </font>
    <font>
      <sz val="12"/>
      <name val="Arial"/>
      <family val="2"/>
    </font>
    <font>
      <b/>
      <sz val="18"/>
      <name val="Arial"/>
      <family val="2"/>
    </font>
    <font>
      <vertAlign val="superscript"/>
      <sz val="12"/>
      <name val="Arial"/>
      <family val="2"/>
    </font>
    <font>
      <b/>
      <sz val="11"/>
      <name val="Arial"/>
      <family val="2"/>
    </font>
    <font>
      <sz val="12"/>
      <color rgb="FFFF0000"/>
      <name val="Arial"/>
      <family val="2"/>
    </font>
    <font>
      <sz val="10"/>
      <color rgb="FFFF0000"/>
      <name val="Arial"/>
      <family val="2"/>
    </font>
    <font>
      <b/>
      <sz val="10"/>
      <color rgb="FFFF0000"/>
      <name val="Arial"/>
      <family val="2"/>
    </font>
    <font>
      <b/>
      <sz val="12"/>
      <color rgb="FFFF0000"/>
      <name val="Arial"/>
      <family val="2"/>
    </font>
    <font>
      <sz val="9"/>
      <color indexed="81"/>
      <name val="Tahoma"/>
      <family val="2"/>
    </font>
    <font>
      <b/>
      <sz val="9"/>
      <color indexed="81"/>
      <name val="Tahoma"/>
      <family val="2"/>
    </font>
    <font>
      <sz val="10"/>
      <name val="Arial"/>
      <family val="2"/>
    </font>
    <font>
      <sz val="14"/>
      <color rgb="FF555555"/>
      <name val="Helvetica Neue"/>
      <family val="2"/>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bgColor indexed="64"/>
      </patternFill>
    </fill>
    <fill>
      <patternFill patternType="solid">
        <fgColor rgb="FFADC6B2"/>
        <bgColor indexed="64"/>
      </patternFill>
    </fill>
    <fill>
      <patternFill patternType="solid">
        <fgColor theme="0" tint="-0.14996795556505021"/>
        <bgColor indexed="64"/>
      </patternFill>
    </fill>
    <fill>
      <patternFill patternType="solid">
        <fgColor theme="4" tint="0.39997558519241921"/>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ck">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18" fillId="0" borderId="0"/>
    <xf numFmtId="44" fontId="1" fillId="0" borderId="0" applyFont="0" applyFill="0" applyBorder="0" applyAlignment="0" applyProtection="0"/>
  </cellStyleXfs>
  <cellXfs count="1070">
    <xf numFmtId="0" fontId="0" fillId="0" borderId="0" xfId="0"/>
    <xf numFmtId="0" fontId="0" fillId="0" borderId="4" xfId="0" applyBorder="1"/>
    <xf numFmtId="0" fontId="0" fillId="0" borderId="0" xfId="0" applyBorder="1"/>
    <xf numFmtId="3" fontId="0" fillId="0" borderId="8" xfId="0" applyNumberFormat="1" applyBorder="1"/>
    <xf numFmtId="3" fontId="0" fillId="0" borderId="9" xfId="0" applyNumberFormat="1" applyBorder="1"/>
    <xf numFmtId="0" fontId="3" fillId="0" borderId="0" xfId="0" applyFont="1" applyAlignment="1">
      <alignment horizontal="right"/>
    </xf>
    <xf numFmtId="0" fontId="0" fillId="0" borderId="10" xfId="0" applyBorder="1"/>
    <xf numFmtId="0" fontId="0" fillId="0" borderId="11" xfId="0" applyBorder="1"/>
    <xf numFmtId="0" fontId="0" fillId="0" borderId="8" xfId="0" applyBorder="1"/>
    <xf numFmtId="0" fontId="0" fillId="0" borderId="9" xfId="0" applyBorder="1"/>
    <xf numFmtId="0" fontId="0" fillId="0" borderId="12" xfId="0" applyBorder="1"/>
    <xf numFmtId="0" fontId="0" fillId="0" borderId="0" xfId="0" applyBorder="1" applyAlignment="1">
      <alignment horizontal="center"/>
    </xf>
    <xf numFmtId="3" fontId="0" fillId="0" borderId="7" xfId="0" applyNumberFormat="1" applyFill="1" applyBorder="1" applyAlignment="1">
      <alignment horizontal="center"/>
    </xf>
    <xf numFmtId="3" fontId="5" fillId="0" borderId="0" xfId="0" applyNumberFormat="1" applyFont="1" applyBorder="1" applyAlignment="1">
      <alignment horizontal="center"/>
    </xf>
    <xf numFmtId="165" fontId="5" fillId="0" borderId="0" xfId="0" applyNumberFormat="1" applyFont="1" applyBorder="1" applyAlignment="1">
      <alignment horizontal="center"/>
    </xf>
    <xf numFmtId="3" fontId="0" fillId="0" borderId="9" xfId="0" applyNumberFormat="1" applyBorder="1" applyAlignment="1">
      <alignment horizontal="right"/>
    </xf>
    <xf numFmtId="0" fontId="0" fillId="0" borderId="9" xfId="0" applyBorder="1" applyAlignment="1">
      <alignment horizontal="right"/>
    </xf>
    <xf numFmtId="2" fontId="0" fillId="0" borderId="9" xfId="0" applyNumberFormat="1" applyBorder="1" applyAlignment="1">
      <alignment horizontal="right"/>
    </xf>
    <xf numFmtId="0" fontId="5" fillId="0" borderId="15" xfId="0" applyFont="1" applyBorder="1" applyAlignment="1">
      <alignment horizontal="right"/>
    </xf>
    <xf numFmtId="3" fontId="5" fillId="0" borderId="16" xfId="0" applyNumberFormat="1" applyFont="1" applyBorder="1" applyAlignment="1">
      <alignment horizontal="right"/>
    </xf>
    <xf numFmtId="0" fontId="5" fillId="0" borderId="17" xfId="0" applyFont="1" applyBorder="1"/>
    <xf numFmtId="0" fontId="5" fillId="0" borderId="16" xfId="0" applyFont="1" applyBorder="1"/>
    <xf numFmtId="0" fontId="5" fillId="0" borderId="18" xfId="0" applyFont="1" applyBorder="1"/>
    <xf numFmtId="0" fontId="4" fillId="0" borderId="15" xfId="0" applyFont="1" applyFill="1" applyBorder="1"/>
    <xf numFmtId="0" fontId="6" fillId="0" borderId="16" xfId="0" applyFont="1" applyBorder="1"/>
    <xf numFmtId="0" fontId="6" fillId="0" borderId="16" xfId="0" applyFont="1" applyFill="1" applyBorder="1"/>
    <xf numFmtId="0" fontId="0" fillId="0" borderId="16" xfId="0" applyBorder="1"/>
    <xf numFmtId="0" fontId="0" fillId="0" borderId="16" xfId="0" applyFill="1" applyBorder="1"/>
    <xf numFmtId="0" fontId="0" fillId="0" borderId="17" xfId="0" applyBorder="1"/>
    <xf numFmtId="0" fontId="0" fillId="0" borderId="18" xfId="0" applyBorder="1"/>
    <xf numFmtId="0" fontId="5" fillId="2" borderId="15" xfId="0" applyFont="1" applyFill="1" applyBorder="1"/>
    <xf numFmtId="1" fontId="0" fillId="2" borderId="9" xfId="0" applyNumberFormat="1" applyFill="1" applyBorder="1" applyAlignment="1">
      <alignment horizontal="right"/>
    </xf>
    <xf numFmtId="3" fontId="5" fillId="2" borderId="15" xfId="0" applyNumberFormat="1" applyFont="1" applyFill="1" applyBorder="1" applyAlignment="1">
      <alignment horizontal="right"/>
    </xf>
    <xf numFmtId="0" fontId="0" fillId="2" borderId="9" xfId="0" applyFill="1" applyBorder="1"/>
    <xf numFmtId="0" fontId="0" fillId="2" borderId="15" xfId="0" applyFill="1" applyBorder="1"/>
    <xf numFmtId="0" fontId="5" fillId="0" borderId="0" xfId="0" applyFont="1" applyAlignment="1">
      <alignment horizontal="center"/>
    </xf>
    <xf numFmtId="1" fontId="0" fillId="0" borderId="0" xfId="0" applyNumberFormat="1" applyFill="1" applyBorder="1" applyAlignment="1">
      <alignment horizontal="right"/>
    </xf>
    <xf numFmtId="0" fontId="0" fillId="2" borderId="2" xfId="0" applyFill="1" applyBorder="1"/>
    <xf numFmtId="0" fontId="6" fillId="0" borderId="18" xfId="0" applyFont="1" applyFill="1" applyBorder="1"/>
    <xf numFmtId="0" fontId="5" fillId="0" borderId="0" xfId="0" applyFont="1" applyFill="1" applyBorder="1" applyAlignment="1">
      <alignment horizontal="right"/>
    </xf>
    <xf numFmtId="0" fontId="7" fillId="0" borderId="15" xfId="0" applyFont="1" applyFill="1" applyBorder="1" applyAlignment="1">
      <alignment horizontal="right"/>
    </xf>
    <xf numFmtId="3" fontId="5" fillId="0" borderId="15" xfId="0" applyNumberFormat="1" applyFont="1" applyBorder="1" applyAlignment="1">
      <alignment horizontal="right"/>
    </xf>
    <xf numFmtId="1" fontId="5" fillId="0" borderId="9" xfId="0" applyNumberFormat="1" applyFont="1" applyBorder="1" applyAlignment="1">
      <alignment horizontal="right"/>
    </xf>
    <xf numFmtId="3" fontId="5" fillId="0" borderId="8" xfId="0" applyNumberFormat="1" applyFont="1" applyBorder="1" applyAlignment="1">
      <alignment horizontal="center"/>
    </xf>
    <xf numFmtId="0" fontId="0" fillId="3" borderId="0" xfId="0" applyFill="1"/>
    <xf numFmtId="0" fontId="4" fillId="3" borderId="0" xfId="0" applyFont="1" applyFill="1" applyBorder="1" applyAlignment="1">
      <alignment horizontal="right"/>
    </xf>
    <xf numFmtId="3" fontId="4" fillId="3" borderId="0" xfId="0" applyNumberFormat="1" applyFont="1" applyFill="1" applyBorder="1" applyAlignment="1">
      <alignment horizontal="center"/>
    </xf>
    <xf numFmtId="165" fontId="4" fillId="3" borderId="0" xfId="0" applyNumberFormat="1" applyFont="1" applyFill="1" applyBorder="1" applyAlignment="1">
      <alignment horizontal="center"/>
    </xf>
    <xf numFmtId="164" fontId="4" fillId="3" borderId="0" xfId="0" applyNumberFormat="1" applyFont="1" applyFill="1" applyBorder="1" applyAlignment="1">
      <alignment horizontal="center"/>
    </xf>
    <xf numFmtId="0" fontId="4" fillId="3" borderId="0" xfId="0" applyFont="1" applyFill="1" applyBorder="1" applyAlignment="1">
      <alignment horizontal="center"/>
    </xf>
    <xf numFmtId="0" fontId="0" fillId="3" borderId="0" xfId="0" applyFill="1" applyBorder="1"/>
    <xf numFmtId="0" fontId="6" fillId="0" borderId="4" xfId="0" applyFont="1" applyBorder="1"/>
    <xf numFmtId="0" fontId="6" fillId="0" borderId="4" xfId="0" applyFont="1" applyFill="1" applyBorder="1"/>
    <xf numFmtId="0" fontId="1" fillId="0" borderId="16" xfId="0" applyFont="1" applyFill="1" applyBorder="1"/>
    <xf numFmtId="0" fontId="1" fillId="0" borderId="16" xfId="0" applyFont="1" applyBorder="1"/>
    <xf numFmtId="3" fontId="1" fillId="0" borderId="7" xfId="0" applyNumberFormat="1" applyFont="1" applyFill="1" applyBorder="1" applyAlignment="1">
      <alignment horizontal="center"/>
    </xf>
    <xf numFmtId="3" fontId="1" fillId="0" borderId="7" xfId="0" applyNumberFormat="1" applyFont="1" applyBorder="1" applyAlignment="1">
      <alignment horizontal="center"/>
    </xf>
    <xf numFmtId="0" fontId="0" fillId="0" borderId="23" xfId="0" applyBorder="1"/>
    <xf numFmtId="0" fontId="1" fillId="0" borderId="15" xfId="0" applyFont="1" applyFill="1" applyBorder="1"/>
    <xf numFmtId="0" fontId="1" fillId="0" borderId="17" xfId="0" applyFont="1" applyFill="1" applyBorder="1"/>
    <xf numFmtId="0" fontId="9" fillId="0" borderId="15" xfId="0" applyFont="1" applyFill="1" applyBorder="1"/>
    <xf numFmtId="0" fontId="8" fillId="0" borderId="0" xfId="0" applyFont="1"/>
    <xf numFmtId="0" fontId="8" fillId="0" borderId="4" xfId="0" applyFont="1" applyBorder="1"/>
    <xf numFmtId="0" fontId="8" fillId="0" borderId="1" xfId="0" applyFont="1" applyBorder="1"/>
    <xf numFmtId="0" fontId="8" fillId="0" borderId="2" xfId="0" applyFont="1" applyBorder="1"/>
    <xf numFmtId="0" fontId="8" fillId="0" borderId="3" xfId="0" applyFont="1" applyBorder="1"/>
    <xf numFmtId="0" fontId="8" fillId="0" borderId="0" xfId="0" applyFont="1" applyBorder="1"/>
    <xf numFmtId="0" fontId="8" fillId="0" borderId="5" xfId="0" applyFont="1" applyBorder="1"/>
    <xf numFmtId="0" fontId="1" fillId="0" borderId="18" xfId="0" applyFont="1" applyFill="1" applyBorder="1"/>
    <xf numFmtId="3" fontId="0" fillId="3" borderId="7" xfId="0" applyNumberFormat="1" applyFill="1" applyBorder="1" applyAlignment="1">
      <alignment horizontal="center"/>
    </xf>
    <xf numFmtId="0" fontId="1" fillId="3" borderId="16" xfId="0" applyFont="1" applyFill="1" applyBorder="1"/>
    <xf numFmtId="0" fontId="4" fillId="4" borderId="15" xfId="0" applyFont="1" applyFill="1" applyBorder="1"/>
    <xf numFmtId="3" fontId="8" fillId="4" borderId="8" xfId="0" applyNumberFormat="1" applyFont="1" applyFill="1" applyBorder="1" applyAlignment="1">
      <alignment horizontal="center"/>
    </xf>
    <xf numFmtId="0" fontId="4" fillId="4" borderId="26" xfId="0" applyFont="1" applyFill="1" applyBorder="1"/>
    <xf numFmtId="0" fontId="0" fillId="5" borderId="0" xfId="0" applyFill="1"/>
    <xf numFmtId="0" fontId="0" fillId="0" borderId="0" xfId="0" applyFill="1"/>
    <xf numFmtId="0" fontId="6" fillId="0" borderId="17" xfId="0" applyFont="1" applyBorder="1"/>
    <xf numFmtId="0" fontId="0" fillId="6" borderId="0" xfId="0" applyFill="1"/>
    <xf numFmtId="0" fontId="8" fillId="0" borderId="32" xfId="0" applyFont="1" applyBorder="1" applyAlignment="1">
      <alignment horizontal="center"/>
    </xf>
    <xf numFmtId="0" fontId="8" fillId="0" borderId="33" xfId="0" applyFont="1" applyBorder="1"/>
    <xf numFmtId="165" fontId="0" fillId="3" borderId="7" xfId="0" applyNumberFormat="1" applyFill="1" applyBorder="1" applyAlignment="1">
      <alignment horizontal="center"/>
    </xf>
    <xf numFmtId="165" fontId="0" fillId="0" borderId="7" xfId="0" applyNumberFormat="1" applyBorder="1" applyAlignment="1">
      <alignment horizontal="center"/>
    </xf>
    <xf numFmtId="165" fontId="0" fillId="0" borderId="0" xfId="0" applyNumberFormat="1" applyBorder="1" applyAlignment="1">
      <alignment horizontal="center"/>
    </xf>
    <xf numFmtId="165" fontId="0" fillId="0" borderId="7" xfId="0" applyNumberFormat="1" applyFill="1" applyBorder="1" applyAlignment="1">
      <alignment horizontal="center"/>
    </xf>
    <xf numFmtId="165" fontId="0" fillId="0" borderId="0" xfId="0" applyNumberFormat="1" applyFill="1" applyBorder="1" applyAlignment="1">
      <alignment horizontal="center"/>
    </xf>
    <xf numFmtId="165" fontId="0" fillId="3" borderId="0" xfId="0" applyNumberFormat="1" applyFill="1" applyBorder="1" applyAlignment="1">
      <alignment horizontal="center"/>
    </xf>
    <xf numFmtId="165" fontId="5" fillId="0" borderId="11" xfId="0" applyNumberFormat="1" applyFont="1" applyBorder="1" applyAlignment="1">
      <alignment horizontal="center"/>
    </xf>
    <xf numFmtId="165" fontId="0" fillId="0" borderId="7" xfId="2" applyNumberFormat="1" applyFont="1" applyBorder="1" applyAlignment="1">
      <alignment horizontal="center"/>
    </xf>
    <xf numFmtId="165" fontId="0" fillId="0" borderId="0" xfId="2" applyNumberFormat="1" applyFont="1" applyBorder="1" applyAlignment="1">
      <alignment horizontal="center"/>
    </xf>
    <xf numFmtId="165" fontId="1" fillId="0" borderId="7" xfId="2" applyNumberFormat="1" applyFont="1" applyBorder="1" applyAlignment="1">
      <alignment horizontal="center"/>
    </xf>
    <xf numFmtId="165" fontId="0" fillId="0" borderId="7" xfId="2" applyNumberFormat="1" applyFont="1" applyFill="1" applyBorder="1" applyAlignment="1">
      <alignment horizontal="center"/>
    </xf>
    <xf numFmtId="165" fontId="5" fillId="0" borderId="8" xfId="0" applyNumberFormat="1" applyFont="1" applyBorder="1" applyAlignment="1">
      <alignment horizontal="center"/>
    </xf>
    <xf numFmtId="0" fontId="6" fillId="3" borderId="16" xfId="0" applyFont="1" applyFill="1" applyBorder="1"/>
    <xf numFmtId="165" fontId="5" fillId="0" borderId="11" xfId="2" applyNumberFormat="1" applyFont="1" applyBorder="1" applyAlignment="1">
      <alignment horizontal="center"/>
    </xf>
    <xf numFmtId="165" fontId="0" fillId="0" borderId="22" xfId="0" applyNumberFormat="1" applyBorder="1" applyAlignment="1">
      <alignment horizontal="center"/>
    </xf>
    <xf numFmtId="165" fontId="0" fillId="3" borderId="13" xfId="0" applyNumberFormat="1" applyFill="1" applyBorder="1" applyAlignment="1">
      <alignment horizontal="center"/>
    </xf>
    <xf numFmtId="165" fontId="1" fillId="0" borderId="7" xfId="0" applyNumberFormat="1" applyFont="1" applyBorder="1" applyAlignment="1">
      <alignment horizontal="center"/>
    </xf>
    <xf numFmtId="165" fontId="1" fillId="3" borderId="7" xfId="0" applyNumberFormat="1" applyFont="1" applyFill="1" applyBorder="1" applyAlignment="1">
      <alignment horizontal="center"/>
    </xf>
    <xf numFmtId="165" fontId="5" fillId="0" borderId="9" xfId="0" applyNumberFormat="1" applyFont="1" applyBorder="1" applyAlignment="1">
      <alignment horizontal="center"/>
    </xf>
    <xf numFmtId="165" fontId="5" fillId="0" borderId="8" xfId="2" applyNumberFormat="1" applyFont="1" applyBorder="1" applyAlignment="1">
      <alignment horizontal="center"/>
    </xf>
    <xf numFmtId="165" fontId="8" fillId="4" borderId="8" xfId="0" applyNumberFormat="1" applyFont="1" applyFill="1" applyBorder="1" applyAlignment="1">
      <alignment horizontal="center"/>
    </xf>
    <xf numFmtId="165" fontId="8" fillId="4" borderId="9" xfId="0" applyNumberFormat="1" applyFont="1" applyFill="1" applyBorder="1" applyAlignment="1">
      <alignment horizontal="center"/>
    </xf>
    <xf numFmtId="0" fontId="0" fillId="0" borderId="0" xfId="0" applyBorder="1" applyAlignment="1">
      <alignment horizontal="center"/>
    </xf>
    <xf numFmtId="1" fontId="0" fillId="4" borderId="0" xfId="0" applyNumberFormat="1" applyFill="1" applyBorder="1" applyAlignment="1">
      <alignment horizontal="right"/>
    </xf>
    <xf numFmtId="165" fontId="0" fillId="0" borderId="13" xfId="0" applyNumberFormat="1" applyBorder="1" applyAlignment="1">
      <alignment horizontal="center"/>
    </xf>
    <xf numFmtId="165" fontId="1" fillId="3" borderId="0" xfId="0" applyNumberFormat="1" applyFont="1" applyFill="1" applyBorder="1" applyAlignment="1">
      <alignment horizontal="center"/>
    </xf>
    <xf numFmtId="165" fontId="1" fillId="0" borderId="0" xfId="0" applyNumberFormat="1" applyFont="1" applyBorder="1" applyAlignment="1">
      <alignment horizontal="center"/>
    </xf>
    <xf numFmtId="165" fontId="1" fillId="0" borderId="7" xfId="0" applyNumberFormat="1" applyFont="1" applyFill="1" applyBorder="1" applyAlignment="1">
      <alignment horizontal="center"/>
    </xf>
    <xf numFmtId="165" fontId="1" fillId="0" borderId="0" xfId="0" applyNumberFormat="1" applyFont="1" applyFill="1" applyBorder="1" applyAlignment="1">
      <alignment horizontal="center"/>
    </xf>
    <xf numFmtId="165" fontId="6" fillId="0" borderId="7" xfId="0" applyNumberFormat="1" applyFont="1" applyBorder="1" applyAlignment="1">
      <alignment horizontal="center"/>
    </xf>
    <xf numFmtId="0" fontId="12" fillId="0" borderId="0" xfId="0" applyFont="1" applyBorder="1"/>
    <xf numFmtId="3" fontId="13" fillId="0" borderId="8" xfId="0" applyNumberFormat="1" applyFont="1" applyBorder="1"/>
    <xf numFmtId="3" fontId="12" fillId="4" borderId="8" xfId="0" applyNumberFormat="1" applyFont="1" applyFill="1" applyBorder="1" applyAlignment="1">
      <alignment horizontal="center"/>
    </xf>
    <xf numFmtId="3" fontId="12" fillId="4" borderId="9" xfId="0" applyNumberFormat="1" applyFont="1" applyFill="1" applyBorder="1" applyAlignment="1">
      <alignment horizontal="center"/>
    </xf>
    <xf numFmtId="165" fontId="13" fillId="3" borderId="7" xfId="0" applyNumberFormat="1" applyFont="1" applyFill="1" applyBorder="1" applyAlignment="1">
      <alignment horizontal="center"/>
    </xf>
    <xf numFmtId="165" fontId="12" fillId="4" borderId="8" xfId="0" applyNumberFormat="1" applyFont="1" applyFill="1" applyBorder="1" applyAlignment="1">
      <alignment horizontal="center"/>
    </xf>
    <xf numFmtId="167" fontId="12" fillId="4" borderId="8" xfId="0" applyNumberFormat="1" applyFont="1" applyFill="1" applyBorder="1" applyAlignment="1">
      <alignment horizontal="center"/>
    </xf>
    <xf numFmtId="167" fontId="12" fillId="4" borderId="9" xfId="0" applyNumberFormat="1" applyFont="1" applyFill="1" applyBorder="1" applyAlignment="1">
      <alignment horizontal="center"/>
    </xf>
    <xf numFmtId="3" fontId="1" fillId="0" borderId="8" xfId="0" applyNumberFormat="1" applyFont="1" applyBorder="1"/>
    <xf numFmtId="3" fontId="1" fillId="0" borderId="9" xfId="0" applyNumberFormat="1" applyFont="1" applyBorder="1"/>
    <xf numFmtId="165" fontId="1" fillId="3" borderId="7" xfId="2" applyNumberFormat="1" applyFont="1" applyFill="1" applyBorder="1" applyAlignment="1">
      <alignment horizontal="center"/>
    </xf>
    <xf numFmtId="165" fontId="1" fillId="0" borderId="7" xfId="2" applyNumberFormat="1" applyFont="1" applyFill="1" applyBorder="1" applyAlignment="1">
      <alignment horizontal="center"/>
    </xf>
    <xf numFmtId="165" fontId="1" fillId="0" borderId="0" xfId="2" applyNumberFormat="1" applyFont="1" applyBorder="1" applyAlignment="1">
      <alignment horizontal="center"/>
    </xf>
    <xf numFmtId="165" fontId="1" fillId="3" borderId="0" xfId="2" applyNumberFormat="1" applyFont="1" applyFill="1" applyBorder="1" applyAlignment="1">
      <alignment horizontal="center"/>
    </xf>
    <xf numFmtId="165" fontId="1" fillId="3" borderId="22" xfId="0" applyNumberFormat="1" applyFont="1" applyFill="1" applyBorder="1" applyAlignment="1">
      <alignment horizontal="center"/>
    </xf>
    <xf numFmtId="165" fontId="1" fillId="3" borderId="13" xfId="0" applyNumberFormat="1" applyFont="1" applyFill="1" applyBorder="1" applyAlignment="1">
      <alignment horizontal="center"/>
    </xf>
    <xf numFmtId="165" fontId="1" fillId="0" borderId="13" xfId="0" applyNumberFormat="1" applyFont="1" applyBorder="1" applyAlignment="1">
      <alignment horizontal="center"/>
    </xf>
    <xf numFmtId="3" fontId="13" fillId="0" borderId="25" xfId="0" applyNumberFormat="1" applyFont="1" applyBorder="1"/>
    <xf numFmtId="165" fontId="1" fillId="0" borderId="25" xfId="0" applyNumberFormat="1" applyFont="1" applyFill="1" applyBorder="1" applyAlignment="1">
      <alignment horizontal="center"/>
    </xf>
    <xf numFmtId="0" fontId="0" fillId="0" borderId="0" xfId="0" applyBorder="1" applyAlignment="1">
      <alignment horizontal="center"/>
    </xf>
    <xf numFmtId="0" fontId="1" fillId="0" borderId="4" xfId="0" applyFont="1" applyFill="1" applyBorder="1"/>
    <xf numFmtId="0" fontId="7" fillId="0" borderId="26" xfId="0" applyFont="1" applyFill="1" applyBorder="1" applyAlignment="1">
      <alignment horizontal="right"/>
    </xf>
    <xf numFmtId="0" fontId="1" fillId="0" borderId="4" xfId="0" applyFont="1" applyBorder="1"/>
    <xf numFmtId="0" fontId="1" fillId="3" borderId="4" xfId="0" applyFont="1" applyFill="1" applyBorder="1"/>
    <xf numFmtId="0" fontId="0" fillId="0" borderId="0" xfId="0" applyBorder="1" applyAlignment="1">
      <alignment horizontal="center"/>
    </xf>
    <xf numFmtId="0" fontId="8" fillId="0" borderId="0" xfId="0" applyFont="1" applyFill="1"/>
    <xf numFmtId="1" fontId="0" fillId="7" borderId="0" xfId="0" applyNumberFormat="1" applyFill="1" applyBorder="1" applyAlignment="1">
      <alignment horizontal="right"/>
    </xf>
    <xf numFmtId="1" fontId="0" fillId="8" borderId="9" xfId="0" applyNumberFormat="1" applyFill="1" applyBorder="1" applyAlignment="1">
      <alignment horizontal="right"/>
    </xf>
    <xf numFmtId="1" fontId="0" fillId="2" borderId="12" xfId="0" applyNumberFormat="1" applyFill="1" applyBorder="1" applyAlignment="1">
      <alignment horizontal="right"/>
    </xf>
    <xf numFmtId="165" fontId="1" fillId="0" borderId="13" xfId="0" applyNumberFormat="1" applyFont="1" applyFill="1" applyBorder="1" applyAlignment="1">
      <alignment horizontal="center"/>
    </xf>
    <xf numFmtId="3" fontId="5" fillId="0" borderId="12" xfId="0" applyNumberFormat="1" applyFont="1" applyBorder="1" applyAlignment="1">
      <alignment horizontal="right"/>
    </xf>
    <xf numFmtId="1" fontId="0" fillId="2" borderId="6" xfId="0" applyNumberFormat="1" applyFill="1" applyBorder="1" applyAlignment="1">
      <alignment horizontal="right"/>
    </xf>
    <xf numFmtId="3" fontId="5" fillId="0" borderId="26" xfId="0" applyNumberFormat="1" applyFont="1" applyBorder="1" applyAlignment="1">
      <alignment horizontal="right"/>
    </xf>
    <xf numFmtId="3" fontId="5" fillId="0" borderId="9" xfId="0" applyNumberFormat="1" applyFont="1" applyBorder="1" applyAlignment="1">
      <alignment horizontal="right"/>
    </xf>
    <xf numFmtId="1" fontId="5" fillId="0" borderId="6" xfId="0" applyNumberFormat="1" applyFont="1" applyBorder="1" applyAlignment="1">
      <alignment horizontal="right"/>
    </xf>
    <xf numFmtId="1" fontId="5" fillId="0" borderId="15" xfId="0" applyNumberFormat="1" applyFont="1" applyBorder="1" applyAlignment="1">
      <alignment horizontal="right"/>
    </xf>
    <xf numFmtId="3" fontId="1" fillId="0" borderId="25" xfId="0" applyNumberFormat="1" applyFont="1" applyBorder="1"/>
    <xf numFmtId="3" fontId="1" fillId="0" borderId="2" xfId="0" applyNumberFormat="1" applyFont="1" applyBorder="1"/>
    <xf numFmtId="165" fontId="1" fillId="3" borderId="6" xfId="0" applyNumberFormat="1" applyFont="1" applyFill="1" applyBorder="1" applyAlignment="1">
      <alignment horizontal="center"/>
    </xf>
    <xf numFmtId="3" fontId="5" fillId="0" borderId="2" xfId="0" applyNumberFormat="1" applyFont="1" applyBorder="1" applyAlignment="1">
      <alignment horizontal="center"/>
    </xf>
    <xf numFmtId="3" fontId="5" fillId="0" borderId="16" xfId="0" applyNumberFormat="1" applyFont="1" applyFill="1" applyBorder="1" applyAlignment="1">
      <alignment horizontal="right"/>
    </xf>
    <xf numFmtId="0" fontId="7" fillId="0" borderId="1" xfId="0" applyFont="1" applyFill="1" applyBorder="1" applyAlignment="1">
      <alignment horizontal="right"/>
    </xf>
    <xf numFmtId="165" fontId="5" fillId="0" borderId="9" xfId="2" applyNumberFormat="1" applyFont="1" applyBorder="1" applyAlignment="1">
      <alignment horizontal="center"/>
    </xf>
    <xf numFmtId="3" fontId="5" fillId="0" borderId="0" xfId="0" applyNumberFormat="1" applyFont="1" applyBorder="1" applyAlignment="1">
      <alignment horizontal="center"/>
    </xf>
    <xf numFmtId="165" fontId="1" fillId="0" borderId="13" xfId="2" applyNumberFormat="1" applyFont="1" applyBorder="1" applyAlignment="1">
      <alignment horizontal="center"/>
    </xf>
    <xf numFmtId="165" fontId="1" fillId="0" borderId="13" xfId="2" applyNumberFormat="1" applyFont="1" applyFill="1" applyBorder="1" applyAlignment="1">
      <alignment horizontal="center"/>
    </xf>
    <xf numFmtId="165" fontId="1" fillId="3" borderId="13" xfId="2" applyNumberFormat="1" applyFont="1" applyFill="1" applyBorder="1" applyAlignment="1">
      <alignment horizontal="center"/>
    </xf>
    <xf numFmtId="5" fontId="5" fillId="0" borderId="2" xfId="2" applyNumberFormat="1" applyFont="1" applyFill="1" applyBorder="1" applyAlignment="1">
      <alignment horizontal="center"/>
    </xf>
    <xf numFmtId="5" fontId="5" fillId="0" borderId="0" xfId="2" applyNumberFormat="1" applyFont="1" applyFill="1" applyBorder="1" applyAlignment="1">
      <alignment horizontal="center"/>
    </xf>
    <xf numFmtId="0" fontId="6" fillId="0" borderId="18" xfId="0" applyFont="1" applyBorder="1"/>
    <xf numFmtId="0" fontId="0" fillId="0" borderId="18" xfId="0" applyFill="1" applyBorder="1"/>
    <xf numFmtId="165" fontId="5" fillId="0" borderId="0" xfId="0" applyNumberFormat="1" applyFont="1" applyFill="1" applyBorder="1" applyAlignment="1">
      <alignment horizontal="center"/>
    </xf>
    <xf numFmtId="165" fontId="0" fillId="0" borderId="13" xfId="0" applyNumberFormat="1" applyFill="1" applyBorder="1" applyAlignment="1">
      <alignment horizontal="center"/>
    </xf>
    <xf numFmtId="165" fontId="1" fillId="0" borderId="8" xfId="0" applyNumberFormat="1" applyFont="1" applyFill="1" applyBorder="1" applyAlignment="1">
      <alignment horizontal="center"/>
    </xf>
    <xf numFmtId="0" fontId="4" fillId="0" borderId="0" xfId="0" applyFont="1" applyFill="1" applyBorder="1" applyAlignment="1">
      <alignment horizontal="right"/>
    </xf>
    <xf numFmtId="0" fontId="8" fillId="0" borderId="28" xfId="0" applyFont="1" applyBorder="1"/>
    <xf numFmtId="3" fontId="8" fillId="0" borderId="8" xfId="0" applyNumberFormat="1" applyFont="1" applyBorder="1"/>
    <xf numFmtId="3" fontId="8" fillId="0" borderId="9" xfId="0" applyNumberFormat="1" applyFont="1" applyBorder="1"/>
    <xf numFmtId="0" fontId="8" fillId="3" borderId="0" xfId="0" applyFont="1" applyFill="1"/>
    <xf numFmtId="3" fontId="4" fillId="0" borderId="0" xfId="0" applyNumberFormat="1" applyFont="1" applyBorder="1" applyAlignment="1">
      <alignment horizontal="center"/>
    </xf>
    <xf numFmtId="165" fontId="4" fillId="0" borderId="0" xfId="0" applyNumberFormat="1" applyFont="1" applyBorder="1" applyAlignment="1">
      <alignment horizontal="center"/>
    </xf>
    <xf numFmtId="0" fontId="10" fillId="0" borderId="0" xfId="0" applyFont="1" applyAlignment="1">
      <alignment horizontal="right"/>
    </xf>
    <xf numFmtId="3" fontId="8" fillId="0" borderId="22" xfId="0" applyNumberFormat="1" applyFont="1" applyBorder="1"/>
    <xf numFmtId="3" fontId="8" fillId="0" borderId="6" xfId="0" applyNumberFormat="1" applyFont="1" applyBorder="1"/>
    <xf numFmtId="0" fontId="8" fillId="0" borderId="9" xfId="0" applyFont="1" applyBorder="1"/>
    <xf numFmtId="0" fontId="8" fillId="0" borderId="11" xfId="0" applyFont="1" applyBorder="1"/>
    <xf numFmtId="0" fontId="8" fillId="0" borderId="10" xfId="0" applyFont="1" applyBorder="1"/>
    <xf numFmtId="0" fontId="8" fillId="0" borderId="8" xfId="0" applyFont="1" applyBorder="1"/>
    <xf numFmtId="0" fontId="0" fillId="0" borderId="28" xfId="0" applyBorder="1"/>
    <xf numFmtId="165" fontId="8" fillId="4" borderId="11" xfId="0" applyNumberFormat="1" applyFont="1" applyFill="1" applyBorder="1" applyAlignment="1">
      <alignment horizontal="center"/>
    </xf>
    <xf numFmtId="165" fontId="5" fillId="0" borderId="10" xfId="0" applyNumberFormat="1" applyFont="1" applyBorder="1" applyAlignment="1">
      <alignment horizontal="center"/>
    </xf>
    <xf numFmtId="1" fontId="0" fillId="0" borderId="13" xfId="0" applyNumberFormat="1" applyBorder="1" applyAlignment="1">
      <alignment horizontal="center"/>
    </xf>
    <xf numFmtId="1" fontId="0" fillId="3" borderId="13" xfId="0" applyNumberFormat="1" applyFill="1" applyBorder="1" applyAlignment="1">
      <alignment horizontal="center"/>
    </xf>
    <xf numFmtId="0" fontId="8" fillId="0" borderId="0" xfId="0" applyFont="1" applyBorder="1" applyAlignment="1">
      <alignment horizontal="center"/>
    </xf>
    <xf numFmtId="0" fontId="8" fillId="0" borderId="6" xfId="0" applyFont="1" applyBorder="1" applyAlignment="1">
      <alignment horizontal="center"/>
    </xf>
    <xf numFmtId="0" fontId="8" fillId="0" borderId="30" xfId="0" applyFont="1" applyBorder="1" applyAlignment="1">
      <alignment horizontal="center"/>
    </xf>
    <xf numFmtId="3" fontId="8" fillId="4" borderId="11" xfId="0" applyNumberFormat="1" applyFont="1" applyFill="1" applyBorder="1" applyAlignment="1">
      <alignment horizontal="center"/>
    </xf>
    <xf numFmtId="0" fontId="8" fillId="0" borderId="21" xfId="0" applyFont="1" applyBorder="1" applyAlignment="1">
      <alignment horizontal="center"/>
    </xf>
    <xf numFmtId="1" fontId="0" fillId="0" borderId="13" xfId="0" applyNumberFormat="1" applyBorder="1" applyAlignment="1">
      <alignment horizontal="center"/>
    </xf>
    <xf numFmtId="3" fontId="8" fillId="4" borderId="10" xfId="0" applyNumberFormat="1" applyFont="1" applyFill="1" applyBorder="1" applyAlignment="1">
      <alignment horizontal="center"/>
    </xf>
    <xf numFmtId="3" fontId="5" fillId="0" borderId="0" xfId="0" applyNumberFormat="1" applyFont="1" applyFill="1" applyBorder="1" applyAlignment="1">
      <alignment horizontal="center"/>
    </xf>
    <xf numFmtId="1" fontId="1" fillId="0" borderId="13" xfId="0" applyNumberFormat="1" applyFont="1" applyBorder="1" applyAlignment="1">
      <alignment horizontal="center"/>
    </xf>
    <xf numFmtId="1" fontId="0" fillId="3" borderId="13" xfId="0" applyNumberFormat="1" applyFill="1" applyBorder="1" applyAlignment="1">
      <alignment horizontal="center"/>
    </xf>
    <xf numFmtId="164" fontId="8" fillId="4" borderId="12" xfId="0" applyNumberFormat="1" applyFont="1" applyFill="1" applyBorder="1" applyAlignment="1">
      <alignment horizontal="center"/>
    </xf>
    <xf numFmtId="164" fontId="8" fillId="4" borderId="9" xfId="0" applyNumberFormat="1" applyFont="1" applyFill="1" applyBorder="1" applyAlignment="1">
      <alignment horizontal="center"/>
    </xf>
    <xf numFmtId="1" fontId="1" fillId="3" borderId="13" xfId="0" applyNumberFormat="1" applyFont="1" applyFill="1" applyBorder="1" applyAlignment="1">
      <alignment horizontal="center"/>
    </xf>
    <xf numFmtId="0" fontId="8" fillId="0" borderId="2" xfId="0" applyFont="1" applyBorder="1" applyAlignment="1">
      <alignment horizontal="center"/>
    </xf>
    <xf numFmtId="1" fontId="0" fillId="0" borderId="13" xfId="0" applyNumberFormat="1" applyFill="1" applyBorder="1" applyAlignment="1">
      <alignment horizontal="center"/>
    </xf>
    <xf numFmtId="1" fontId="8" fillId="4" borderId="11" xfId="0" applyNumberFormat="1" applyFont="1" applyFill="1" applyBorder="1" applyAlignment="1">
      <alignment horizontal="center"/>
    </xf>
    <xf numFmtId="1" fontId="0" fillId="0" borderId="13" xfId="0" applyNumberFormat="1" applyFill="1" applyBorder="1" applyAlignment="1">
      <alignment horizontal="center"/>
    </xf>
    <xf numFmtId="1" fontId="8" fillId="0" borderId="2" xfId="0" applyNumberFormat="1" applyFont="1" applyBorder="1"/>
    <xf numFmtId="1" fontId="5" fillId="0" borderId="0" xfId="0" applyNumberFormat="1" applyFont="1" applyBorder="1" applyAlignment="1">
      <alignment horizontal="center"/>
    </xf>
    <xf numFmtId="1" fontId="0" fillId="0" borderId="0" xfId="0" applyNumberFormat="1"/>
    <xf numFmtId="1" fontId="8" fillId="4" borderId="10" xfId="0" applyNumberFormat="1" applyFont="1" applyFill="1" applyBorder="1" applyAlignment="1">
      <alignment horizontal="center"/>
    </xf>
    <xf numFmtId="1" fontId="0" fillId="0" borderId="10" xfId="0" applyNumberFormat="1" applyBorder="1"/>
    <xf numFmtId="1" fontId="0" fillId="0" borderId="11" xfId="0" applyNumberFormat="1" applyBorder="1"/>
    <xf numFmtId="1" fontId="1" fillId="0" borderId="13" xfId="0" applyNumberFormat="1" applyFont="1" applyFill="1" applyBorder="1" applyAlignment="1">
      <alignment horizontal="center"/>
    </xf>
    <xf numFmtId="1" fontId="8" fillId="0" borderId="0" xfId="0" applyNumberFormat="1" applyFont="1" applyBorder="1" applyAlignment="1">
      <alignment horizontal="center"/>
    </xf>
    <xf numFmtId="1" fontId="8" fillId="0" borderId="6" xfId="0" applyNumberFormat="1" applyFont="1" applyBorder="1" applyAlignment="1">
      <alignment horizontal="center"/>
    </xf>
    <xf numFmtId="1" fontId="8" fillId="4" borderId="9" xfId="0" applyNumberFormat="1" applyFont="1" applyFill="1" applyBorder="1" applyAlignment="1">
      <alignment horizontal="center"/>
    </xf>
    <xf numFmtId="1" fontId="4" fillId="3" borderId="0" xfId="0" applyNumberFormat="1" applyFont="1" applyFill="1" applyBorder="1" applyAlignment="1">
      <alignment horizontal="center"/>
    </xf>
    <xf numFmtId="1" fontId="0" fillId="0" borderId="11" xfId="0" applyNumberFormat="1" applyBorder="1" applyAlignment="1"/>
    <xf numFmtId="1" fontId="0" fillId="0" borderId="24" xfId="0" applyNumberFormat="1" applyBorder="1" applyAlignment="1"/>
    <xf numFmtId="1" fontId="0" fillId="0" borderId="7" xfId="0" applyNumberFormat="1" applyBorder="1" applyAlignment="1">
      <alignment horizontal="center"/>
    </xf>
    <xf numFmtId="1" fontId="0" fillId="0" borderId="7" xfId="0" applyNumberFormat="1" applyFill="1" applyBorder="1" applyAlignment="1">
      <alignment horizontal="center"/>
    </xf>
    <xf numFmtId="1" fontId="1" fillId="0" borderId="7" xfId="0" applyNumberFormat="1" applyFont="1" applyFill="1" applyBorder="1" applyAlignment="1">
      <alignment horizontal="center"/>
    </xf>
    <xf numFmtId="1" fontId="8" fillId="4" borderId="8" xfId="0" applyNumberFormat="1" applyFont="1" applyFill="1" applyBorder="1" applyAlignment="1">
      <alignment horizontal="center"/>
    </xf>
    <xf numFmtId="1" fontId="5" fillId="0" borderId="8" xfId="0" applyNumberFormat="1" applyFont="1" applyBorder="1" applyAlignment="1">
      <alignment horizontal="center"/>
    </xf>
    <xf numFmtId="1" fontId="0" fillId="3" borderId="7" xfId="0" applyNumberFormat="1" applyFill="1" applyBorder="1" applyAlignment="1">
      <alignment horizontal="center"/>
    </xf>
    <xf numFmtId="1" fontId="0" fillId="0" borderId="6" xfId="0" applyNumberFormat="1" applyBorder="1" applyAlignment="1">
      <alignment horizontal="center"/>
    </xf>
    <xf numFmtId="1" fontId="5" fillId="0" borderId="2" xfId="0" applyNumberFormat="1" applyFont="1" applyFill="1" applyBorder="1" applyAlignment="1">
      <alignment horizontal="center"/>
    </xf>
    <xf numFmtId="1" fontId="0" fillId="0" borderId="0" xfId="0" applyNumberFormat="1" applyBorder="1"/>
    <xf numFmtId="1" fontId="5" fillId="0" borderId="0" xfId="0" applyNumberFormat="1" applyFont="1" applyFill="1" applyBorder="1" applyAlignment="1">
      <alignment horizontal="center"/>
    </xf>
    <xf numFmtId="1" fontId="8" fillId="0" borderId="11" xfId="0" applyNumberFormat="1" applyFont="1" applyBorder="1" applyAlignment="1"/>
    <xf numFmtId="1" fontId="4" fillId="0" borderId="0" xfId="0" applyNumberFormat="1" applyFont="1" applyBorder="1" applyAlignment="1">
      <alignment horizontal="center"/>
    </xf>
    <xf numFmtId="1" fontId="8" fillId="0" borderId="21" xfId="0" applyNumberFormat="1" applyFont="1" applyBorder="1" applyAlignment="1"/>
    <xf numFmtId="1" fontId="8" fillId="0" borderId="0" xfId="0" applyNumberFormat="1" applyFont="1"/>
    <xf numFmtId="1" fontId="8" fillId="0" borderId="10" xfId="0" applyNumberFormat="1" applyFont="1" applyBorder="1"/>
    <xf numFmtId="1" fontId="8" fillId="0" borderId="11" xfId="0" applyNumberFormat="1" applyFont="1" applyBorder="1"/>
    <xf numFmtId="3" fontId="1" fillId="0" borderId="13" xfId="0" applyNumberFormat="1" applyFont="1" applyBorder="1" applyAlignment="1">
      <alignment horizontal="center"/>
    </xf>
    <xf numFmtId="1" fontId="5" fillId="0" borderId="9" xfId="0" applyNumberFormat="1" applyFont="1" applyBorder="1" applyAlignment="1">
      <alignment horizontal="center"/>
    </xf>
    <xf numFmtId="1" fontId="5" fillId="0" borderId="11" xfId="0" applyNumberFormat="1" applyFont="1" applyBorder="1" applyAlignment="1">
      <alignment horizontal="center"/>
    </xf>
    <xf numFmtId="1" fontId="1" fillId="0" borderId="13" xfId="0" applyNumberFormat="1" applyFont="1" applyFill="1" applyBorder="1" applyAlignment="1">
      <alignment horizontal="center"/>
    </xf>
    <xf numFmtId="1" fontId="1" fillId="0" borderId="0" xfId="0" applyNumberFormat="1" applyFont="1" applyBorder="1" applyAlignment="1">
      <alignment horizontal="center"/>
    </xf>
    <xf numFmtId="1" fontId="1" fillId="0" borderId="13" xfId="0" applyNumberFormat="1" applyFont="1" applyBorder="1" applyAlignment="1">
      <alignment horizontal="center"/>
    </xf>
    <xf numFmtId="2" fontId="1" fillId="0" borderId="0" xfId="0" applyNumberFormat="1" applyFont="1" applyBorder="1" applyAlignment="1">
      <alignment horizontal="center"/>
    </xf>
    <xf numFmtId="1" fontId="8" fillId="0" borderId="9" xfId="0" applyNumberFormat="1" applyFont="1" applyBorder="1" applyAlignment="1"/>
    <xf numFmtId="3" fontId="8" fillId="0" borderId="11" xfId="0" applyNumberFormat="1" applyFont="1" applyBorder="1"/>
    <xf numFmtId="1" fontId="8" fillId="0" borderId="0" xfId="0" applyNumberFormat="1" applyFont="1" applyBorder="1"/>
    <xf numFmtId="0" fontId="0" fillId="0" borderId="26" xfId="0" applyBorder="1"/>
    <xf numFmtId="0" fontId="8" fillId="0" borderId="20" xfId="0" applyFont="1" applyBorder="1"/>
    <xf numFmtId="1" fontId="8" fillId="0" borderId="2" xfId="0" applyNumberFormat="1" applyFont="1" applyBorder="1" applyAlignment="1">
      <alignment horizontal="center"/>
    </xf>
    <xf numFmtId="0" fontId="8" fillId="0" borderId="3" xfId="0" applyFont="1" applyBorder="1" applyAlignment="1">
      <alignment horizontal="center"/>
    </xf>
    <xf numFmtId="0" fontId="1" fillId="3" borderId="18" xfId="0" applyFont="1" applyFill="1" applyBorder="1"/>
    <xf numFmtId="0" fontId="8" fillId="0" borderId="0" xfId="0" applyFont="1" applyBorder="1" applyAlignment="1">
      <alignment horizontal="center"/>
    </xf>
    <xf numFmtId="1" fontId="8" fillId="0" borderId="0" xfId="0" applyNumberFormat="1" applyFont="1" applyBorder="1" applyAlignment="1">
      <alignment horizontal="center"/>
    </xf>
    <xf numFmtId="0" fontId="8" fillId="0" borderId="20" xfId="0"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1" fontId="8" fillId="0" borderId="11" xfId="0" applyNumberFormat="1" applyFont="1" applyBorder="1" applyAlignment="1"/>
    <xf numFmtId="1" fontId="8" fillId="4" borderId="11" xfId="0" applyNumberFormat="1" applyFont="1" applyFill="1" applyBorder="1" applyAlignment="1">
      <alignment horizontal="center"/>
    </xf>
    <xf numFmtId="1" fontId="1" fillId="0" borderId="13" xfId="0" applyNumberFormat="1" applyFont="1" applyFill="1" applyBorder="1" applyAlignment="1">
      <alignment horizontal="center"/>
    </xf>
    <xf numFmtId="1" fontId="5" fillId="0" borderId="11" xfId="0" applyNumberFormat="1" applyFont="1" applyBorder="1" applyAlignment="1">
      <alignment horizontal="center"/>
    </xf>
    <xf numFmtId="1" fontId="1" fillId="0" borderId="13" xfId="0" applyNumberFormat="1" applyFont="1" applyBorder="1" applyAlignment="1">
      <alignment horizontal="center"/>
    </xf>
    <xf numFmtId="0" fontId="1" fillId="0" borderId="0" xfId="0" applyFont="1"/>
    <xf numFmtId="0" fontId="1" fillId="0" borderId="9" xfId="0" applyFont="1" applyBorder="1"/>
    <xf numFmtId="0" fontId="1" fillId="0" borderId="12" xfId="0" applyFont="1" applyBorder="1"/>
    <xf numFmtId="165" fontId="1" fillId="0" borderId="14" xfId="0" applyNumberFormat="1" applyFont="1" applyFill="1" applyBorder="1" applyAlignment="1">
      <alignment horizontal="center"/>
    </xf>
    <xf numFmtId="0" fontId="1" fillId="0" borderId="0" xfId="0" applyFont="1" applyFill="1"/>
    <xf numFmtId="0" fontId="1" fillId="0" borderId="17" xfId="0" applyFont="1" applyBorder="1"/>
    <xf numFmtId="165" fontId="5" fillId="0" borderId="25" xfId="0" applyNumberFormat="1" applyFont="1" applyBorder="1" applyAlignment="1">
      <alignment horizontal="center"/>
    </xf>
    <xf numFmtId="165" fontId="5" fillId="0" borderId="24" xfId="0" applyNumberFormat="1" applyFont="1" applyBorder="1" applyAlignment="1">
      <alignment horizontal="center"/>
    </xf>
    <xf numFmtId="167" fontId="1" fillId="0" borderId="7" xfId="0" applyNumberFormat="1" applyFont="1" applyBorder="1" applyAlignment="1">
      <alignment horizontal="center"/>
    </xf>
    <xf numFmtId="167" fontId="1" fillId="0" borderId="13" xfId="0" applyNumberFormat="1" applyFont="1" applyBorder="1" applyAlignment="1">
      <alignment horizontal="center"/>
    </xf>
    <xf numFmtId="165" fontId="1" fillId="0" borderId="22" xfId="2" applyNumberFormat="1" applyFont="1" applyBorder="1" applyAlignment="1">
      <alignment horizontal="center"/>
    </xf>
    <xf numFmtId="0" fontId="1" fillId="3" borderId="0" xfId="0" applyFont="1" applyFill="1"/>
    <xf numFmtId="165" fontId="1" fillId="0" borderId="0" xfId="2" applyNumberFormat="1" applyFont="1" applyFill="1" applyBorder="1" applyAlignment="1">
      <alignment horizontal="center"/>
    </xf>
    <xf numFmtId="165" fontId="0" fillId="0" borderId="25" xfId="0" applyNumberFormat="1" applyFill="1" applyBorder="1" applyAlignment="1">
      <alignment horizontal="center"/>
    </xf>
    <xf numFmtId="165" fontId="0" fillId="0" borderId="8" xfId="0" applyNumberFormat="1" applyFill="1" applyBorder="1" applyAlignment="1">
      <alignment horizontal="center"/>
    </xf>
    <xf numFmtId="165" fontId="0" fillId="0" borderId="9" xfId="0" applyNumberFormat="1" applyFill="1" applyBorder="1" applyAlignment="1">
      <alignment horizontal="center"/>
    </xf>
    <xf numFmtId="165" fontId="1" fillId="0" borderId="2" xfId="0" applyNumberFormat="1" applyFont="1" applyFill="1" applyBorder="1" applyAlignment="1">
      <alignment horizontal="center"/>
    </xf>
    <xf numFmtId="165" fontId="0" fillId="0" borderId="2" xfId="0" applyNumberFormat="1" applyFill="1" applyBorder="1" applyAlignment="1">
      <alignment horizontal="center"/>
    </xf>
    <xf numFmtId="165" fontId="1" fillId="0" borderId="9" xfId="0" applyNumberFormat="1" applyFont="1" applyFill="1" applyBorder="1" applyAlignment="1">
      <alignment horizontal="center"/>
    </xf>
    <xf numFmtId="0" fontId="4" fillId="0" borderId="0" xfId="0" applyFont="1"/>
    <xf numFmtId="0" fontId="5" fillId="0" borderId="0" xfId="0" applyFont="1"/>
    <xf numFmtId="0" fontId="5" fillId="0" borderId="0" xfId="0" applyFont="1" applyFill="1"/>
    <xf numFmtId="0" fontId="5" fillId="3" borderId="0" xfId="0" applyFont="1" applyFill="1" applyBorder="1"/>
    <xf numFmtId="1" fontId="5" fillId="0" borderId="13" xfId="0" applyNumberFormat="1" applyFont="1" applyBorder="1" applyAlignment="1">
      <alignment horizontal="center"/>
    </xf>
    <xf numFmtId="165" fontId="5" fillId="0" borderId="7" xfId="0" applyNumberFormat="1" applyFont="1" applyBorder="1" applyAlignment="1">
      <alignment horizontal="center"/>
    </xf>
    <xf numFmtId="0" fontId="7" fillId="0" borderId="16" xfId="0" applyFont="1" applyFill="1" applyBorder="1" applyAlignment="1">
      <alignment horizontal="right"/>
    </xf>
    <xf numFmtId="0" fontId="7" fillId="0" borderId="16" xfId="0" applyFont="1" applyBorder="1" applyAlignment="1">
      <alignment horizontal="right"/>
    </xf>
    <xf numFmtId="2" fontId="0" fillId="0" borderId="7" xfId="0" applyNumberFormat="1" applyFill="1" applyBorder="1" applyAlignment="1">
      <alignment horizontal="center"/>
    </xf>
    <xf numFmtId="2" fontId="1" fillId="0" borderId="0" xfId="0" applyNumberFormat="1" applyFont="1" applyFill="1" applyBorder="1" applyAlignment="1">
      <alignment horizontal="center"/>
    </xf>
    <xf numFmtId="1" fontId="5" fillId="0" borderId="11" xfId="0" applyNumberFormat="1" applyFont="1" applyBorder="1" applyAlignment="1">
      <alignment horizontal="center"/>
    </xf>
    <xf numFmtId="1" fontId="1" fillId="0" borderId="13" xfId="0" applyNumberFormat="1" applyFont="1" applyFill="1" applyBorder="1" applyAlignment="1">
      <alignment horizontal="center"/>
    </xf>
    <xf numFmtId="0" fontId="8" fillId="0" borderId="0" xfId="0" applyFont="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1" fontId="8" fillId="0" borderId="11" xfId="0" applyNumberFormat="1" applyFont="1" applyBorder="1" applyAlignment="1"/>
    <xf numFmtId="0" fontId="1" fillId="0" borderId="0" xfId="0" applyFont="1" applyBorder="1" applyAlignment="1">
      <alignment horizontal="center"/>
    </xf>
    <xf numFmtId="1" fontId="8" fillId="4" borderId="11" xfId="0" applyNumberFormat="1" applyFont="1" applyFill="1" applyBorder="1" applyAlignment="1">
      <alignment horizontal="center"/>
    </xf>
    <xf numFmtId="0" fontId="8" fillId="0" borderId="30" xfId="0" applyFont="1" applyBorder="1" applyAlignment="1">
      <alignment horizontal="center"/>
    </xf>
    <xf numFmtId="0" fontId="0" fillId="0" borderId="0" xfId="0" applyBorder="1" applyAlignment="1">
      <alignment horizontal="center"/>
    </xf>
    <xf numFmtId="0" fontId="6" fillId="0" borderId="0" xfId="0" applyFont="1" applyBorder="1" applyAlignment="1">
      <alignment horizontal="center"/>
    </xf>
    <xf numFmtId="0" fontId="4" fillId="0" borderId="2" xfId="0" applyFont="1" applyFill="1" applyBorder="1" applyAlignment="1">
      <alignment horizontal="right"/>
    </xf>
    <xf numFmtId="0" fontId="10" fillId="0" borderId="0" xfId="0" applyFont="1" applyBorder="1" applyAlignment="1">
      <alignment horizontal="right"/>
    </xf>
    <xf numFmtId="0" fontId="1" fillId="3" borderId="5" xfId="0" applyFont="1" applyFill="1" applyBorder="1"/>
    <xf numFmtId="0" fontId="0" fillId="0" borderId="0" xfId="0" applyBorder="1" applyAlignment="1">
      <alignment horizontal="right"/>
    </xf>
    <xf numFmtId="164" fontId="1" fillId="0" borderId="14" xfId="0" applyNumberFormat="1" applyFont="1" applyBorder="1" applyAlignment="1">
      <alignment horizontal="center"/>
    </xf>
    <xf numFmtId="164" fontId="1" fillId="0" borderId="20" xfId="0" applyNumberFormat="1" applyFont="1" applyBorder="1" applyAlignment="1">
      <alignment horizontal="center"/>
    </xf>
    <xf numFmtId="0" fontId="0" fillId="0" borderId="0" xfId="0" applyBorder="1" applyAlignment="1">
      <alignment horizontal="center"/>
    </xf>
    <xf numFmtId="3" fontId="0" fillId="0" borderId="13" xfId="0" applyNumberFormat="1" applyBorder="1" applyAlignment="1">
      <alignment horizontal="center"/>
    </xf>
    <xf numFmtId="3" fontId="0" fillId="0" borderId="0" xfId="0" applyNumberFormat="1" applyBorder="1" applyAlignment="1">
      <alignment horizontal="center"/>
    </xf>
    <xf numFmtId="1" fontId="5" fillId="0" borderId="0" xfId="0" applyNumberFormat="1" applyFont="1" applyBorder="1" applyAlignment="1">
      <alignment horizontal="center"/>
    </xf>
    <xf numFmtId="1" fontId="0" fillId="3" borderId="0" xfId="0" applyNumberFormat="1" applyFill="1" applyBorder="1" applyAlignment="1">
      <alignment horizontal="center"/>
    </xf>
    <xf numFmtId="165" fontId="1" fillId="3" borderId="14" xfId="0" applyNumberFormat="1" applyFont="1" applyFill="1" applyBorder="1" applyAlignment="1">
      <alignment horizontal="center"/>
    </xf>
    <xf numFmtId="3" fontId="1" fillId="0" borderId="13" xfId="0" applyNumberFormat="1" applyFont="1" applyBorder="1" applyAlignment="1">
      <alignment horizontal="center"/>
    </xf>
    <xf numFmtId="1" fontId="5" fillId="0" borderId="9" xfId="0" applyNumberFormat="1" applyFont="1" applyBorder="1" applyAlignment="1">
      <alignment horizontal="center"/>
    </xf>
    <xf numFmtId="1" fontId="5" fillId="0" borderId="11" xfId="0" applyNumberFormat="1" applyFont="1" applyBorder="1" applyAlignment="1">
      <alignment horizontal="center"/>
    </xf>
    <xf numFmtId="0" fontId="8" fillId="0" borderId="0" xfId="0" applyFont="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1" fontId="1" fillId="0" borderId="0" xfId="0" applyNumberFormat="1" applyFont="1" applyBorder="1" applyAlignment="1">
      <alignment horizontal="center"/>
    </xf>
    <xf numFmtId="0" fontId="8" fillId="0" borderId="30" xfId="0" applyFont="1" applyBorder="1" applyAlignment="1">
      <alignment horizontal="center"/>
    </xf>
    <xf numFmtId="1" fontId="5" fillId="0" borderId="13" xfId="0" applyNumberFormat="1" applyFont="1" applyBorder="1" applyAlignment="1">
      <alignment horizontal="center"/>
    </xf>
    <xf numFmtId="0" fontId="0" fillId="0" borderId="2" xfId="0" applyBorder="1"/>
    <xf numFmtId="0" fontId="6" fillId="0" borderId="17" xfId="0" applyFont="1" applyFill="1" applyBorder="1"/>
    <xf numFmtId="0" fontId="7" fillId="0" borderId="17" xfId="0" applyFont="1" applyFill="1" applyBorder="1" applyAlignment="1">
      <alignment horizontal="right"/>
    </xf>
    <xf numFmtId="1" fontId="5" fillId="0" borderId="11" xfId="0" applyNumberFormat="1" applyFont="1" applyBorder="1" applyAlignment="1">
      <alignment horizontal="center"/>
    </xf>
    <xf numFmtId="2" fontId="0" fillId="0" borderId="13" xfId="0" applyNumberFormat="1" applyFill="1" applyBorder="1" applyAlignment="1">
      <alignment horizontal="center"/>
    </xf>
    <xf numFmtId="168" fontId="8" fillId="0" borderId="0" xfId="0" applyNumberFormat="1" applyFont="1"/>
    <xf numFmtId="1" fontId="5" fillId="0" borderId="11" xfId="0" applyNumberFormat="1" applyFont="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2" fontId="1" fillId="0" borderId="13" xfId="0" applyNumberFormat="1" applyFont="1" applyFill="1" applyBorder="1" applyAlignment="1">
      <alignment horizontal="center"/>
    </xf>
    <xf numFmtId="0" fontId="0" fillId="0" borderId="0" xfId="0" applyBorder="1" applyAlignment="1">
      <alignment horizontal="center"/>
    </xf>
    <xf numFmtId="3" fontId="8" fillId="0" borderId="2" xfId="0" applyNumberFormat="1" applyFont="1" applyBorder="1"/>
    <xf numFmtId="0" fontId="0" fillId="0" borderId="6" xfId="0" applyBorder="1"/>
    <xf numFmtId="0" fontId="5" fillId="0" borderId="2" xfId="0" applyFont="1" applyFill="1" applyBorder="1" applyAlignment="1">
      <alignment horizontal="right"/>
    </xf>
    <xf numFmtId="0" fontId="5" fillId="0" borderId="0" xfId="0" applyFont="1" applyFill="1" applyBorder="1"/>
    <xf numFmtId="0" fontId="8" fillId="0" borderId="0" xfId="0" applyFont="1" applyBorder="1" applyAlignment="1">
      <alignment horizontal="center"/>
    </xf>
    <xf numFmtId="1" fontId="1" fillId="0" borderId="13" xfId="0" applyNumberFormat="1" applyFont="1" applyBorder="1" applyAlignment="1">
      <alignment horizontal="center"/>
    </xf>
    <xf numFmtId="1" fontId="1" fillId="0" borderId="13" xfId="0" applyNumberFormat="1" applyFont="1" applyFill="1" applyBorder="1" applyAlignment="1">
      <alignment horizontal="center"/>
    </xf>
    <xf numFmtId="2" fontId="1" fillId="0" borderId="13" xfId="0" applyNumberFormat="1" applyFont="1" applyFill="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1" fontId="0" fillId="0" borderId="13" xfId="0" applyNumberFormat="1" applyFill="1" applyBorder="1" applyAlignment="1">
      <alignment horizontal="center"/>
    </xf>
    <xf numFmtId="1" fontId="0" fillId="0" borderId="13" xfId="0" applyNumberFormat="1" applyBorder="1" applyAlignment="1">
      <alignment horizontal="center"/>
    </xf>
    <xf numFmtId="2" fontId="0" fillId="0" borderId="13" xfId="0" applyNumberFormat="1" applyFill="1" applyBorder="1" applyAlignment="1">
      <alignment horizontal="center"/>
    </xf>
    <xf numFmtId="1" fontId="0" fillId="0" borderId="24" xfId="0" applyNumberFormat="1" applyBorder="1" applyAlignment="1"/>
    <xf numFmtId="0" fontId="0" fillId="0" borderId="0" xfId="0" applyBorder="1" applyAlignment="1">
      <alignment horizontal="center"/>
    </xf>
    <xf numFmtId="1" fontId="5" fillId="0" borderId="0" xfId="0" applyNumberFormat="1" applyFont="1" applyBorder="1" applyAlignment="1">
      <alignment horizontal="center"/>
    </xf>
    <xf numFmtId="3" fontId="5" fillId="0" borderId="0" xfId="0" applyNumberFormat="1" applyFont="1" applyBorder="1" applyAlignment="1">
      <alignment horizontal="center"/>
    </xf>
    <xf numFmtId="3" fontId="5" fillId="0" borderId="24" xfId="0" applyNumberFormat="1" applyFont="1" applyBorder="1" applyAlignment="1">
      <alignment horizontal="center"/>
    </xf>
    <xf numFmtId="0" fontId="0" fillId="0" borderId="0" xfId="0" applyBorder="1" applyAlignment="1">
      <alignment horizontal="center"/>
    </xf>
    <xf numFmtId="1" fontId="5" fillId="0" borderId="0" xfId="0" applyNumberFormat="1" applyFont="1" applyBorder="1" applyAlignment="1">
      <alignment horizontal="center"/>
    </xf>
    <xf numFmtId="3" fontId="1" fillId="0" borderId="4" xfId="0" applyNumberFormat="1" applyFont="1" applyBorder="1" applyAlignment="1">
      <alignment horizontal="center"/>
    </xf>
    <xf numFmtId="3" fontId="1" fillId="0" borderId="13" xfId="0" applyNumberFormat="1" applyFont="1" applyBorder="1" applyAlignment="1">
      <alignment horizontal="center"/>
    </xf>
    <xf numFmtId="3" fontId="1" fillId="3" borderId="0" xfId="0" applyNumberFormat="1" applyFont="1" applyFill="1" applyBorder="1" applyAlignment="1">
      <alignment horizontal="center"/>
    </xf>
    <xf numFmtId="3" fontId="1" fillId="3" borderId="13" xfId="0" applyNumberFormat="1" applyFont="1" applyFill="1" applyBorder="1" applyAlignment="1">
      <alignment horizontal="center"/>
    </xf>
    <xf numFmtId="164" fontId="1" fillId="0" borderId="14" xfId="0" applyNumberFormat="1" applyFont="1" applyBorder="1" applyAlignment="1">
      <alignment horizontal="center"/>
    </xf>
    <xf numFmtId="164" fontId="1" fillId="0" borderId="20" xfId="0" applyNumberFormat="1" applyFont="1" applyBorder="1" applyAlignment="1">
      <alignment horizontal="center"/>
    </xf>
    <xf numFmtId="1" fontId="1" fillId="0" borderId="13" xfId="0" applyNumberFormat="1" applyFont="1" applyBorder="1" applyAlignment="1">
      <alignment horizontal="center"/>
    </xf>
    <xf numFmtId="1" fontId="1" fillId="3" borderId="14" xfId="0" applyNumberFormat="1" applyFont="1" applyFill="1" applyBorder="1" applyAlignment="1">
      <alignment horizontal="center"/>
    </xf>
    <xf numFmtId="1" fontId="1" fillId="3" borderId="13" xfId="0" applyNumberFormat="1" applyFont="1" applyFill="1" applyBorder="1" applyAlignment="1">
      <alignment horizontal="center"/>
    </xf>
    <xf numFmtId="1" fontId="1" fillId="0" borderId="13" xfId="0" applyNumberFormat="1" applyFont="1" applyFill="1" applyBorder="1" applyAlignment="1">
      <alignment horizontal="center"/>
    </xf>
    <xf numFmtId="1" fontId="5" fillId="0" borderId="11" xfId="0" applyNumberFormat="1" applyFont="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3" fontId="5" fillId="0" borderId="24" xfId="0" applyNumberFormat="1" applyFont="1" applyBorder="1" applyAlignment="1">
      <alignment horizontal="center"/>
    </xf>
    <xf numFmtId="3" fontId="8" fillId="4" borderId="11" xfId="0" applyNumberFormat="1" applyFont="1" applyFill="1" applyBorder="1" applyAlignment="1">
      <alignment horizontal="center"/>
    </xf>
    <xf numFmtId="3" fontId="8" fillId="4" borderId="9" xfId="0" applyNumberFormat="1" applyFont="1" applyFill="1" applyBorder="1" applyAlignment="1">
      <alignment horizontal="center"/>
    </xf>
    <xf numFmtId="1" fontId="8" fillId="4" borderId="10" xfId="0" applyNumberFormat="1" applyFont="1" applyFill="1" applyBorder="1" applyAlignment="1">
      <alignment horizontal="center"/>
    </xf>
    <xf numFmtId="1" fontId="8" fillId="4" borderId="11" xfId="0" applyNumberFormat="1" applyFont="1" applyFill="1" applyBorder="1" applyAlignment="1">
      <alignment horizontal="center"/>
    </xf>
    <xf numFmtId="3" fontId="0" fillId="0" borderId="0" xfId="0" applyNumberFormat="1" applyBorder="1" applyAlignment="1">
      <alignment horizontal="center"/>
    </xf>
    <xf numFmtId="1" fontId="0" fillId="0" borderId="13" xfId="0" applyNumberFormat="1" applyBorder="1" applyAlignment="1">
      <alignment horizontal="center"/>
    </xf>
    <xf numFmtId="3" fontId="0" fillId="3" borderId="13" xfId="0" applyNumberFormat="1" applyFill="1" applyBorder="1" applyAlignment="1">
      <alignment horizontal="center"/>
    </xf>
    <xf numFmtId="1" fontId="0" fillId="3" borderId="13" xfId="0" applyNumberFormat="1" applyFill="1" applyBorder="1" applyAlignment="1">
      <alignment horizontal="center"/>
    </xf>
    <xf numFmtId="1" fontId="0" fillId="0" borderId="13" xfId="0" applyNumberFormat="1" applyFill="1" applyBorder="1" applyAlignment="1">
      <alignment horizontal="center"/>
    </xf>
    <xf numFmtId="2" fontId="0" fillId="0" borderId="13" xfId="0" applyNumberFormat="1" applyFill="1" applyBorder="1" applyAlignment="1">
      <alignment horizontal="center"/>
    </xf>
    <xf numFmtId="1" fontId="0" fillId="0" borderId="24" xfId="0" applyNumberFormat="1" applyBorder="1" applyAlignment="1"/>
    <xf numFmtId="3" fontId="0" fillId="3" borderId="14" xfId="0" applyNumberFormat="1" applyFill="1" applyBorder="1" applyAlignment="1">
      <alignment horizontal="center"/>
    </xf>
    <xf numFmtId="1" fontId="0" fillId="0" borderId="11" xfId="0" applyNumberFormat="1" applyBorder="1" applyAlignment="1"/>
    <xf numFmtId="0" fontId="0" fillId="0" borderId="0" xfId="0" applyBorder="1" applyAlignment="1">
      <alignment horizontal="center"/>
    </xf>
    <xf numFmtId="2" fontId="0" fillId="0" borderId="13" xfId="0" applyNumberFormat="1" applyBorder="1" applyAlignment="1">
      <alignment horizontal="center"/>
    </xf>
    <xf numFmtId="1" fontId="5" fillId="0" borderId="0" xfId="0" applyNumberFormat="1" applyFont="1" applyBorder="1" applyAlignment="1">
      <alignment horizontal="center"/>
    </xf>
    <xf numFmtId="1" fontId="5" fillId="0" borderId="24" xfId="0" applyNumberFormat="1" applyFont="1" applyBorder="1" applyAlignment="1">
      <alignment horizontal="center"/>
    </xf>
    <xf numFmtId="1" fontId="0" fillId="3" borderId="0" xfId="0" applyNumberFormat="1" applyFill="1" applyBorder="1" applyAlignment="1">
      <alignment horizontal="center"/>
    </xf>
    <xf numFmtId="164" fontId="8" fillId="4" borderId="10" xfId="0" applyNumberFormat="1" applyFont="1" applyFill="1" applyBorder="1" applyAlignment="1">
      <alignment horizontal="center"/>
    </xf>
    <xf numFmtId="164" fontId="8" fillId="4" borderId="12" xfId="0" applyNumberFormat="1" applyFont="1" applyFill="1" applyBorder="1" applyAlignment="1">
      <alignment horizontal="center"/>
    </xf>
    <xf numFmtId="0" fontId="0" fillId="0" borderId="34" xfId="0" applyBorder="1"/>
    <xf numFmtId="0" fontId="0" fillId="0" borderId="34" xfId="0" applyBorder="1" applyAlignment="1">
      <alignment horizontal="center"/>
    </xf>
    <xf numFmtId="1" fontId="5" fillId="0" borderId="34" xfId="0" applyNumberFormat="1" applyFont="1" applyBorder="1" applyAlignment="1">
      <alignment horizontal="center"/>
    </xf>
    <xf numFmtId="165" fontId="5" fillId="0" borderId="34" xfId="0" applyNumberFormat="1" applyFont="1" applyBorder="1" applyAlignment="1">
      <alignment horizontal="center"/>
    </xf>
    <xf numFmtId="0" fontId="8" fillId="0" borderId="34" xfId="0" applyFont="1" applyBorder="1"/>
    <xf numFmtId="0" fontId="8" fillId="0" borderId="34" xfId="0" applyFont="1" applyBorder="1" applyAlignment="1">
      <alignment horizontal="center" wrapText="1"/>
    </xf>
    <xf numFmtId="1" fontId="4" fillId="0" borderId="34" xfId="0" applyNumberFormat="1" applyFont="1" applyBorder="1" applyAlignment="1">
      <alignment horizontal="center"/>
    </xf>
    <xf numFmtId="165" fontId="4" fillId="0" borderId="34" xfId="0" applyNumberFormat="1" applyFont="1" applyBorder="1" applyAlignment="1">
      <alignment horizontal="center"/>
    </xf>
    <xf numFmtId="0" fontId="8" fillId="0" borderId="34" xfId="0" applyFont="1" applyBorder="1" applyAlignment="1">
      <alignment horizontal="center"/>
    </xf>
    <xf numFmtId="165" fontId="5" fillId="0" borderId="24" xfId="2" applyNumberFormat="1" applyFont="1" applyBorder="1" applyAlignment="1">
      <alignment horizontal="center"/>
    </xf>
    <xf numFmtId="165" fontId="5" fillId="0" borderId="25" xfId="2" applyNumberFormat="1" applyFont="1" applyBorder="1" applyAlignment="1">
      <alignment horizontal="center"/>
    </xf>
    <xf numFmtId="165" fontId="5" fillId="0" borderId="2" xfId="2" applyNumberFormat="1" applyFont="1" applyBorder="1" applyAlignment="1">
      <alignment horizontal="center"/>
    </xf>
    <xf numFmtId="1" fontId="8" fillId="0" borderId="24" xfId="0" applyNumberFormat="1" applyFont="1" applyBorder="1" applyAlignment="1"/>
    <xf numFmtId="3" fontId="8" fillId="0" borderId="25" xfId="0" applyNumberFormat="1" applyFont="1" applyBorder="1"/>
    <xf numFmtId="1" fontId="5" fillId="0" borderId="25" xfId="0" applyNumberFormat="1" applyFont="1" applyBorder="1" applyAlignment="1">
      <alignment horizontal="center"/>
    </xf>
    <xf numFmtId="165" fontId="0" fillId="0" borderId="6" xfId="0" applyNumberFormat="1" applyBorder="1" applyAlignment="1">
      <alignment horizontal="center"/>
    </xf>
    <xf numFmtId="1" fontId="1" fillId="0" borderId="13" xfId="0" applyNumberFormat="1" applyFont="1" applyFill="1" applyBorder="1" applyAlignment="1">
      <alignment horizontal="center"/>
    </xf>
    <xf numFmtId="1" fontId="0" fillId="0" borderId="13" xfId="0" applyNumberFormat="1" applyFill="1" applyBorder="1" applyAlignment="1">
      <alignment horizontal="center"/>
    </xf>
    <xf numFmtId="1" fontId="5" fillId="0" borderId="24" xfId="0" applyNumberFormat="1" applyFont="1" applyFill="1" applyBorder="1" applyAlignment="1">
      <alignment horizontal="center"/>
    </xf>
    <xf numFmtId="165" fontId="5" fillId="0" borderId="2" xfId="2" applyNumberFormat="1" applyFont="1" applyFill="1" applyBorder="1" applyAlignment="1">
      <alignment horizontal="center"/>
    </xf>
    <xf numFmtId="2" fontId="1" fillId="0" borderId="13" xfId="0" applyNumberFormat="1" applyFont="1" applyFill="1" applyBorder="1" applyAlignment="1">
      <alignment horizontal="center"/>
    </xf>
    <xf numFmtId="1" fontId="5" fillId="0" borderId="11" xfId="0" applyNumberFormat="1" applyFont="1" applyBorder="1" applyAlignment="1">
      <alignment horizontal="center"/>
    </xf>
    <xf numFmtId="2" fontId="0" fillId="0" borderId="13" xfId="0" applyNumberFormat="1" applyFill="1" applyBorder="1" applyAlignment="1">
      <alignment horizontal="center"/>
    </xf>
    <xf numFmtId="2" fontId="0" fillId="0" borderId="13" xfId="0" applyNumberFormat="1" applyBorder="1" applyAlignment="1">
      <alignment horizontal="center"/>
    </xf>
    <xf numFmtId="2" fontId="5" fillId="0" borderId="11" xfId="0" applyNumberFormat="1" applyFont="1" applyBorder="1" applyAlignment="1">
      <alignment horizontal="center"/>
    </xf>
    <xf numFmtId="2" fontId="0" fillId="0" borderId="7" xfId="0" applyNumberFormat="1" applyBorder="1" applyAlignment="1">
      <alignment horizontal="center"/>
    </xf>
    <xf numFmtId="165" fontId="0" fillId="0" borderId="0" xfId="2" applyNumberFormat="1" applyFont="1" applyFill="1" applyBorder="1" applyAlignment="1">
      <alignment horizontal="center"/>
    </xf>
    <xf numFmtId="1" fontId="1" fillId="0" borderId="13" xfId="0" applyNumberFormat="1" applyFont="1" applyFill="1" applyBorder="1" applyAlignment="1">
      <alignment horizontal="center"/>
    </xf>
    <xf numFmtId="1" fontId="1" fillId="0" borderId="13" xfId="0" applyNumberFormat="1" applyFont="1" applyFill="1" applyBorder="1" applyAlignment="1">
      <alignment horizontal="center"/>
    </xf>
    <xf numFmtId="2" fontId="1" fillId="0" borderId="13" xfId="0" applyNumberFormat="1" applyFont="1" applyBorder="1" applyAlignment="1">
      <alignment horizontal="center"/>
    </xf>
    <xf numFmtId="1" fontId="0" fillId="0" borderId="13" xfId="0" applyNumberFormat="1" applyFill="1" applyBorder="1" applyAlignment="1">
      <alignment horizontal="center"/>
    </xf>
    <xf numFmtId="1" fontId="1" fillId="0" borderId="13" xfId="0" applyNumberFormat="1" applyFont="1" applyFill="1" applyBorder="1" applyAlignment="1">
      <alignment horizontal="center"/>
    </xf>
    <xf numFmtId="2" fontId="1" fillId="0" borderId="13" xfId="0" applyNumberFormat="1" applyFont="1" applyFill="1" applyBorder="1" applyAlignment="1">
      <alignment horizontal="center"/>
    </xf>
    <xf numFmtId="1" fontId="5" fillId="0" borderId="11" xfId="0" applyNumberFormat="1" applyFont="1" applyBorder="1" applyAlignment="1">
      <alignment horizontal="center"/>
    </xf>
    <xf numFmtId="2" fontId="0" fillId="0" borderId="13" xfId="0" applyNumberFormat="1" applyFill="1" applyBorder="1" applyAlignment="1">
      <alignment horizontal="center"/>
    </xf>
    <xf numFmtId="1" fontId="0" fillId="0" borderId="13" xfId="0" applyNumberFormat="1" applyBorder="1" applyAlignment="1">
      <alignment horizontal="center"/>
    </xf>
    <xf numFmtId="2" fontId="0" fillId="0" borderId="13" xfId="0" applyNumberFormat="1" applyBorder="1" applyAlignment="1">
      <alignment horizontal="center"/>
    </xf>
    <xf numFmtId="1" fontId="1" fillId="0" borderId="13" xfId="0" applyNumberFormat="1" applyFont="1" applyFill="1" applyBorder="1" applyAlignment="1">
      <alignment horizontal="center"/>
    </xf>
    <xf numFmtId="2" fontId="1" fillId="0" borderId="13" xfId="0" applyNumberFormat="1" applyFont="1" applyBorder="1" applyAlignment="1">
      <alignment horizontal="center"/>
    </xf>
    <xf numFmtId="2" fontId="1" fillId="0" borderId="0" xfId="0" applyNumberFormat="1" applyFont="1" applyBorder="1" applyAlignment="1">
      <alignment horizontal="center"/>
    </xf>
    <xf numFmtId="2" fontId="1" fillId="0" borderId="13" xfId="0" applyNumberFormat="1" applyFont="1" applyFill="1" applyBorder="1" applyAlignment="1">
      <alignment horizontal="center"/>
    </xf>
    <xf numFmtId="2" fontId="1" fillId="0" borderId="0" xfId="0" applyNumberFormat="1" applyFont="1" applyFill="1" applyBorder="1" applyAlignment="1">
      <alignment horizontal="center"/>
    </xf>
    <xf numFmtId="2" fontId="0" fillId="0" borderId="13" xfId="0" applyNumberFormat="1" applyBorder="1" applyAlignment="1">
      <alignment horizontal="center"/>
    </xf>
    <xf numFmtId="2" fontId="0" fillId="0" borderId="13" xfId="0" applyNumberFormat="1" applyFill="1" applyBorder="1" applyAlignment="1">
      <alignment horizontal="center"/>
    </xf>
    <xf numFmtId="2" fontId="0" fillId="0" borderId="24" xfId="0" applyNumberFormat="1" applyFill="1" applyBorder="1" applyAlignment="1">
      <alignment horizontal="center"/>
    </xf>
    <xf numFmtId="2" fontId="1" fillId="3" borderId="21" xfId="0" applyNumberFormat="1" applyFont="1" applyFill="1" applyBorder="1" applyAlignment="1">
      <alignment horizontal="center"/>
    </xf>
    <xf numFmtId="2" fontId="0" fillId="0" borderId="21" xfId="0" applyNumberFormat="1" applyBorder="1" applyAlignment="1">
      <alignment horizontal="center"/>
    </xf>
    <xf numFmtId="2" fontId="1" fillId="3" borderId="13" xfId="0" applyNumberFormat="1" applyFont="1" applyFill="1" applyBorder="1" applyAlignment="1">
      <alignment horizontal="center"/>
    </xf>
    <xf numFmtId="2" fontId="0" fillId="0" borderId="11" xfId="0" applyNumberFormat="1" applyFill="1" applyBorder="1" applyAlignment="1">
      <alignment horizontal="center"/>
    </xf>
    <xf numFmtId="2" fontId="1" fillId="0" borderId="24" xfId="0" applyNumberFormat="1" applyFont="1" applyFill="1" applyBorder="1" applyAlignment="1">
      <alignment horizontal="center"/>
    </xf>
    <xf numFmtId="2" fontId="1" fillId="0" borderId="11" xfId="0" applyNumberFormat="1" applyFont="1" applyFill="1" applyBorder="1" applyAlignment="1">
      <alignment horizontal="center"/>
    </xf>
    <xf numFmtId="0" fontId="8" fillId="0" borderId="6" xfId="0" applyFont="1" applyBorder="1"/>
    <xf numFmtId="0" fontId="8" fillId="3" borderId="6" xfId="0" applyFont="1" applyFill="1" applyBorder="1"/>
    <xf numFmtId="0" fontId="3" fillId="0" borderId="6" xfId="0" applyFont="1" applyBorder="1" applyAlignment="1">
      <alignment horizontal="right"/>
    </xf>
    <xf numFmtId="165" fontId="5" fillId="0" borderId="31" xfId="2" applyNumberFormat="1" applyFont="1" applyFill="1" applyBorder="1" applyAlignment="1">
      <alignment horizontal="center"/>
    </xf>
    <xf numFmtId="165" fontId="12" fillId="4" borderId="9" xfId="0" applyNumberFormat="1" applyFont="1" applyFill="1" applyBorder="1" applyAlignment="1">
      <alignment horizontal="center"/>
    </xf>
    <xf numFmtId="165" fontId="12" fillId="4" borderId="12" xfId="0" applyNumberFormat="1" applyFont="1" applyFill="1" applyBorder="1" applyAlignment="1">
      <alignment horizontal="center"/>
    </xf>
    <xf numFmtId="0" fontId="8" fillId="0" borderId="0" xfId="0" applyFont="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1" fontId="8" fillId="0" borderId="24" xfId="0" applyNumberFormat="1" applyFont="1" applyBorder="1" applyAlignment="1"/>
    <xf numFmtId="0" fontId="0" fillId="0" borderId="0" xfId="0" applyBorder="1" applyAlignment="1">
      <alignment horizontal="center"/>
    </xf>
    <xf numFmtId="1" fontId="0" fillId="0" borderId="24" xfId="0" applyNumberFormat="1" applyBorder="1" applyAlignment="1"/>
    <xf numFmtId="1" fontId="5" fillId="0" borderId="0" xfId="0" applyNumberFormat="1" applyFont="1" applyBorder="1" applyAlignment="1">
      <alignment horizontal="center"/>
    </xf>
    <xf numFmtId="3" fontId="5" fillId="0" borderId="0" xfId="0" applyNumberFormat="1" applyFont="1" applyBorder="1" applyAlignment="1">
      <alignment horizontal="center"/>
    </xf>
    <xf numFmtId="0" fontId="1" fillId="0" borderId="0" xfId="0" applyFont="1" applyBorder="1" applyAlignment="1">
      <alignment horizontal="center" wrapText="1"/>
    </xf>
    <xf numFmtId="0" fontId="4" fillId="9" borderId="26" xfId="0" applyFont="1" applyFill="1" applyBorder="1"/>
    <xf numFmtId="0" fontId="1" fillId="0" borderId="4" xfId="3" applyFont="1" applyBorder="1"/>
    <xf numFmtId="3" fontId="18" fillId="0" borderId="13" xfId="3" applyNumberFormat="1" applyBorder="1" applyAlignment="1">
      <alignment horizontal="center"/>
    </xf>
    <xf numFmtId="165" fontId="1" fillId="3" borderId="7" xfId="3" applyNumberFormat="1" applyFont="1" applyFill="1" applyBorder="1" applyAlignment="1">
      <alignment horizontal="center"/>
    </xf>
    <xf numFmtId="165" fontId="1" fillId="0" borderId="7" xfId="3" applyNumberFormat="1" applyFont="1" applyFill="1" applyBorder="1" applyAlignment="1">
      <alignment horizontal="center"/>
    </xf>
    <xf numFmtId="165" fontId="1" fillId="0" borderId="7" xfId="3" applyNumberFormat="1" applyFont="1" applyBorder="1" applyAlignment="1">
      <alignment horizontal="center"/>
    </xf>
    <xf numFmtId="165" fontId="1" fillId="0" borderId="0" xfId="3" applyNumberFormat="1" applyFont="1" applyFill="1" applyBorder="1" applyAlignment="1">
      <alignment horizontal="center"/>
    </xf>
    <xf numFmtId="0" fontId="18" fillId="0" borderId="0" xfId="3"/>
    <xf numFmtId="3" fontId="18" fillId="0" borderId="13" xfId="3" applyNumberFormat="1" applyFill="1" applyBorder="1" applyAlignment="1">
      <alignment horizontal="center"/>
    </xf>
    <xf numFmtId="0" fontId="1" fillId="0" borderId="4" xfId="3" applyFont="1" applyFill="1" applyBorder="1"/>
    <xf numFmtId="3" fontId="1" fillId="0" borderId="13" xfId="3" applyNumberFormat="1" applyFont="1" applyFill="1" applyBorder="1" applyAlignment="1">
      <alignment horizontal="center"/>
    </xf>
    <xf numFmtId="0" fontId="1" fillId="3" borderId="4" xfId="3" applyFont="1" applyFill="1" applyBorder="1"/>
    <xf numFmtId="0" fontId="7" fillId="0" borderId="15" xfId="3" applyFont="1" applyFill="1" applyBorder="1" applyAlignment="1">
      <alignment horizontal="right"/>
    </xf>
    <xf numFmtId="3" fontId="5" fillId="0" borderId="24" xfId="3" applyNumberFormat="1" applyFont="1" applyBorder="1" applyAlignment="1">
      <alignment horizontal="center"/>
    </xf>
    <xf numFmtId="165" fontId="5" fillId="0" borderId="24" xfId="4" applyNumberFormat="1" applyFont="1" applyBorder="1" applyAlignment="1">
      <alignment horizontal="center"/>
    </xf>
    <xf numFmtId="0" fontId="18" fillId="0" borderId="4" xfId="3" applyBorder="1"/>
    <xf numFmtId="0" fontId="18" fillId="3" borderId="0" xfId="3" applyFill="1"/>
    <xf numFmtId="3" fontId="18" fillId="3" borderId="13" xfId="3" applyNumberFormat="1" applyFill="1" applyBorder="1" applyAlignment="1">
      <alignment horizontal="center"/>
    </xf>
    <xf numFmtId="3" fontId="1" fillId="3" borderId="13" xfId="3" applyNumberFormat="1" applyFont="1" applyFill="1" applyBorder="1" applyAlignment="1">
      <alignment horizontal="center"/>
    </xf>
    <xf numFmtId="0" fontId="1" fillId="0" borderId="16" xfId="3" applyFont="1" applyFill="1" applyBorder="1"/>
    <xf numFmtId="3" fontId="18" fillId="0" borderId="13" xfId="3" applyNumberFormat="1" applyFill="1" applyBorder="1" applyAlignment="1">
      <alignment horizontal="center"/>
    </xf>
    <xf numFmtId="3" fontId="1" fillId="0" borderId="13" xfId="3" applyNumberFormat="1" applyFont="1" applyFill="1" applyBorder="1" applyAlignment="1">
      <alignment horizontal="center"/>
    </xf>
    <xf numFmtId="1" fontId="5" fillId="0" borderId="24" xfId="0" applyNumberFormat="1" applyFont="1" applyBorder="1" applyAlignment="1">
      <alignment horizontal="center"/>
    </xf>
    <xf numFmtId="0" fontId="18" fillId="0" borderId="0" xfId="3" applyFill="1"/>
    <xf numFmtId="165" fontId="1" fillId="0" borderId="13" xfId="3" applyNumberFormat="1" applyFont="1" applyFill="1" applyBorder="1" applyAlignment="1">
      <alignment horizontal="center"/>
    </xf>
    <xf numFmtId="165" fontId="1" fillId="0" borderId="7" xfId="4" applyNumberFormat="1" applyFont="1" applyFill="1" applyBorder="1" applyAlignment="1">
      <alignment horizontal="center"/>
    </xf>
    <xf numFmtId="3" fontId="5" fillId="0" borderId="24" xfId="3" applyNumberFormat="1" applyFont="1" applyFill="1" applyBorder="1" applyAlignment="1">
      <alignment horizontal="center"/>
    </xf>
    <xf numFmtId="165" fontId="5" fillId="0" borderId="24" xfId="4" applyNumberFormat="1" applyFont="1" applyFill="1" applyBorder="1" applyAlignment="1">
      <alignment horizontal="center"/>
    </xf>
    <xf numFmtId="1" fontId="0" fillId="9" borderId="0" xfId="0" applyNumberFormat="1" applyFill="1" applyBorder="1" applyAlignment="1">
      <alignment horizontal="right"/>
    </xf>
    <xf numFmtId="0" fontId="0" fillId="9" borderId="2"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6" xfId="0" applyFill="1" applyBorder="1"/>
    <xf numFmtId="0" fontId="0" fillId="9" borderId="19" xfId="0" applyFill="1" applyBorder="1"/>
    <xf numFmtId="1" fontId="0" fillId="9" borderId="1" xfId="0" applyNumberFormat="1" applyFill="1" applyBorder="1" applyAlignment="1">
      <alignment horizontal="right"/>
    </xf>
    <xf numFmtId="1" fontId="0" fillId="9" borderId="2" xfId="0" applyNumberFormat="1" applyFill="1" applyBorder="1" applyAlignment="1">
      <alignment horizontal="right"/>
    </xf>
    <xf numFmtId="0" fontId="0" fillId="9" borderId="3" xfId="0" applyFill="1" applyBorder="1"/>
    <xf numFmtId="1" fontId="0" fillId="9" borderId="4" xfId="0" applyNumberFormat="1" applyFill="1" applyBorder="1" applyAlignment="1">
      <alignment horizontal="right"/>
    </xf>
    <xf numFmtId="1" fontId="0" fillId="9" borderId="20" xfId="0" applyNumberFormat="1" applyFill="1" applyBorder="1" applyAlignment="1">
      <alignment horizontal="right"/>
    </xf>
    <xf numFmtId="0" fontId="0" fillId="9" borderId="20" xfId="0" applyFill="1" applyBorder="1"/>
    <xf numFmtId="1" fontId="0" fillId="9" borderId="5" xfId="0" applyNumberFormat="1" applyFill="1" applyBorder="1" applyAlignment="1">
      <alignment horizontal="right"/>
    </xf>
    <xf numFmtId="1" fontId="0" fillId="9" borderId="6" xfId="0" applyNumberFormat="1" applyFill="1" applyBorder="1" applyAlignment="1">
      <alignment horizontal="right"/>
    </xf>
    <xf numFmtId="1" fontId="5" fillId="0" borderId="7" xfId="0" applyNumberFormat="1" applyFont="1" applyBorder="1" applyAlignment="1">
      <alignment horizontal="center"/>
    </xf>
    <xf numFmtId="3" fontId="1" fillId="3" borderId="13" xfId="0" applyNumberFormat="1" applyFont="1" applyFill="1" applyBorder="1" applyAlignment="1">
      <alignment horizontal="center"/>
    </xf>
    <xf numFmtId="3" fontId="8" fillId="9" borderId="9" xfId="0" applyNumberFormat="1" applyFont="1" applyFill="1" applyBorder="1" applyAlignment="1">
      <alignment horizontal="center"/>
    </xf>
    <xf numFmtId="3" fontId="1" fillId="0" borderId="13" xfId="0" applyNumberFormat="1" applyFont="1" applyFill="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3" fontId="5" fillId="0" borderId="11" xfId="0" applyNumberFormat="1" applyFont="1" applyBorder="1" applyAlignment="1">
      <alignment horizontal="center"/>
    </xf>
    <xf numFmtId="0" fontId="8" fillId="0" borderId="30" xfId="0" applyFont="1" applyBorder="1" applyAlignment="1">
      <alignment horizontal="center"/>
    </xf>
    <xf numFmtId="3" fontId="5" fillId="0" borderId="24" xfId="0" applyNumberFormat="1" applyFont="1" applyBorder="1" applyAlignment="1">
      <alignment horizontal="center"/>
    </xf>
    <xf numFmtId="3" fontId="0" fillId="0" borderId="13" xfId="0" applyNumberFormat="1" applyBorder="1" applyAlignment="1">
      <alignment horizontal="center"/>
    </xf>
    <xf numFmtId="3" fontId="0" fillId="0" borderId="13" xfId="0" applyNumberFormat="1" applyFill="1" applyBorder="1" applyAlignment="1">
      <alignment horizontal="center"/>
    </xf>
    <xf numFmtId="0" fontId="0" fillId="0" borderId="0" xfId="0" applyBorder="1" applyAlignment="1">
      <alignment horizontal="center"/>
    </xf>
    <xf numFmtId="1" fontId="0" fillId="0" borderId="11" xfId="0" applyNumberFormat="1" applyBorder="1" applyAlignment="1"/>
    <xf numFmtId="3" fontId="5" fillId="0" borderId="0" xfId="0" applyNumberFormat="1" applyFont="1" applyBorder="1" applyAlignment="1">
      <alignment horizontal="center"/>
    </xf>
    <xf numFmtId="1" fontId="5" fillId="0" borderId="0" xfId="0" applyNumberFormat="1" applyFont="1" applyBorder="1" applyAlignment="1">
      <alignment horizontal="center"/>
    </xf>
    <xf numFmtId="3" fontId="0" fillId="3" borderId="13" xfId="0" applyNumberFormat="1" applyFill="1" applyBorder="1" applyAlignment="1">
      <alignment horizontal="center"/>
    </xf>
    <xf numFmtId="165" fontId="5" fillId="0" borderId="24" xfId="2" applyNumberFormat="1" applyFont="1" applyBorder="1" applyAlignment="1">
      <alignment horizontal="center"/>
    </xf>
    <xf numFmtId="165" fontId="12" fillId="9" borderId="9" xfId="0" applyNumberFormat="1" applyFont="1" applyFill="1" applyBorder="1" applyAlignment="1">
      <alignment horizontal="center"/>
    </xf>
    <xf numFmtId="165" fontId="12" fillId="9" borderId="12" xfId="0" applyNumberFormat="1" applyFont="1" applyFill="1" applyBorder="1" applyAlignment="1">
      <alignment horizontal="center"/>
    </xf>
    <xf numFmtId="1" fontId="1" fillId="9" borderId="0" xfId="0" applyNumberFormat="1" applyFont="1" applyFill="1" applyBorder="1" applyAlignment="1">
      <alignment horizontal="right"/>
    </xf>
    <xf numFmtId="3" fontId="8" fillId="4" borderId="9" xfId="0" applyNumberFormat="1" applyFont="1" applyFill="1" applyBorder="1" applyAlignment="1">
      <alignment horizontal="center"/>
    </xf>
    <xf numFmtId="3" fontId="8" fillId="4" borderId="11" xfId="0" applyNumberFormat="1" applyFont="1" applyFill="1" applyBorder="1" applyAlignment="1">
      <alignment horizontal="center"/>
    </xf>
    <xf numFmtId="1" fontId="8" fillId="4" borderId="10" xfId="0" applyNumberFormat="1" applyFont="1" applyFill="1" applyBorder="1" applyAlignment="1">
      <alignment horizontal="center"/>
    </xf>
    <xf numFmtId="1" fontId="8" fillId="4" borderId="11" xfId="0" applyNumberFormat="1" applyFont="1" applyFill="1" applyBorder="1" applyAlignment="1">
      <alignment horizontal="center"/>
    </xf>
    <xf numFmtId="3" fontId="8" fillId="4" borderId="10" xfId="0" applyNumberFormat="1" applyFont="1" applyFill="1" applyBorder="1" applyAlignment="1">
      <alignment horizontal="center"/>
    </xf>
    <xf numFmtId="164" fontId="8" fillId="4" borderId="10" xfId="0" applyNumberFormat="1" applyFont="1" applyFill="1" applyBorder="1" applyAlignment="1">
      <alignment horizontal="center"/>
    </xf>
    <xf numFmtId="164" fontId="8" fillId="4" borderId="12" xfId="0" applyNumberFormat="1" applyFont="1" applyFill="1" applyBorder="1" applyAlignment="1">
      <alignment horizontal="center"/>
    </xf>
    <xf numFmtId="2" fontId="8" fillId="4" borderId="11" xfId="0" applyNumberFormat="1" applyFont="1" applyFill="1" applyBorder="1" applyAlignment="1">
      <alignment horizontal="center"/>
    </xf>
    <xf numFmtId="1" fontId="8" fillId="4" borderId="9" xfId="0" applyNumberFormat="1" applyFont="1" applyFill="1" applyBorder="1" applyAlignment="1">
      <alignment horizontal="center"/>
    </xf>
    <xf numFmtId="0" fontId="8" fillId="4" borderId="0" xfId="0" applyFont="1" applyFill="1"/>
    <xf numFmtId="0" fontId="4" fillId="4" borderId="15" xfId="0" applyFont="1" applyFill="1" applyBorder="1" applyAlignment="1">
      <alignment horizontal="right"/>
    </xf>
    <xf numFmtId="3" fontId="4" fillId="4" borderId="11" xfId="0" applyNumberFormat="1" applyFont="1" applyFill="1" applyBorder="1" applyAlignment="1">
      <alignment horizontal="center"/>
    </xf>
    <xf numFmtId="165" fontId="4" fillId="4" borderId="11" xfId="2" applyNumberFormat="1" applyFont="1" applyFill="1" applyBorder="1" applyAlignment="1">
      <alignment horizontal="center"/>
    </xf>
    <xf numFmtId="0" fontId="0" fillId="4" borderId="0" xfId="0" applyFill="1"/>
    <xf numFmtId="165" fontId="4" fillId="4" borderId="11" xfId="0" applyNumberFormat="1" applyFont="1" applyFill="1" applyBorder="1" applyAlignment="1">
      <alignment horizontal="center"/>
    </xf>
    <xf numFmtId="165" fontId="4" fillId="4" borderId="8" xfId="0" applyNumberFormat="1" applyFont="1" applyFill="1" applyBorder="1" applyAlignment="1">
      <alignment horizontal="center"/>
    </xf>
    <xf numFmtId="0" fontId="4" fillId="4" borderId="26" xfId="0" applyFont="1" applyFill="1" applyBorder="1" applyAlignment="1">
      <alignment horizontal="right"/>
    </xf>
    <xf numFmtId="0" fontId="4" fillId="4" borderId="18" xfId="0" applyFont="1" applyFill="1" applyBorder="1" applyAlignment="1">
      <alignment horizontal="right"/>
    </xf>
    <xf numFmtId="165" fontId="4" fillId="4" borderId="22" xfId="0" applyNumberFormat="1" applyFont="1" applyFill="1" applyBorder="1" applyAlignment="1">
      <alignment horizontal="center"/>
    </xf>
    <xf numFmtId="167" fontId="12" fillId="4" borderId="12" xfId="0" applyNumberFormat="1" applyFont="1" applyFill="1" applyBorder="1" applyAlignment="1">
      <alignment horizontal="center"/>
    </xf>
    <xf numFmtId="1" fontId="4" fillId="4" borderId="11" xfId="0" applyNumberFormat="1" applyFont="1" applyFill="1" applyBorder="1" applyAlignment="1">
      <alignment horizontal="center"/>
    </xf>
    <xf numFmtId="0" fontId="0" fillId="4" borderId="0" xfId="0" applyFill="1" applyBorder="1"/>
    <xf numFmtId="0" fontId="7" fillId="4" borderId="26" xfId="0" applyFont="1" applyFill="1" applyBorder="1" applyAlignment="1">
      <alignment horizontal="right"/>
    </xf>
    <xf numFmtId="165" fontId="5" fillId="4" borderId="9" xfId="0" applyNumberFormat="1" applyFont="1" applyFill="1" applyBorder="1" applyAlignment="1">
      <alignment horizontal="center"/>
    </xf>
    <xf numFmtId="167" fontId="8" fillId="4" borderId="9" xfId="0" applyNumberFormat="1" applyFont="1" applyFill="1" applyBorder="1" applyAlignment="1">
      <alignment horizontal="center"/>
    </xf>
    <xf numFmtId="165" fontId="12" fillId="4" borderId="11" xfId="0" applyNumberFormat="1" applyFont="1" applyFill="1" applyBorder="1" applyAlignment="1">
      <alignment horizontal="center"/>
    </xf>
    <xf numFmtId="0" fontId="4" fillId="4" borderId="18" xfId="0" applyFont="1" applyFill="1" applyBorder="1"/>
    <xf numFmtId="1" fontId="8" fillId="4" borderId="21" xfId="0" applyNumberFormat="1" applyFont="1" applyFill="1" applyBorder="1" applyAlignment="1"/>
    <xf numFmtId="3" fontId="8" fillId="4" borderId="22" xfId="0" applyNumberFormat="1" applyFont="1" applyFill="1" applyBorder="1"/>
    <xf numFmtId="3" fontId="8" fillId="4" borderId="6" xfId="0" applyNumberFormat="1" applyFont="1" applyFill="1" applyBorder="1"/>
    <xf numFmtId="1" fontId="4" fillId="4" borderId="8" xfId="0" applyNumberFormat="1" applyFont="1" applyFill="1" applyBorder="1" applyAlignment="1">
      <alignment horizontal="center"/>
    </xf>
    <xf numFmtId="165" fontId="4" fillId="4" borderId="23" xfId="0" applyNumberFormat="1" applyFont="1" applyFill="1" applyBorder="1" applyAlignment="1">
      <alignment horizontal="center"/>
    </xf>
    <xf numFmtId="165" fontId="4" fillId="4" borderId="12" xfId="0" applyNumberFormat="1" applyFont="1" applyFill="1" applyBorder="1" applyAlignment="1">
      <alignment horizontal="center"/>
    </xf>
    <xf numFmtId="1" fontId="8" fillId="4" borderId="11" xfId="0" applyNumberFormat="1" applyFont="1" applyFill="1" applyBorder="1" applyAlignment="1"/>
    <xf numFmtId="0" fontId="0" fillId="0" borderId="0" xfId="0" applyFill="1" applyBorder="1"/>
    <xf numFmtId="0" fontId="4" fillId="4" borderId="26" xfId="3" applyFont="1" applyFill="1" applyBorder="1"/>
    <xf numFmtId="3" fontId="8" fillId="4" borderId="9" xfId="3" applyNumberFormat="1" applyFont="1" applyFill="1" applyBorder="1" applyAlignment="1">
      <alignment horizontal="center"/>
    </xf>
    <xf numFmtId="167" fontId="12" fillId="4" borderId="9" xfId="3" applyNumberFormat="1" applyFont="1" applyFill="1" applyBorder="1" applyAlignment="1">
      <alignment horizontal="center"/>
    </xf>
    <xf numFmtId="167" fontId="12" fillId="4" borderId="12" xfId="3" applyNumberFormat="1" applyFont="1" applyFill="1" applyBorder="1" applyAlignment="1">
      <alignment horizontal="center"/>
    </xf>
    <xf numFmtId="0" fontId="8" fillId="4" borderId="0" xfId="3" applyFont="1" applyFill="1"/>
    <xf numFmtId="165" fontId="12" fillId="4" borderId="9" xfId="3" applyNumberFormat="1" applyFont="1" applyFill="1" applyBorder="1" applyAlignment="1">
      <alignment horizontal="center"/>
    </xf>
    <xf numFmtId="165" fontId="12" fillId="4" borderId="12" xfId="3" applyNumberFormat="1" applyFont="1" applyFill="1" applyBorder="1" applyAlignment="1">
      <alignment horizontal="center"/>
    </xf>
    <xf numFmtId="167" fontId="12" fillId="4" borderId="10" xfId="0" applyNumberFormat="1" applyFont="1" applyFill="1" applyBorder="1" applyAlignment="1">
      <alignment horizontal="center"/>
    </xf>
    <xf numFmtId="165" fontId="8" fillId="4" borderId="10" xfId="0" applyNumberFormat="1" applyFont="1" applyFill="1" applyBorder="1" applyAlignment="1">
      <alignment horizontal="center"/>
    </xf>
    <xf numFmtId="167" fontId="8" fillId="4" borderId="8" xfId="0" applyNumberFormat="1" applyFont="1" applyFill="1" applyBorder="1" applyAlignment="1">
      <alignment horizontal="center"/>
    </xf>
    <xf numFmtId="3" fontId="12" fillId="4" borderId="10" xfId="0" applyNumberFormat="1" applyFont="1" applyFill="1" applyBorder="1" applyAlignment="1">
      <alignment horizontal="center"/>
    </xf>
    <xf numFmtId="3" fontId="12" fillId="4" borderId="11" xfId="0" applyNumberFormat="1" applyFont="1" applyFill="1" applyBorder="1" applyAlignment="1">
      <alignment horizontal="center"/>
    </xf>
    <xf numFmtId="1" fontId="4" fillId="4" borderId="9" xfId="0" applyNumberFormat="1" applyFont="1" applyFill="1" applyBorder="1" applyAlignment="1">
      <alignment horizontal="center"/>
    </xf>
    <xf numFmtId="0" fontId="11" fillId="4" borderId="15" xfId="0" applyFont="1" applyFill="1" applyBorder="1"/>
    <xf numFmtId="165" fontId="4" fillId="4" borderId="9" xfId="0" applyNumberFormat="1" applyFont="1" applyFill="1" applyBorder="1" applyAlignment="1">
      <alignment horizontal="center"/>
    </xf>
    <xf numFmtId="1" fontId="1" fillId="4" borderId="11"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9" xfId="0" applyNumberFormat="1" applyFont="1" applyFill="1" applyBorder="1" applyAlignment="1">
      <alignment horizontal="center"/>
    </xf>
    <xf numFmtId="0" fontId="4" fillId="4" borderId="15" xfId="0" applyFont="1" applyFill="1" applyBorder="1" applyAlignment="1">
      <alignment horizontal="left"/>
    </xf>
    <xf numFmtId="1" fontId="4" fillId="4" borderId="30" xfId="0" applyNumberFormat="1" applyFont="1" applyFill="1" applyBorder="1" applyAlignment="1">
      <alignment horizontal="center"/>
    </xf>
    <xf numFmtId="1" fontId="4" fillId="4" borderId="21" xfId="0" applyNumberFormat="1" applyFont="1" applyFill="1" applyBorder="1" applyAlignment="1">
      <alignment horizontal="center"/>
    </xf>
    <xf numFmtId="0" fontId="11" fillId="4" borderId="26" xfId="0" applyFont="1" applyFill="1" applyBorder="1"/>
    <xf numFmtId="0" fontId="4" fillId="4" borderId="26" xfId="0" applyFont="1" applyFill="1" applyBorder="1" applyAlignment="1">
      <alignment horizontal="left"/>
    </xf>
    <xf numFmtId="1" fontId="5" fillId="4" borderId="9" xfId="0" applyNumberFormat="1" applyFont="1" applyFill="1" applyBorder="1" applyAlignment="1">
      <alignment horizontal="center"/>
    </xf>
    <xf numFmtId="1" fontId="4" fillId="4" borderId="22" xfId="0" applyNumberFormat="1" applyFont="1" applyFill="1" applyBorder="1" applyAlignment="1">
      <alignment horizontal="center"/>
    </xf>
    <xf numFmtId="3" fontId="1" fillId="0" borderId="13" xfId="0" applyNumberFormat="1" applyFont="1" applyFill="1" applyBorder="1" applyAlignment="1">
      <alignment horizontal="center"/>
    </xf>
    <xf numFmtId="3" fontId="0" fillId="0" borderId="13" xfId="0" applyNumberFormat="1" applyFill="1" applyBorder="1" applyAlignment="1">
      <alignment horizontal="center"/>
    </xf>
    <xf numFmtId="3" fontId="1" fillId="0" borderId="13" xfId="0" applyNumberFormat="1" applyFont="1" applyFill="1" applyBorder="1" applyAlignment="1">
      <alignment horizontal="center"/>
    </xf>
    <xf numFmtId="3" fontId="4" fillId="4" borderId="11" xfId="0" applyNumberFormat="1" applyFont="1" applyFill="1" applyBorder="1" applyAlignment="1">
      <alignment horizontal="center"/>
    </xf>
    <xf numFmtId="3" fontId="5" fillId="0" borderId="11" xfId="0" applyNumberFormat="1" applyFont="1" applyBorder="1" applyAlignment="1">
      <alignment horizontal="center"/>
    </xf>
    <xf numFmtId="1" fontId="8" fillId="0" borderId="0" xfId="0" applyNumberFormat="1"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3" fontId="8" fillId="4" borderId="9" xfId="0" applyNumberFormat="1" applyFont="1" applyFill="1" applyBorder="1" applyAlignment="1">
      <alignment horizontal="center"/>
    </xf>
    <xf numFmtId="1" fontId="8" fillId="4" borderId="9" xfId="0" applyNumberFormat="1" applyFont="1" applyFill="1" applyBorder="1" applyAlignment="1">
      <alignment horizontal="center"/>
    </xf>
    <xf numFmtId="3" fontId="1" fillId="0" borderId="13" xfId="0" applyNumberFormat="1" applyFont="1" applyFill="1" applyBorder="1" applyAlignment="1">
      <alignment horizontal="center"/>
    </xf>
    <xf numFmtId="3" fontId="5" fillId="0" borderId="24" xfId="0" applyNumberFormat="1" applyFont="1" applyBorder="1" applyAlignment="1">
      <alignment horizontal="center"/>
    </xf>
    <xf numFmtId="3" fontId="1" fillId="3" borderId="13" xfId="0" applyNumberFormat="1" applyFont="1" applyFill="1" applyBorder="1" applyAlignment="1">
      <alignment horizontal="center"/>
    </xf>
    <xf numFmtId="1" fontId="0" fillId="0" borderId="11" xfId="0" applyNumberFormat="1" applyBorder="1" applyAlignment="1"/>
    <xf numFmtId="3" fontId="0" fillId="0" borderId="13" xfId="0" applyNumberFormat="1" applyFill="1" applyBorder="1" applyAlignment="1">
      <alignment horizontal="center"/>
    </xf>
    <xf numFmtId="3" fontId="0" fillId="0" borderId="13" xfId="0" applyNumberFormat="1" applyBorder="1" applyAlignment="1">
      <alignment horizontal="center"/>
    </xf>
    <xf numFmtId="3" fontId="8" fillId="9" borderId="9" xfId="0" applyNumberFormat="1" applyFont="1" applyFill="1" applyBorder="1" applyAlignment="1">
      <alignment horizontal="center"/>
    </xf>
    <xf numFmtId="0" fontId="0" fillId="0" borderId="0" xfId="0" applyBorder="1" applyAlignment="1">
      <alignment horizontal="center"/>
    </xf>
    <xf numFmtId="3" fontId="0" fillId="3" borderId="13" xfId="0" applyNumberFormat="1" applyFill="1" applyBorder="1" applyAlignment="1">
      <alignment horizontal="center"/>
    </xf>
    <xf numFmtId="1" fontId="5" fillId="0" borderId="0" xfId="0" applyNumberFormat="1" applyFont="1" applyBorder="1" applyAlignment="1">
      <alignment horizontal="center"/>
    </xf>
    <xf numFmtId="3" fontId="5" fillId="0" borderId="0" xfId="0" applyNumberFormat="1" applyFont="1" applyBorder="1" applyAlignment="1">
      <alignment horizontal="center"/>
    </xf>
    <xf numFmtId="165" fontId="12" fillId="4" borderId="9" xfId="0" applyNumberFormat="1" applyFont="1" applyFill="1" applyBorder="1" applyAlignment="1">
      <alignment horizontal="center"/>
    </xf>
    <xf numFmtId="165" fontId="12" fillId="4" borderId="12" xfId="0" applyNumberFormat="1" applyFont="1" applyFill="1" applyBorder="1" applyAlignment="1">
      <alignment horizontal="center"/>
    </xf>
    <xf numFmtId="165" fontId="5" fillId="0" borderId="11" xfId="2" applyNumberFormat="1" applyFont="1" applyBorder="1" applyAlignment="1">
      <alignment horizontal="center"/>
    </xf>
    <xf numFmtId="165" fontId="5" fillId="0" borderId="24" xfId="2" applyNumberFormat="1" applyFont="1" applyBorder="1" applyAlignment="1">
      <alignment horizontal="center"/>
    </xf>
    <xf numFmtId="0" fontId="1" fillId="0" borderId="0" xfId="0" applyFont="1" applyFill="1" applyBorder="1"/>
    <xf numFmtId="0" fontId="8" fillId="0" borderId="4" xfId="0" applyFont="1" applyFill="1" applyBorder="1"/>
    <xf numFmtId="0" fontId="8" fillId="0" borderId="0" xfId="0" applyFont="1" applyFill="1" applyBorder="1"/>
    <xf numFmtId="0" fontId="0" fillId="0" borderId="28" xfId="0" applyFill="1" applyBorder="1"/>
    <xf numFmtId="0" fontId="8" fillId="0" borderId="0" xfId="3" applyFont="1" applyFill="1"/>
    <xf numFmtId="0" fontId="18" fillId="0" borderId="0" xfId="3" applyFill="1" applyBorder="1"/>
    <xf numFmtId="0" fontId="4" fillId="0" borderId="0" xfId="0" applyFont="1" applyFill="1"/>
    <xf numFmtId="3" fontId="1" fillId="0" borderId="13" xfId="0" applyNumberFormat="1" applyFont="1" applyFill="1" applyBorder="1" applyAlignment="1">
      <alignment horizontal="center"/>
    </xf>
    <xf numFmtId="3" fontId="1" fillId="0" borderId="13" xfId="0" applyNumberFormat="1" applyFont="1" applyFill="1" applyBorder="1" applyAlignment="1">
      <alignment horizontal="center"/>
    </xf>
    <xf numFmtId="3" fontId="5" fillId="0" borderId="24" xfId="0" applyNumberFormat="1" applyFont="1" applyBorder="1" applyAlignment="1">
      <alignment horizontal="center"/>
    </xf>
    <xf numFmtId="165" fontId="5" fillId="0" borderId="24" xfId="2" applyNumberFormat="1" applyFont="1" applyBorder="1" applyAlignment="1">
      <alignment horizontal="center"/>
    </xf>
    <xf numFmtId="3" fontId="1" fillId="0" borderId="13" xfId="0" applyNumberFormat="1" applyFont="1" applyFill="1" applyBorder="1" applyAlignment="1">
      <alignment horizontal="center"/>
    </xf>
    <xf numFmtId="3" fontId="0" fillId="0" borderId="13" xfId="0" applyNumberFormat="1" applyFill="1" applyBorder="1" applyAlignment="1">
      <alignment horizontal="center"/>
    </xf>
    <xf numFmtId="0" fontId="19" fillId="0" borderId="0" xfId="0" applyFont="1"/>
    <xf numFmtId="3" fontId="4" fillId="4" borderId="26" xfId="0" applyNumberFormat="1" applyFont="1" applyFill="1" applyBorder="1" applyAlignment="1">
      <alignment horizontal="center"/>
    </xf>
    <xf numFmtId="3" fontId="4" fillId="4" borderId="11" xfId="0" applyNumberFormat="1" applyFont="1" applyFill="1" applyBorder="1" applyAlignment="1">
      <alignment horizontal="center"/>
    </xf>
    <xf numFmtId="3" fontId="4" fillId="4" borderId="10" xfId="0" applyNumberFormat="1" applyFont="1" applyFill="1" applyBorder="1" applyAlignment="1">
      <alignment horizontal="center"/>
    </xf>
    <xf numFmtId="164" fontId="15" fillId="4" borderId="10" xfId="0" applyNumberFormat="1" applyFont="1" applyFill="1" applyBorder="1" applyAlignment="1">
      <alignment horizontal="center"/>
    </xf>
    <xf numFmtId="164" fontId="15" fillId="4" borderId="12" xfId="0" applyNumberFormat="1" applyFont="1" applyFill="1" applyBorder="1" applyAlignment="1">
      <alignment horizontal="center"/>
    </xf>
    <xf numFmtId="0" fontId="6" fillId="0" borderId="0" xfId="0" applyFont="1" applyBorder="1" applyAlignment="1">
      <alignment horizontal="center"/>
    </xf>
    <xf numFmtId="0" fontId="0" fillId="0" borderId="28" xfId="0" applyBorder="1" applyAlignment="1">
      <alignment horizontal="center"/>
    </xf>
    <xf numFmtId="3" fontId="0" fillId="0" borderId="4" xfId="0" applyNumberFormat="1" applyBorder="1" applyAlignment="1">
      <alignment horizontal="center"/>
    </xf>
    <xf numFmtId="3" fontId="0" fillId="0" borderId="13" xfId="0" applyNumberFormat="1" applyBorder="1" applyAlignment="1">
      <alignment horizontal="center"/>
    </xf>
    <xf numFmtId="3" fontId="1" fillId="0" borderId="14" xfId="0" applyNumberFormat="1" applyFont="1" applyBorder="1" applyAlignment="1">
      <alignment horizontal="center"/>
    </xf>
    <xf numFmtId="3" fontId="1" fillId="0" borderId="13" xfId="0" applyNumberFormat="1" applyFont="1" applyBorder="1" applyAlignment="1">
      <alignment horizontal="center"/>
    </xf>
    <xf numFmtId="3" fontId="18" fillId="0" borderId="0" xfId="3" applyNumberFormat="1" applyBorder="1" applyAlignment="1">
      <alignment horizontal="center"/>
    </xf>
    <xf numFmtId="3" fontId="18" fillId="0" borderId="13" xfId="3" applyNumberFormat="1" applyBorder="1" applyAlignment="1">
      <alignment horizontal="center"/>
    </xf>
    <xf numFmtId="164" fontId="1" fillId="0" borderId="14" xfId="0" applyNumberFormat="1" applyFont="1" applyFill="1" applyBorder="1" applyAlignment="1">
      <alignment horizontal="center"/>
    </xf>
    <xf numFmtId="164" fontId="1" fillId="0" borderId="20" xfId="0" applyNumberFormat="1" applyFont="1" applyFill="1" applyBorder="1" applyAlignment="1">
      <alignment horizontal="center"/>
    </xf>
    <xf numFmtId="3" fontId="0" fillId="0" borderId="14" xfId="0" applyNumberFormat="1" applyBorder="1" applyAlignment="1">
      <alignment horizontal="center"/>
    </xf>
    <xf numFmtId="3" fontId="8" fillId="9" borderId="9" xfId="0" applyNumberFormat="1" applyFont="1" applyFill="1" applyBorder="1" applyAlignment="1">
      <alignment horizontal="center"/>
    </xf>
    <xf numFmtId="3" fontId="0" fillId="0" borderId="4" xfId="0" applyNumberFormat="1" applyFill="1" applyBorder="1" applyAlignment="1">
      <alignment horizontal="center"/>
    </xf>
    <xf numFmtId="3" fontId="0" fillId="0" borderId="13" xfId="0" applyNumberFormat="1" applyFill="1" applyBorder="1" applyAlignment="1">
      <alignment horizontal="center"/>
    </xf>
    <xf numFmtId="3" fontId="0" fillId="0" borderId="6" xfId="0" applyNumberFormat="1" applyFill="1" applyBorder="1" applyAlignment="1">
      <alignment horizontal="center"/>
    </xf>
    <xf numFmtId="3" fontId="0" fillId="0" borderId="21" xfId="0" applyNumberFormat="1" applyFill="1" applyBorder="1" applyAlignment="1">
      <alignment horizontal="center"/>
    </xf>
    <xf numFmtId="3" fontId="5" fillId="0" borderId="26" xfId="0" applyNumberFormat="1" applyFont="1" applyBorder="1" applyAlignment="1">
      <alignment horizontal="center"/>
    </xf>
    <xf numFmtId="3" fontId="5" fillId="0" borderId="11" xfId="0" applyNumberFormat="1" applyFont="1" applyBorder="1" applyAlignment="1">
      <alignment horizontal="center"/>
    </xf>
    <xf numFmtId="3" fontId="5" fillId="0" borderId="9" xfId="0" applyNumberFormat="1" applyFont="1" applyBorder="1" applyAlignment="1">
      <alignment horizontal="center"/>
    </xf>
    <xf numFmtId="3" fontId="5" fillId="0" borderId="10" xfId="0" applyNumberFormat="1" applyFont="1" applyBorder="1" applyAlignment="1">
      <alignment horizontal="center"/>
    </xf>
    <xf numFmtId="164" fontId="14" fillId="0" borderId="10" xfId="0" applyNumberFormat="1" applyFont="1" applyFill="1" applyBorder="1" applyAlignment="1">
      <alignment horizontal="center"/>
    </xf>
    <xf numFmtId="164" fontId="14" fillId="0" borderId="12" xfId="0" applyNumberFormat="1" applyFont="1" applyFill="1" applyBorder="1" applyAlignment="1">
      <alignment horizontal="center"/>
    </xf>
    <xf numFmtId="4" fontId="18" fillId="0" borderId="0" xfId="3" applyNumberFormat="1" applyBorder="1" applyAlignment="1">
      <alignment horizontal="center"/>
    </xf>
    <xf numFmtId="4" fontId="18" fillId="0" borderId="13" xfId="3" applyNumberFormat="1" applyBorder="1" applyAlignment="1">
      <alignment horizontal="center"/>
    </xf>
    <xf numFmtId="3" fontId="1" fillId="0" borderId="0" xfId="0" applyNumberFormat="1" applyFont="1" applyFill="1" applyBorder="1" applyAlignment="1">
      <alignment horizontal="center"/>
    </xf>
    <xf numFmtId="3" fontId="1" fillId="0" borderId="13" xfId="0" applyNumberFormat="1" applyFont="1" applyFill="1" applyBorder="1" applyAlignment="1">
      <alignment horizontal="center"/>
    </xf>
    <xf numFmtId="3" fontId="1" fillId="0" borderId="14" xfId="0" applyNumberFormat="1" applyFont="1" applyFill="1" applyBorder="1" applyAlignment="1">
      <alignment horizontal="center"/>
    </xf>
    <xf numFmtId="3" fontId="0" fillId="0" borderId="5" xfId="0" applyNumberFormat="1" applyFill="1" applyBorder="1" applyAlignment="1">
      <alignment horizontal="center"/>
    </xf>
    <xf numFmtId="3" fontId="1" fillId="0" borderId="30" xfId="0" applyNumberFormat="1" applyFont="1" applyFill="1" applyBorder="1" applyAlignment="1">
      <alignment horizontal="center"/>
    </xf>
    <xf numFmtId="3" fontId="1" fillId="0" borderId="21" xfId="0" applyNumberFormat="1" applyFont="1" applyFill="1" applyBorder="1" applyAlignment="1">
      <alignment horizontal="center"/>
    </xf>
    <xf numFmtId="3" fontId="1" fillId="0" borderId="6" xfId="0" applyNumberFormat="1" applyFont="1" applyFill="1" applyBorder="1" applyAlignment="1">
      <alignment horizontal="center"/>
    </xf>
    <xf numFmtId="3" fontId="5" fillId="0" borderId="2" xfId="0" applyNumberFormat="1" applyFont="1" applyBorder="1" applyAlignment="1">
      <alignment horizontal="center"/>
    </xf>
    <xf numFmtId="3" fontId="5" fillId="0" borderId="24" xfId="0" applyNumberFormat="1" applyFont="1" applyBorder="1" applyAlignment="1">
      <alignment horizontal="center"/>
    </xf>
    <xf numFmtId="3" fontId="5" fillId="0" borderId="31" xfId="0" applyNumberFormat="1" applyFont="1" applyBorder="1" applyAlignment="1">
      <alignment horizontal="center"/>
    </xf>
    <xf numFmtId="164" fontId="1" fillId="0" borderId="9" xfId="0" applyNumberFormat="1" applyFont="1" applyBorder="1" applyAlignment="1">
      <alignment horizontal="center"/>
    </xf>
    <xf numFmtId="164" fontId="1" fillId="0" borderId="12" xfId="0" applyNumberFormat="1" applyFont="1" applyBorder="1" applyAlignment="1">
      <alignment horizontal="center"/>
    </xf>
    <xf numFmtId="3" fontId="8" fillId="4" borderId="26" xfId="0" applyNumberFormat="1" applyFont="1" applyFill="1" applyBorder="1" applyAlignment="1">
      <alignment horizontal="center"/>
    </xf>
    <xf numFmtId="3" fontId="8" fillId="4" borderId="9" xfId="0" applyNumberFormat="1" applyFont="1" applyFill="1" applyBorder="1" applyAlignment="1">
      <alignment horizontal="center"/>
    </xf>
    <xf numFmtId="3" fontId="0" fillId="0" borderId="0" xfId="0" applyNumberFormat="1" applyFill="1" applyBorder="1" applyAlignment="1">
      <alignment horizontal="center"/>
    </xf>
    <xf numFmtId="3" fontId="18" fillId="0" borderId="14" xfId="3" applyNumberFormat="1" applyFill="1" applyBorder="1" applyAlignment="1">
      <alignment horizontal="center"/>
    </xf>
    <xf numFmtId="3" fontId="18" fillId="0" borderId="13" xfId="3" applyNumberFormat="1" applyFill="1" applyBorder="1" applyAlignment="1">
      <alignment horizontal="center"/>
    </xf>
    <xf numFmtId="3" fontId="0" fillId="0" borderId="14" xfId="0" applyNumberFormat="1" applyFill="1" applyBorder="1" applyAlignment="1">
      <alignment horizontal="center"/>
    </xf>
    <xf numFmtId="3" fontId="0" fillId="0" borderId="1" xfId="0" applyNumberFormat="1" applyFill="1" applyBorder="1" applyAlignment="1">
      <alignment horizontal="center"/>
    </xf>
    <xf numFmtId="3" fontId="0" fillId="0" borderId="24" xfId="0" applyNumberFormat="1" applyFill="1" applyBorder="1" applyAlignment="1">
      <alignment horizontal="center"/>
    </xf>
    <xf numFmtId="0" fontId="8" fillId="0" borderId="29" xfId="0" applyFont="1" applyBorder="1" applyAlignment="1">
      <alignment horizontal="center"/>
    </xf>
    <xf numFmtId="0" fontId="8" fillId="0" borderId="0" xfId="0" applyFont="1" applyBorder="1" applyAlignment="1">
      <alignment horizontal="center"/>
    </xf>
    <xf numFmtId="1" fontId="8" fillId="0" borderId="0" xfId="0" applyNumberFormat="1" applyFont="1" applyBorder="1" applyAlignment="1">
      <alignment horizontal="center"/>
    </xf>
    <xf numFmtId="0" fontId="8" fillId="0" borderId="14" xfId="0" applyFont="1" applyBorder="1" applyAlignment="1">
      <alignment horizontal="center"/>
    </xf>
    <xf numFmtId="0" fontId="8" fillId="0" borderId="20" xfId="0" applyFont="1" applyBorder="1" applyAlignment="1">
      <alignment horizontal="center"/>
    </xf>
    <xf numFmtId="0" fontId="8" fillId="0" borderId="6" xfId="0" applyFont="1" applyBorder="1" applyAlignment="1">
      <alignment horizontal="center"/>
    </xf>
    <xf numFmtId="1" fontId="8" fillId="0" borderId="6" xfId="0" applyNumberFormat="1" applyFont="1" applyBorder="1" applyAlignment="1">
      <alignment horizontal="center"/>
    </xf>
    <xf numFmtId="0" fontId="8" fillId="0" borderId="30" xfId="0" applyFont="1" applyBorder="1" applyAlignment="1">
      <alignment horizontal="center"/>
    </xf>
    <xf numFmtId="0" fontId="8" fillId="0" borderId="19" xfId="0" applyFont="1" applyBorder="1" applyAlignment="1">
      <alignment horizontal="center"/>
    </xf>
    <xf numFmtId="0" fontId="0" fillId="0" borderId="26" xfId="0" applyBorder="1" applyAlignment="1"/>
    <xf numFmtId="0" fontId="0" fillId="0" borderId="11" xfId="0" applyBorder="1" applyAlignment="1"/>
    <xf numFmtId="3" fontId="0" fillId="0" borderId="10" xfId="0" applyNumberFormat="1" applyBorder="1" applyAlignment="1"/>
    <xf numFmtId="3" fontId="0" fillId="0" borderId="11" xfId="0" applyNumberFormat="1" applyBorder="1" applyAlignment="1"/>
    <xf numFmtId="1" fontId="0" fillId="0" borderId="10" xfId="0" applyNumberFormat="1" applyBorder="1" applyAlignment="1"/>
    <xf numFmtId="1" fontId="0" fillId="0" borderId="11" xfId="0" applyNumberFormat="1" applyBorder="1" applyAlignment="1"/>
    <xf numFmtId="0" fontId="1" fillId="0" borderId="10" xfId="0" applyFont="1" applyBorder="1" applyAlignment="1"/>
    <xf numFmtId="0" fontId="1" fillId="0" borderId="12" xfId="0" applyFont="1" applyBorder="1" applyAlignment="1"/>
    <xf numFmtId="1" fontId="8" fillId="4" borderId="9" xfId="0" applyNumberFormat="1" applyFont="1" applyFill="1" applyBorder="1" applyAlignment="1">
      <alignment horizontal="center"/>
    </xf>
    <xf numFmtId="164" fontId="8" fillId="4" borderId="9" xfId="0" applyNumberFormat="1" applyFont="1" applyFill="1" applyBorder="1" applyAlignment="1">
      <alignment horizontal="center"/>
    </xf>
    <xf numFmtId="164" fontId="8" fillId="4" borderId="12" xfId="0" applyNumberFormat="1" applyFont="1" applyFill="1" applyBorder="1" applyAlignment="1">
      <alignment horizontal="center"/>
    </xf>
    <xf numFmtId="0" fontId="1" fillId="0" borderId="27" xfId="0" applyFont="1" applyBorder="1" applyAlignment="1">
      <alignment horizontal="center"/>
    </xf>
    <xf numFmtId="0" fontId="1" fillId="0" borderId="27" xfId="0" applyFont="1" applyBorder="1" applyAlignment="1"/>
    <xf numFmtId="0" fontId="1" fillId="0" borderId="28" xfId="0" applyFont="1" applyBorder="1" applyAlignment="1">
      <alignment horizontal="center"/>
    </xf>
    <xf numFmtId="3" fontId="1" fillId="0" borderId="4" xfId="0" applyNumberFormat="1" applyFont="1" applyBorder="1" applyAlignment="1">
      <alignment horizontal="center"/>
    </xf>
    <xf numFmtId="3" fontId="1" fillId="0" borderId="0" xfId="0" applyNumberFormat="1" applyFont="1" applyBorder="1" applyAlignment="1">
      <alignment horizontal="center"/>
    </xf>
    <xf numFmtId="2" fontId="1" fillId="0" borderId="14" xfId="0" applyNumberFormat="1" applyFont="1" applyBorder="1" applyAlignment="1">
      <alignment horizontal="center"/>
    </xf>
    <xf numFmtId="2" fontId="1" fillId="0" borderId="13" xfId="0" applyNumberFormat="1" applyFont="1" applyBorder="1" applyAlignment="1">
      <alignment horizontal="center"/>
    </xf>
    <xf numFmtId="164" fontId="1" fillId="0" borderId="14" xfId="0" applyNumberFormat="1" applyFont="1" applyBorder="1" applyAlignment="1">
      <alignment horizontal="center"/>
    </xf>
    <xf numFmtId="164" fontId="1" fillId="0" borderId="20" xfId="0" applyNumberFormat="1" applyFont="1" applyBorder="1" applyAlignment="1">
      <alignment horizontal="center"/>
    </xf>
    <xf numFmtId="3" fontId="1" fillId="3" borderId="4" xfId="0" applyNumberFormat="1" applyFont="1" applyFill="1" applyBorder="1" applyAlignment="1">
      <alignment horizontal="center"/>
    </xf>
    <xf numFmtId="3" fontId="1" fillId="3" borderId="13" xfId="0" applyNumberFormat="1" applyFont="1" applyFill="1" applyBorder="1" applyAlignment="1">
      <alignment horizontal="center"/>
    </xf>
    <xf numFmtId="3" fontId="1" fillId="3" borderId="0" xfId="0" applyNumberFormat="1" applyFont="1" applyFill="1" applyBorder="1" applyAlignment="1">
      <alignment horizontal="center"/>
    </xf>
    <xf numFmtId="2" fontId="1" fillId="3" borderId="14" xfId="0" applyNumberFormat="1" applyFont="1" applyFill="1" applyBorder="1" applyAlignment="1">
      <alignment horizontal="center"/>
    </xf>
    <xf numFmtId="2" fontId="1" fillId="3" borderId="13" xfId="0" applyNumberFormat="1" applyFont="1" applyFill="1" applyBorder="1" applyAlignment="1">
      <alignment horizontal="center"/>
    </xf>
    <xf numFmtId="164" fontId="1" fillId="3" borderId="14" xfId="0" applyNumberFormat="1" applyFont="1" applyFill="1" applyBorder="1" applyAlignment="1">
      <alignment horizontal="center"/>
    </xf>
    <xf numFmtId="164" fontId="1" fillId="3" borderId="20" xfId="0" applyNumberFormat="1" applyFont="1" applyFill="1" applyBorder="1" applyAlignment="1">
      <alignment horizontal="center"/>
    </xf>
    <xf numFmtId="0" fontId="5" fillId="0" borderId="11" xfId="0" applyFont="1" applyBorder="1" applyAlignment="1">
      <alignment horizontal="center"/>
    </xf>
    <xf numFmtId="1" fontId="5" fillId="0" borderId="9" xfId="0" applyNumberFormat="1" applyFont="1" applyBorder="1" applyAlignment="1">
      <alignment horizontal="center"/>
    </xf>
    <xf numFmtId="1" fontId="5" fillId="0" borderId="11" xfId="0" applyNumberFormat="1" applyFont="1" applyBorder="1" applyAlignment="1">
      <alignment horizontal="center"/>
    </xf>
    <xf numFmtId="164" fontId="5" fillId="0" borderId="10" xfId="0" applyNumberFormat="1" applyFont="1" applyFill="1" applyBorder="1" applyAlignment="1">
      <alignment horizontal="center"/>
    </xf>
    <xf numFmtId="0" fontId="5" fillId="0" borderId="12" xfId="0" applyFont="1" applyFill="1" applyBorder="1" applyAlignment="1">
      <alignment horizontal="center"/>
    </xf>
    <xf numFmtId="3" fontId="4" fillId="4" borderId="9" xfId="0" applyNumberFormat="1" applyFont="1" applyFill="1" applyBorder="1" applyAlignment="1">
      <alignment horizontal="center"/>
    </xf>
    <xf numFmtId="1" fontId="4" fillId="4" borderId="9" xfId="0" applyNumberFormat="1" applyFont="1" applyFill="1" applyBorder="1" applyAlignment="1">
      <alignment horizontal="center"/>
    </xf>
    <xf numFmtId="1" fontId="4" fillId="4" borderId="11" xfId="0" applyNumberFormat="1" applyFont="1" applyFill="1" applyBorder="1" applyAlignment="1">
      <alignment horizontal="center"/>
    </xf>
    <xf numFmtId="164" fontId="4" fillId="4" borderId="10" xfId="0" applyNumberFormat="1" applyFont="1" applyFill="1" applyBorder="1" applyAlignment="1">
      <alignment horizontal="center"/>
    </xf>
    <xf numFmtId="0" fontId="4" fillId="4" borderId="12" xfId="0" applyFont="1" applyFill="1" applyBorder="1" applyAlignment="1">
      <alignment horizontal="center"/>
    </xf>
    <xf numFmtId="3" fontId="8" fillId="4" borderId="11" xfId="0" applyNumberFormat="1" applyFont="1" applyFill="1" applyBorder="1" applyAlignment="1">
      <alignment horizontal="center"/>
    </xf>
    <xf numFmtId="1" fontId="8" fillId="4" borderId="10" xfId="0" applyNumberFormat="1" applyFont="1" applyFill="1" applyBorder="1" applyAlignment="1">
      <alignment horizontal="center"/>
    </xf>
    <xf numFmtId="1" fontId="8" fillId="4" borderId="11" xfId="0" applyNumberFormat="1" applyFont="1" applyFill="1" applyBorder="1" applyAlignment="1">
      <alignment horizontal="center"/>
    </xf>
    <xf numFmtId="164" fontId="8" fillId="4" borderId="10" xfId="0" applyNumberFormat="1" applyFont="1" applyFill="1" applyBorder="1" applyAlignment="1">
      <alignment horizontal="center"/>
    </xf>
    <xf numFmtId="2" fontId="1" fillId="0" borderId="14" xfId="0" applyNumberFormat="1" applyFont="1" applyFill="1" applyBorder="1" applyAlignment="1">
      <alignment horizontal="center"/>
    </xf>
    <xf numFmtId="2" fontId="1" fillId="0" borderId="13" xfId="0" applyNumberFormat="1" applyFont="1" applyFill="1" applyBorder="1" applyAlignment="1">
      <alignment horizontal="center"/>
    </xf>
    <xf numFmtId="1" fontId="1" fillId="0" borderId="6" xfId="0" applyNumberFormat="1" applyFont="1" applyFill="1" applyBorder="1" applyAlignment="1">
      <alignment horizontal="center"/>
    </xf>
    <xf numFmtId="1" fontId="1" fillId="0" borderId="21" xfId="0" applyNumberFormat="1" applyFont="1" applyFill="1" applyBorder="1" applyAlignment="1">
      <alignment horizontal="center"/>
    </xf>
    <xf numFmtId="164" fontId="1" fillId="0" borderId="0" xfId="0" applyNumberFormat="1" applyFont="1" applyBorder="1" applyAlignment="1">
      <alignment horizontal="center"/>
    </xf>
    <xf numFmtId="0" fontId="5" fillId="0" borderId="9" xfId="0" applyFont="1" applyBorder="1" applyAlignment="1">
      <alignment horizontal="center"/>
    </xf>
    <xf numFmtId="1" fontId="5" fillId="0" borderId="10" xfId="0" applyNumberFormat="1" applyFont="1" applyBorder="1" applyAlignment="1">
      <alignment horizontal="center"/>
    </xf>
    <xf numFmtId="3" fontId="1" fillId="0" borderId="4" xfId="0" applyNumberFormat="1" applyFont="1" applyFill="1" applyBorder="1" applyAlignment="1">
      <alignment horizontal="center"/>
    </xf>
    <xf numFmtId="164" fontId="1" fillId="0" borderId="0" xfId="0" applyNumberFormat="1" applyFont="1" applyFill="1" applyBorder="1" applyAlignment="1">
      <alignment horizontal="center"/>
    </xf>
    <xf numFmtId="3" fontId="8" fillId="4" borderId="10" xfId="0" applyNumberFormat="1" applyFont="1" applyFill="1" applyBorder="1" applyAlignment="1">
      <alignment horizontal="center"/>
    </xf>
    <xf numFmtId="2" fontId="1" fillId="3" borderId="30" xfId="0" applyNumberFormat="1" applyFont="1" applyFill="1" applyBorder="1" applyAlignment="1">
      <alignment horizontal="center"/>
    </xf>
    <xf numFmtId="2" fontId="1" fillId="3" borderId="21" xfId="0" applyNumberFormat="1" applyFont="1" applyFill="1" applyBorder="1" applyAlignment="1">
      <alignment horizontal="center"/>
    </xf>
    <xf numFmtId="0" fontId="5" fillId="0" borderId="12" xfId="0" applyFont="1" applyBorder="1" applyAlignment="1">
      <alignment horizontal="center"/>
    </xf>
    <xf numFmtId="1" fontId="1" fillId="0" borderId="14" xfId="0" applyNumberFormat="1" applyFont="1" applyFill="1" applyBorder="1" applyAlignment="1">
      <alignment horizontal="center"/>
    </xf>
    <xf numFmtId="1" fontId="1" fillId="0" borderId="13" xfId="0" applyNumberFormat="1" applyFont="1" applyFill="1" applyBorder="1" applyAlignment="1">
      <alignment horizontal="center"/>
    </xf>
    <xf numFmtId="0" fontId="8" fillId="0" borderId="9" xfId="0" applyFont="1" applyBorder="1" applyAlignment="1"/>
    <xf numFmtId="0" fontId="8" fillId="0" borderId="11" xfId="0" applyFont="1" applyBorder="1" applyAlignment="1"/>
    <xf numFmtId="3" fontId="8" fillId="0" borderId="10" xfId="0" applyNumberFormat="1" applyFont="1" applyBorder="1" applyAlignment="1"/>
    <xf numFmtId="3" fontId="8" fillId="0" borderId="11" xfId="0" applyNumberFormat="1" applyFont="1" applyBorder="1" applyAlignment="1"/>
    <xf numFmtId="1" fontId="8" fillId="0" borderId="10" xfId="0" applyNumberFormat="1" applyFont="1" applyBorder="1" applyAlignment="1"/>
    <xf numFmtId="1" fontId="8" fillId="0" borderId="11" xfId="0" applyNumberFormat="1" applyFont="1" applyBorder="1" applyAlignment="1"/>
    <xf numFmtId="0" fontId="8" fillId="0" borderId="10" xfId="0" applyFont="1" applyBorder="1" applyAlignment="1"/>
    <xf numFmtId="0" fontId="8" fillId="0" borderId="12" xfId="0" applyFont="1" applyBorder="1" applyAlignment="1"/>
    <xf numFmtId="2" fontId="1" fillId="0" borderId="0" xfId="0" applyNumberFormat="1" applyFont="1" applyBorder="1" applyAlignment="1">
      <alignment horizontal="center"/>
    </xf>
    <xf numFmtId="164" fontId="5" fillId="0" borderId="9" xfId="0" applyNumberFormat="1" applyFont="1" applyFill="1" applyBorder="1" applyAlignment="1">
      <alignment horizontal="center"/>
    </xf>
    <xf numFmtId="2" fontId="1" fillId="0" borderId="0" xfId="0" applyNumberFormat="1" applyFont="1" applyFill="1" applyBorder="1" applyAlignment="1">
      <alignment horizontal="center"/>
    </xf>
    <xf numFmtId="164" fontId="4" fillId="4" borderId="9" xfId="0" applyNumberFormat="1" applyFont="1" applyFill="1" applyBorder="1" applyAlignment="1">
      <alignment horizontal="center"/>
    </xf>
    <xf numFmtId="3" fontId="1" fillId="0" borderId="5" xfId="0" applyNumberFormat="1" applyFont="1" applyBorder="1" applyAlignment="1">
      <alignment horizontal="center"/>
    </xf>
    <xf numFmtId="3" fontId="1" fillId="0" borderId="21" xfId="0" applyNumberFormat="1" applyFont="1" applyBorder="1" applyAlignment="1">
      <alignment horizontal="center"/>
    </xf>
    <xf numFmtId="2" fontId="1" fillId="0" borderId="6" xfId="0" applyNumberFormat="1" applyFont="1" applyFill="1" applyBorder="1" applyAlignment="1">
      <alignment horizontal="center"/>
    </xf>
    <xf numFmtId="2" fontId="1" fillId="0" borderId="21" xfId="0" applyNumberFormat="1" applyFont="1" applyFill="1" applyBorder="1" applyAlignment="1">
      <alignment horizontal="center"/>
    </xf>
    <xf numFmtId="164" fontId="1" fillId="0" borderId="6" xfId="0" applyNumberFormat="1" applyFont="1" applyBorder="1" applyAlignment="1">
      <alignment horizontal="center"/>
    </xf>
    <xf numFmtId="164" fontId="1" fillId="0" borderId="19" xfId="0" applyNumberFormat="1" applyFont="1" applyBorder="1" applyAlignment="1">
      <alignment horizontal="center"/>
    </xf>
    <xf numFmtId="164" fontId="5" fillId="0" borderId="10" xfId="0" applyNumberFormat="1" applyFont="1" applyBorder="1" applyAlignment="1">
      <alignment horizontal="center"/>
    </xf>
    <xf numFmtId="0" fontId="8" fillId="0" borderId="26" xfId="0" applyFont="1" applyBorder="1" applyAlignment="1"/>
    <xf numFmtId="164" fontId="1" fillId="4" borderId="10" xfId="0" applyNumberFormat="1" applyFont="1" applyFill="1" applyBorder="1" applyAlignment="1">
      <alignment horizontal="center"/>
    </xf>
    <xf numFmtId="164" fontId="1" fillId="4" borderId="12" xfId="0" applyNumberFormat="1" applyFont="1" applyFill="1" applyBorder="1" applyAlignment="1">
      <alignment horizontal="center"/>
    </xf>
    <xf numFmtId="0" fontId="8" fillId="4" borderId="30" xfId="0" applyFont="1" applyFill="1" applyBorder="1" applyAlignment="1">
      <alignment horizontal="center"/>
    </xf>
    <xf numFmtId="0" fontId="8" fillId="4" borderId="19" xfId="0" applyFont="1" applyFill="1" applyBorder="1" applyAlignment="1">
      <alignment horizontal="center"/>
    </xf>
    <xf numFmtId="3" fontId="4" fillId="4" borderId="30" xfId="0" applyNumberFormat="1" applyFont="1" applyFill="1" applyBorder="1" applyAlignment="1">
      <alignment horizontal="center"/>
    </xf>
    <xf numFmtId="0" fontId="4" fillId="4" borderId="21" xfId="0" applyFont="1" applyFill="1" applyBorder="1" applyAlignment="1">
      <alignment horizontal="center"/>
    </xf>
    <xf numFmtId="3" fontId="4" fillId="4" borderId="6" xfId="0" applyNumberFormat="1" applyFont="1" applyFill="1" applyBorder="1" applyAlignment="1">
      <alignment horizontal="center"/>
    </xf>
    <xf numFmtId="3" fontId="4" fillId="4" borderId="21" xfId="0" applyNumberFormat="1" applyFont="1" applyFill="1" applyBorder="1" applyAlignment="1">
      <alignment horizontal="center"/>
    </xf>
    <xf numFmtId="1" fontId="4" fillId="4" borderId="30" xfId="0" applyNumberFormat="1" applyFont="1" applyFill="1" applyBorder="1" applyAlignment="1">
      <alignment horizontal="center"/>
    </xf>
    <xf numFmtId="1" fontId="4" fillId="4" borderId="21" xfId="0" applyNumberFormat="1" applyFont="1" applyFill="1" applyBorder="1" applyAlignment="1">
      <alignment horizontal="center"/>
    </xf>
    <xf numFmtId="0" fontId="1" fillId="0" borderId="0" xfId="0" applyFont="1" applyBorder="1" applyAlignment="1">
      <alignment horizontal="center"/>
    </xf>
    <xf numFmtId="0" fontId="1" fillId="0" borderId="13" xfId="0" applyFont="1" applyBorder="1" applyAlignment="1">
      <alignment horizontal="center"/>
    </xf>
    <xf numFmtId="0" fontId="1" fillId="0" borderId="6" xfId="0" applyFont="1" applyBorder="1" applyAlignment="1">
      <alignment horizontal="center"/>
    </xf>
    <xf numFmtId="0" fontId="1" fillId="0" borderId="21" xfId="0" applyFont="1" applyBorder="1" applyAlignment="1">
      <alignment horizontal="center"/>
    </xf>
    <xf numFmtId="3" fontId="1" fillId="0" borderId="2" xfId="0" applyNumberFormat="1" applyFont="1" applyBorder="1" applyAlignment="1">
      <alignment horizontal="center"/>
    </xf>
    <xf numFmtId="0" fontId="1" fillId="0" borderId="24" xfId="0" applyFont="1" applyBorder="1" applyAlignment="1">
      <alignment horizontal="center"/>
    </xf>
    <xf numFmtId="1" fontId="1" fillId="4" borderId="9" xfId="0" applyNumberFormat="1" applyFont="1" applyFill="1" applyBorder="1" applyAlignment="1">
      <alignment horizontal="center"/>
    </xf>
    <xf numFmtId="1" fontId="1" fillId="4" borderId="11" xfId="0" applyNumberFormat="1" applyFont="1" applyFill="1" applyBorder="1" applyAlignment="1">
      <alignment horizontal="center"/>
    </xf>
    <xf numFmtId="1" fontId="4" fillId="4" borderId="10" xfId="0" applyNumberFormat="1" applyFont="1" applyFill="1" applyBorder="1" applyAlignment="1">
      <alignment horizontal="center"/>
    </xf>
    <xf numFmtId="164" fontId="4" fillId="4" borderId="12" xfId="0" applyNumberFormat="1" applyFont="1" applyFill="1" applyBorder="1" applyAlignment="1">
      <alignment horizontal="center"/>
    </xf>
    <xf numFmtId="3" fontId="1" fillId="4" borderId="9" xfId="0" applyNumberFormat="1" applyFont="1" applyFill="1" applyBorder="1" applyAlignment="1">
      <alignment horizontal="center"/>
    </xf>
    <xf numFmtId="3" fontId="1" fillId="4" borderId="11" xfId="0" applyNumberFormat="1" applyFont="1" applyFill="1" applyBorder="1" applyAlignment="1">
      <alignment horizontal="center"/>
    </xf>
    <xf numFmtId="3" fontId="1" fillId="4" borderId="10" xfId="0" applyNumberFormat="1" applyFont="1" applyFill="1" applyBorder="1" applyAlignment="1">
      <alignment horizontal="center"/>
    </xf>
    <xf numFmtId="0" fontId="4" fillId="4" borderId="11" xfId="0" applyFont="1" applyFill="1" applyBorder="1" applyAlignment="1">
      <alignment horizontal="center"/>
    </xf>
    <xf numFmtId="0" fontId="8" fillId="0" borderId="6" xfId="0" applyFont="1" applyBorder="1" applyAlignment="1"/>
    <xf numFmtId="0" fontId="8" fillId="0" borderId="21" xfId="0" applyFont="1" applyBorder="1" applyAlignment="1"/>
    <xf numFmtId="3" fontId="8" fillId="0" borderId="30" xfId="0" applyNumberFormat="1" applyFont="1" applyBorder="1" applyAlignment="1"/>
    <xf numFmtId="3" fontId="8" fillId="0" borderId="21" xfId="0" applyNumberFormat="1" applyFont="1" applyBorder="1" applyAlignment="1"/>
    <xf numFmtId="1" fontId="8" fillId="0" borderId="30" xfId="0" applyNumberFormat="1" applyFont="1" applyBorder="1" applyAlignment="1"/>
    <xf numFmtId="1" fontId="8" fillId="0" borderId="21" xfId="0" applyNumberFormat="1" applyFont="1" applyBorder="1" applyAlignment="1"/>
    <xf numFmtId="0" fontId="8" fillId="0" borderId="30" xfId="0" applyFont="1" applyBorder="1" applyAlignment="1"/>
    <xf numFmtId="0" fontId="8" fillId="0" borderId="19" xfId="0" applyFont="1" applyBorder="1" applyAlignment="1"/>
    <xf numFmtId="2" fontId="1" fillId="0" borderId="6" xfId="0" applyNumberFormat="1" applyFont="1" applyBorder="1" applyAlignment="1">
      <alignment horizontal="center"/>
    </xf>
    <xf numFmtId="2" fontId="1" fillId="0" borderId="21" xfId="0" applyNumberFormat="1" applyFont="1" applyBorder="1" applyAlignment="1">
      <alignment horizontal="center"/>
    </xf>
    <xf numFmtId="0" fontId="8" fillId="4" borderId="10" xfId="0" applyFont="1" applyFill="1" applyBorder="1" applyAlignment="1">
      <alignment horizontal="center"/>
    </xf>
    <xf numFmtId="0" fontId="8" fillId="4" borderId="12" xfId="0" applyFont="1" applyFill="1" applyBorder="1" applyAlignment="1">
      <alignment horizontal="center"/>
    </xf>
    <xf numFmtId="0" fontId="1" fillId="0" borderId="14" xfId="0" applyFont="1" applyBorder="1" applyAlignment="1">
      <alignment horizontal="center"/>
    </xf>
    <xf numFmtId="0" fontId="1" fillId="0" borderId="20" xfId="0" applyFont="1" applyBorder="1" applyAlignment="1">
      <alignment horizontal="center"/>
    </xf>
    <xf numFmtId="164" fontId="4" fillId="0" borderId="10" xfId="0" applyNumberFormat="1" applyFont="1" applyBorder="1" applyAlignment="1">
      <alignment horizontal="center"/>
    </xf>
    <xf numFmtId="0" fontId="4" fillId="0" borderId="12" xfId="0" applyFont="1" applyBorder="1" applyAlignment="1">
      <alignment horizontal="center"/>
    </xf>
    <xf numFmtId="0" fontId="1" fillId="4" borderId="30" xfId="0" applyFont="1" applyFill="1" applyBorder="1" applyAlignment="1">
      <alignment horizontal="center"/>
    </xf>
    <xf numFmtId="0" fontId="1" fillId="4" borderId="19" xfId="0" applyFont="1" applyFill="1" applyBorder="1" applyAlignment="1">
      <alignment horizontal="center"/>
    </xf>
    <xf numFmtId="3" fontId="1" fillId="0" borderId="26" xfId="0" applyNumberFormat="1" applyFont="1" applyBorder="1" applyAlignment="1">
      <alignment horizontal="center"/>
    </xf>
    <xf numFmtId="3" fontId="1" fillId="0" borderId="11" xfId="0" applyNumberFormat="1" applyFont="1" applyBorder="1" applyAlignment="1">
      <alignment horizontal="center"/>
    </xf>
    <xf numFmtId="3" fontId="1" fillId="0" borderId="1" xfId="0" applyNumberFormat="1" applyFont="1" applyBorder="1" applyAlignment="1">
      <alignment horizontal="center"/>
    </xf>
    <xf numFmtId="3" fontId="1" fillId="0" borderId="24" xfId="0" applyNumberFormat="1" applyFont="1" applyBorder="1" applyAlignment="1">
      <alignment horizontal="center"/>
    </xf>
    <xf numFmtId="3" fontId="8" fillId="4" borderId="1" xfId="0" applyNumberFormat="1" applyFont="1" applyFill="1" applyBorder="1" applyAlignment="1">
      <alignment horizontal="center"/>
    </xf>
    <xf numFmtId="3" fontId="8" fillId="4" borderId="24" xfId="0" applyNumberFormat="1" applyFont="1" applyFill="1" applyBorder="1" applyAlignment="1">
      <alignment horizontal="center"/>
    </xf>
    <xf numFmtId="3" fontId="1" fillId="0" borderId="6" xfId="0" applyNumberFormat="1" applyFont="1" applyBorder="1" applyAlignment="1">
      <alignment horizontal="center"/>
    </xf>
    <xf numFmtId="3" fontId="1" fillId="0" borderId="5" xfId="0" applyNumberFormat="1" applyFont="1" applyFill="1" applyBorder="1" applyAlignment="1">
      <alignment horizontal="center"/>
    </xf>
    <xf numFmtId="1" fontId="1" fillId="0" borderId="0" xfId="0" applyNumberFormat="1" applyFont="1" applyBorder="1" applyAlignment="1">
      <alignment horizontal="center"/>
    </xf>
    <xf numFmtId="1" fontId="1" fillId="0" borderId="13" xfId="0" applyNumberFormat="1" applyFont="1" applyBorder="1" applyAlignment="1">
      <alignment horizontal="center"/>
    </xf>
    <xf numFmtId="1" fontId="1" fillId="0" borderId="14" xfId="0" applyNumberFormat="1" applyFont="1" applyBorder="1" applyAlignment="1">
      <alignment horizontal="center"/>
    </xf>
    <xf numFmtId="1" fontId="5" fillId="0" borderId="26" xfId="0" applyNumberFormat="1" applyFont="1" applyBorder="1" applyAlignment="1">
      <alignment horizontal="center"/>
    </xf>
    <xf numFmtId="2" fontId="1" fillId="0" borderId="30" xfId="0" applyNumberFormat="1" applyFont="1" applyBorder="1" applyAlignment="1">
      <alignment horizontal="center"/>
    </xf>
    <xf numFmtId="164" fontId="1" fillId="0" borderId="30" xfId="0" applyNumberFormat="1" applyFont="1" applyBorder="1" applyAlignment="1">
      <alignment horizontal="center"/>
    </xf>
    <xf numFmtId="164" fontId="5" fillId="0" borderId="12" xfId="0" applyNumberFormat="1" applyFont="1" applyFill="1" applyBorder="1" applyAlignment="1">
      <alignment horizontal="center"/>
    </xf>
    <xf numFmtId="3" fontId="1" fillId="0" borderId="30" xfId="0" applyNumberFormat="1" applyFont="1" applyBorder="1" applyAlignment="1">
      <alignment horizontal="center"/>
    </xf>
    <xf numFmtId="2" fontId="8" fillId="4" borderId="10" xfId="0" applyNumberFormat="1" applyFont="1" applyFill="1" applyBorder="1" applyAlignment="1">
      <alignment horizontal="center"/>
    </xf>
    <xf numFmtId="2" fontId="8" fillId="4" borderId="11" xfId="0" applyNumberFormat="1" applyFont="1" applyFill="1" applyBorder="1" applyAlignment="1">
      <alignment horizontal="center"/>
    </xf>
    <xf numFmtId="164" fontId="12" fillId="4" borderId="10" xfId="0" applyNumberFormat="1" applyFont="1" applyFill="1" applyBorder="1" applyAlignment="1">
      <alignment horizontal="center"/>
    </xf>
    <xf numFmtId="164" fontId="12" fillId="4" borderId="12" xfId="0" applyNumberFormat="1" applyFont="1" applyFill="1" applyBorder="1" applyAlignment="1">
      <alignment horizontal="center"/>
    </xf>
    <xf numFmtId="3" fontId="5" fillId="0" borderId="9" xfId="0" applyNumberFormat="1" applyFont="1" applyFill="1" applyBorder="1" applyAlignment="1">
      <alignment horizontal="center"/>
    </xf>
    <xf numFmtId="0" fontId="5" fillId="0" borderId="11" xfId="0" applyFont="1" applyFill="1" applyBorder="1" applyAlignment="1">
      <alignment horizontal="center"/>
    </xf>
    <xf numFmtId="0" fontId="15" fillId="4" borderId="12" xfId="0" applyFont="1" applyFill="1" applyBorder="1" applyAlignment="1">
      <alignment horizontal="center"/>
    </xf>
    <xf numFmtId="0" fontId="1" fillId="0" borderId="0" xfId="0" applyFont="1" applyBorder="1" applyAlignment="1"/>
    <xf numFmtId="3" fontId="1" fillId="3" borderId="30" xfId="0" applyNumberFormat="1" applyFont="1" applyFill="1" applyBorder="1" applyAlignment="1">
      <alignment horizontal="center"/>
    </xf>
    <xf numFmtId="3" fontId="1" fillId="3" borderId="21" xfId="0" applyNumberFormat="1" applyFont="1" applyFill="1" applyBorder="1" applyAlignment="1">
      <alignment horizontal="center"/>
    </xf>
    <xf numFmtId="0" fontId="8" fillId="0" borderId="1" xfId="0" applyFont="1" applyBorder="1" applyAlignment="1"/>
    <xf numFmtId="0" fontId="8" fillId="0" borderId="24" xfId="0" applyFont="1" applyBorder="1" applyAlignment="1"/>
    <xf numFmtId="3" fontId="8" fillId="0" borderId="31" xfId="0" applyNumberFormat="1" applyFont="1" applyBorder="1" applyAlignment="1"/>
    <xf numFmtId="3" fontId="8" fillId="0" borderId="24" xfId="0" applyNumberFormat="1" applyFont="1" applyBorder="1" applyAlignment="1"/>
    <xf numFmtId="1" fontId="8" fillId="0" borderId="31" xfId="0" applyNumberFormat="1" applyFont="1" applyBorder="1" applyAlignment="1"/>
    <xf numFmtId="1" fontId="8" fillId="0" borderId="24" xfId="0" applyNumberFormat="1" applyFont="1" applyBorder="1" applyAlignment="1"/>
    <xf numFmtId="0" fontId="8" fillId="0" borderId="31" xfId="0" applyFont="1" applyBorder="1" applyAlignment="1"/>
    <xf numFmtId="0" fontId="8" fillId="0" borderId="3" xfId="0" applyFont="1" applyBorder="1" applyAlignment="1"/>
    <xf numFmtId="164" fontId="12" fillId="4" borderId="9" xfId="0" applyNumberFormat="1" applyFont="1" applyFill="1" applyBorder="1" applyAlignment="1">
      <alignment horizontal="center"/>
    </xf>
    <xf numFmtId="3" fontId="4" fillId="0" borderId="10" xfId="0" applyNumberFormat="1" applyFont="1" applyBorder="1" applyAlignment="1">
      <alignment horizontal="center"/>
    </xf>
    <xf numFmtId="3" fontId="4" fillId="0" borderId="12" xfId="0" applyNumberFormat="1" applyFont="1" applyBorder="1" applyAlignment="1">
      <alignment horizontal="center"/>
    </xf>
    <xf numFmtId="1" fontId="1" fillId="0" borderId="31" xfId="0" applyNumberFormat="1" applyFont="1" applyFill="1" applyBorder="1" applyAlignment="1">
      <alignment horizontal="center"/>
    </xf>
    <xf numFmtId="1" fontId="1" fillId="0" borderId="24" xfId="0" applyNumberFormat="1" applyFont="1" applyFill="1" applyBorder="1" applyAlignment="1">
      <alignment horizontal="center"/>
    </xf>
    <xf numFmtId="164" fontId="1" fillId="0" borderId="31" xfId="0" applyNumberFormat="1" applyFont="1" applyBorder="1" applyAlignment="1">
      <alignment horizontal="center"/>
    </xf>
    <xf numFmtId="164" fontId="1" fillId="0" borderId="3" xfId="0" applyNumberFormat="1" applyFont="1" applyBorder="1" applyAlignment="1">
      <alignment horizontal="center"/>
    </xf>
    <xf numFmtId="1" fontId="1" fillId="0" borderId="30" xfId="0" applyNumberFormat="1" applyFont="1" applyFill="1" applyBorder="1" applyAlignment="1">
      <alignment horizontal="center"/>
    </xf>
    <xf numFmtId="3" fontId="5" fillId="0" borderId="1" xfId="0" applyNumberFormat="1" applyFont="1" applyBorder="1" applyAlignment="1">
      <alignment horizontal="center"/>
    </xf>
    <xf numFmtId="3" fontId="5" fillId="0" borderId="3" xfId="0" applyNumberFormat="1" applyFont="1" applyBorder="1" applyAlignment="1">
      <alignment horizontal="center"/>
    </xf>
    <xf numFmtId="1" fontId="5" fillId="0" borderId="1" xfId="0" applyNumberFormat="1" applyFont="1" applyBorder="1" applyAlignment="1">
      <alignment horizontal="center"/>
    </xf>
    <xf numFmtId="1" fontId="5" fillId="0" borderId="24" xfId="0" applyNumberFormat="1" applyFont="1" applyBorder="1" applyAlignment="1">
      <alignment horizontal="center"/>
    </xf>
    <xf numFmtId="164" fontId="5" fillId="0" borderId="31" xfId="0" applyNumberFormat="1" applyFont="1" applyFill="1" applyBorder="1" applyAlignment="1">
      <alignment horizontal="center"/>
    </xf>
    <xf numFmtId="164" fontId="5" fillId="0" borderId="3" xfId="0" applyNumberFormat="1" applyFont="1" applyFill="1" applyBorder="1" applyAlignment="1">
      <alignment horizontal="center"/>
    </xf>
    <xf numFmtId="164" fontId="8" fillId="4" borderId="36" xfId="0" applyNumberFormat="1" applyFont="1" applyFill="1" applyBorder="1" applyAlignment="1">
      <alignment horizontal="center"/>
    </xf>
    <xf numFmtId="164" fontId="8" fillId="4" borderId="35" xfId="0" applyNumberFormat="1" applyFont="1" applyFill="1" applyBorder="1" applyAlignment="1">
      <alignment horizontal="center"/>
    </xf>
    <xf numFmtId="3" fontId="1" fillId="3" borderId="6" xfId="0" applyNumberFormat="1" applyFont="1" applyFill="1" applyBorder="1" applyAlignment="1">
      <alignment horizontal="center"/>
    </xf>
    <xf numFmtId="1" fontId="8" fillId="4" borderId="36" xfId="0" applyNumberFormat="1" applyFont="1" applyFill="1" applyBorder="1" applyAlignment="1">
      <alignment horizontal="center"/>
    </xf>
    <xf numFmtId="1" fontId="8" fillId="4" borderId="37" xfId="0" applyNumberFormat="1" applyFont="1" applyFill="1" applyBorder="1" applyAlignment="1">
      <alignment horizontal="center"/>
    </xf>
    <xf numFmtId="3" fontId="5" fillId="0" borderId="9" xfId="1" applyNumberFormat="1" applyFont="1" applyBorder="1" applyAlignment="1">
      <alignment horizontal="center"/>
    </xf>
    <xf numFmtId="3" fontId="5" fillId="0" borderId="11" xfId="1" applyNumberFormat="1" applyFont="1" applyBorder="1" applyAlignment="1">
      <alignment horizontal="center"/>
    </xf>
    <xf numFmtId="164" fontId="15" fillId="0" borderId="10" xfId="0" applyNumberFormat="1" applyFont="1" applyFill="1" applyBorder="1" applyAlignment="1">
      <alignment horizontal="center"/>
    </xf>
    <xf numFmtId="164" fontId="15" fillId="0" borderId="12" xfId="0" applyNumberFormat="1" applyFont="1" applyFill="1" applyBorder="1" applyAlignment="1">
      <alignment horizontal="center"/>
    </xf>
    <xf numFmtId="0" fontId="8" fillId="0" borderId="27" xfId="0" applyFont="1" applyBorder="1" applyAlignment="1">
      <alignment horizontal="center"/>
    </xf>
    <xf numFmtId="1" fontId="5" fillId="0" borderId="31" xfId="0" applyNumberFormat="1" applyFont="1" applyBorder="1" applyAlignment="1">
      <alignment horizontal="center"/>
    </xf>
    <xf numFmtId="3" fontId="4" fillId="0" borderId="31" xfId="0" applyNumberFormat="1" applyFont="1" applyBorder="1" applyAlignment="1">
      <alignment horizontal="center"/>
    </xf>
    <xf numFmtId="3" fontId="4" fillId="0" borderId="3" xfId="0" applyNumberFormat="1" applyFont="1" applyBorder="1" applyAlignment="1">
      <alignment horizontal="center"/>
    </xf>
    <xf numFmtId="1" fontId="1" fillId="0" borderId="30" xfId="0" applyNumberFormat="1" applyFont="1" applyBorder="1" applyAlignment="1">
      <alignment horizontal="center"/>
    </xf>
    <xf numFmtId="1" fontId="1" fillId="0" borderId="21" xfId="0" applyNumberFormat="1" applyFont="1" applyBorder="1" applyAlignment="1">
      <alignment horizontal="center"/>
    </xf>
    <xf numFmtId="0" fontId="1" fillId="0" borderId="28" xfId="0" applyFont="1" applyBorder="1" applyAlignment="1">
      <alignment horizontal="center" wrapText="1"/>
    </xf>
    <xf numFmtId="3" fontId="18" fillId="0" borderId="4" xfId="3" applyNumberFormat="1" applyFill="1" applyBorder="1" applyAlignment="1">
      <alignment horizontal="center"/>
    </xf>
    <xf numFmtId="3" fontId="18" fillId="0" borderId="0" xfId="3" applyNumberFormat="1" applyFill="1" applyBorder="1" applyAlignment="1">
      <alignment horizontal="center"/>
    </xf>
    <xf numFmtId="164" fontId="1" fillId="0" borderId="14" xfId="3" applyNumberFormat="1" applyFont="1" applyFill="1" applyBorder="1" applyAlignment="1">
      <alignment horizontal="center"/>
    </xf>
    <xf numFmtId="164" fontId="1" fillId="0" borderId="20" xfId="3" applyNumberFormat="1" applyFont="1" applyFill="1" applyBorder="1" applyAlignment="1">
      <alignment horizontal="center"/>
    </xf>
    <xf numFmtId="3" fontId="1" fillId="0" borderId="0" xfId="3" applyNumberFormat="1" applyFont="1" applyFill="1" applyBorder="1" applyAlignment="1">
      <alignment horizontal="center"/>
    </xf>
    <xf numFmtId="3" fontId="1" fillId="0" borderId="13" xfId="3" applyNumberFormat="1" applyFont="1" applyFill="1" applyBorder="1" applyAlignment="1">
      <alignment horizontal="center"/>
    </xf>
    <xf numFmtId="3" fontId="1" fillId="0" borderId="14" xfId="3" applyNumberFormat="1" applyFont="1" applyFill="1" applyBorder="1" applyAlignment="1">
      <alignment horizontal="center"/>
    </xf>
    <xf numFmtId="3" fontId="8" fillId="4" borderId="26" xfId="3" applyNumberFormat="1" applyFont="1" applyFill="1" applyBorder="1" applyAlignment="1">
      <alignment horizontal="center"/>
    </xf>
    <xf numFmtId="3" fontId="8" fillId="4" borderId="9" xfId="3" applyNumberFormat="1" applyFont="1" applyFill="1" applyBorder="1" applyAlignment="1">
      <alignment horizontal="center"/>
    </xf>
    <xf numFmtId="3" fontId="1" fillId="0" borderId="30" xfId="3" applyNumberFormat="1" applyFont="1" applyFill="1" applyBorder="1" applyAlignment="1">
      <alignment horizontal="center"/>
    </xf>
    <xf numFmtId="3" fontId="1" fillId="0" borderId="21" xfId="3" applyNumberFormat="1" applyFont="1" applyFill="1" applyBorder="1" applyAlignment="1">
      <alignment horizontal="center"/>
    </xf>
    <xf numFmtId="3" fontId="1" fillId="0" borderId="6" xfId="3" applyNumberFormat="1" applyFont="1" applyFill="1" applyBorder="1" applyAlignment="1">
      <alignment horizontal="center"/>
    </xf>
    <xf numFmtId="3" fontId="5" fillId="0" borderId="2" xfId="3" applyNumberFormat="1" applyFont="1" applyBorder="1" applyAlignment="1">
      <alignment horizontal="center"/>
    </xf>
    <xf numFmtId="3" fontId="5" fillId="0" borderId="24" xfId="3" applyNumberFormat="1" applyFont="1" applyBorder="1" applyAlignment="1">
      <alignment horizontal="center"/>
    </xf>
    <xf numFmtId="3" fontId="5" fillId="0" borderId="31" xfId="3" applyNumberFormat="1" applyFont="1" applyBorder="1" applyAlignment="1">
      <alignment horizontal="center"/>
    </xf>
    <xf numFmtId="164" fontId="1" fillId="0" borderId="9" xfId="3" applyNumberFormat="1" applyFont="1" applyBorder="1" applyAlignment="1">
      <alignment horizontal="center"/>
    </xf>
    <xf numFmtId="164" fontId="1" fillId="0" borderId="12" xfId="3" applyNumberFormat="1" applyFont="1" applyBorder="1" applyAlignment="1">
      <alignment horizontal="center"/>
    </xf>
    <xf numFmtId="3" fontId="18" fillId="0" borderId="4" xfId="3" applyNumberFormat="1" applyBorder="1" applyAlignment="1">
      <alignment horizontal="center"/>
    </xf>
    <xf numFmtId="3" fontId="18" fillId="0" borderId="14" xfId="3" applyNumberFormat="1" applyBorder="1" applyAlignment="1">
      <alignment horizontal="center"/>
    </xf>
    <xf numFmtId="164" fontId="1" fillId="0" borderId="14" xfId="3" applyNumberFormat="1" applyFont="1" applyBorder="1" applyAlignment="1">
      <alignment horizontal="center"/>
    </xf>
    <xf numFmtId="164" fontId="1" fillId="0" borderId="20" xfId="3" applyNumberFormat="1" applyFont="1" applyBorder="1" applyAlignment="1">
      <alignment horizontal="center"/>
    </xf>
    <xf numFmtId="3" fontId="18" fillId="3" borderId="0" xfId="3" applyNumberFormat="1" applyFill="1" applyBorder="1" applyAlignment="1">
      <alignment horizontal="center"/>
    </xf>
    <xf numFmtId="3" fontId="18" fillId="3" borderId="13" xfId="3" applyNumberFormat="1" applyFill="1" applyBorder="1" applyAlignment="1">
      <alignment horizontal="center"/>
    </xf>
    <xf numFmtId="3" fontId="1" fillId="0" borderId="14" xfId="3" applyNumberFormat="1" applyFont="1" applyBorder="1" applyAlignment="1">
      <alignment horizontal="center"/>
    </xf>
    <xf numFmtId="3" fontId="1" fillId="0" borderId="13" xfId="3" applyNumberFormat="1" applyFont="1" applyBorder="1" applyAlignment="1">
      <alignment horizontal="center"/>
    </xf>
    <xf numFmtId="3" fontId="1" fillId="3" borderId="0" xfId="3" applyNumberFormat="1" applyFont="1" applyFill="1" applyBorder="1" applyAlignment="1">
      <alignment horizontal="center"/>
    </xf>
    <xf numFmtId="3" fontId="1" fillId="3" borderId="13" xfId="3" applyNumberFormat="1" applyFont="1" applyFill="1" applyBorder="1" applyAlignment="1">
      <alignment horizontal="center"/>
    </xf>
    <xf numFmtId="3" fontId="18" fillId="0" borderId="6" xfId="3" applyNumberFormat="1" applyFill="1" applyBorder="1" applyAlignment="1">
      <alignment horizontal="center"/>
    </xf>
    <xf numFmtId="3" fontId="18" fillId="0" borderId="21" xfId="3" applyNumberFormat="1" applyFill="1" applyBorder="1" applyAlignment="1">
      <alignment horizontal="center"/>
    </xf>
    <xf numFmtId="3" fontId="18" fillId="0" borderId="30" xfId="3" applyNumberFormat="1" applyFill="1" applyBorder="1" applyAlignment="1">
      <alignment horizontal="center"/>
    </xf>
    <xf numFmtId="0" fontId="8" fillId="0" borderId="0" xfId="0" applyFont="1" applyBorder="1" applyAlignment="1">
      <alignment horizontal="center" wrapText="1"/>
    </xf>
    <xf numFmtId="0" fontId="8" fillId="0" borderId="20" xfId="0" applyFont="1" applyBorder="1" applyAlignment="1">
      <alignment horizontal="center" wrapText="1"/>
    </xf>
    <xf numFmtId="3" fontId="0" fillId="0" borderId="32" xfId="0" applyNumberFormat="1" applyFill="1" applyBorder="1" applyAlignment="1">
      <alignment horizontal="center"/>
    </xf>
    <xf numFmtId="3" fontId="0" fillId="0" borderId="33" xfId="0" applyNumberFormat="1" applyFill="1" applyBorder="1" applyAlignment="1">
      <alignment horizontal="center"/>
    </xf>
    <xf numFmtId="3" fontId="0" fillId="0" borderId="0" xfId="0" applyNumberFormat="1" applyBorder="1" applyAlignment="1">
      <alignment horizontal="center"/>
    </xf>
    <xf numFmtId="4" fontId="0" fillId="0" borderId="0" xfId="0" applyNumberFormat="1" applyBorder="1" applyAlignment="1">
      <alignment horizontal="center"/>
    </xf>
    <xf numFmtId="4" fontId="0" fillId="0" borderId="13" xfId="0" applyNumberFormat="1" applyBorder="1" applyAlignment="1">
      <alignment horizontal="center"/>
    </xf>
    <xf numFmtId="3" fontId="0" fillId="3" borderId="0" xfId="0" applyNumberFormat="1" applyFill="1" applyBorder="1" applyAlignment="1">
      <alignment horizontal="center"/>
    </xf>
    <xf numFmtId="3" fontId="0" fillId="3" borderId="13" xfId="0" applyNumberFormat="1" applyFill="1" applyBorder="1" applyAlignment="1">
      <alignment horizontal="center"/>
    </xf>
    <xf numFmtId="3" fontId="0" fillId="0" borderId="5" xfId="0" applyNumberFormat="1" applyBorder="1" applyAlignment="1">
      <alignment horizontal="center"/>
    </xf>
    <xf numFmtId="3" fontId="0" fillId="0" borderId="21" xfId="0" applyNumberFormat="1" applyBorder="1" applyAlignment="1">
      <alignment horizontal="center"/>
    </xf>
    <xf numFmtId="3" fontId="0" fillId="0" borderId="30" xfId="0" applyNumberFormat="1" applyFill="1" applyBorder="1" applyAlignment="1">
      <alignment horizontal="center"/>
    </xf>
    <xf numFmtId="1" fontId="0" fillId="0" borderId="0" xfId="0" applyNumberFormat="1" applyBorder="1" applyAlignment="1">
      <alignment horizontal="center"/>
    </xf>
    <xf numFmtId="1" fontId="0" fillId="0" borderId="13" xfId="0" applyNumberFormat="1" applyBorder="1" applyAlignment="1">
      <alignment horizontal="center"/>
    </xf>
    <xf numFmtId="164" fontId="0" fillId="0" borderId="14" xfId="0" applyNumberFormat="1" applyBorder="1" applyAlignment="1">
      <alignment horizontal="center"/>
    </xf>
    <xf numFmtId="164" fontId="0" fillId="0" borderId="20" xfId="0" applyNumberFormat="1" applyBorder="1" applyAlignment="1">
      <alignment horizontal="center"/>
    </xf>
    <xf numFmtId="2" fontId="0" fillId="0" borderId="0" xfId="0" applyNumberFormat="1" applyBorder="1" applyAlignment="1">
      <alignment horizontal="center"/>
    </xf>
    <xf numFmtId="2" fontId="0" fillId="0" borderId="13" xfId="0" applyNumberFormat="1" applyBorder="1" applyAlignment="1">
      <alignment horizontal="center"/>
    </xf>
    <xf numFmtId="0" fontId="0" fillId="0" borderId="0" xfId="0" applyBorder="1" applyAlignment="1">
      <alignment horizontal="center"/>
    </xf>
    <xf numFmtId="1" fontId="1" fillId="3" borderId="0" xfId="0" applyNumberFormat="1" applyFont="1" applyFill="1" applyBorder="1" applyAlignment="1">
      <alignment horizontal="center"/>
    </xf>
    <xf numFmtId="1" fontId="1" fillId="3" borderId="13" xfId="0" applyNumberFormat="1" applyFont="1" applyFill="1" applyBorder="1" applyAlignment="1">
      <alignment horizontal="center"/>
    </xf>
    <xf numFmtId="0" fontId="0" fillId="0" borderId="0" xfId="0" applyBorder="1" applyAlignment="1"/>
    <xf numFmtId="2" fontId="0" fillId="0" borderId="0" xfId="0" applyNumberFormat="1" applyFill="1" applyBorder="1" applyAlignment="1">
      <alignment horizontal="center"/>
    </xf>
    <xf numFmtId="2" fontId="0" fillId="0" borderId="13" xfId="0" applyNumberFormat="1" applyFill="1" applyBorder="1" applyAlignment="1">
      <alignment horizontal="center"/>
    </xf>
    <xf numFmtId="164" fontId="0" fillId="3" borderId="14" xfId="0" applyNumberFormat="1" applyFill="1" applyBorder="1" applyAlignment="1">
      <alignment horizontal="center"/>
    </xf>
    <xf numFmtId="164" fontId="0" fillId="3" borderId="20" xfId="0" applyNumberFormat="1" applyFill="1" applyBorder="1" applyAlignment="1">
      <alignment horizontal="center"/>
    </xf>
    <xf numFmtId="2" fontId="8" fillId="4" borderId="9" xfId="0" applyNumberFormat="1" applyFont="1" applyFill="1" applyBorder="1" applyAlignment="1">
      <alignment horizontal="center"/>
    </xf>
    <xf numFmtId="164" fontId="0" fillId="0" borderId="14" xfId="0" applyNumberFormat="1" applyFill="1" applyBorder="1" applyAlignment="1">
      <alignment horizontal="center"/>
    </xf>
    <xf numFmtId="164" fontId="0" fillId="0" borderId="20" xfId="0" applyNumberFormat="1" applyFill="1" applyBorder="1" applyAlignment="1">
      <alignment horizontal="center"/>
    </xf>
    <xf numFmtId="0" fontId="0" fillId="0" borderId="13" xfId="0" applyBorder="1" applyAlignment="1">
      <alignment horizontal="center"/>
    </xf>
    <xf numFmtId="2" fontId="5" fillId="0" borderId="9" xfId="0" applyNumberFormat="1" applyFont="1" applyBorder="1" applyAlignment="1">
      <alignment horizontal="center"/>
    </xf>
    <xf numFmtId="2" fontId="5" fillId="0" borderId="11" xfId="0" applyNumberFormat="1" applyFont="1" applyBorder="1" applyAlignment="1">
      <alignment horizontal="center"/>
    </xf>
    <xf numFmtId="2" fontId="0" fillId="0" borderId="14" xfId="0" applyNumberFormat="1" applyFill="1" applyBorder="1" applyAlignment="1">
      <alignment horizontal="center"/>
    </xf>
    <xf numFmtId="3" fontId="0" fillId="0" borderId="31" xfId="0" applyNumberFormat="1" applyBorder="1" applyAlignment="1">
      <alignment horizontal="center"/>
    </xf>
    <xf numFmtId="3" fontId="0" fillId="0" borderId="24" xfId="0" applyNumberFormat="1" applyBorder="1" applyAlignment="1">
      <alignment horizontal="center"/>
    </xf>
    <xf numFmtId="164" fontId="5" fillId="0" borderId="9" xfId="0" applyNumberFormat="1" applyFont="1" applyBorder="1" applyAlignment="1">
      <alignment horizontal="center"/>
    </xf>
    <xf numFmtId="164" fontId="5" fillId="0" borderId="12" xfId="0" applyNumberFormat="1" applyFont="1" applyBorder="1" applyAlignment="1">
      <alignment horizontal="center"/>
    </xf>
    <xf numFmtId="0" fontId="0" fillId="0" borderId="9" xfId="0" applyBorder="1" applyAlignment="1"/>
    <xf numFmtId="0" fontId="0" fillId="0" borderId="10" xfId="0" applyBorder="1" applyAlignment="1"/>
    <xf numFmtId="0" fontId="0" fillId="0" borderId="12" xfId="0" applyBorder="1" applyAlignment="1"/>
    <xf numFmtId="2" fontId="0" fillId="0" borderId="14" xfId="0" applyNumberFormat="1" applyBorder="1" applyAlignment="1">
      <alignment horizontal="center"/>
    </xf>
    <xf numFmtId="3" fontId="0" fillId="0" borderId="1" xfId="0" applyNumberFormat="1" applyBorder="1" applyAlignment="1">
      <alignment horizontal="center"/>
    </xf>
    <xf numFmtId="0" fontId="0" fillId="0" borderId="2" xfId="0" applyFill="1" applyBorder="1" applyAlignment="1">
      <alignment horizontal="center"/>
    </xf>
    <xf numFmtId="3" fontId="5" fillId="0" borderId="2" xfId="0" applyNumberFormat="1" applyFont="1" applyFill="1" applyBorder="1" applyAlignment="1">
      <alignment horizontal="center"/>
    </xf>
    <xf numFmtId="3" fontId="5" fillId="0" borderId="0" xfId="0" applyNumberFormat="1" applyFont="1" applyFill="1" applyBorder="1" applyAlignment="1">
      <alignment horizontal="center"/>
    </xf>
    <xf numFmtId="0" fontId="5" fillId="0" borderId="0" xfId="0" applyFont="1" applyFill="1" applyBorder="1" applyAlignment="1">
      <alignment horizontal="center"/>
    </xf>
    <xf numFmtId="1" fontId="5" fillId="0" borderId="2" xfId="0" applyNumberFormat="1" applyFont="1" applyFill="1" applyBorder="1" applyAlignment="1">
      <alignment horizontal="center"/>
    </xf>
    <xf numFmtId="3" fontId="5" fillId="0" borderId="0" xfId="0" applyNumberFormat="1" applyFont="1" applyBorder="1" applyAlignment="1">
      <alignment horizontal="center"/>
    </xf>
    <xf numFmtId="3" fontId="5" fillId="0" borderId="13" xfId="0" applyNumberFormat="1" applyFont="1" applyBorder="1" applyAlignment="1">
      <alignment horizontal="center"/>
    </xf>
    <xf numFmtId="3" fontId="5" fillId="0" borderId="14" xfId="0" applyNumberFormat="1" applyFont="1" applyBorder="1" applyAlignment="1">
      <alignment horizontal="center"/>
    </xf>
    <xf numFmtId="1" fontId="5" fillId="0" borderId="0" xfId="0" applyNumberFormat="1" applyFont="1" applyBorder="1" applyAlignment="1">
      <alignment horizontal="center"/>
    </xf>
    <xf numFmtId="1" fontId="5" fillId="0" borderId="13" xfId="0" applyNumberFormat="1" applyFont="1" applyBorder="1" applyAlignment="1">
      <alignment horizontal="center"/>
    </xf>
    <xf numFmtId="0" fontId="8" fillId="0" borderId="2" xfId="0" applyFont="1" applyBorder="1" applyAlignment="1">
      <alignment horizontal="center"/>
    </xf>
    <xf numFmtId="3" fontId="0" fillId="0" borderId="30" xfId="0" applyNumberFormat="1" applyBorder="1" applyAlignment="1">
      <alignment horizontal="center"/>
    </xf>
    <xf numFmtId="2" fontId="0" fillId="0" borderId="6" xfId="0" applyNumberFormat="1" applyBorder="1" applyAlignment="1">
      <alignment horizontal="center"/>
    </xf>
    <xf numFmtId="2" fontId="0" fillId="0" borderId="21" xfId="0" applyNumberFormat="1" applyBorder="1" applyAlignment="1">
      <alignment horizontal="center"/>
    </xf>
    <xf numFmtId="164" fontId="5" fillId="4" borderId="9" xfId="0" applyNumberFormat="1" applyFont="1" applyFill="1" applyBorder="1" applyAlignment="1">
      <alignment horizontal="center"/>
    </xf>
    <xf numFmtId="0" fontId="5" fillId="4" borderId="12" xfId="0" applyFont="1" applyFill="1" applyBorder="1" applyAlignment="1">
      <alignment horizontal="center"/>
    </xf>
    <xf numFmtId="0" fontId="5" fillId="0" borderId="0" xfId="0" applyFont="1" applyBorder="1" applyAlignment="1">
      <alignment horizontal="center"/>
    </xf>
    <xf numFmtId="0" fontId="5" fillId="0" borderId="13" xfId="0" applyFont="1" applyBorder="1" applyAlignment="1">
      <alignment horizontal="center"/>
    </xf>
    <xf numFmtId="0" fontId="0" fillId="0" borderId="0" xfId="0" applyFill="1" applyBorder="1" applyAlignment="1">
      <alignment horizontal="center"/>
    </xf>
    <xf numFmtId="3" fontId="0" fillId="0" borderId="6" xfId="0" applyNumberFormat="1" applyBorder="1" applyAlignment="1">
      <alignment horizontal="center"/>
    </xf>
    <xf numFmtId="3" fontId="0" fillId="0" borderId="2" xfId="0" applyNumberFormat="1" applyBorder="1" applyAlignment="1">
      <alignment horizontal="center"/>
    </xf>
    <xf numFmtId="0" fontId="0" fillId="0" borderId="6" xfId="0" applyBorder="1" applyAlignment="1">
      <alignment horizontal="center"/>
    </xf>
    <xf numFmtId="0" fontId="0" fillId="0" borderId="19" xfId="0" applyBorder="1" applyAlignment="1">
      <alignment horizontal="center"/>
    </xf>
    <xf numFmtId="3" fontId="8" fillId="4" borderId="10" xfId="0" applyNumberFormat="1" applyFont="1" applyFill="1" applyBorder="1" applyAlignment="1"/>
    <xf numFmtId="3" fontId="8" fillId="4" borderId="11" xfId="0" applyNumberFormat="1" applyFont="1" applyFill="1" applyBorder="1" applyAlignment="1"/>
    <xf numFmtId="0" fontId="0" fillId="0" borderId="21" xfId="0" applyBorder="1" applyAlignment="1">
      <alignment horizontal="center"/>
    </xf>
    <xf numFmtId="1" fontId="5" fillId="0" borderId="0" xfId="0" applyNumberFormat="1" applyFont="1" applyFill="1" applyBorder="1" applyAlignment="1">
      <alignment horizontal="center"/>
    </xf>
    <xf numFmtId="1" fontId="4" fillId="4" borderId="6" xfId="0" applyNumberFormat="1" applyFont="1" applyFill="1" applyBorder="1" applyAlignment="1">
      <alignment horizontal="center"/>
    </xf>
    <xf numFmtId="164" fontId="5" fillId="0" borderId="14" xfId="0" applyNumberFormat="1" applyFont="1" applyBorder="1" applyAlignment="1">
      <alignment horizontal="center"/>
    </xf>
    <xf numFmtId="164" fontId="5" fillId="0" borderId="20" xfId="0" applyNumberFormat="1" applyFont="1" applyBorder="1" applyAlignment="1">
      <alignment horizontal="center"/>
    </xf>
    <xf numFmtId="3" fontId="1" fillId="0" borderId="9" xfId="0" applyNumberFormat="1" applyFont="1" applyFill="1" applyBorder="1" applyAlignment="1">
      <alignment horizontal="center"/>
    </xf>
    <xf numFmtId="3" fontId="1" fillId="0" borderId="11" xfId="0" applyNumberFormat="1" applyFont="1" applyFill="1" applyBorder="1" applyAlignment="1">
      <alignment horizontal="center"/>
    </xf>
    <xf numFmtId="3" fontId="1" fillId="0" borderId="10" xfId="0" applyNumberFormat="1" applyFont="1" applyFill="1" applyBorder="1" applyAlignment="1">
      <alignment horizontal="center"/>
    </xf>
    <xf numFmtId="2" fontId="1" fillId="0" borderId="9" xfId="0" applyNumberFormat="1" applyFont="1" applyFill="1" applyBorder="1" applyAlignment="1">
      <alignment horizontal="center"/>
    </xf>
    <xf numFmtId="2" fontId="1" fillId="0" borderId="11" xfId="0" applyNumberFormat="1" applyFont="1" applyFill="1" applyBorder="1" applyAlignment="1">
      <alignment horizontal="center"/>
    </xf>
    <xf numFmtId="164" fontId="1" fillId="0" borderId="10" xfId="0" applyNumberFormat="1" applyFont="1" applyFill="1" applyBorder="1" applyAlignment="1">
      <alignment horizontal="center"/>
    </xf>
    <xf numFmtId="164" fontId="1" fillId="0" borderId="12" xfId="0" applyNumberFormat="1" applyFont="1" applyFill="1" applyBorder="1" applyAlignment="1">
      <alignment horizontal="center"/>
    </xf>
    <xf numFmtId="0" fontId="4" fillId="4" borderId="9" xfId="0" applyFont="1" applyFill="1" applyBorder="1" applyAlignment="1">
      <alignment horizontal="center"/>
    </xf>
    <xf numFmtId="3" fontId="0" fillId="0" borderId="2" xfId="0" applyNumberFormat="1" applyFill="1" applyBorder="1" applyAlignment="1">
      <alignment horizontal="center"/>
    </xf>
    <xf numFmtId="3" fontId="0" fillId="0" borderId="31" xfId="0" applyNumberFormat="1" applyFill="1" applyBorder="1" applyAlignment="1">
      <alignment horizontal="center"/>
    </xf>
    <xf numFmtId="2" fontId="0" fillId="0" borderId="31" xfId="0" applyNumberFormat="1" applyFill="1" applyBorder="1" applyAlignment="1">
      <alignment horizontal="center"/>
    </xf>
    <xf numFmtId="2" fontId="0" fillId="0" borderId="24" xfId="0" applyNumberFormat="1" applyFill="1" applyBorder="1" applyAlignment="1">
      <alignment horizontal="center"/>
    </xf>
    <xf numFmtId="164" fontId="0" fillId="0" borderId="31" xfId="0" applyNumberFormat="1" applyFill="1" applyBorder="1" applyAlignment="1">
      <alignment horizontal="center"/>
    </xf>
    <xf numFmtId="164" fontId="0" fillId="0" borderId="3" xfId="0" applyNumberFormat="1" applyFill="1" applyBorder="1" applyAlignment="1">
      <alignment horizontal="center"/>
    </xf>
    <xf numFmtId="0" fontId="8" fillId="4" borderId="9" xfId="0" applyFont="1" applyFill="1" applyBorder="1" applyAlignment="1"/>
    <xf numFmtId="0" fontId="8" fillId="4" borderId="11" xfId="0" applyFont="1" applyFill="1" applyBorder="1" applyAlignment="1"/>
    <xf numFmtId="0" fontId="6" fillId="0" borderId="27" xfId="0" applyFont="1" applyBorder="1" applyAlignment="1">
      <alignment horizontal="center"/>
    </xf>
    <xf numFmtId="0" fontId="0" fillId="0" borderId="27" xfId="0" applyBorder="1" applyAlignment="1"/>
    <xf numFmtId="164" fontId="0" fillId="0" borderId="30" xfId="0" applyNumberFormat="1" applyBorder="1" applyAlignment="1">
      <alignment horizontal="center"/>
    </xf>
    <xf numFmtId="164" fontId="0" fillId="0" borderId="19" xfId="0" applyNumberFormat="1" applyBorder="1" applyAlignment="1">
      <alignment horizontal="center"/>
    </xf>
    <xf numFmtId="2" fontId="0" fillId="0" borderId="9" xfId="0" applyNumberFormat="1" applyFill="1" applyBorder="1" applyAlignment="1">
      <alignment horizontal="center"/>
    </xf>
    <xf numFmtId="2" fontId="0" fillId="0" borderId="11" xfId="0" applyNumberFormat="1" applyFill="1" applyBorder="1" applyAlignment="1">
      <alignment horizontal="center"/>
    </xf>
    <xf numFmtId="164" fontId="0" fillId="0" borderId="10" xfId="0" applyNumberFormat="1" applyFill="1" applyBorder="1" applyAlignment="1">
      <alignment horizontal="center"/>
    </xf>
    <xf numFmtId="164" fontId="0" fillId="0" borderId="12" xfId="0" applyNumberFormat="1" applyFill="1" applyBorder="1" applyAlignment="1">
      <alignment horizontal="center"/>
    </xf>
    <xf numFmtId="0" fontId="6" fillId="0" borderId="28" xfId="0" applyFont="1" applyBorder="1" applyAlignment="1">
      <alignment horizontal="center"/>
    </xf>
    <xf numFmtId="3" fontId="1" fillId="0" borderId="2" xfId="0" applyNumberFormat="1" applyFont="1" applyFill="1" applyBorder="1" applyAlignment="1">
      <alignment horizontal="center"/>
    </xf>
    <xf numFmtId="3" fontId="1" fillId="0" borderId="24" xfId="0" applyNumberFormat="1" applyFont="1" applyFill="1" applyBorder="1" applyAlignment="1">
      <alignment horizontal="center"/>
    </xf>
    <xf numFmtId="3" fontId="1" fillId="0" borderId="31" xfId="0" applyNumberFormat="1" applyFont="1" applyFill="1" applyBorder="1" applyAlignment="1">
      <alignment horizontal="center"/>
    </xf>
    <xf numFmtId="0" fontId="8" fillId="4" borderId="30" xfId="0" applyFont="1" applyFill="1" applyBorder="1" applyAlignment="1"/>
    <xf numFmtId="0" fontId="8" fillId="4" borderId="19" xfId="0" applyFont="1" applyFill="1" applyBorder="1" applyAlignment="1"/>
    <xf numFmtId="164" fontId="0" fillId="0" borderId="31" xfId="0" applyNumberFormat="1" applyBorder="1" applyAlignment="1">
      <alignment horizontal="center"/>
    </xf>
    <xf numFmtId="164" fontId="0" fillId="0" borderId="3" xfId="0" applyNumberFormat="1" applyBorder="1" applyAlignment="1">
      <alignment horizontal="center"/>
    </xf>
    <xf numFmtId="2" fontId="1" fillId="0" borderId="2" xfId="0" applyNumberFormat="1" applyFont="1" applyFill="1" applyBorder="1" applyAlignment="1">
      <alignment horizontal="center"/>
    </xf>
    <xf numFmtId="2" fontId="1" fillId="0" borderId="24" xfId="0" applyNumberFormat="1" applyFont="1" applyFill="1" applyBorder="1" applyAlignment="1">
      <alignment horizontal="center"/>
    </xf>
    <xf numFmtId="164" fontId="1" fillId="0" borderId="31" xfId="0" applyNumberFormat="1" applyFont="1" applyFill="1" applyBorder="1" applyAlignment="1">
      <alignment horizontal="center"/>
    </xf>
    <xf numFmtId="164" fontId="1" fillId="0" borderId="3" xfId="0" applyNumberFormat="1" applyFont="1" applyFill="1" applyBorder="1" applyAlignment="1">
      <alignment horizontal="center"/>
    </xf>
    <xf numFmtId="0" fontId="8" fillId="4" borderId="6" xfId="0" applyFont="1" applyFill="1" applyBorder="1" applyAlignment="1"/>
    <xf numFmtId="0" fontId="8" fillId="4" borderId="21" xfId="0" applyFont="1" applyFill="1" applyBorder="1" applyAlignment="1"/>
    <xf numFmtId="3" fontId="8" fillId="4" borderId="30" xfId="0" applyNumberFormat="1" applyFont="1" applyFill="1" applyBorder="1" applyAlignment="1"/>
    <xf numFmtId="3" fontId="8" fillId="4" borderId="21" xfId="0" applyNumberFormat="1" applyFont="1" applyFill="1" applyBorder="1" applyAlignment="1"/>
    <xf numFmtId="1" fontId="8" fillId="4" borderId="30" xfId="0" applyNumberFormat="1" applyFont="1" applyFill="1" applyBorder="1" applyAlignment="1"/>
    <xf numFmtId="1" fontId="8" fillId="4" borderId="21" xfId="0" applyNumberFormat="1" applyFont="1" applyFill="1" applyBorder="1" applyAlignment="1"/>
    <xf numFmtId="1" fontId="0" fillId="0" borderId="6" xfId="0" applyNumberFormat="1" applyBorder="1" applyAlignment="1">
      <alignment horizontal="center"/>
    </xf>
    <xf numFmtId="3" fontId="0" fillId="0" borderId="26" xfId="0" applyNumberFormat="1" applyBorder="1" applyAlignment="1">
      <alignment horizontal="center"/>
    </xf>
    <xf numFmtId="3" fontId="0" fillId="0" borderId="11" xfId="0" applyNumberFormat="1" applyBorder="1" applyAlignment="1">
      <alignment horizontal="center"/>
    </xf>
    <xf numFmtId="0" fontId="5" fillId="0" borderId="24" xfId="0" applyFont="1" applyBorder="1" applyAlignment="1">
      <alignment horizontal="center"/>
    </xf>
    <xf numFmtId="1" fontId="5" fillId="0" borderId="2" xfId="0" applyNumberFormat="1" applyFont="1" applyBorder="1" applyAlignment="1">
      <alignment horizontal="center"/>
    </xf>
    <xf numFmtId="3" fontId="0" fillId="0" borderId="10" xfId="0" applyNumberFormat="1" applyFill="1" applyBorder="1" applyAlignment="1">
      <alignment horizontal="center"/>
    </xf>
    <xf numFmtId="3" fontId="0" fillId="0" borderId="11" xfId="0" applyNumberFormat="1" applyFill="1" applyBorder="1" applyAlignment="1">
      <alignment horizontal="center"/>
    </xf>
    <xf numFmtId="3" fontId="0" fillId="0" borderId="9" xfId="0" applyNumberFormat="1" applyFill="1" applyBorder="1" applyAlignment="1">
      <alignment horizontal="center"/>
    </xf>
    <xf numFmtId="2" fontId="0" fillId="0" borderId="2" xfId="0" applyNumberFormat="1" applyFill="1" applyBorder="1" applyAlignment="1">
      <alignment horizontal="center"/>
    </xf>
    <xf numFmtId="3" fontId="5" fillId="4" borderId="9" xfId="0" applyNumberFormat="1" applyFont="1" applyFill="1" applyBorder="1" applyAlignment="1">
      <alignment horizontal="center"/>
    </xf>
    <xf numFmtId="0" fontId="5" fillId="4" borderId="9" xfId="0" applyFont="1" applyFill="1" applyBorder="1" applyAlignment="1">
      <alignment horizontal="center"/>
    </xf>
    <xf numFmtId="1" fontId="5" fillId="4" borderId="9" xfId="0" applyNumberFormat="1" applyFont="1" applyFill="1" applyBorder="1" applyAlignment="1">
      <alignment horizontal="center"/>
    </xf>
    <xf numFmtId="3" fontId="6" fillId="0" borderId="14" xfId="0" applyNumberFormat="1" applyFont="1"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6" fillId="0" borderId="13" xfId="0" applyFont="1" applyBorder="1" applyAlignment="1">
      <alignment horizontal="center"/>
    </xf>
    <xf numFmtId="164" fontId="5" fillId="0" borderId="31" xfId="0" applyNumberFormat="1" applyFont="1" applyBorder="1" applyAlignment="1">
      <alignment horizontal="center"/>
    </xf>
    <xf numFmtId="0" fontId="5" fillId="0" borderId="3" xfId="0" applyFont="1" applyBorder="1" applyAlignment="1">
      <alignment horizontal="center"/>
    </xf>
    <xf numFmtId="0" fontId="8" fillId="4" borderId="10" xfId="0" applyFont="1" applyFill="1" applyBorder="1" applyAlignment="1"/>
    <xf numFmtId="0" fontId="8" fillId="4" borderId="12" xfId="0" applyFont="1" applyFill="1" applyBorder="1" applyAlignment="1"/>
    <xf numFmtId="1" fontId="8" fillId="4" borderId="10" xfId="0" applyNumberFormat="1" applyFont="1" applyFill="1" applyBorder="1" applyAlignment="1"/>
    <xf numFmtId="1" fontId="8" fillId="4" borderId="11" xfId="0" applyNumberFormat="1" applyFont="1" applyFill="1" applyBorder="1" applyAlignment="1"/>
    <xf numFmtId="1" fontId="0" fillId="0" borderId="14" xfId="0" applyNumberFormat="1" applyFill="1" applyBorder="1" applyAlignment="1">
      <alignment horizontal="center"/>
    </xf>
    <xf numFmtId="1" fontId="0" fillId="0" borderId="13" xfId="0" applyNumberFormat="1" applyFill="1" applyBorder="1" applyAlignment="1">
      <alignment horizontal="center"/>
    </xf>
    <xf numFmtId="1" fontId="0" fillId="0" borderId="14" xfId="0" applyNumberFormat="1" applyBorder="1" applyAlignment="1">
      <alignment horizontal="center"/>
    </xf>
    <xf numFmtId="2" fontId="0" fillId="0" borderId="30" xfId="0" applyNumberFormat="1" applyFill="1" applyBorder="1" applyAlignment="1">
      <alignment horizontal="center"/>
    </xf>
    <xf numFmtId="2" fontId="0" fillId="0" borderId="6" xfId="0" applyNumberFormat="1" applyFill="1" applyBorder="1" applyAlignment="1">
      <alignment horizontal="center"/>
    </xf>
    <xf numFmtId="2" fontId="0" fillId="0" borderId="21" xfId="0" applyNumberFormat="1" applyFill="1" applyBorder="1" applyAlignment="1">
      <alignment horizontal="center"/>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0" fontId="14" fillId="0" borderId="12" xfId="0" applyFont="1" applyFill="1" applyBorder="1" applyAlignment="1">
      <alignment horizontal="center"/>
    </xf>
    <xf numFmtId="3" fontId="0" fillId="3" borderId="30" xfId="0" applyNumberFormat="1" applyFill="1" applyBorder="1" applyAlignment="1">
      <alignment horizontal="center"/>
    </xf>
    <xf numFmtId="3" fontId="0" fillId="3" borderId="21" xfId="0" applyNumberFormat="1" applyFill="1" applyBorder="1" applyAlignment="1">
      <alignment horizontal="center"/>
    </xf>
    <xf numFmtId="1" fontId="0" fillId="3" borderId="30" xfId="0" applyNumberFormat="1" applyFill="1" applyBorder="1" applyAlignment="1">
      <alignment horizontal="center"/>
    </xf>
    <xf numFmtId="1" fontId="0" fillId="3" borderId="21" xfId="0" applyNumberFormat="1" applyFill="1" applyBorder="1" applyAlignment="1">
      <alignment horizontal="center"/>
    </xf>
    <xf numFmtId="3" fontId="0" fillId="3" borderId="14" xfId="0" applyNumberFormat="1" applyFill="1" applyBorder="1" applyAlignment="1">
      <alignment horizontal="center"/>
    </xf>
    <xf numFmtId="0" fontId="0" fillId="0" borderId="2" xfId="0" applyBorder="1" applyAlignment="1"/>
    <xf numFmtId="0" fontId="0" fillId="0" borderId="24" xfId="0" applyBorder="1" applyAlignment="1"/>
    <xf numFmtId="3" fontId="0" fillId="0" borderId="31" xfId="0" applyNumberFormat="1" applyBorder="1" applyAlignment="1"/>
    <xf numFmtId="3" fontId="0" fillId="0" borderId="24" xfId="0" applyNumberFormat="1" applyBorder="1" applyAlignment="1"/>
    <xf numFmtId="1" fontId="0" fillId="0" borderId="31" xfId="0" applyNumberFormat="1" applyBorder="1" applyAlignment="1"/>
    <xf numFmtId="1" fontId="0" fillId="0" borderId="24" xfId="0" applyNumberFormat="1" applyBorder="1" applyAlignment="1"/>
    <xf numFmtId="0" fontId="1" fillId="0" borderId="31" xfId="0" applyFont="1" applyBorder="1" applyAlignment="1"/>
    <xf numFmtId="0" fontId="1" fillId="0" borderId="3" xfId="0" applyFont="1" applyBorder="1" applyAlignment="1"/>
    <xf numFmtId="1" fontId="0" fillId="0" borderId="0" xfId="0" applyNumberFormat="1" applyFill="1" applyBorder="1" applyAlignment="1">
      <alignment horizontal="center"/>
    </xf>
    <xf numFmtId="164" fontId="0" fillId="0" borderId="0" xfId="0" applyNumberFormat="1" applyFill="1" applyBorder="1" applyAlignment="1">
      <alignment horizontal="center"/>
    </xf>
    <xf numFmtId="1" fontId="0" fillId="0" borderId="30" xfId="0" applyNumberFormat="1" applyFill="1" applyBorder="1" applyAlignment="1">
      <alignment horizontal="center"/>
    </xf>
    <xf numFmtId="1" fontId="0" fillId="0" borderId="21" xfId="0" applyNumberFormat="1" applyBorder="1" applyAlignment="1">
      <alignment horizontal="center"/>
    </xf>
    <xf numFmtId="164" fontId="5" fillId="0" borderId="2" xfId="0" applyNumberFormat="1" applyFont="1" applyFill="1" applyBorder="1" applyAlignment="1">
      <alignment horizontal="center"/>
    </xf>
    <xf numFmtId="0" fontId="5" fillId="0" borderId="3" xfId="0" applyFont="1" applyFill="1" applyBorder="1" applyAlignment="1">
      <alignment horizontal="center"/>
    </xf>
    <xf numFmtId="164" fontId="0" fillId="3" borderId="6" xfId="0" applyNumberFormat="1" applyFill="1" applyBorder="1" applyAlignment="1">
      <alignment horizontal="center"/>
    </xf>
    <xf numFmtId="164" fontId="0" fillId="3" borderId="21" xfId="0" applyNumberFormat="1" applyFill="1" applyBorder="1" applyAlignment="1">
      <alignment horizontal="center"/>
    </xf>
    <xf numFmtId="0" fontId="0" fillId="0" borderId="1" xfId="0" applyBorder="1" applyAlignment="1"/>
    <xf numFmtId="3" fontId="5" fillId="0" borderId="12" xfId="0" applyNumberFormat="1" applyFont="1" applyBorder="1" applyAlignment="1">
      <alignment horizontal="center"/>
    </xf>
    <xf numFmtId="165" fontId="8" fillId="0" borderId="2" xfId="0" applyNumberFormat="1" applyFont="1" applyBorder="1" applyAlignment="1">
      <alignment horizontal="center"/>
    </xf>
    <xf numFmtId="3" fontId="0" fillId="3" borderId="6" xfId="0" applyNumberFormat="1" applyFill="1" applyBorder="1" applyAlignment="1">
      <alignment horizontal="center"/>
    </xf>
    <xf numFmtId="1" fontId="1" fillId="0" borderId="0" xfId="0" applyNumberFormat="1" applyFont="1" applyFill="1" applyBorder="1" applyAlignment="1">
      <alignment horizontal="center"/>
    </xf>
    <xf numFmtId="3" fontId="5" fillId="0" borderId="31" xfId="0" applyNumberFormat="1" applyFont="1" applyFill="1" applyBorder="1" applyAlignment="1">
      <alignment horizontal="center"/>
    </xf>
    <xf numFmtId="3" fontId="5" fillId="0" borderId="24" xfId="0" applyNumberFormat="1" applyFont="1" applyFill="1" applyBorder="1" applyAlignment="1">
      <alignment horizontal="center"/>
    </xf>
    <xf numFmtId="1" fontId="5" fillId="0" borderId="24" xfId="0" applyNumberFormat="1" applyFont="1" applyFill="1" applyBorder="1" applyAlignment="1">
      <alignment horizontal="center"/>
    </xf>
    <xf numFmtId="3" fontId="5" fillId="0" borderId="2" xfId="3" applyNumberFormat="1" applyFont="1" applyFill="1" applyBorder="1" applyAlignment="1">
      <alignment horizontal="center"/>
    </xf>
    <xf numFmtId="3" fontId="5" fillId="0" borderId="24" xfId="3" applyNumberFormat="1" applyFont="1" applyFill="1" applyBorder="1" applyAlignment="1">
      <alignment horizontal="center"/>
    </xf>
    <xf numFmtId="3" fontId="5" fillId="0" borderId="31" xfId="3" applyNumberFormat="1" applyFont="1" applyFill="1" applyBorder="1" applyAlignment="1">
      <alignment horizontal="center"/>
    </xf>
    <xf numFmtId="164" fontId="1" fillId="0" borderId="9" xfId="3" applyNumberFormat="1" applyFont="1" applyFill="1" applyBorder="1" applyAlignment="1">
      <alignment horizontal="center"/>
    </xf>
    <xf numFmtId="164" fontId="1" fillId="0" borderId="12" xfId="3" applyNumberFormat="1" applyFont="1" applyFill="1" applyBorder="1" applyAlignment="1">
      <alignment horizontal="center"/>
    </xf>
  </cellXfs>
  <cellStyles count="5">
    <cellStyle name="Comma" xfId="1" builtinId="3"/>
    <cellStyle name="Currency" xfId="2" builtinId="4"/>
    <cellStyle name="Currency 2" xfId="4" xr:uid="{00000000-0005-0000-0000-000002000000}"/>
    <cellStyle name="Normal" xfId="0" builtinId="0"/>
    <cellStyle name="Normal 2" xfId="3" xr:uid="{00000000-0005-0000-0000-000004000000}"/>
  </cellStyles>
  <dxfs count="0"/>
  <tableStyles count="0" defaultTableStyle="TableStyleMedium9" defaultPivotStyle="PivotStyleLight16"/>
  <colors>
    <mruColors>
      <color rgb="FF95B3D7"/>
      <color rgb="FFADC6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5"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L_WR3/Water%20Resources/Water%20Use%20Efficiency%20Programs/WR0X000%20IEUA%20Regional%20Conservation%20Programs%20Annual%20Report/Reports/FY%2008-09%20Report%20Info%20and%20Data/Tiff's%20docs/summary%20chart%20main%20draft/Data%20Ent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tario"/>
      <sheetName val="Chino"/>
      <sheetName val="Chino Hills"/>
      <sheetName val="MVWD"/>
      <sheetName val="Upland"/>
      <sheetName val="FWC"/>
      <sheetName val="SAWC"/>
      <sheetName val="CVWD"/>
    </sheetNames>
    <sheetDataSet>
      <sheetData sheetId="0" refreshError="1">
        <row r="4">
          <cell r="N4">
            <v>16</v>
          </cell>
        </row>
        <row r="5">
          <cell r="N5">
            <v>3</v>
          </cell>
        </row>
        <row r="6">
          <cell r="N6">
            <v>950</v>
          </cell>
        </row>
        <row r="7">
          <cell r="N7">
            <v>177</v>
          </cell>
        </row>
        <row r="8">
          <cell r="N8">
            <v>0</v>
          </cell>
        </row>
        <row r="10">
          <cell r="N10">
            <v>9</v>
          </cell>
        </row>
        <row r="11">
          <cell r="N11">
            <v>10</v>
          </cell>
        </row>
        <row r="13">
          <cell r="N13">
            <v>0</v>
          </cell>
        </row>
        <row r="14">
          <cell r="N14">
            <v>260</v>
          </cell>
        </row>
        <row r="15">
          <cell r="N15">
            <v>0</v>
          </cell>
        </row>
        <row r="16">
          <cell r="N16">
            <v>0</v>
          </cell>
        </row>
        <row r="17">
          <cell r="N17">
            <v>2</v>
          </cell>
        </row>
        <row r="18">
          <cell r="N18">
            <v>41</v>
          </cell>
        </row>
        <row r="19">
          <cell r="N19">
            <v>0</v>
          </cell>
        </row>
        <row r="20">
          <cell r="N20">
            <v>14</v>
          </cell>
        </row>
      </sheetData>
      <sheetData sheetId="1" refreshError="1">
        <row r="4">
          <cell r="N4">
            <v>11</v>
          </cell>
        </row>
        <row r="5">
          <cell r="N5">
            <v>0</v>
          </cell>
        </row>
        <row r="6">
          <cell r="N6">
            <v>944</v>
          </cell>
        </row>
        <row r="7">
          <cell r="N7">
            <v>146</v>
          </cell>
        </row>
        <row r="8">
          <cell r="N8">
            <v>0</v>
          </cell>
        </row>
        <row r="10">
          <cell r="N10">
            <v>2</v>
          </cell>
        </row>
        <row r="11">
          <cell r="N11">
            <v>28</v>
          </cell>
        </row>
        <row r="13">
          <cell r="N13">
            <v>0</v>
          </cell>
        </row>
        <row r="14">
          <cell r="N14">
            <v>0</v>
          </cell>
        </row>
        <row r="15">
          <cell r="N15">
            <v>0</v>
          </cell>
        </row>
        <row r="16">
          <cell r="N16">
            <v>1</v>
          </cell>
        </row>
        <row r="17">
          <cell r="N17">
            <v>1</v>
          </cell>
        </row>
        <row r="18">
          <cell r="N18">
            <v>24</v>
          </cell>
        </row>
        <row r="19">
          <cell r="N19">
            <v>0</v>
          </cell>
        </row>
        <row r="20">
          <cell r="N20">
            <v>2</v>
          </cell>
        </row>
      </sheetData>
      <sheetData sheetId="2" refreshError="1"/>
      <sheetData sheetId="3" refreshError="1"/>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Christopher Garcia" id="{CA780ADE-51AB-4085-87AC-E0FA4835190D}" userId="S::cgarcia@ieua.org::433403a9-7748-48d5-97bb-4e02366e3d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1C8F7-0E03-D644-B2AC-AD511AC01F4D}">
  <dimension ref="A1:P576"/>
  <sheetViews>
    <sheetView tabSelected="1" workbookViewId="0">
      <selection activeCell="A2" sqref="A2"/>
    </sheetView>
  </sheetViews>
  <sheetFormatPr baseColWidth="10" defaultRowHeight="13"/>
  <cols>
    <col min="3" max="3" width="43.6640625" bestFit="1" customWidth="1"/>
    <col min="4" max="4" width="48.5" bestFit="1" customWidth="1"/>
    <col min="5" max="6" width="8.83203125"/>
    <col min="7" max="7" width="10" bestFit="1" customWidth="1"/>
    <col min="8" max="8" width="8.83203125"/>
    <col min="9" max="9" width="9.6640625" customWidth="1"/>
    <col min="10" max="10" width="9.5" bestFit="1" customWidth="1"/>
    <col min="11" max="11" width="8.83203125"/>
    <col min="12" max="13" width="10.1640625" bestFit="1" customWidth="1"/>
    <col min="14" max="14" width="11.1640625" bestFit="1" customWidth="1"/>
  </cols>
  <sheetData>
    <row r="1" spans="1:16" ht="14" thickBot="1">
      <c r="A1" s="255" t="s">
        <v>240</v>
      </c>
      <c r="B1" s="255" t="s">
        <v>234</v>
      </c>
      <c r="C1" s="255" t="s">
        <v>235</v>
      </c>
      <c r="D1" s="255" t="s">
        <v>236</v>
      </c>
      <c r="E1" s="35" t="s">
        <v>35</v>
      </c>
      <c r="F1" s="35" t="s">
        <v>36</v>
      </c>
      <c r="G1" s="35" t="s">
        <v>37</v>
      </c>
      <c r="H1" s="35" t="s">
        <v>38</v>
      </c>
      <c r="I1" s="35" t="s">
        <v>39</v>
      </c>
      <c r="J1" s="35" t="s">
        <v>40</v>
      </c>
      <c r="K1" s="35" t="s">
        <v>41</v>
      </c>
      <c r="L1" s="35" t="s">
        <v>42</v>
      </c>
      <c r="M1" s="35" t="s">
        <v>43</v>
      </c>
      <c r="N1" s="35" t="s">
        <v>44</v>
      </c>
      <c r="O1" s="35" t="s">
        <v>45</v>
      </c>
      <c r="P1" s="35" t="s">
        <v>46</v>
      </c>
    </row>
    <row r="2" spans="1:16" ht="17" thickBot="1">
      <c r="A2" s="255" t="s">
        <v>237</v>
      </c>
      <c r="B2" s="23" t="s">
        <v>34</v>
      </c>
      <c r="C2" s="30" t="s">
        <v>48</v>
      </c>
      <c r="D2" s="24" t="s">
        <v>28</v>
      </c>
      <c r="E2" s="485">
        <v>0</v>
      </c>
      <c r="F2" s="485">
        <v>0</v>
      </c>
      <c r="G2" s="485">
        <v>0</v>
      </c>
      <c r="H2" s="485">
        <v>1</v>
      </c>
      <c r="I2" s="485">
        <v>2</v>
      </c>
      <c r="J2" s="485">
        <v>0</v>
      </c>
      <c r="K2" s="485">
        <v>0</v>
      </c>
      <c r="L2" s="485">
        <v>0</v>
      </c>
      <c r="M2" s="485">
        <v>0</v>
      </c>
      <c r="N2" s="485">
        <v>3</v>
      </c>
      <c r="O2" s="485">
        <v>0</v>
      </c>
      <c r="P2" s="485">
        <v>0</v>
      </c>
    </row>
    <row r="3" spans="1:16" ht="17" thickBot="1">
      <c r="A3" s="255" t="s">
        <v>237</v>
      </c>
      <c r="B3" s="23" t="s">
        <v>34</v>
      </c>
      <c r="C3" s="30" t="s">
        <v>48</v>
      </c>
      <c r="D3" s="24" t="s">
        <v>29</v>
      </c>
      <c r="E3" s="485">
        <v>0</v>
      </c>
      <c r="F3" s="485">
        <v>0</v>
      </c>
      <c r="G3" s="485">
        <v>0</v>
      </c>
      <c r="H3" s="485">
        <v>1</v>
      </c>
      <c r="I3" s="485">
        <v>1</v>
      </c>
      <c r="J3" s="485">
        <v>0</v>
      </c>
      <c r="K3" s="485">
        <v>0</v>
      </c>
      <c r="L3" s="485">
        <v>0</v>
      </c>
      <c r="M3" s="485">
        <v>1</v>
      </c>
      <c r="N3" s="485">
        <v>2</v>
      </c>
      <c r="O3" s="485">
        <v>2</v>
      </c>
      <c r="P3" s="485">
        <v>2</v>
      </c>
    </row>
    <row r="4" spans="1:16" ht="17" thickBot="1">
      <c r="A4" s="255" t="s">
        <v>237</v>
      </c>
      <c r="B4" s="23" t="s">
        <v>34</v>
      </c>
      <c r="C4" s="30" t="s">
        <v>48</v>
      </c>
      <c r="D4" s="24" t="s">
        <v>33</v>
      </c>
      <c r="E4" s="485">
        <v>4</v>
      </c>
      <c r="F4" s="485">
        <v>0</v>
      </c>
      <c r="G4" s="485">
        <v>28</v>
      </c>
      <c r="H4" s="485">
        <v>17</v>
      </c>
      <c r="I4" s="485">
        <v>17</v>
      </c>
      <c r="J4" s="485">
        <v>8</v>
      </c>
      <c r="K4" s="485">
        <v>25</v>
      </c>
      <c r="L4" s="485">
        <v>12</v>
      </c>
      <c r="M4" s="485">
        <v>12</v>
      </c>
      <c r="N4" s="485">
        <v>15</v>
      </c>
      <c r="O4" s="485">
        <v>9</v>
      </c>
      <c r="P4" s="485">
        <v>21</v>
      </c>
    </row>
    <row r="5" spans="1:16" ht="17" thickBot="1">
      <c r="A5" s="255" t="s">
        <v>237</v>
      </c>
      <c r="B5" s="23" t="s">
        <v>34</v>
      </c>
      <c r="C5" s="30" t="s">
        <v>48</v>
      </c>
      <c r="D5" s="24" t="s">
        <v>56</v>
      </c>
      <c r="E5" s="485">
        <v>0</v>
      </c>
      <c r="F5" s="485">
        <v>0</v>
      </c>
      <c r="G5" s="485">
        <v>23</v>
      </c>
      <c r="H5" s="485">
        <v>22</v>
      </c>
      <c r="I5" s="485">
        <v>0</v>
      </c>
      <c r="J5" s="485">
        <v>20</v>
      </c>
      <c r="K5" s="485">
        <v>0</v>
      </c>
      <c r="L5" s="485">
        <v>0</v>
      </c>
      <c r="M5" s="485">
        <v>0</v>
      </c>
      <c r="N5" s="485">
        <v>45</v>
      </c>
      <c r="O5" s="485">
        <v>0</v>
      </c>
      <c r="P5" s="485">
        <v>0</v>
      </c>
    </row>
    <row r="6" spans="1:16" ht="17" thickBot="1">
      <c r="A6" s="255" t="s">
        <v>237</v>
      </c>
      <c r="B6" s="23" t="s">
        <v>34</v>
      </c>
      <c r="C6" s="30" t="s">
        <v>48</v>
      </c>
      <c r="D6" s="24" t="s">
        <v>52</v>
      </c>
      <c r="E6" s="485">
        <v>0</v>
      </c>
      <c r="F6" s="485">
        <v>0</v>
      </c>
      <c r="G6" s="485">
        <v>0</v>
      </c>
      <c r="H6" s="485">
        <v>0</v>
      </c>
      <c r="I6" s="485">
        <v>0</v>
      </c>
      <c r="J6" s="485">
        <v>0</v>
      </c>
      <c r="K6" s="485">
        <v>0</v>
      </c>
      <c r="L6" s="485">
        <v>0</v>
      </c>
      <c r="M6" s="485">
        <v>0</v>
      </c>
      <c r="N6" s="485">
        <v>1</v>
      </c>
      <c r="O6" s="485">
        <v>0</v>
      </c>
      <c r="P6" s="485">
        <v>0</v>
      </c>
    </row>
    <row r="7" spans="1:16" ht="17" thickBot="1">
      <c r="A7" s="255" t="s">
        <v>237</v>
      </c>
      <c r="B7" s="23" t="s">
        <v>34</v>
      </c>
      <c r="C7" s="30" t="s">
        <v>48</v>
      </c>
      <c r="D7" s="25" t="s">
        <v>79</v>
      </c>
      <c r="E7" s="485">
        <v>0</v>
      </c>
      <c r="F7" s="485">
        <v>0</v>
      </c>
      <c r="G7" s="485">
        <v>0</v>
      </c>
      <c r="H7" s="485">
        <v>0</v>
      </c>
      <c r="I7" s="485">
        <v>0</v>
      </c>
      <c r="J7" s="485">
        <v>0</v>
      </c>
      <c r="K7" s="485">
        <v>0</v>
      </c>
      <c r="L7" s="485">
        <v>0</v>
      </c>
      <c r="M7" s="485">
        <v>0</v>
      </c>
      <c r="N7" s="485">
        <v>0</v>
      </c>
      <c r="O7" s="485">
        <v>1</v>
      </c>
      <c r="P7" s="485">
        <v>2</v>
      </c>
    </row>
    <row r="8" spans="1:16" ht="17" thickBot="1">
      <c r="A8" s="255" t="s">
        <v>237</v>
      </c>
      <c r="B8" s="23" t="s">
        <v>34</v>
      </c>
      <c r="C8" s="30" t="s">
        <v>48</v>
      </c>
      <c r="D8" s="25" t="s">
        <v>75</v>
      </c>
      <c r="E8" s="485">
        <v>0</v>
      </c>
      <c r="F8" s="485">
        <v>0</v>
      </c>
      <c r="G8" s="485">
        <v>0</v>
      </c>
      <c r="H8" s="485">
        <v>0</v>
      </c>
      <c r="I8" s="485">
        <v>0</v>
      </c>
      <c r="J8" s="485">
        <v>0</v>
      </c>
      <c r="K8" s="485">
        <v>0</v>
      </c>
      <c r="L8" s="485">
        <v>2</v>
      </c>
      <c r="M8" s="485">
        <v>0</v>
      </c>
      <c r="N8" s="485">
        <v>0</v>
      </c>
      <c r="O8" s="485">
        <v>1</v>
      </c>
      <c r="P8" s="485">
        <v>2</v>
      </c>
    </row>
    <row r="9" spans="1:16" ht="17" thickBot="1">
      <c r="A9" s="255" t="s">
        <v>237</v>
      </c>
      <c r="B9" s="23" t="s">
        <v>34</v>
      </c>
      <c r="C9" s="30" t="s">
        <v>49</v>
      </c>
      <c r="D9" s="25" t="s">
        <v>49</v>
      </c>
      <c r="E9" s="485">
        <v>30</v>
      </c>
      <c r="F9" s="485">
        <v>212</v>
      </c>
      <c r="G9" s="485">
        <v>33</v>
      </c>
      <c r="H9" s="485">
        <v>34</v>
      </c>
      <c r="I9" s="485">
        <v>126</v>
      </c>
      <c r="J9" s="485">
        <v>0</v>
      </c>
      <c r="K9" s="485">
        <v>155</v>
      </c>
      <c r="L9" s="485">
        <v>0</v>
      </c>
      <c r="M9" s="485">
        <v>0</v>
      </c>
      <c r="N9" s="485">
        <v>38</v>
      </c>
      <c r="O9" s="485">
        <v>23</v>
      </c>
      <c r="P9" s="485">
        <v>57</v>
      </c>
    </row>
    <row r="10" spans="1:16" ht="17" thickBot="1">
      <c r="A10" s="255" t="s">
        <v>237</v>
      </c>
      <c r="B10" s="23" t="s">
        <v>34</v>
      </c>
      <c r="C10" s="30" t="s">
        <v>50</v>
      </c>
      <c r="D10" s="26" t="s">
        <v>26</v>
      </c>
      <c r="E10" s="485">
        <v>0</v>
      </c>
      <c r="F10" s="485">
        <v>0</v>
      </c>
      <c r="G10" s="485">
        <v>0</v>
      </c>
      <c r="H10" s="485">
        <v>0</v>
      </c>
      <c r="I10" s="485">
        <v>0</v>
      </c>
      <c r="J10" s="485">
        <v>0</v>
      </c>
      <c r="K10" s="485">
        <v>0</v>
      </c>
      <c r="L10" s="485">
        <v>0</v>
      </c>
      <c r="M10" s="485">
        <v>0</v>
      </c>
      <c r="N10" s="485">
        <v>0</v>
      </c>
      <c r="O10" s="485">
        <v>0</v>
      </c>
      <c r="P10" s="485">
        <v>0</v>
      </c>
    </row>
    <row r="11" spans="1:16" ht="17" thickBot="1">
      <c r="A11" s="255" t="s">
        <v>237</v>
      </c>
      <c r="B11" s="23" t="s">
        <v>34</v>
      </c>
      <c r="C11" s="30" t="s">
        <v>50</v>
      </c>
      <c r="D11" s="26" t="s">
        <v>25</v>
      </c>
      <c r="E11" s="485">
        <v>0</v>
      </c>
      <c r="F11" s="485">
        <v>8</v>
      </c>
      <c r="G11" s="485">
        <v>0</v>
      </c>
      <c r="H11" s="485">
        <v>0</v>
      </c>
      <c r="I11" s="485">
        <v>0</v>
      </c>
      <c r="J11" s="485">
        <v>0</v>
      </c>
      <c r="K11" s="485">
        <v>0</v>
      </c>
      <c r="L11" s="485">
        <v>0</v>
      </c>
      <c r="M11" s="485">
        <v>0</v>
      </c>
      <c r="N11" s="485">
        <v>0</v>
      </c>
      <c r="O11" s="485">
        <v>0</v>
      </c>
      <c r="P11" s="485">
        <v>0</v>
      </c>
    </row>
    <row r="12" spans="1:16" ht="17" thickBot="1">
      <c r="A12" s="255" t="s">
        <v>237</v>
      </c>
      <c r="B12" s="23" t="s">
        <v>34</v>
      </c>
      <c r="C12" s="30" t="s">
        <v>50</v>
      </c>
      <c r="D12" s="24" t="s">
        <v>29</v>
      </c>
      <c r="E12" s="485">
        <v>0</v>
      </c>
      <c r="F12" s="485">
        <v>456</v>
      </c>
      <c r="G12" s="485">
        <v>191</v>
      </c>
      <c r="H12" s="485">
        <v>66</v>
      </c>
      <c r="I12" s="485">
        <v>0</v>
      </c>
      <c r="J12" s="485">
        <v>46</v>
      </c>
      <c r="K12" s="485">
        <v>0</v>
      </c>
      <c r="L12" s="485">
        <v>0</v>
      </c>
      <c r="M12" s="485">
        <v>0</v>
      </c>
      <c r="N12" s="485">
        <v>169</v>
      </c>
      <c r="O12" s="485">
        <v>212</v>
      </c>
      <c r="P12" s="485">
        <v>0</v>
      </c>
    </row>
    <row r="13" spans="1:16" ht="17" thickBot="1">
      <c r="A13" s="255" t="s">
        <v>237</v>
      </c>
      <c r="B13" s="23" t="s">
        <v>34</v>
      </c>
      <c r="C13" s="30" t="s">
        <v>50</v>
      </c>
      <c r="D13" s="24" t="s">
        <v>51</v>
      </c>
      <c r="E13" s="485">
        <v>97</v>
      </c>
      <c r="F13" s="485">
        <v>0</v>
      </c>
      <c r="G13" s="485">
        <v>0</v>
      </c>
      <c r="H13" s="485">
        <v>0</v>
      </c>
      <c r="I13" s="485">
        <v>78</v>
      </c>
      <c r="J13" s="485">
        <v>0</v>
      </c>
      <c r="K13" s="485">
        <v>60</v>
      </c>
      <c r="L13" s="485">
        <v>8</v>
      </c>
      <c r="M13" s="485">
        <v>12</v>
      </c>
      <c r="N13" s="485">
        <v>0</v>
      </c>
      <c r="O13" s="485">
        <v>3</v>
      </c>
      <c r="P13" s="485">
        <v>4</v>
      </c>
    </row>
    <row r="14" spans="1:16" ht="17" thickBot="1">
      <c r="A14" s="255" t="s">
        <v>237</v>
      </c>
      <c r="B14" s="23" t="s">
        <v>34</v>
      </c>
      <c r="C14" s="30" t="s">
        <v>50</v>
      </c>
      <c r="D14" s="26" t="s">
        <v>20</v>
      </c>
      <c r="E14" s="485">
        <v>0</v>
      </c>
      <c r="F14" s="485">
        <v>0</v>
      </c>
      <c r="G14" s="485">
        <v>0</v>
      </c>
      <c r="H14" s="485">
        <v>0</v>
      </c>
      <c r="I14" s="485">
        <v>0</v>
      </c>
      <c r="J14" s="485">
        <v>9</v>
      </c>
      <c r="K14" s="485">
        <v>0</v>
      </c>
      <c r="L14" s="485">
        <v>0</v>
      </c>
      <c r="M14" s="485">
        <v>0</v>
      </c>
      <c r="N14" s="485">
        <v>0</v>
      </c>
      <c r="O14" s="485">
        <v>0</v>
      </c>
      <c r="P14" s="485">
        <v>0</v>
      </c>
    </row>
    <row r="15" spans="1:16" ht="17" thickBot="1">
      <c r="A15" s="255" t="s">
        <v>237</v>
      </c>
      <c r="B15" s="23" t="s">
        <v>34</v>
      </c>
      <c r="C15" s="30" t="s">
        <v>50</v>
      </c>
      <c r="D15" s="26" t="s">
        <v>140</v>
      </c>
      <c r="E15" s="485">
        <v>2</v>
      </c>
      <c r="F15" s="485">
        <v>0</v>
      </c>
      <c r="G15" s="485">
        <v>0</v>
      </c>
      <c r="H15" s="485">
        <v>1</v>
      </c>
      <c r="I15" s="485">
        <v>0</v>
      </c>
      <c r="J15" s="485">
        <v>0</v>
      </c>
      <c r="K15" s="485">
        <v>0</v>
      </c>
      <c r="L15" s="485">
        <v>0</v>
      </c>
      <c r="M15" s="485">
        <v>0</v>
      </c>
      <c r="N15" s="485">
        <v>0</v>
      </c>
      <c r="O15" s="485">
        <v>0</v>
      </c>
      <c r="P15" s="485">
        <v>2</v>
      </c>
    </row>
    <row r="16" spans="1:16" ht="17" thickBot="1">
      <c r="A16" s="255" t="s">
        <v>237</v>
      </c>
      <c r="B16" s="23" t="s">
        <v>34</v>
      </c>
      <c r="C16" s="30" t="s">
        <v>50</v>
      </c>
      <c r="D16" s="27" t="s">
        <v>47</v>
      </c>
      <c r="E16" s="485">
        <v>0</v>
      </c>
      <c r="F16" s="485">
        <v>0</v>
      </c>
      <c r="G16" s="485">
        <v>0</v>
      </c>
      <c r="H16" s="485">
        <v>0</v>
      </c>
      <c r="I16" s="485">
        <v>0</v>
      </c>
      <c r="J16" s="485">
        <v>0</v>
      </c>
      <c r="K16" s="485">
        <v>0</v>
      </c>
      <c r="L16" s="485">
        <v>0</v>
      </c>
      <c r="M16" s="485">
        <v>0</v>
      </c>
      <c r="N16" s="485">
        <v>1</v>
      </c>
      <c r="O16" s="485">
        <v>0</v>
      </c>
      <c r="P16" s="485">
        <v>0</v>
      </c>
    </row>
    <row r="17" spans="1:16" ht="17" thickBot="1">
      <c r="A17" s="255" t="s">
        <v>237</v>
      </c>
      <c r="B17" s="23" t="s">
        <v>34</v>
      </c>
      <c r="C17" s="30" t="s">
        <v>50</v>
      </c>
      <c r="D17" s="25" t="s">
        <v>52</v>
      </c>
      <c r="E17" s="485">
        <v>0</v>
      </c>
      <c r="F17" s="485">
        <v>0</v>
      </c>
      <c r="G17" s="485">
        <v>0</v>
      </c>
      <c r="H17" s="485">
        <v>0</v>
      </c>
      <c r="I17" s="485">
        <v>0</v>
      </c>
      <c r="J17" s="485">
        <v>0</v>
      </c>
      <c r="K17" s="485">
        <v>0</v>
      </c>
      <c r="L17" s="485">
        <v>0</v>
      </c>
      <c r="M17" s="485">
        <v>0</v>
      </c>
      <c r="N17" s="485">
        <v>0</v>
      </c>
      <c r="O17" s="485">
        <v>1</v>
      </c>
      <c r="P17" s="485">
        <v>1</v>
      </c>
    </row>
    <row r="18" spans="1:16" ht="17" thickBot="1">
      <c r="A18" s="255" t="s">
        <v>237</v>
      </c>
      <c r="B18" s="23" t="s">
        <v>34</v>
      </c>
      <c r="C18" s="30" t="s">
        <v>50</v>
      </c>
      <c r="D18" s="25" t="s">
        <v>53</v>
      </c>
      <c r="E18" s="485">
        <v>0</v>
      </c>
      <c r="F18" s="485">
        <v>0</v>
      </c>
      <c r="G18" s="485">
        <v>0</v>
      </c>
      <c r="H18" s="485">
        <v>0</v>
      </c>
      <c r="I18" s="485">
        <v>0</v>
      </c>
      <c r="J18" s="485">
        <v>0</v>
      </c>
      <c r="K18" s="485">
        <v>0</v>
      </c>
      <c r="L18" s="485">
        <v>0</v>
      </c>
      <c r="M18" s="485">
        <v>0</v>
      </c>
      <c r="N18" s="485">
        <v>0</v>
      </c>
      <c r="O18" s="485">
        <v>0</v>
      </c>
      <c r="P18" s="485">
        <v>0</v>
      </c>
    </row>
    <row r="19" spans="1:16" ht="17" thickBot="1">
      <c r="A19" s="255" t="s">
        <v>237</v>
      </c>
      <c r="B19" s="23" t="s">
        <v>34</v>
      </c>
      <c r="C19" s="30" t="s">
        <v>50</v>
      </c>
      <c r="D19" s="24" t="s">
        <v>56</v>
      </c>
      <c r="E19" s="485">
        <v>0</v>
      </c>
      <c r="F19" s="485">
        <v>0</v>
      </c>
      <c r="G19" s="485">
        <v>0</v>
      </c>
      <c r="H19" s="485">
        <v>0</v>
      </c>
      <c r="I19" s="485">
        <v>0</v>
      </c>
      <c r="J19" s="485">
        <v>0</v>
      </c>
      <c r="K19" s="485">
        <v>0</v>
      </c>
      <c r="L19" s="485">
        <v>0</v>
      </c>
      <c r="M19" s="485">
        <v>0</v>
      </c>
      <c r="N19" s="485">
        <v>0</v>
      </c>
      <c r="O19" s="485">
        <v>0</v>
      </c>
      <c r="P19" s="485">
        <v>0</v>
      </c>
    </row>
    <row r="20" spans="1:16" ht="17" thickBot="1">
      <c r="A20" s="255" t="s">
        <v>237</v>
      </c>
      <c r="B20" s="23" t="s">
        <v>34</v>
      </c>
      <c r="C20" s="30" t="s">
        <v>54</v>
      </c>
      <c r="D20" s="28" t="s">
        <v>29</v>
      </c>
      <c r="E20" s="486">
        <v>0</v>
      </c>
      <c r="F20" s="486">
        <v>0</v>
      </c>
      <c r="G20" s="486">
        <v>0</v>
      </c>
      <c r="H20" s="486">
        <v>0</v>
      </c>
      <c r="I20" s="486">
        <v>0</v>
      </c>
      <c r="J20" s="486">
        <v>0</v>
      </c>
      <c r="K20" s="486">
        <v>0</v>
      </c>
      <c r="L20" s="486">
        <v>0</v>
      </c>
      <c r="M20" s="486">
        <v>0</v>
      </c>
      <c r="N20" s="486">
        <v>0</v>
      </c>
      <c r="O20" s="486">
        <v>0</v>
      </c>
      <c r="P20" s="486">
        <v>0</v>
      </c>
    </row>
    <row r="21" spans="1:16" ht="17" thickBot="1">
      <c r="A21" s="255" t="s">
        <v>237</v>
      </c>
      <c r="B21" s="23" t="s">
        <v>34</v>
      </c>
      <c r="C21" s="30" t="s">
        <v>54</v>
      </c>
      <c r="D21" s="26" t="s">
        <v>51</v>
      </c>
      <c r="E21" s="485">
        <v>0</v>
      </c>
      <c r="F21" s="485">
        <v>0</v>
      </c>
      <c r="G21" s="485">
        <v>0</v>
      </c>
      <c r="H21" s="485">
        <v>0</v>
      </c>
      <c r="I21" s="485">
        <v>0</v>
      </c>
      <c r="J21" s="485">
        <v>0</v>
      </c>
      <c r="K21" s="485">
        <v>0</v>
      </c>
      <c r="L21" s="485">
        <v>5</v>
      </c>
      <c r="M21" s="485">
        <v>0</v>
      </c>
      <c r="N21" s="485">
        <v>0</v>
      </c>
      <c r="O21" s="485">
        <v>0</v>
      </c>
      <c r="P21" s="485">
        <v>0</v>
      </c>
    </row>
    <row r="22" spans="1:16" ht="17" thickBot="1">
      <c r="A22" s="255" t="s">
        <v>237</v>
      </c>
      <c r="B22" s="23" t="s">
        <v>34</v>
      </c>
      <c r="C22" s="30" t="s">
        <v>54</v>
      </c>
      <c r="D22" s="26" t="s">
        <v>15</v>
      </c>
      <c r="E22" s="485">
        <v>0</v>
      </c>
      <c r="F22" s="485">
        <v>0</v>
      </c>
      <c r="G22" s="485">
        <v>0</v>
      </c>
      <c r="H22" s="485">
        <v>0</v>
      </c>
      <c r="I22" s="485">
        <v>0</v>
      </c>
      <c r="J22" s="485">
        <v>0</v>
      </c>
      <c r="K22" s="485">
        <v>0</v>
      </c>
      <c r="L22" s="485">
        <v>0</v>
      </c>
      <c r="M22" s="485">
        <v>0</v>
      </c>
      <c r="N22" s="485">
        <v>0</v>
      </c>
      <c r="O22" s="487">
        <v>7</v>
      </c>
      <c r="P22" s="485">
        <v>0</v>
      </c>
    </row>
    <row r="23" spans="1:16" ht="17" thickBot="1">
      <c r="A23" s="255" t="s">
        <v>237</v>
      </c>
      <c r="B23" s="23" t="s">
        <v>34</v>
      </c>
      <c r="C23" s="30" t="s">
        <v>54</v>
      </c>
      <c r="D23" s="26" t="s">
        <v>30</v>
      </c>
      <c r="E23" s="485">
        <v>0</v>
      </c>
      <c r="F23" s="485">
        <v>0</v>
      </c>
      <c r="G23" s="485">
        <v>0</v>
      </c>
      <c r="H23" s="485">
        <v>0</v>
      </c>
      <c r="I23" s="485">
        <v>0</v>
      </c>
      <c r="J23" s="485">
        <v>0</v>
      </c>
      <c r="K23" s="485">
        <v>0</v>
      </c>
      <c r="L23" s="485">
        <v>0</v>
      </c>
      <c r="M23" s="485">
        <v>0</v>
      </c>
      <c r="N23" s="485">
        <v>0</v>
      </c>
      <c r="O23" s="485">
        <v>0</v>
      </c>
      <c r="P23" s="485">
        <v>0</v>
      </c>
    </row>
    <row r="24" spans="1:16" ht="17" thickBot="1">
      <c r="A24" s="255" t="s">
        <v>237</v>
      </c>
      <c r="B24" s="23" t="s">
        <v>34</v>
      </c>
      <c r="C24" s="30" t="s">
        <v>54</v>
      </c>
      <c r="D24" s="29" t="s">
        <v>55</v>
      </c>
      <c r="E24" s="490">
        <v>0</v>
      </c>
      <c r="F24" s="490">
        <v>0</v>
      </c>
      <c r="G24" s="490">
        <v>0</v>
      </c>
      <c r="H24" s="490">
        <v>0</v>
      </c>
      <c r="I24" s="490">
        <v>0</v>
      </c>
      <c r="J24" s="490">
        <v>0</v>
      </c>
      <c r="K24" s="490">
        <v>0</v>
      </c>
      <c r="L24" s="490">
        <v>0</v>
      </c>
      <c r="M24" s="490">
        <v>0</v>
      </c>
      <c r="N24" s="490">
        <v>0</v>
      </c>
      <c r="O24" s="490">
        <v>0</v>
      </c>
      <c r="P24" s="490">
        <v>0</v>
      </c>
    </row>
    <row r="25" spans="1:16" ht="17" thickBot="1">
      <c r="A25" s="255" t="s">
        <v>237</v>
      </c>
      <c r="B25" s="23" t="s">
        <v>34</v>
      </c>
      <c r="C25" s="30" t="s">
        <v>48</v>
      </c>
      <c r="D25" s="24" t="s">
        <v>28</v>
      </c>
      <c r="E25" s="485">
        <v>0</v>
      </c>
      <c r="F25" s="485">
        <v>1</v>
      </c>
      <c r="G25" s="485">
        <v>0</v>
      </c>
      <c r="H25" s="485">
        <v>0</v>
      </c>
      <c r="I25" s="485">
        <v>0</v>
      </c>
      <c r="J25" s="485">
        <v>0</v>
      </c>
      <c r="K25" s="485">
        <v>0</v>
      </c>
      <c r="L25" s="485">
        <v>0</v>
      </c>
      <c r="M25" s="485">
        <v>0</v>
      </c>
      <c r="N25" s="485">
        <v>0</v>
      </c>
      <c r="O25" s="485">
        <v>0</v>
      </c>
      <c r="P25" s="485">
        <v>0</v>
      </c>
    </row>
    <row r="26" spans="1:16" ht="17" thickBot="1">
      <c r="A26" s="255" t="s">
        <v>237</v>
      </c>
      <c r="B26" s="23" t="s">
        <v>34</v>
      </c>
      <c r="C26" s="30" t="s">
        <v>48</v>
      </c>
      <c r="D26" s="24" t="s">
        <v>29</v>
      </c>
      <c r="E26" s="485">
        <v>0</v>
      </c>
      <c r="F26" s="485">
        <v>0</v>
      </c>
      <c r="G26" s="485">
        <v>1</v>
      </c>
      <c r="H26" s="485">
        <v>5</v>
      </c>
      <c r="I26" s="485">
        <v>1</v>
      </c>
      <c r="J26" s="485">
        <v>91</v>
      </c>
      <c r="K26" s="485">
        <v>3</v>
      </c>
      <c r="L26" s="485">
        <v>8</v>
      </c>
      <c r="M26" s="485">
        <v>2</v>
      </c>
      <c r="N26" s="485">
        <v>3</v>
      </c>
      <c r="O26" s="485">
        <v>11</v>
      </c>
      <c r="P26" s="485">
        <v>11</v>
      </c>
    </row>
    <row r="27" spans="1:16" ht="17" thickBot="1">
      <c r="A27" s="255" t="s">
        <v>237</v>
      </c>
      <c r="B27" s="23" t="s">
        <v>34</v>
      </c>
      <c r="C27" s="30" t="s">
        <v>48</v>
      </c>
      <c r="D27" s="24" t="s">
        <v>33</v>
      </c>
      <c r="E27" s="485">
        <v>0</v>
      </c>
      <c r="F27" s="485">
        <v>0</v>
      </c>
      <c r="G27" s="485">
        <v>13</v>
      </c>
      <c r="H27" s="485">
        <v>18</v>
      </c>
      <c r="I27" s="485">
        <v>3</v>
      </c>
      <c r="J27" s="485">
        <v>26</v>
      </c>
      <c r="K27" s="485">
        <v>4</v>
      </c>
      <c r="L27" s="485">
        <v>4</v>
      </c>
      <c r="M27" s="485">
        <v>19</v>
      </c>
      <c r="N27" s="485">
        <v>13</v>
      </c>
      <c r="O27" s="485">
        <v>17</v>
      </c>
      <c r="P27" s="485">
        <v>23</v>
      </c>
    </row>
    <row r="28" spans="1:16" ht="17" thickBot="1">
      <c r="A28" s="255" t="s">
        <v>237</v>
      </c>
      <c r="B28" s="23" t="s">
        <v>34</v>
      </c>
      <c r="C28" s="30" t="s">
        <v>48</v>
      </c>
      <c r="D28" s="24" t="s">
        <v>56</v>
      </c>
      <c r="E28" s="485">
        <v>0</v>
      </c>
      <c r="F28" s="485">
        <v>0</v>
      </c>
      <c r="G28" s="485">
        <v>20</v>
      </c>
      <c r="H28" s="485">
        <v>23</v>
      </c>
      <c r="I28" s="485">
        <v>0</v>
      </c>
      <c r="J28" s="485">
        <v>0</v>
      </c>
      <c r="K28" s="485">
        <v>0</v>
      </c>
      <c r="L28" s="485">
        <v>0</v>
      </c>
      <c r="M28" s="485">
        <v>11</v>
      </c>
      <c r="N28" s="485">
        <v>0</v>
      </c>
      <c r="O28" s="485">
        <v>0</v>
      </c>
      <c r="P28" s="485">
        <v>0</v>
      </c>
    </row>
    <row r="29" spans="1:16" ht="17" thickBot="1">
      <c r="A29" s="255" t="s">
        <v>237</v>
      </c>
      <c r="B29" s="23" t="s">
        <v>34</v>
      </c>
      <c r="C29" s="30" t="s">
        <v>48</v>
      </c>
      <c r="D29" s="24" t="s">
        <v>52</v>
      </c>
      <c r="E29" s="485">
        <v>0</v>
      </c>
      <c r="F29" s="485">
        <v>0</v>
      </c>
      <c r="G29" s="485">
        <v>0</v>
      </c>
      <c r="H29" s="485">
        <v>1</v>
      </c>
      <c r="I29" s="485">
        <v>0</v>
      </c>
      <c r="J29" s="485">
        <v>0</v>
      </c>
      <c r="K29" s="485">
        <v>0</v>
      </c>
      <c r="L29" s="485">
        <v>0</v>
      </c>
      <c r="M29" s="485">
        <v>0</v>
      </c>
      <c r="N29" s="485">
        <v>0</v>
      </c>
      <c r="O29" s="485">
        <v>0</v>
      </c>
      <c r="P29" s="485">
        <v>0</v>
      </c>
    </row>
    <row r="30" spans="1:16" ht="17" thickBot="1">
      <c r="A30" s="255" t="s">
        <v>237</v>
      </c>
      <c r="B30" s="23" t="s">
        <v>34</v>
      </c>
      <c r="C30" s="30" t="s">
        <v>48</v>
      </c>
      <c r="D30" s="25" t="s">
        <v>84</v>
      </c>
      <c r="E30" s="485">
        <v>0</v>
      </c>
      <c r="F30" s="485">
        <v>0</v>
      </c>
      <c r="G30" s="485">
        <v>0</v>
      </c>
      <c r="H30" s="485">
        <v>0</v>
      </c>
      <c r="I30" s="485">
        <v>0</v>
      </c>
      <c r="J30" s="485">
        <v>0</v>
      </c>
      <c r="K30" s="485">
        <v>0</v>
      </c>
      <c r="L30" s="485">
        <v>0</v>
      </c>
      <c r="M30" s="485">
        <v>0</v>
      </c>
      <c r="N30" s="485">
        <v>0</v>
      </c>
      <c r="O30" s="485">
        <v>0</v>
      </c>
      <c r="P30" s="485">
        <v>0</v>
      </c>
    </row>
    <row r="31" spans="1:16" ht="17" thickBot="1">
      <c r="A31" s="255" t="s">
        <v>237</v>
      </c>
      <c r="B31" s="23" t="s">
        <v>34</v>
      </c>
      <c r="C31" s="30" t="s">
        <v>48</v>
      </c>
      <c r="D31" s="25" t="s">
        <v>85</v>
      </c>
      <c r="E31" s="485">
        <v>0</v>
      </c>
      <c r="F31" s="485">
        <v>0</v>
      </c>
      <c r="G31" s="485">
        <v>0</v>
      </c>
      <c r="H31" s="485">
        <v>0</v>
      </c>
      <c r="I31" s="485">
        <v>0</v>
      </c>
      <c r="J31" s="485">
        <v>0</v>
      </c>
      <c r="K31" s="485">
        <v>0</v>
      </c>
      <c r="L31" s="485">
        <v>0</v>
      </c>
      <c r="M31" s="485">
        <v>0</v>
      </c>
      <c r="N31" s="485">
        <v>0</v>
      </c>
      <c r="O31" s="485">
        <v>0</v>
      </c>
      <c r="P31" s="485">
        <v>0</v>
      </c>
    </row>
    <row r="32" spans="1:16" ht="17" thickBot="1">
      <c r="A32" s="255" t="s">
        <v>237</v>
      </c>
      <c r="B32" s="23" t="s">
        <v>34</v>
      </c>
      <c r="C32" s="30" t="s">
        <v>49</v>
      </c>
      <c r="D32" s="25" t="s">
        <v>49</v>
      </c>
      <c r="E32" s="485">
        <v>0</v>
      </c>
      <c r="F32" s="485">
        <v>128</v>
      </c>
      <c r="G32" s="485">
        <v>92</v>
      </c>
      <c r="H32" s="485">
        <v>61</v>
      </c>
      <c r="I32" s="485">
        <v>391</v>
      </c>
      <c r="J32" s="485">
        <v>85</v>
      </c>
      <c r="K32" s="485">
        <v>0</v>
      </c>
      <c r="L32" s="485">
        <v>0</v>
      </c>
      <c r="M32" s="485">
        <v>0</v>
      </c>
      <c r="N32" s="485">
        <v>0</v>
      </c>
      <c r="O32" s="485">
        <v>0</v>
      </c>
      <c r="P32" s="485">
        <v>0</v>
      </c>
    </row>
    <row r="33" spans="1:16" ht="17" thickBot="1">
      <c r="A33" s="255" t="s">
        <v>237</v>
      </c>
      <c r="B33" s="23" t="s">
        <v>34</v>
      </c>
      <c r="C33" s="30" t="s">
        <v>50</v>
      </c>
      <c r="D33" s="26" t="s">
        <v>26</v>
      </c>
      <c r="E33" s="485">
        <v>0</v>
      </c>
      <c r="F33" s="485">
        <v>0</v>
      </c>
      <c r="G33" s="485">
        <v>0</v>
      </c>
      <c r="H33" s="485">
        <v>0</v>
      </c>
      <c r="I33" s="485">
        <v>0</v>
      </c>
      <c r="J33" s="485">
        <v>0</v>
      </c>
      <c r="K33" s="485">
        <v>0</v>
      </c>
      <c r="L33" s="485">
        <v>0</v>
      </c>
      <c r="M33" s="485">
        <v>0</v>
      </c>
      <c r="N33" s="485">
        <v>0</v>
      </c>
      <c r="O33" s="485">
        <v>0</v>
      </c>
      <c r="P33" s="485">
        <v>0</v>
      </c>
    </row>
    <row r="34" spans="1:16" ht="17" thickBot="1">
      <c r="A34" s="255" t="s">
        <v>237</v>
      </c>
      <c r="B34" s="23" t="s">
        <v>34</v>
      </c>
      <c r="C34" s="30" t="s">
        <v>50</v>
      </c>
      <c r="D34" s="26" t="s">
        <v>25</v>
      </c>
      <c r="E34" s="485">
        <v>0</v>
      </c>
      <c r="F34" s="485">
        <v>0</v>
      </c>
      <c r="G34" s="485">
        <v>0</v>
      </c>
      <c r="H34" s="485">
        <v>0</v>
      </c>
      <c r="I34" s="485">
        <v>0</v>
      </c>
      <c r="J34" s="485">
        <v>0</v>
      </c>
      <c r="K34" s="485">
        <v>0</v>
      </c>
      <c r="L34" s="485">
        <v>0</v>
      </c>
      <c r="M34" s="485">
        <v>0</v>
      </c>
      <c r="N34" s="485">
        <v>0</v>
      </c>
      <c r="O34" s="485">
        <v>0</v>
      </c>
      <c r="P34" s="485">
        <v>0</v>
      </c>
    </row>
    <row r="35" spans="1:16" ht="17" thickBot="1">
      <c r="A35" s="255" t="s">
        <v>237</v>
      </c>
      <c r="B35" s="23" t="s">
        <v>34</v>
      </c>
      <c r="C35" s="30" t="s">
        <v>50</v>
      </c>
      <c r="D35" s="24" t="s">
        <v>29</v>
      </c>
      <c r="E35" s="485">
        <v>0</v>
      </c>
      <c r="F35" s="485">
        <v>0</v>
      </c>
      <c r="G35" s="485">
        <v>0</v>
      </c>
      <c r="H35" s="485">
        <v>0</v>
      </c>
      <c r="I35" s="485">
        <v>3</v>
      </c>
      <c r="J35" s="485">
        <v>90</v>
      </c>
      <c r="K35" s="485">
        <v>0</v>
      </c>
      <c r="L35" s="485">
        <v>1</v>
      </c>
      <c r="M35" s="485">
        <v>62</v>
      </c>
      <c r="N35" s="485">
        <v>0</v>
      </c>
      <c r="O35" s="485">
        <v>10</v>
      </c>
      <c r="P35" s="485">
        <v>100</v>
      </c>
    </row>
    <row r="36" spans="1:16" ht="17" thickBot="1">
      <c r="A36" s="255" t="s">
        <v>237</v>
      </c>
      <c r="B36" s="23" t="s">
        <v>34</v>
      </c>
      <c r="C36" s="30" t="s">
        <v>50</v>
      </c>
      <c r="D36" s="24" t="s">
        <v>51</v>
      </c>
      <c r="E36" s="485">
        <v>0</v>
      </c>
      <c r="F36" s="485">
        <v>6</v>
      </c>
      <c r="G36" s="485">
        <v>4</v>
      </c>
      <c r="H36" s="485">
        <v>0</v>
      </c>
      <c r="I36" s="485">
        <v>0</v>
      </c>
      <c r="J36" s="485">
        <v>13</v>
      </c>
      <c r="K36" s="485">
        <v>0</v>
      </c>
      <c r="L36" s="485">
        <v>0</v>
      </c>
      <c r="M36" s="485">
        <v>38</v>
      </c>
      <c r="N36" s="485">
        <v>4</v>
      </c>
      <c r="O36" s="485">
        <v>0</v>
      </c>
      <c r="P36" s="485">
        <v>2</v>
      </c>
    </row>
    <row r="37" spans="1:16" ht="17" thickBot="1">
      <c r="A37" s="255" t="s">
        <v>237</v>
      </c>
      <c r="B37" s="23" t="s">
        <v>34</v>
      </c>
      <c r="C37" s="30" t="s">
        <v>50</v>
      </c>
      <c r="D37" s="26" t="s">
        <v>20</v>
      </c>
      <c r="E37" s="485">
        <v>0</v>
      </c>
      <c r="F37" s="485">
        <v>0</v>
      </c>
      <c r="G37" s="485">
        <v>0</v>
      </c>
      <c r="H37" s="485">
        <v>0</v>
      </c>
      <c r="I37" s="485">
        <v>0</v>
      </c>
      <c r="J37" s="485">
        <v>0</v>
      </c>
      <c r="K37" s="485">
        <v>0</v>
      </c>
      <c r="L37" s="485">
        <v>0</v>
      </c>
      <c r="M37" s="485">
        <v>0</v>
      </c>
      <c r="N37" s="485">
        <v>0</v>
      </c>
      <c r="O37" s="485">
        <v>0</v>
      </c>
      <c r="P37" s="485">
        <v>0</v>
      </c>
    </row>
    <row r="38" spans="1:16" ht="17" thickBot="1">
      <c r="A38" s="255" t="s">
        <v>237</v>
      </c>
      <c r="B38" s="23" t="s">
        <v>34</v>
      </c>
      <c r="C38" s="30" t="s">
        <v>50</v>
      </c>
      <c r="D38" s="26" t="s">
        <v>13</v>
      </c>
      <c r="E38" s="485">
        <v>0</v>
      </c>
      <c r="F38" s="485">
        <v>0</v>
      </c>
      <c r="G38" s="485">
        <v>0</v>
      </c>
      <c r="H38" s="485">
        <v>0</v>
      </c>
      <c r="I38" s="485">
        <v>0</v>
      </c>
      <c r="J38" s="485">
        <v>1</v>
      </c>
      <c r="K38" s="485">
        <v>0</v>
      </c>
      <c r="L38" s="485">
        <v>0</v>
      </c>
      <c r="M38" s="485">
        <v>0</v>
      </c>
      <c r="N38" s="485">
        <v>0</v>
      </c>
      <c r="O38" s="485">
        <v>1</v>
      </c>
      <c r="P38" s="485">
        <v>0</v>
      </c>
    </row>
    <row r="39" spans="1:16" ht="17" thickBot="1">
      <c r="A39" s="255" t="s">
        <v>237</v>
      </c>
      <c r="B39" s="23" t="s">
        <v>34</v>
      </c>
      <c r="C39" s="30" t="s">
        <v>50</v>
      </c>
      <c r="D39" s="27" t="s">
        <v>47</v>
      </c>
      <c r="E39" s="485">
        <v>0</v>
      </c>
      <c r="F39" s="485">
        <v>1</v>
      </c>
      <c r="G39" s="485">
        <v>0</v>
      </c>
      <c r="H39" s="485">
        <v>0</v>
      </c>
      <c r="I39" s="485">
        <v>0</v>
      </c>
      <c r="J39" s="485">
        <v>0</v>
      </c>
      <c r="K39" s="485">
        <v>0</v>
      </c>
      <c r="L39" s="485">
        <v>0</v>
      </c>
      <c r="M39" s="485">
        <v>0</v>
      </c>
      <c r="N39" s="485">
        <v>0</v>
      </c>
      <c r="O39" s="485">
        <v>0</v>
      </c>
      <c r="P39" s="485">
        <v>0</v>
      </c>
    </row>
    <row r="40" spans="1:16" ht="17" thickBot="1">
      <c r="A40" s="255" t="s">
        <v>237</v>
      </c>
      <c r="B40" s="23" t="s">
        <v>34</v>
      </c>
      <c r="C40" s="30" t="s">
        <v>50</v>
      </c>
      <c r="D40" s="25" t="s">
        <v>52</v>
      </c>
      <c r="E40" s="485">
        <v>0</v>
      </c>
      <c r="F40" s="485">
        <v>0</v>
      </c>
      <c r="G40" s="485">
        <v>0</v>
      </c>
      <c r="H40" s="485">
        <v>0</v>
      </c>
      <c r="I40" s="485">
        <v>1</v>
      </c>
      <c r="J40" s="485">
        <v>29</v>
      </c>
      <c r="K40" s="485">
        <v>0</v>
      </c>
      <c r="L40" s="485">
        <v>0</v>
      </c>
      <c r="M40" s="485">
        <v>0</v>
      </c>
      <c r="N40" s="485">
        <v>0</v>
      </c>
      <c r="O40" s="485">
        <v>9</v>
      </c>
      <c r="P40" s="485">
        <v>0</v>
      </c>
    </row>
    <row r="41" spans="1:16" ht="17" thickBot="1">
      <c r="A41" s="255" t="s">
        <v>237</v>
      </c>
      <c r="B41" s="23" t="s">
        <v>34</v>
      </c>
      <c r="C41" s="30" t="s">
        <v>50</v>
      </c>
      <c r="D41" s="25" t="s">
        <v>53</v>
      </c>
      <c r="E41" s="485">
        <v>0</v>
      </c>
      <c r="F41" s="485">
        <v>0</v>
      </c>
      <c r="G41" s="485">
        <v>0</v>
      </c>
      <c r="H41" s="485">
        <v>0</v>
      </c>
      <c r="I41" s="485">
        <v>0</v>
      </c>
      <c r="J41" s="485">
        <v>0</v>
      </c>
      <c r="K41" s="485">
        <v>0</v>
      </c>
      <c r="L41" s="485">
        <v>0</v>
      </c>
      <c r="M41" s="485">
        <v>0</v>
      </c>
      <c r="N41" s="485">
        <v>0</v>
      </c>
      <c r="O41" s="485">
        <v>0</v>
      </c>
      <c r="P41" s="485">
        <v>0</v>
      </c>
    </row>
    <row r="42" spans="1:16" ht="17" thickBot="1">
      <c r="A42" s="255" t="s">
        <v>237</v>
      </c>
      <c r="B42" s="23" t="s">
        <v>34</v>
      </c>
      <c r="C42" s="30" t="s">
        <v>50</v>
      </c>
      <c r="D42" s="24" t="s">
        <v>56</v>
      </c>
      <c r="E42" s="485">
        <v>0</v>
      </c>
      <c r="F42" s="485">
        <v>0</v>
      </c>
      <c r="G42" s="485">
        <v>0</v>
      </c>
      <c r="H42" s="485">
        <v>0</v>
      </c>
      <c r="I42" s="485">
        <v>43</v>
      </c>
      <c r="J42" s="485">
        <v>0</v>
      </c>
      <c r="K42" s="485">
        <v>0</v>
      </c>
      <c r="L42" s="485">
        <v>0</v>
      </c>
      <c r="M42" s="485">
        <v>0</v>
      </c>
      <c r="N42" s="485">
        <v>0</v>
      </c>
      <c r="O42" s="485">
        <v>0</v>
      </c>
      <c r="P42" s="485">
        <v>0</v>
      </c>
    </row>
    <row r="43" spans="1:16" ht="17" thickBot="1">
      <c r="A43" s="255" t="s">
        <v>237</v>
      </c>
      <c r="B43" s="23" t="s">
        <v>34</v>
      </c>
      <c r="C43" s="30" t="s">
        <v>50</v>
      </c>
      <c r="D43" s="54" t="s">
        <v>89</v>
      </c>
      <c r="E43" s="485">
        <v>0</v>
      </c>
      <c r="F43" s="485">
        <v>0</v>
      </c>
      <c r="G43" s="485">
        <v>0</v>
      </c>
      <c r="H43" s="485">
        <v>0</v>
      </c>
      <c r="I43" s="485">
        <v>0</v>
      </c>
      <c r="J43" s="485">
        <v>0</v>
      </c>
      <c r="K43" s="485">
        <v>0</v>
      </c>
      <c r="L43" s="485">
        <v>0</v>
      </c>
      <c r="M43" s="485">
        <v>0</v>
      </c>
      <c r="N43" s="485">
        <v>0</v>
      </c>
      <c r="O43" s="485">
        <v>0</v>
      </c>
      <c r="P43" s="485">
        <v>0</v>
      </c>
    </row>
    <row r="44" spans="1:16" ht="17" thickBot="1">
      <c r="A44" s="255" t="s">
        <v>237</v>
      </c>
      <c r="B44" s="23" t="s">
        <v>34</v>
      </c>
      <c r="C44" s="30" t="s">
        <v>50</v>
      </c>
      <c r="D44" s="24" t="s">
        <v>83</v>
      </c>
      <c r="E44" s="485">
        <v>0</v>
      </c>
      <c r="F44" s="485">
        <v>0</v>
      </c>
      <c r="G44" s="485">
        <v>3</v>
      </c>
      <c r="H44" s="485">
        <v>0</v>
      </c>
      <c r="I44" s="485">
        <v>0</v>
      </c>
      <c r="J44" s="485">
        <v>0</v>
      </c>
      <c r="K44" s="485">
        <v>0</v>
      </c>
      <c r="L44" s="485">
        <v>0</v>
      </c>
      <c r="M44" s="485">
        <v>0</v>
      </c>
      <c r="N44" s="485">
        <v>0</v>
      </c>
      <c r="O44" s="485">
        <v>0</v>
      </c>
      <c r="P44" s="485">
        <v>0</v>
      </c>
    </row>
    <row r="45" spans="1:16" ht="17" thickBot="1">
      <c r="A45" s="255" t="s">
        <v>237</v>
      </c>
      <c r="B45" s="23" t="s">
        <v>34</v>
      </c>
      <c r="C45" s="30" t="s">
        <v>54</v>
      </c>
      <c r="D45" s="28" t="s">
        <v>29</v>
      </c>
      <c r="E45" s="486">
        <v>0</v>
      </c>
      <c r="F45" s="486">
        <v>0</v>
      </c>
      <c r="G45" s="486">
        <v>0</v>
      </c>
      <c r="H45" s="486">
        <v>0</v>
      </c>
      <c r="I45" s="486">
        <v>0</v>
      </c>
      <c r="J45" s="486">
        <v>0</v>
      </c>
      <c r="K45" s="486">
        <v>0</v>
      </c>
      <c r="L45" s="486">
        <v>0</v>
      </c>
      <c r="M45" s="486">
        <v>0</v>
      </c>
      <c r="N45" s="486">
        <v>0</v>
      </c>
      <c r="O45" s="486">
        <v>0</v>
      </c>
      <c r="P45" s="486">
        <v>0</v>
      </c>
    </row>
    <row r="46" spans="1:16" ht="17" thickBot="1">
      <c r="A46" s="255" t="s">
        <v>237</v>
      </c>
      <c r="B46" s="23" t="s">
        <v>34</v>
      </c>
      <c r="C46" s="30" t="s">
        <v>54</v>
      </c>
      <c r="D46" s="26" t="s">
        <v>51</v>
      </c>
      <c r="E46" s="485">
        <v>0</v>
      </c>
      <c r="F46" s="485">
        <v>0</v>
      </c>
      <c r="G46" s="485">
        <v>0</v>
      </c>
      <c r="H46" s="485">
        <v>0</v>
      </c>
      <c r="I46" s="485">
        <v>0</v>
      </c>
      <c r="J46" s="485">
        <v>0</v>
      </c>
      <c r="K46" s="485">
        <v>0</v>
      </c>
      <c r="L46" s="485">
        <v>0</v>
      </c>
      <c r="M46" s="485">
        <v>0</v>
      </c>
      <c r="N46" s="485">
        <v>0</v>
      </c>
      <c r="O46" s="485">
        <v>0</v>
      </c>
      <c r="P46" s="485">
        <v>0</v>
      </c>
    </row>
    <row r="47" spans="1:16" ht="17" thickBot="1">
      <c r="A47" s="255" t="s">
        <v>237</v>
      </c>
      <c r="B47" s="23" t="s">
        <v>34</v>
      </c>
      <c r="C47" s="30" t="s">
        <v>54</v>
      </c>
      <c r="D47" s="26" t="s">
        <v>15</v>
      </c>
      <c r="E47" s="485">
        <v>20</v>
      </c>
      <c r="F47" s="485">
        <v>0</v>
      </c>
      <c r="G47" s="485">
        <v>9</v>
      </c>
      <c r="H47" s="485">
        <v>0</v>
      </c>
      <c r="I47" s="485">
        <v>0</v>
      </c>
      <c r="J47" s="485">
        <v>0</v>
      </c>
      <c r="K47" s="485">
        <v>0</v>
      </c>
      <c r="L47" s="485">
        <v>0</v>
      </c>
      <c r="M47" s="485">
        <v>0</v>
      </c>
      <c r="N47" s="485">
        <v>0</v>
      </c>
      <c r="O47" s="487">
        <v>0</v>
      </c>
      <c r="P47" s="485">
        <v>0</v>
      </c>
    </row>
    <row r="48" spans="1:16" ht="17" thickBot="1">
      <c r="A48" s="255" t="s">
        <v>237</v>
      </c>
      <c r="B48" s="23" t="s">
        <v>34</v>
      </c>
      <c r="C48" s="30" t="s">
        <v>54</v>
      </c>
      <c r="D48" s="26" t="s">
        <v>30</v>
      </c>
      <c r="E48" s="485">
        <v>0</v>
      </c>
      <c r="F48" s="485">
        <v>0</v>
      </c>
      <c r="G48" s="485">
        <v>0</v>
      </c>
      <c r="H48" s="485">
        <v>0</v>
      </c>
      <c r="I48" s="485">
        <v>0</v>
      </c>
      <c r="J48" s="485">
        <v>0</v>
      </c>
      <c r="K48" s="485">
        <v>0</v>
      </c>
      <c r="L48" s="485">
        <v>0</v>
      </c>
      <c r="M48" s="485">
        <v>0</v>
      </c>
      <c r="N48" s="485">
        <v>0</v>
      </c>
      <c r="O48" s="485">
        <v>0</v>
      </c>
      <c r="P48" s="485">
        <v>0</v>
      </c>
    </row>
    <row r="49" spans="1:16" ht="17" thickBot="1">
      <c r="A49" s="255" t="s">
        <v>237</v>
      </c>
      <c r="B49" s="23" t="s">
        <v>34</v>
      </c>
      <c r="C49" s="30" t="s">
        <v>54</v>
      </c>
      <c r="D49" s="24" t="s">
        <v>55</v>
      </c>
      <c r="E49" s="487">
        <v>0</v>
      </c>
      <c r="F49" s="487">
        <v>0</v>
      </c>
      <c r="G49" s="488">
        <v>64</v>
      </c>
      <c r="H49" s="487">
        <v>22</v>
      </c>
      <c r="I49" s="487">
        <v>0</v>
      </c>
      <c r="J49" s="487">
        <v>0</v>
      </c>
      <c r="K49" s="487">
        <v>0</v>
      </c>
      <c r="L49" s="487">
        <v>0</v>
      </c>
      <c r="M49" s="487">
        <v>0</v>
      </c>
      <c r="N49" s="487">
        <v>0</v>
      </c>
      <c r="O49" s="487">
        <v>0</v>
      </c>
      <c r="P49" s="487">
        <v>0</v>
      </c>
    </row>
    <row r="50" spans="1:16" ht="17" thickBot="1">
      <c r="A50" s="255" t="s">
        <v>237</v>
      </c>
      <c r="B50" s="23" t="s">
        <v>34</v>
      </c>
      <c r="C50" s="30" t="s">
        <v>54</v>
      </c>
      <c r="D50" s="38" t="s">
        <v>81</v>
      </c>
      <c r="E50" s="489">
        <v>0</v>
      </c>
      <c r="F50" s="490">
        <v>0</v>
      </c>
      <c r="G50" s="490">
        <v>1</v>
      </c>
      <c r="H50" s="490">
        <v>0</v>
      </c>
      <c r="I50" s="490">
        <v>0</v>
      </c>
      <c r="J50" s="490">
        <v>0</v>
      </c>
      <c r="K50" s="490">
        <v>0</v>
      </c>
      <c r="L50" s="490">
        <v>0</v>
      </c>
      <c r="M50" s="490">
        <v>0</v>
      </c>
      <c r="N50" s="490">
        <v>0</v>
      </c>
      <c r="O50" s="490">
        <v>0</v>
      </c>
      <c r="P50" s="491">
        <v>0</v>
      </c>
    </row>
    <row r="51" spans="1:16" ht="17" thickBot="1">
      <c r="A51" s="255" t="s">
        <v>237</v>
      </c>
      <c r="B51" s="23" t="s">
        <v>101</v>
      </c>
      <c r="C51" s="30" t="s">
        <v>48</v>
      </c>
      <c r="D51" s="24" t="s">
        <v>28</v>
      </c>
      <c r="E51" s="485">
        <v>0</v>
      </c>
      <c r="F51" s="485">
        <v>0</v>
      </c>
      <c r="G51" s="485">
        <v>0</v>
      </c>
      <c r="H51" s="485">
        <v>0</v>
      </c>
      <c r="I51" s="485">
        <v>0</v>
      </c>
      <c r="J51" s="485">
        <v>0</v>
      </c>
      <c r="K51" s="485">
        <v>0</v>
      </c>
      <c r="L51" s="485">
        <v>0</v>
      </c>
      <c r="M51" s="485">
        <v>0</v>
      </c>
      <c r="N51" s="485">
        <v>0</v>
      </c>
      <c r="O51" s="485">
        <v>0</v>
      </c>
      <c r="P51" s="485">
        <v>0</v>
      </c>
    </row>
    <row r="52" spans="1:16" ht="17" thickBot="1">
      <c r="A52" s="255" t="s">
        <v>237</v>
      </c>
      <c r="B52" s="23" t="s">
        <v>101</v>
      </c>
      <c r="C52" s="30" t="s">
        <v>48</v>
      </c>
      <c r="D52" s="24" t="s">
        <v>29</v>
      </c>
      <c r="E52" s="485">
        <v>2</v>
      </c>
      <c r="F52" s="485">
        <v>0</v>
      </c>
      <c r="G52" s="485">
        <v>0</v>
      </c>
      <c r="H52" s="485">
        <v>0</v>
      </c>
      <c r="I52" s="485">
        <v>0</v>
      </c>
      <c r="J52" s="485">
        <v>11</v>
      </c>
      <c r="K52" s="485">
        <v>0</v>
      </c>
      <c r="L52" s="485">
        <v>6</v>
      </c>
      <c r="M52" s="485">
        <v>9</v>
      </c>
      <c r="N52" s="485">
        <v>3</v>
      </c>
      <c r="O52" s="485">
        <v>5</v>
      </c>
      <c r="P52" s="485">
        <v>0</v>
      </c>
    </row>
    <row r="53" spans="1:16" ht="17" thickBot="1">
      <c r="A53" s="255" t="s">
        <v>237</v>
      </c>
      <c r="B53" s="23" t="s">
        <v>101</v>
      </c>
      <c r="C53" s="30" t="s">
        <v>48</v>
      </c>
      <c r="D53" s="24" t="s">
        <v>33</v>
      </c>
      <c r="E53" s="485">
        <v>9</v>
      </c>
      <c r="F53" s="485">
        <v>0</v>
      </c>
      <c r="G53" s="485">
        <v>2</v>
      </c>
      <c r="H53" s="485">
        <v>0</v>
      </c>
      <c r="I53" s="485">
        <v>0</v>
      </c>
      <c r="J53" s="485">
        <v>4</v>
      </c>
      <c r="K53" s="485">
        <v>2</v>
      </c>
      <c r="L53" s="485">
        <v>4</v>
      </c>
      <c r="M53" s="485">
        <v>6</v>
      </c>
      <c r="N53" s="485">
        <v>4</v>
      </c>
      <c r="O53" s="485">
        <v>7</v>
      </c>
      <c r="P53" s="485">
        <v>9</v>
      </c>
    </row>
    <row r="54" spans="1:16" ht="17" thickBot="1">
      <c r="A54" s="255" t="s">
        <v>237</v>
      </c>
      <c r="B54" s="23" t="s">
        <v>101</v>
      </c>
      <c r="C54" s="30" t="s">
        <v>48</v>
      </c>
      <c r="D54" s="24" t="s">
        <v>56</v>
      </c>
      <c r="E54" s="485">
        <v>0</v>
      </c>
      <c r="F54" s="485">
        <v>0</v>
      </c>
      <c r="G54" s="485">
        <v>0</v>
      </c>
      <c r="H54" s="485">
        <v>0</v>
      </c>
      <c r="I54" s="485">
        <v>0</v>
      </c>
      <c r="J54" s="485">
        <v>0</v>
      </c>
      <c r="K54" s="485">
        <v>0</v>
      </c>
      <c r="L54" s="485">
        <v>0</v>
      </c>
      <c r="M54" s="485">
        <v>0</v>
      </c>
      <c r="N54" s="485">
        <v>0</v>
      </c>
      <c r="O54" s="485">
        <v>0</v>
      </c>
      <c r="P54" s="485">
        <v>0</v>
      </c>
    </row>
    <row r="55" spans="1:16" ht="17" thickBot="1">
      <c r="A55" s="255" t="s">
        <v>237</v>
      </c>
      <c r="B55" s="23" t="s">
        <v>101</v>
      </c>
      <c r="C55" s="30" t="s">
        <v>48</v>
      </c>
      <c r="D55" s="54" t="s">
        <v>30</v>
      </c>
      <c r="E55" s="485">
        <v>0</v>
      </c>
      <c r="F55" s="485">
        <v>0</v>
      </c>
      <c r="G55" s="485">
        <v>0</v>
      </c>
      <c r="H55" s="485">
        <v>0</v>
      </c>
      <c r="I55" s="485">
        <v>0</v>
      </c>
      <c r="J55" s="485">
        <v>0</v>
      </c>
      <c r="K55" s="485">
        <v>0</v>
      </c>
      <c r="L55" s="485">
        <v>0</v>
      </c>
      <c r="M55" s="485">
        <v>0</v>
      </c>
      <c r="N55" s="485">
        <v>0</v>
      </c>
      <c r="O55" s="485">
        <v>0</v>
      </c>
      <c r="P55" s="485">
        <v>0</v>
      </c>
    </row>
    <row r="56" spans="1:16" ht="17" thickBot="1">
      <c r="A56" s="255" t="s">
        <v>237</v>
      </c>
      <c r="B56" s="23" t="s">
        <v>101</v>
      </c>
      <c r="C56" s="30" t="s">
        <v>48</v>
      </c>
      <c r="D56" s="53" t="s">
        <v>106</v>
      </c>
      <c r="E56" s="485">
        <v>0</v>
      </c>
      <c r="F56" s="485">
        <v>0</v>
      </c>
      <c r="G56" s="485">
        <v>0</v>
      </c>
      <c r="H56" s="485">
        <v>0</v>
      </c>
      <c r="I56" s="485">
        <v>0</v>
      </c>
      <c r="J56" s="485">
        <v>0</v>
      </c>
      <c r="K56" s="485">
        <v>0</v>
      </c>
      <c r="L56" s="485">
        <v>0</v>
      </c>
      <c r="M56" s="485">
        <v>0</v>
      </c>
      <c r="N56" s="485">
        <v>0</v>
      </c>
      <c r="O56" s="485">
        <v>0</v>
      </c>
      <c r="P56" s="485">
        <v>0</v>
      </c>
    </row>
    <row r="57" spans="1:16" ht="17" thickBot="1">
      <c r="A57" s="255" t="s">
        <v>237</v>
      </c>
      <c r="B57" s="23" t="s">
        <v>101</v>
      </c>
      <c r="C57" s="30" t="s">
        <v>48</v>
      </c>
      <c r="D57" s="53" t="s">
        <v>107</v>
      </c>
      <c r="E57" s="485">
        <v>2</v>
      </c>
      <c r="F57" s="485">
        <v>0</v>
      </c>
      <c r="G57" s="485">
        <v>0</v>
      </c>
      <c r="H57" s="485">
        <v>0</v>
      </c>
      <c r="I57" s="485">
        <v>0</v>
      </c>
      <c r="J57" s="485">
        <v>1</v>
      </c>
      <c r="K57" s="485">
        <v>1</v>
      </c>
      <c r="L57" s="485">
        <v>0</v>
      </c>
      <c r="M57" s="485">
        <v>0</v>
      </c>
      <c r="N57" s="485">
        <v>0</v>
      </c>
      <c r="O57" s="485">
        <v>1</v>
      </c>
      <c r="P57" s="485">
        <v>0</v>
      </c>
    </row>
    <row r="58" spans="1:16" ht="17" thickBot="1">
      <c r="A58" s="255" t="s">
        <v>237</v>
      </c>
      <c r="B58" s="23" t="s">
        <v>101</v>
      </c>
      <c r="C58" s="30" t="s">
        <v>49</v>
      </c>
      <c r="D58" s="25" t="s">
        <v>49</v>
      </c>
      <c r="E58" s="485">
        <v>0</v>
      </c>
      <c r="F58" s="485">
        <v>0</v>
      </c>
      <c r="G58" s="485">
        <v>0</v>
      </c>
      <c r="H58" s="485">
        <v>0</v>
      </c>
      <c r="I58" s="485">
        <v>0</v>
      </c>
      <c r="J58" s="485">
        <v>0</v>
      </c>
      <c r="K58" s="485">
        <v>0</v>
      </c>
      <c r="L58" s="485">
        <v>0</v>
      </c>
      <c r="M58" s="485">
        <v>0</v>
      </c>
      <c r="N58" s="485">
        <v>7</v>
      </c>
      <c r="O58" s="485">
        <v>48</v>
      </c>
      <c r="P58" s="485">
        <v>0</v>
      </c>
    </row>
    <row r="59" spans="1:16" ht="17" thickBot="1">
      <c r="A59" s="255" t="s">
        <v>237</v>
      </c>
      <c r="B59" s="23" t="s">
        <v>101</v>
      </c>
      <c r="C59" s="30" t="s">
        <v>50</v>
      </c>
      <c r="D59" s="26" t="s">
        <v>26</v>
      </c>
      <c r="E59" s="485">
        <v>0</v>
      </c>
      <c r="F59" s="485">
        <v>0</v>
      </c>
      <c r="G59" s="485">
        <v>0</v>
      </c>
      <c r="H59" s="485">
        <v>0</v>
      </c>
      <c r="I59" s="485">
        <v>0</v>
      </c>
      <c r="J59" s="485">
        <v>0</v>
      </c>
      <c r="K59" s="485">
        <v>0</v>
      </c>
      <c r="L59" s="485">
        <v>0</v>
      </c>
      <c r="M59" s="485">
        <v>0</v>
      </c>
      <c r="N59" s="485">
        <v>0</v>
      </c>
      <c r="O59" s="485">
        <v>0</v>
      </c>
      <c r="P59" s="485">
        <v>0</v>
      </c>
    </row>
    <row r="60" spans="1:16" ht="17" thickBot="1">
      <c r="A60" s="255" t="s">
        <v>237</v>
      </c>
      <c r="B60" s="23" t="s">
        <v>101</v>
      </c>
      <c r="C60" s="30" t="s">
        <v>50</v>
      </c>
      <c r="D60" s="26" t="s">
        <v>25</v>
      </c>
      <c r="E60" s="485">
        <v>0</v>
      </c>
      <c r="F60" s="485">
        <v>0</v>
      </c>
      <c r="G60" s="485">
        <v>0</v>
      </c>
      <c r="H60" s="485">
        <v>0</v>
      </c>
      <c r="I60" s="485">
        <v>0</v>
      </c>
      <c r="J60" s="485">
        <v>0</v>
      </c>
      <c r="K60" s="485">
        <v>0</v>
      </c>
      <c r="L60" s="485">
        <v>6</v>
      </c>
      <c r="M60" s="485">
        <v>0</v>
      </c>
      <c r="N60" s="485">
        <v>0</v>
      </c>
      <c r="O60" s="485">
        <v>0</v>
      </c>
      <c r="P60" s="485">
        <v>0</v>
      </c>
    </row>
    <row r="61" spans="1:16" ht="17" thickBot="1">
      <c r="A61" s="255" t="s">
        <v>237</v>
      </c>
      <c r="B61" s="23" t="s">
        <v>101</v>
      </c>
      <c r="C61" s="30" t="s">
        <v>50</v>
      </c>
      <c r="D61" s="24" t="s">
        <v>29</v>
      </c>
      <c r="E61" s="485">
        <v>0</v>
      </c>
      <c r="F61" s="485">
        <v>0</v>
      </c>
      <c r="G61" s="485">
        <v>0</v>
      </c>
      <c r="H61" s="485">
        <v>2</v>
      </c>
      <c r="I61" s="485">
        <v>0</v>
      </c>
      <c r="J61" s="485">
        <v>0</v>
      </c>
      <c r="K61" s="485">
        <v>0</v>
      </c>
      <c r="L61" s="485">
        <v>0</v>
      </c>
      <c r="M61" s="485">
        <v>0</v>
      </c>
      <c r="N61" s="485">
        <v>0</v>
      </c>
      <c r="O61" s="485">
        <v>0</v>
      </c>
      <c r="P61" s="485">
        <v>0</v>
      </c>
    </row>
    <row r="62" spans="1:16" ht="17" thickBot="1">
      <c r="A62" s="255" t="s">
        <v>237</v>
      </c>
      <c r="B62" s="23" t="s">
        <v>101</v>
      </c>
      <c r="C62" s="30" t="s">
        <v>50</v>
      </c>
      <c r="D62" s="24" t="s">
        <v>51</v>
      </c>
      <c r="E62" s="485">
        <v>0</v>
      </c>
      <c r="F62" s="485">
        <v>7</v>
      </c>
      <c r="G62" s="485">
        <v>0</v>
      </c>
      <c r="H62" s="485">
        <v>0</v>
      </c>
      <c r="I62" s="485">
        <v>0</v>
      </c>
      <c r="J62" s="485">
        <v>56</v>
      </c>
      <c r="K62" s="485">
        <v>0</v>
      </c>
      <c r="L62" s="485">
        <v>0</v>
      </c>
      <c r="M62" s="485">
        <v>0</v>
      </c>
      <c r="N62" s="485">
        <v>0</v>
      </c>
      <c r="O62" s="485">
        <v>0</v>
      </c>
      <c r="P62" s="485">
        <v>0</v>
      </c>
    </row>
    <row r="63" spans="1:16" ht="17" thickBot="1">
      <c r="A63" s="255" t="s">
        <v>237</v>
      </c>
      <c r="B63" s="23" t="s">
        <v>101</v>
      </c>
      <c r="C63" s="30" t="s">
        <v>50</v>
      </c>
      <c r="D63" s="26" t="s">
        <v>20</v>
      </c>
      <c r="E63" s="485">
        <v>0</v>
      </c>
      <c r="F63" s="485">
        <v>0</v>
      </c>
      <c r="G63" s="485">
        <v>0</v>
      </c>
      <c r="H63" s="485">
        <v>0</v>
      </c>
      <c r="I63" s="485">
        <v>0</v>
      </c>
      <c r="J63" s="485">
        <v>0</v>
      </c>
      <c r="K63" s="485">
        <v>0</v>
      </c>
      <c r="L63" s="485">
        <v>0</v>
      </c>
      <c r="M63" s="485">
        <v>0</v>
      </c>
      <c r="N63" s="485">
        <v>0</v>
      </c>
      <c r="O63" s="485">
        <v>0</v>
      </c>
      <c r="P63" s="485">
        <v>0</v>
      </c>
    </row>
    <row r="64" spans="1:16" ht="17" thickBot="1">
      <c r="A64" s="255" t="s">
        <v>237</v>
      </c>
      <c r="B64" s="23" t="s">
        <v>101</v>
      </c>
      <c r="C64" s="30" t="s">
        <v>50</v>
      </c>
      <c r="D64" s="26" t="s">
        <v>13</v>
      </c>
      <c r="E64" s="485">
        <v>0</v>
      </c>
      <c r="F64" s="485">
        <v>0</v>
      </c>
      <c r="G64" s="485">
        <v>0</v>
      </c>
      <c r="H64" s="485">
        <v>1</v>
      </c>
      <c r="I64" s="485">
        <v>0</v>
      </c>
      <c r="J64" s="485">
        <v>0</v>
      </c>
      <c r="K64" s="485">
        <v>1</v>
      </c>
      <c r="L64" s="485">
        <v>1</v>
      </c>
      <c r="M64" s="485">
        <v>0</v>
      </c>
      <c r="N64" s="485">
        <v>0</v>
      </c>
      <c r="O64" s="485">
        <v>0</v>
      </c>
      <c r="P64" s="485">
        <v>0</v>
      </c>
    </row>
    <row r="65" spans="1:16" ht="17" thickBot="1">
      <c r="A65" s="255" t="s">
        <v>237</v>
      </c>
      <c r="B65" s="23" t="s">
        <v>101</v>
      </c>
      <c r="C65" s="30" t="s">
        <v>50</v>
      </c>
      <c r="D65" s="27" t="s">
        <v>47</v>
      </c>
      <c r="E65" s="485">
        <v>0</v>
      </c>
      <c r="F65" s="485">
        <v>0</v>
      </c>
      <c r="G65" s="485">
        <v>0</v>
      </c>
      <c r="H65" s="485">
        <v>0</v>
      </c>
      <c r="I65" s="485">
        <v>0</v>
      </c>
      <c r="J65" s="485">
        <v>0</v>
      </c>
      <c r="K65" s="485">
        <v>0</v>
      </c>
      <c r="L65" s="485">
        <v>0</v>
      </c>
      <c r="M65" s="485">
        <v>0</v>
      </c>
      <c r="N65" s="485">
        <v>1</v>
      </c>
      <c r="O65" s="485">
        <v>0</v>
      </c>
      <c r="P65" s="485">
        <v>0</v>
      </c>
    </row>
    <row r="66" spans="1:16" ht="17" thickBot="1">
      <c r="A66" s="255" t="s">
        <v>237</v>
      </c>
      <c r="B66" s="23" t="s">
        <v>101</v>
      </c>
      <c r="C66" s="30" t="s">
        <v>50</v>
      </c>
      <c r="D66" s="53" t="s">
        <v>30</v>
      </c>
      <c r="E66" s="485">
        <v>0</v>
      </c>
      <c r="F66" s="485">
        <v>0</v>
      </c>
      <c r="G66" s="485">
        <v>0</v>
      </c>
      <c r="H66" s="485">
        <v>0</v>
      </c>
      <c r="I66" s="485">
        <v>0</v>
      </c>
      <c r="J66" s="485">
        <v>0</v>
      </c>
      <c r="K66" s="485">
        <v>0</v>
      </c>
      <c r="L66" s="485">
        <v>0</v>
      </c>
      <c r="M66" s="485">
        <v>0</v>
      </c>
      <c r="N66" s="485">
        <v>0</v>
      </c>
      <c r="O66" s="485">
        <v>12</v>
      </c>
      <c r="P66" s="485">
        <v>4</v>
      </c>
    </row>
    <row r="67" spans="1:16" ht="17" thickBot="1">
      <c r="A67" s="255" t="s">
        <v>237</v>
      </c>
      <c r="B67" s="23" t="s">
        <v>101</v>
      </c>
      <c r="C67" s="30" t="s">
        <v>50</v>
      </c>
      <c r="D67" s="53" t="s">
        <v>108</v>
      </c>
      <c r="E67" s="485">
        <v>0</v>
      </c>
      <c r="F67" s="485">
        <v>0</v>
      </c>
      <c r="G67" s="485">
        <v>0</v>
      </c>
      <c r="H67" s="485">
        <v>0</v>
      </c>
      <c r="I67" s="485">
        <v>0</v>
      </c>
      <c r="J67" s="485">
        <v>0</v>
      </c>
      <c r="K67" s="485">
        <v>0</v>
      </c>
      <c r="L67" s="485">
        <v>0</v>
      </c>
      <c r="M67" s="485">
        <v>0</v>
      </c>
      <c r="N67" s="485">
        <v>0</v>
      </c>
      <c r="O67" s="485">
        <v>0</v>
      </c>
      <c r="P67" s="485">
        <v>0</v>
      </c>
    </row>
    <row r="68" spans="1:16" ht="17" thickBot="1">
      <c r="A68" s="255" t="s">
        <v>237</v>
      </c>
      <c r="B68" s="23" t="s">
        <v>101</v>
      </c>
      <c r="C68" s="30" t="s">
        <v>50</v>
      </c>
      <c r="D68" s="24" t="s">
        <v>56</v>
      </c>
      <c r="E68" s="485">
        <v>0</v>
      </c>
      <c r="F68" s="485">
        <v>0</v>
      </c>
      <c r="G68" s="485">
        <v>0</v>
      </c>
      <c r="H68" s="485">
        <v>0</v>
      </c>
      <c r="I68" s="485">
        <v>0</v>
      </c>
      <c r="J68" s="485">
        <v>0</v>
      </c>
      <c r="K68" s="485">
        <v>0</v>
      </c>
      <c r="L68" s="485">
        <v>0</v>
      </c>
      <c r="M68" s="485">
        <v>0</v>
      </c>
      <c r="N68" s="485">
        <v>0</v>
      </c>
      <c r="O68" s="485">
        <v>0</v>
      </c>
      <c r="P68" s="485">
        <v>1377</v>
      </c>
    </row>
    <row r="69" spans="1:16" ht="17" thickBot="1">
      <c r="A69" s="255" t="s">
        <v>237</v>
      </c>
      <c r="B69" s="23" t="s">
        <v>101</v>
      </c>
      <c r="C69" s="30" t="s">
        <v>50</v>
      </c>
      <c r="D69" s="54" t="s">
        <v>89</v>
      </c>
      <c r="E69" s="485">
        <v>0</v>
      </c>
      <c r="F69" s="485">
        <v>0</v>
      </c>
      <c r="G69" s="485">
        <v>0</v>
      </c>
      <c r="H69" s="485">
        <v>0</v>
      </c>
      <c r="I69" s="485">
        <v>0</v>
      </c>
      <c r="J69" s="485">
        <v>0</v>
      </c>
      <c r="K69" s="485">
        <v>0</v>
      </c>
      <c r="L69" s="485">
        <v>0</v>
      </c>
      <c r="M69" s="485">
        <v>0</v>
      </c>
      <c r="N69" s="485">
        <v>0</v>
      </c>
      <c r="O69" s="485">
        <v>0</v>
      </c>
      <c r="P69" s="485">
        <v>0</v>
      </c>
    </row>
    <row r="70" spans="1:16" ht="17" thickBot="1">
      <c r="A70" s="255" t="s">
        <v>237</v>
      </c>
      <c r="B70" s="23" t="s">
        <v>101</v>
      </c>
      <c r="C70" s="30" t="s">
        <v>50</v>
      </c>
      <c r="D70" s="24" t="s">
        <v>83</v>
      </c>
      <c r="E70" s="485">
        <v>0</v>
      </c>
      <c r="F70" s="485">
        <v>0</v>
      </c>
      <c r="G70" s="485">
        <v>0</v>
      </c>
      <c r="H70" s="485">
        <v>0</v>
      </c>
      <c r="I70" s="485">
        <v>0</v>
      </c>
      <c r="J70" s="485">
        <v>0</v>
      </c>
      <c r="K70" s="485">
        <v>0</v>
      </c>
      <c r="L70" s="485">
        <v>0</v>
      </c>
      <c r="M70" s="485">
        <v>0</v>
      </c>
      <c r="N70" s="485">
        <v>0</v>
      </c>
      <c r="O70" s="485">
        <v>0</v>
      </c>
      <c r="P70" s="485">
        <v>0</v>
      </c>
    </row>
    <row r="71" spans="1:16" ht="17" thickBot="1">
      <c r="A71" s="255" t="s">
        <v>237</v>
      </c>
      <c r="B71" s="23" t="s">
        <v>101</v>
      </c>
      <c r="C71" s="30" t="s">
        <v>54</v>
      </c>
      <c r="D71" s="28" t="s">
        <v>29</v>
      </c>
      <c r="E71" s="486">
        <v>0</v>
      </c>
      <c r="F71" s="486">
        <v>0</v>
      </c>
      <c r="G71" s="486">
        <v>0</v>
      </c>
      <c r="H71" s="486">
        <v>0</v>
      </c>
      <c r="I71" s="486">
        <v>0</v>
      </c>
      <c r="J71" s="486">
        <v>0</v>
      </c>
      <c r="K71" s="486">
        <v>0</v>
      </c>
      <c r="L71" s="486">
        <v>0</v>
      </c>
      <c r="M71" s="486">
        <v>0</v>
      </c>
      <c r="N71" s="486">
        <v>0</v>
      </c>
      <c r="O71" s="486">
        <v>0</v>
      </c>
      <c r="P71" s="486">
        <v>0</v>
      </c>
    </row>
    <row r="72" spans="1:16" ht="17" thickBot="1">
      <c r="A72" s="255" t="s">
        <v>237</v>
      </c>
      <c r="B72" s="23" t="s">
        <v>101</v>
      </c>
      <c r="C72" s="30" t="s">
        <v>54</v>
      </c>
      <c r="D72" s="26" t="s">
        <v>51</v>
      </c>
      <c r="E72" s="485">
        <v>0</v>
      </c>
      <c r="F72" s="485">
        <v>0</v>
      </c>
      <c r="G72" s="485">
        <v>0</v>
      </c>
      <c r="H72" s="485">
        <v>0</v>
      </c>
      <c r="I72" s="485">
        <v>0</v>
      </c>
      <c r="J72" s="485">
        <v>0</v>
      </c>
      <c r="K72" s="485">
        <v>0</v>
      </c>
      <c r="L72" s="485">
        <v>0</v>
      </c>
      <c r="M72" s="485">
        <v>0</v>
      </c>
      <c r="N72" s="485">
        <v>0</v>
      </c>
      <c r="O72" s="485">
        <v>0</v>
      </c>
      <c r="P72" s="485">
        <v>0</v>
      </c>
    </row>
    <row r="73" spans="1:16" ht="17" thickBot="1">
      <c r="A73" s="255" t="s">
        <v>237</v>
      </c>
      <c r="B73" s="23" t="s">
        <v>101</v>
      </c>
      <c r="C73" s="30" t="s">
        <v>54</v>
      </c>
      <c r="D73" s="26" t="s">
        <v>15</v>
      </c>
      <c r="E73" s="485">
        <v>0</v>
      </c>
      <c r="F73" s="485">
        <v>0</v>
      </c>
      <c r="G73" s="485">
        <v>0</v>
      </c>
      <c r="H73" s="485">
        <v>0</v>
      </c>
      <c r="I73" s="485">
        <v>0</v>
      </c>
      <c r="J73" s="485">
        <v>0</v>
      </c>
      <c r="K73" s="485">
        <v>0</v>
      </c>
      <c r="L73" s="485">
        <v>0</v>
      </c>
      <c r="M73" s="485">
        <v>0</v>
      </c>
      <c r="N73" s="485">
        <v>0</v>
      </c>
      <c r="O73" s="487">
        <v>0</v>
      </c>
      <c r="P73" s="485">
        <v>0</v>
      </c>
    </row>
    <row r="74" spans="1:16" ht="17" thickBot="1">
      <c r="A74" s="255" t="s">
        <v>237</v>
      </c>
      <c r="B74" s="23" t="s">
        <v>101</v>
      </c>
      <c r="C74" s="30" t="s">
        <v>54</v>
      </c>
      <c r="D74" s="26" t="s">
        <v>30</v>
      </c>
      <c r="E74" s="485">
        <v>0</v>
      </c>
      <c r="F74" s="485">
        <v>0</v>
      </c>
      <c r="G74" s="485">
        <v>0</v>
      </c>
      <c r="H74" s="485">
        <v>0</v>
      </c>
      <c r="I74" s="485">
        <v>0</v>
      </c>
      <c r="J74" s="485">
        <v>0</v>
      </c>
      <c r="K74" s="485">
        <v>0</v>
      </c>
      <c r="L74" s="485">
        <v>0</v>
      </c>
      <c r="M74" s="485">
        <v>0</v>
      </c>
      <c r="N74" s="485">
        <v>0</v>
      </c>
      <c r="O74" s="485">
        <v>0</v>
      </c>
      <c r="P74" s="485">
        <v>0</v>
      </c>
    </row>
    <row r="75" spans="1:16" ht="17" thickBot="1">
      <c r="A75" s="255" t="s">
        <v>237</v>
      </c>
      <c r="B75" s="23" t="s">
        <v>101</v>
      </c>
      <c r="C75" s="30" t="s">
        <v>54</v>
      </c>
      <c r="D75" s="24" t="s">
        <v>55</v>
      </c>
      <c r="E75" s="487">
        <v>0</v>
      </c>
      <c r="F75" s="487">
        <v>0</v>
      </c>
      <c r="G75" s="488">
        <v>0</v>
      </c>
      <c r="H75" s="487">
        <v>0</v>
      </c>
      <c r="I75" s="487">
        <v>0</v>
      </c>
      <c r="J75" s="487">
        <v>0</v>
      </c>
      <c r="K75" s="487">
        <v>0</v>
      </c>
      <c r="L75" s="487">
        <v>0</v>
      </c>
      <c r="M75" s="487">
        <v>0</v>
      </c>
      <c r="N75" s="487">
        <v>0</v>
      </c>
      <c r="O75" s="487">
        <v>0</v>
      </c>
      <c r="P75" s="487">
        <v>0</v>
      </c>
    </row>
    <row r="76" spans="1:16" ht="17" thickBot="1">
      <c r="A76" s="255" t="s">
        <v>237</v>
      </c>
      <c r="B76" s="23" t="s">
        <v>101</v>
      </c>
      <c r="C76" s="30" t="s">
        <v>54</v>
      </c>
      <c r="D76" s="53" t="s">
        <v>108</v>
      </c>
      <c r="E76" s="489">
        <v>0</v>
      </c>
      <c r="F76" s="490">
        <v>0</v>
      </c>
      <c r="G76" s="490">
        <v>0</v>
      </c>
      <c r="H76" s="490">
        <v>0</v>
      </c>
      <c r="I76" s="490">
        <v>0</v>
      </c>
      <c r="J76" s="490">
        <v>0</v>
      </c>
      <c r="K76" s="490">
        <v>0</v>
      </c>
      <c r="L76" s="490">
        <v>0</v>
      </c>
      <c r="M76" s="490">
        <v>0</v>
      </c>
      <c r="N76" s="490">
        <v>0</v>
      </c>
      <c r="O76" s="490">
        <v>0</v>
      </c>
      <c r="P76" s="491">
        <v>0</v>
      </c>
    </row>
    <row r="77" spans="1:16" ht="17" thickBot="1">
      <c r="A77" s="255" t="s">
        <v>237</v>
      </c>
      <c r="B77" s="23" t="s">
        <v>111</v>
      </c>
      <c r="C77" s="30" t="s">
        <v>48</v>
      </c>
      <c r="D77" s="24" t="s">
        <v>29</v>
      </c>
      <c r="E77" s="485">
        <v>1</v>
      </c>
      <c r="F77" s="485">
        <v>8</v>
      </c>
      <c r="G77" s="485">
        <v>1</v>
      </c>
      <c r="H77" s="485">
        <v>0</v>
      </c>
      <c r="I77" s="485">
        <v>0</v>
      </c>
      <c r="J77" s="485">
        <v>0</v>
      </c>
      <c r="K77" s="485">
        <v>0</v>
      </c>
      <c r="L77" s="485">
        <v>0</v>
      </c>
      <c r="M77" s="485">
        <v>0</v>
      </c>
      <c r="N77" s="485">
        <v>0</v>
      </c>
      <c r="O77" s="485">
        <v>0</v>
      </c>
      <c r="P77" s="485">
        <v>0</v>
      </c>
    </row>
    <row r="78" spans="1:16" ht="17" thickBot="1">
      <c r="A78" s="255" t="s">
        <v>237</v>
      </c>
      <c r="B78" s="23" t="s">
        <v>111</v>
      </c>
      <c r="C78" s="30" t="s">
        <v>48</v>
      </c>
      <c r="D78" s="24" t="s">
        <v>33</v>
      </c>
      <c r="E78" s="485">
        <v>9</v>
      </c>
      <c r="F78" s="485">
        <v>25</v>
      </c>
      <c r="G78" s="485">
        <v>22</v>
      </c>
      <c r="H78" s="485">
        <v>22</v>
      </c>
      <c r="I78" s="485">
        <v>38</v>
      </c>
      <c r="J78" s="485">
        <v>5</v>
      </c>
      <c r="K78" s="485">
        <v>16</v>
      </c>
      <c r="L78" s="485">
        <v>0</v>
      </c>
      <c r="M78" s="485">
        <v>41</v>
      </c>
      <c r="N78" s="485">
        <v>14</v>
      </c>
      <c r="O78" s="485">
        <v>23</v>
      </c>
      <c r="P78" s="485">
        <v>16</v>
      </c>
    </row>
    <row r="79" spans="1:16" ht="17" thickBot="1">
      <c r="A79" s="255" t="s">
        <v>237</v>
      </c>
      <c r="B79" s="23" t="s">
        <v>111</v>
      </c>
      <c r="C79" s="30" t="s">
        <v>48</v>
      </c>
      <c r="D79" s="24" t="s">
        <v>56</v>
      </c>
      <c r="E79" s="485">
        <v>0</v>
      </c>
      <c r="F79" s="485">
        <v>0</v>
      </c>
      <c r="G79" s="485">
        <v>32</v>
      </c>
      <c r="H79" s="485">
        <v>0</v>
      </c>
      <c r="I79" s="485">
        <v>0</v>
      </c>
      <c r="J79" s="485">
        <v>0</v>
      </c>
      <c r="K79" s="485">
        <v>0</v>
      </c>
      <c r="L79" s="485">
        <v>0</v>
      </c>
      <c r="M79" s="485">
        <v>0</v>
      </c>
      <c r="N79" s="485">
        <v>0</v>
      </c>
      <c r="O79" s="485">
        <v>0</v>
      </c>
      <c r="P79" s="485">
        <v>0</v>
      </c>
    </row>
    <row r="80" spans="1:16" ht="17" thickBot="1">
      <c r="A80" s="255" t="s">
        <v>237</v>
      </c>
      <c r="B80" s="23" t="s">
        <v>111</v>
      </c>
      <c r="C80" s="30" t="s">
        <v>48</v>
      </c>
      <c r="D80" s="54" t="s">
        <v>30</v>
      </c>
      <c r="E80" s="485">
        <v>0</v>
      </c>
      <c r="F80" s="485">
        <v>0</v>
      </c>
      <c r="G80" s="485">
        <v>0</v>
      </c>
      <c r="H80" s="485">
        <v>0</v>
      </c>
      <c r="I80" s="485">
        <v>0</v>
      </c>
      <c r="J80" s="485">
        <v>0</v>
      </c>
      <c r="K80" s="485">
        <v>0</v>
      </c>
      <c r="L80" s="485">
        <v>0</v>
      </c>
      <c r="M80" s="485">
        <v>0</v>
      </c>
      <c r="N80" s="485">
        <v>0</v>
      </c>
      <c r="O80" s="485">
        <v>0</v>
      </c>
      <c r="P80" s="485">
        <v>1</v>
      </c>
    </row>
    <row r="81" spans="1:16" ht="17" thickBot="1">
      <c r="A81" s="255" t="s">
        <v>237</v>
      </c>
      <c r="B81" s="23" t="s">
        <v>111</v>
      </c>
      <c r="C81" s="30" t="s">
        <v>48</v>
      </c>
      <c r="D81" s="53" t="s">
        <v>118</v>
      </c>
      <c r="E81" s="485">
        <v>0</v>
      </c>
      <c r="F81" s="485">
        <v>1176</v>
      </c>
      <c r="G81" s="485">
        <v>0</v>
      </c>
      <c r="H81" s="485">
        <v>0</v>
      </c>
      <c r="I81" s="485">
        <v>0</v>
      </c>
      <c r="J81" s="485">
        <v>0</v>
      </c>
      <c r="K81" s="485">
        <v>0</v>
      </c>
      <c r="L81" s="485">
        <v>0</v>
      </c>
      <c r="M81" s="485">
        <v>0</v>
      </c>
      <c r="N81" s="485">
        <v>0</v>
      </c>
      <c r="O81" s="485">
        <v>0</v>
      </c>
      <c r="P81" s="485">
        <v>0</v>
      </c>
    </row>
    <row r="82" spans="1:16" ht="17" thickBot="1">
      <c r="A82" s="255" t="s">
        <v>237</v>
      </c>
      <c r="B82" s="23" t="s">
        <v>111</v>
      </c>
      <c r="C82" s="30" t="s">
        <v>48</v>
      </c>
      <c r="D82" s="53" t="s">
        <v>113</v>
      </c>
      <c r="E82" s="485">
        <v>0</v>
      </c>
      <c r="F82" s="485">
        <v>0</v>
      </c>
      <c r="G82" s="485">
        <v>0</v>
      </c>
      <c r="H82" s="485">
        <v>0</v>
      </c>
      <c r="I82" s="485">
        <v>0</v>
      </c>
      <c r="J82" s="485">
        <v>0</v>
      </c>
      <c r="K82" s="485">
        <v>0</v>
      </c>
      <c r="L82" s="485">
        <v>0</v>
      </c>
      <c r="M82" s="485">
        <v>0</v>
      </c>
      <c r="N82" s="485">
        <v>83</v>
      </c>
      <c r="O82" s="485">
        <v>0</v>
      </c>
      <c r="P82" s="485">
        <v>0</v>
      </c>
    </row>
    <row r="83" spans="1:16" ht="17" thickBot="1">
      <c r="A83" s="255" t="s">
        <v>237</v>
      </c>
      <c r="B83" s="23" t="s">
        <v>111</v>
      </c>
      <c r="C83" s="30" t="s">
        <v>48</v>
      </c>
      <c r="D83" s="53" t="s">
        <v>114</v>
      </c>
      <c r="E83" s="485">
        <v>0</v>
      </c>
      <c r="F83" s="485">
        <v>0</v>
      </c>
      <c r="G83" s="485">
        <v>0</v>
      </c>
      <c r="H83" s="485">
        <v>0</v>
      </c>
      <c r="I83" s="485">
        <v>0</v>
      </c>
      <c r="J83" s="485">
        <v>0</v>
      </c>
      <c r="K83" s="485">
        <v>0</v>
      </c>
      <c r="L83" s="485">
        <v>0</v>
      </c>
      <c r="M83" s="485">
        <v>0</v>
      </c>
      <c r="N83" s="485">
        <v>52</v>
      </c>
      <c r="O83" s="485">
        <v>0</v>
      </c>
      <c r="P83" s="485">
        <v>0</v>
      </c>
    </row>
    <row r="84" spans="1:16" ht="17" thickBot="1">
      <c r="A84" s="255" t="s">
        <v>237</v>
      </c>
      <c r="B84" s="23" t="s">
        <v>111</v>
      </c>
      <c r="C84" s="30" t="s">
        <v>49</v>
      </c>
      <c r="D84" s="25" t="s">
        <v>49</v>
      </c>
      <c r="E84" s="485">
        <v>0</v>
      </c>
      <c r="F84" s="485">
        <v>0</v>
      </c>
      <c r="G84" s="485">
        <v>0</v>
      </c>
      <c r="H84" s="485">
        <v>0</v>
      </c>
      <c r="I84" s="485">
        <v>31</v>
      </c>
      <c r="J84" s="485">
        <v>9</v>
      </c>
      <c r="K84" s="485">
        <v>21</v>
      </c>
      <c r="L84" s="485">
        <v>14</v>
      </c>
      <c r="M84" s="485">
        <v>2</v>
      </c>
      <c r="N84" s="485">
        <v>932</v>
      </c>
      <c r="O84" s="485">
        <v>0</v>
      </c>
      <c r="P84" s="485">
        <v>0</v>
      </c>
    </row>
    <row r="85" spans="1:16" ht="17" thickBot="1">
      <c r="A85" s="255" t="s">
        <v>237</v>
      </c>
      <c r="B85" s="23" t="s">
        <v>111</v>
      </c>
      <c r="C85" s="30" t="s">
        <v>50</v>
      </c>
      <c r="D85" s="24" t="s">
        <v>29</v>
      </c>
      <c r="E85" s="485">
        <v>0</v>
      </c>
      <c r="F85" s="485">
        <v>0</v>
      </c>
      <c r="G85" s="485">
        <v>0</v>
      </c>
      <c r="H85" s="485">
        <v>0</v>
      </c>
      <c r="I85" s="485">
        <v>0</v>
      </c>
      <c r="J85" s="485">
        <v>0</v>
      </c>
      <c r="K85" s="485">
        <v>0</v>
      </c>
      <c r="L85" s="485">
        <v>0</v>
      </c>
      <c r="M85" s="485">
        <v>0</v>
      </c>
      <c r="N85" s="485">
        <v>0</v>
      </c>
      <c r="O85" s="485">
        <v>0</v>
      </c>
      <c r="P85" s="485">
        <v>0</v>
      </c>
    </row>
    <row r="86" spans="1:16" ht="17" thickBot="1">
      <c r="A86" s="255" t="s">
        <v>237</v>
      </c>
      <c r="B86" s="23" t="s">
        <v>111</v>
      </c>
      <c r="C86" s="30" t="s">
        <v>50</v>
      </c>
      <c r="D86" s="24" t="s">
        <v>51</v>
      </c>
      <c r="E86" s="485">
        <v>0</v>
      </c>
      <c r="F86" s="485">
        <v>0</v>
      </c>
      <c r="G86" s="485">
        <v>2</v>
      </c>
      <c r="H86" s="485">
        <v>0</v>
      </c>
      <c r="I86" s="485">
        <v>0</v>
      </c>
      <c r="J86" s="485">
        <v>1</v>
      </c>
      <c r="K86" s="485">
        <v>0</v>
      </c>
      <c r="L86" s="485">
        <v>15</v>
      </c>
      <c r="M86" s="485">
        <v>0</v>
      </c>
      <c r="N86" s="485">
        <v>0</v>
      </c>
      <c r="O86" s="485">
        <v>0</v>
      </c>
      <c r="P86" s="485">
        <v>0</v>
      </c>
    </row>
    <row r="87" spans="1:16" ht="17" thickBot="1">
      <c r="A87" s="255" t="s">
        <v>237</v>
      </c>
      <c r="B87" s="23" t="s">
        <v>111</v>
      </c>
      <c r="C87" s="30" t="s">
        <v>50</v>
      </c>
      <c r="D87" s="26" t="s">
        <v>20</v>
      </c>
      <c r="E87" s="485">
        <v>0</v>
      </c>
      <c r="F87" s="485">
        <v>0</v>
      </c>
      <c r="G87" s="485">
        <v>0</v>
      </c>
      <c r="H87" s="485">
        <v>0</v>
      </c>
      <c r="I87" s="485">
        <v>0</v>
      </c>
      <c r="J87" s="485">
        <v>0</v>
      </c>
      <c r="K87" s="485">
        <v>0</v>
      </c>
      <c r="L87" s="485">
        <v>0</v>
      </c>
      <c r="M87" s="485">
        <v>0</v>
      </c>
      <c r="N87" s="485">
        <v>0</v>
      </c>
      <c r="O87" s="485">
        <v>1</v>
      </c>
      <c r="P87" s="485">
        <v>0</v>
      </c>
    </row>
    <row r="88" spans="1:16" ht="17" thickBot="1">
      <c r="A88" s="255" t="s">
        <v>237</v>
      </c>
      <c r="B88" s="23" t="s">
        <v>111</v>
      </c>
      <c r="C88" s="30" t="s">
        <v>50</v>
      </c>
      <c r="D88" s="26" t="s">
        <v>13</v>
      </c>
      <c r="E88" s="485">
        <v>0</v>
      </c>
      <c r="F88" s="485">
        <v>0</v>
      </c>
      <c r="G88" s="485">
        <v>0</v>
      </c>
      <c r="H88" s="485">
        <v>0</v>
      </c>
      <c r="I88" s="485">
        <v>0</v>
      </c>
      <c r="J88" s="485">
        <v>0</v>
      </c>
      <c r="K88" s="485">
        <v>0</v>
      </c>
      <c r="L88" s="485">
        <v>0</v>
      </c>
      <c r="M88" s="485">
        <v>0</v>
      </c>
      <c r="N88" s="485">
        <v>0</v>
      </c>
      <c r="O88" s="485">
        <v>0</v>
      </c>
      <c r="P88" s="485">
        <v>0</v>
      </c>
    </row>
    <row r="89" spans="1:16" ht="17" thickBot="1">
      <c r="A89" s="255" t="s">
        <v>237</v>
      </c>
      <c r="B89" s="23" t="s">
        <v>111</v>
      </c>
      <c r="C89" s="30" t="s">
        <v>50</v>
      </c>
      <c r="D89" s="27" t="s">
        <v>47</v>
      </c>
      <c r="E89" s="485">
        <v>0</v>
      </c>
      <c r="F89" s="485">
        <v>0</v>
      </c>
      <c r="G89" s="485">
        <v>0</v>
      </c>
      <c r="H89" s="485">
        <v>0</v>
      </c>
      <c r="I89" s="485">
        <v>0</v>
      </c>
      <c r="J89" s="485">
        <v>0</v>
      </c>
      <c r="K89" s="485">
        <v>0</v>
      </c>
      <c r="L89" s="485">
        <v>0</v>
      </c>
      <c r="M89" s="485">
        <v>0</v>
      </c>
      <c r="N89" s="485">
        <v>0</v>
      </c>
      <c r="O89" s="485">
        <v>0</v>
      </c>
      <c r="P89" s="485">
        <v>0</v>
      </c>
    </row>
    <row r="90" spans="1:16" ht="17" thickBot="1">
      <c r="A90" s="255" t="s">
        <v>237</v>
      </c>
      <c r="B90" s="23" t="s">
        <v>111</v>
      </c>
      <c r="C90" s="30" t="s">
        <v>50</v>
      </c>
      <c r="D90" s="53" t="s">
        <v>30</v>
      </c>
      <c r="E90" s="485">
        <v>0</v>
      </c>
      <c r="F90" s="485">
        <v>0</v>
      </c>
      <c r="G90" s="485">
        <v>0</v>
      </c>
      <c r="H90" s="485">
        <v>2</v>
      </c>
      <c r="I90" s="485">
        <v>0</v>
      </c>
      <c r="J90" s="485">
        <v>0</v>
      </c>
      <c r="K90" s="485">
        <v>0</v>
      </c>
      <c r="L90" s="485">
        <v>0</v>
      </c>
      <c r="M90" s="485">
        <v>0</v>
      </c>
      <c r="N90" s="485">
        <v>0</v>
      </c>
      <c r="O90" s="485">
        <v>0</v>
      </c>
      <c r="P90" s="485">
        <v>0</v>
      </c>
    </row>
    <row r="91" spans="1:16" ht="17" thickBot="1">
      <c r="A91" s="255" t="s">
        <v>237</v>
      </c>
      <c r="B91" s="23" t="s">
        <v>111</v>
      </c>
      <c r="C91" s="30" t="s">
        <v>50</v>
      </c>
      <c r="D91" s="53" t="s">
        <v>108</v>
      </c>
      <c r="E91" s="485">
        <v>0</v>
      </c>
      <c r="F91" s="485">
        <v>0</v>
      </c>
      <c r="G91" s="485">
        <v>0</v>
      </c>
      <c r="H91" s="485">
        <v>0</v>
      </c>
      <c r="I91" s="485">
        <v>0</v>
      </c>
      <c r="J91" s="485">
        <v>0</v>
      </c>
      <c r="K91" s="485">
        <v>0</v>
      </c>
      <c r="L91" s="485">
        <v>0</v>
      </c>
      <c r="M91" s="485">
        <v>0</v>
      </c>
      <c r="N91" s="485">
        <v>0</v>
      </c>
      <c r="O91" s="485">
        <v>0</v>
      </c>
      <c r="P91" s="485">
        <v>0</v>
      </c>
    </row>
    <row r="92" spans="1:16" ht="17" thickBot="1">
      <c r="A92" s="255" t="s">
        <v>237</v>
      </c>
      <c r="B92" s="23" t="s">
        <v>111</v>
      </c>
      <c r="C92" s="30" t="s">
        <v>50</v>
      </c>
      <c r="D92" s="24" t="s">
        <v>56</v>
      </c>
      <c r="E92" s="485">
        <v>0</v>
      </c>
      <c r="F92" s="485">
        <v>0</v>
      </c>
      <c r="G92" s="485">
        <v>0</v>
      </c>
      <c r="H92" s="485">
        <v>0</v>
      </c>
      <c r="I92" s="485">
        <v>0</v>
      </c>
      <c r="J92" s="485">
        <v>0</v>
      </c>
      <c r="K92" s="485">
        <v>0</v>
      </c>
      <c r="L92" s="485">
        <v>0</v>
      </c>
      <c r="M92" s="485">
        <v>71</v>
      </c>
      <c r="N92" s="485">
        <v>0</v>
      </c>
      <c r="O92" s="485">
        <v>0</v>
      </c>
      <c r="P92" s="485">
        <v>0</v>
      </c>
    </row>
    <row r="93" spans="1:16" ht="17" thickBot="1">
      <c r="A93" s="255" t="s">
        <v>237</v>
      </c>
      <c r="B93" s="23" t="s">
        <v>111</v>
      </c>
      <c r="C93" s="30" t="s">
        <v>50</v>
      </c>
      <c r="D93" s="54" t="s">
        <v>89</v>
      </c>
      <c r="E93" s="485">
        <v>0</v>
      </c>
      <c r="F93" s="485">
        <v>0</v>
      </c>
      <c r="G93" s="485">
        <v>0</v>
      </c>
      <c r="H93" s="485">
        <v>0</v>
      </c>
      <c r="I93" s="485">
        <v>0</v>
      </c>
      <c r="J93" s="485">
        <v>0</v>
      </c>
      <c r="K93" s="485">
        <v>0</v>
      </c>
      <c r="L93" s="485">
        <v>0</v>
      </c>
      <c r="M93" s="485">
        <v>0</v>
      </c>
      <c r="N93" s="485">
        <v>0</v>
      </c>
      <c r="O93" s="485">
        <v>0</v>
      </c>
      <c r="P93" s="485">
        <v>0</v>
      </c>
    </row>
    <row r="94" spans="1:16" ht="17" thickBot="1">
      <c r="A94" s="255" t="s">
        <v>237</v>
      </c>
      <c r="B94" s="23" t="s">
        <v>111</v>
      </c>
      <c r="C94" s="30" t="s">
        <v>50</v>
      </c>
      <c r="D94" s="24" t="s">
        <v>83</v>
      </c>
      <c r="E94" s="485">
        <v>0</v>
      </c>
      <c r="F94" s="485">
        <v>0</v>
      </c>
      <c r="G94" s="485">
        <v>0</v>
      </c>
      <c r="H94" s="485">
        <v>0</v>
      </c>
      <c r="I94" s="485">
        <v>0</v>
      </c>
      <c r="J94" s="485">
        <v>0</v>
      </c>
      <c r="K94" s="485">
        <v>0</v>
      </c>
      <c r="L94" s="485">
        <v>0</v>
      </c>
      <c r="M94" s="485">
        <v>0</v>
      </c>
      <c r="N94" s="485">
        <v>0</v>
      </c>
      <c r="O94" s="485">
        <v>0</v>
      </c>
      <c r="P94" s="485">
        <v>0</v>
      </c>
    </row>
    <row r="95" spans="1:16" ht="17" thickBot="1">
      <c r="A95" s="255" t="s">
        <v>237</v>
      </c>
      <c r="B95" s="23" t="s">
        <v>111</v>
      </c>
      <c r="C95" s="30" t="s">
        <v>50</v>
      </c>
      <c r="D95" s="54" t="s">
        <v>115</v>
      </c>
      <c r="E95" s="485">
        <v>0</v>
      </c>
      <c r="F95" s="485">
        <v>0</v>
      </c>
      <c r="G95" s="485">
        <v>0</v>
      </c>
      <c r="H95" s="485">
        <v>0</v>
      </c>
      <c r="I95" s="485">
        <v>0</v>
      </c>
      <c r="J95" s="485">
        <v>0</v>
      </c>
      <c r="K95" s="485">
        <v>0</v>
      </c>
      <c r="L95" s="485">
        <v>0</v>
      </c>
      <c r="M95" s="485">
        <v>0</v>
      </c>
      <c r="N95" s="485">
        <v>0</v>
      </c>
      <c r="O95" s="485">
        <v>0</v>
      </c>
      <c r="P95" s="485">
        <v>0</v>
      </c>
    </row>
    <row r="96" spans="1:16" ht="17" thickBot="1">
      <c r="A96" s="255" t="s">
        <v>237</v>
      </c>
      <c r="B96" s="23" t="s">
        <v>119</v>
      </c>
      <c r="C96" s="30" t="s">
        <v>48</v>
      </c>
      <c r="D96" s="24" t="s">
        <v>29</v>
      </c>
      <c r="E96" s="36"/>
      <c r="F96" s="36"/>
      <c r="G96" s="36"/>
      <c r="H96" s="36"/>
      <c r="I96" s="36"/>
      <c r="J96" s="36"/>
      <c r="K96" s="36"/>
      <c r="L96" s="36"/>
      <c r="M96" s="36"/>
      <c r="N96" s="36"/>
      <c r="O96" s="36"/>
      <c r="P96" s="36"/>
    </row>
    <row r="97" spans="1:16" ht="17" thickBot="1">
      <c r="A97" s="255" t="s">
        <v>237</v>
      </c>
      <c r="B97" s="23" t="s">
        <v>119</v>
      </c>
      <c r="C97" s="30" t="s">
        <v>48</v>
      </c>
      <c r="D97" s="24" t="s">
        <v>33</v>
      </c>
      <c r="E97" s="485">
        <v>7</v>
      </c>
      <c r="F97" s="485">
        <v>8</v>
      </c>
      <c r="G97" s="485">
        <v>7</v>
      </c>
      <c r="H97" s="485">
        <v>15</v>
      </c>
      <c r="I97" s="485">
        <v>2</v>
      </c>
      <c r="J97" s="485">
        <v>23</v>
      </c>
      <c r="K97" s="485">
        <v>11</v>
      </c>
      <c r="L97" s="485">
        <v>5</v>
      </c>
      <c r="M97" s="485">
        <v>11</v>
      </c>
      <c r="N97" s="485">
        <v>7</v>
      </c>
      <c r="O97" s="485">
        <v>11</v>
      </c>
      <c r="P97" s="485">
        <v>17</v>
      </c>
    </row>
    <row r="98" spans="1:16" ht="17" thickBot="1">
      <c r="A98" s="255" t="s">
        <v>237</v>
      </c>
      <c r="B98" s="23" t="s">
        <v>119</v>
      </c>
      <c r="C98" s="30" t="s">
        <v>48</v>
      </c>
      <c r="D98" s="24" t="s">
        <v>56</v>
      </c>
      <c r="E98" s="485">
        <v>0</v>
      </c>
      <c r="F98" s="485">
        <v>20</v>
      </c>
      <c r="G98" s="485">
        <v>0</v>
      </c>
      <c r="H98" s="485">
        <v>0</v>
      </c>
      <c r="I98" s="485">
        <v>0</v>
      </c>
      <c r="J98" s="485">
        <v>37</v>
      </c>
      <c r="K98" s="485">
        <v>41</v>
      </c>
      <c r="L98" s="485">
        <v>0</v>
      </c>
      <c r="M98" s="485">
        <v>0</v>
      </c>
      <c r="N98" s="485">
        <v>0</v>
      </c>
      <c r="O98" s="485">
        <v>0</v>
      </c>
      <c r="P98" s="485">
        <v>0</v>
      </c>
    </row>
    <row r="99" spans="1:16" ht="17" thickBot="1">
      <c r="A99" s="255" t="s">
        <v>237</v>
      </c>
      <c r="B99" s="23" t="s">
        <v>119</v>
      </c>
      <c r="C99" s="30" t="s">
        <v>48</v>
      </c>
      <c r="D99" s="54" t="s">
        <v>30</v>
      </c>
      <c r="E99" s="485">
        <v>1</v>
      </c>
      <c r="F99" s="485">
        <v>5</v>
      </c>
      <c r="G99" s="485">
        <v>0</v>
      </c>
      <c r="H99" s="485">
        <v>0</v>
      </c>
      <c r="I99" s="485">
        <v>1</v>
      </c>
      <c r="J99" s="485">
        <v>0</v>
      </c>
      <c r="K99" s="485">
        <v>0</v>
      </c>
      <c r="L99" s="485">
        <v>2</v>
      </c>
      <c r="M99" s="485">
        <v>0</v>
      </c>
      <c r="N99" s="485">
        <v>0</v>
      </c>
      <c r="O99" s="485">
        <v>0</v>
      </c>
      <c r="P99" s="485">
        <v>0</v>
      </c>
    </row>
    <row r="100" spans="1:16" ht="17" thickBot="1">
      <c r="A100" s="255" t="s">
        <v>237</v>
      </c>
      <c r="B100" s="23" t="s">
        <v>119</v>
      </c>
      <c r="C100" s="30" t="s">
        <v>48</v>
      </c>
      <c r="D100" s="53" t="s">
        <v>123</v>
      </c>
      <c r="E100" s="485"/>
      <c r="F100" s="485"/>
      <c r="G100" s="485"/>
      <c r="H100" s="485"/>
      <c r="I100" s="485"/>
      <c r="J100" s="485"/>
      <c r="K100" s="485"/>
      <c r="L100" s="485"/>
      <c r="M100" s="485"/>
      <c r="N100" s="485"/>
      <c r="O100" s="485"/>
      <c r="P100" s="485"/>
    </row>
    <row r="101" spans="1:16" ht="17" thickBot="1">
      <c r="A101" s="255" t="s">
        <v>237</v>
      </c>
      <c r="B101" s="23" t="s">
        <v>119</v>
      </c>
      <c r="C101" s="30" t="s">
        <v>48</v>
      </c>
      <c r="D101" s="53" t="s">
        <v>113</v>
      </c>
      <c r="E101" s="485">
        <v>0</v>
      </c>
      <c r="F101" s="485">
        <v>0</v>
      </c>
      <c r="G101" s="485">
        <v>0</v>
      </c>
      <c r="H101" s="485">
        <v>0</v>
      </c>
      <c r="I101" s="485">
        <v>0</v>
      </c>
      <c r="J101" s="485">
        <v>0</v>
      </c>
      <c r="K101" s="485">
        <v>0</v>
      </c>
      <c r="L101" s="485">
        <v>0</v>
      </c>
      <c r="M101" s="485">
        <v>0</v>
      </c>
      <c r="N101" s="485">
        <v>0</v>
      </c>
      <c r="O101" s="485">
        <v>0</v>
      </c>
      <c r="P101" s="485">
        <v>0</v>
      </c>
    </row>
    <row r="102" spans="1:16" ht="17" thickBot="1">
      <c r="A102" s="255" t="s">
        <v>237</v>
      </c>
      <c r="B102" s="23" t="s">
        <v>119</v>
      </c>
      <c r="C102" s="30" t="s">
        <v>48</v>
      </c>
      <c r="D102" s="53" t="s">
        <v>114</v>
      </c>
      <c r="E102" s="485">
        <v>0</v>
      </c>
      <c r="F102" s="485">
        <v>0</v>
      </c>
      <c r="G102" s="485">
        <v>0</v>
      </c>
      <c r="H102" s="485">
        <v>0</v>
      </c>
      <c r="I102" s="485">
        <v>0</v>
      </c>
      <c r="J102" s="485">
        <v>0</v>
      </c>
      <c r="K102" s="485">
        <v>0</v>
      </c>
      <c r="L102" s="485">
        <v>0</v>
      </c>
      <c r="M102" s="485">
        <v>0</v>
      </c>
      <c r="N102" s="485">
        <v>0</v>
      </c>
      <c r="O102" s="485">
        <v>0</v>
      </c>
      <c r="P102" s="485">
        <v>0</v>
      </c>
    </row>
    <row r="103" spans="1:16" ht="17" thickBot="1">
      <c r="A103" s="255" t="s">
        <v>237</v>
      </c>
      <c r="B103" s="23" t="s">
        <v>119</v>
      </c>
      <c r="C103" s="30" t="s">
        <v>49</v>
      </c>
      <c r="D103" s="53" t="s">
        <v>105</v>
      </c>
      <c r="E103" s="485">
        <v>0</v>
      </c>
      <c r="F103" s="485">
        <v>0</v>
      </c>
      <c r="G103" s="485">
        <v>0</v>
      </c>
      <c r="H103" s="485">
        <v>0</v>
      </c>
      <c r="I103" s="485">
        <v>0</v>
      </c>
      <c r="J103" s="485">
        <v>0</v>
      </c>
      <c r="K103" s="485">
        <v>0</v>
      </c>
      <c r="L103" s="485">
        <v>0</v>
      </c>
      <c r="M103" s="485">
        <v>0</v>
      </c>
      <c r="N103" s="485">
        <v>0</v>
      </c>
      <c r="O103" s="485">
        <v>0</v>
      </c>
      <c r="P103" s="485">
        <v>0</v>
      </c>
    </row>
    <row r="104" spans="1:16" ht="17" thickBot="1">
      <c r="A104" s="255" t="s">
        <v>237</v>
      </c>
      <c r="B104" s="23" t="s">
        <v>119</v>
      </c>
      <c r="C104" s="30" t="s">
        <v>49</v>
      </c>
      <c r="D104" s="53" t="s">
        <v>120</v>
      </c>
      <c r="E104" s="485">
        <v>0</v>
      </c>
      <c r="F104" s="485">
        <v>0</v>
      </c>
      <c r="G104" s="485">
        <v>0</v>
      </c>
      <c r="H104" s="485">
        <v>0</v>
      </c>
      <c r="I104" s="485">
        <v>0</v>
      </c>
      <c r="J104" s="485">
        <v>0</v>
      </c>
      <c r="K104" s="485">
        <v>0</v>
      </c>
      <c r="L104" s="485">
        <v>0</v>
      </c>
      <c r="M104" s="485">
        <v>0</v>
      </c>
      <c r="N104" s="485">
        <v>0</v>
      </c>
      <c r="O104" s="485">
        <v>0</v>
      </c>
      <c r="P104" s="485">
        <v>0</v>
      </c>
    </row>
    <row r="105" spans="1:16" ht="17" thickBot="1">
      <c r="A105" s="255" t="s">
        <v>237</v>
      </c>
      <c r="B105" s="23" t="s">
        <v>119</v>
      </c>
      <c r="C105" s="30" t="s">
        <v>50</v>
      </c>
      <c r="D105" s="24" t="s">
        <v>29</v>
      </c>
      <c r="E105" s="485">
        <v>0</v>
      </c>
      <c r="F105" s="485">
        <v>0</v>
      </c>
      <c r="G105" s="485">
        <v>0</v>
      </c>
      <c r="H105" s="485">
        <v>0</v>
      </c>
      <c r="I105" s="485">
        <v>0</v>
      </c>
      <c r="J105" s="485">
        <v>0</v>
      </c>
      <c r="K105" s="485">
        <v>0</v>
      </c>
      <c r="L105" s="485">
        <v>0</v>
      </c>
      <c r="M105" s="485">
        <v>0</v>
      </c>
      <c r="N105" s="485">
        <v>0</v>
      </c>
      <c r="O105" s="485">
        <v>4</v>
      </c>
      <c r="P105" s="485">
        <v>0</v>
      </c>
    </row>
    <row r="106" spans="1:16" ht="17" thickBot="1">
      <c r="A106" s="255" t="s">
        <v>237</v>
      </c>
      <c r="B106" s="23" t="s">
        <v>119</v>
      </c>
      <c r="C106" s="30" t="s">
        <v>50</v>
      </c>
      <c r="D106" s="24" t="s">
        <v>51</v>
      </c>
      <c r="E106" s="485">
        <v>0</v>
      </c>
      <c r="F106" s="485">
        <v>0</v>
      </c>
      <c r="G106" s="485">
        <v>0</v>
      </c>
      <c r="H106" s="485">
        <v>0</v>
      </c>
      <c r="I106" s="485">
        <v>0</v>
      </c>
      <c r="J106" s="485">
        <v>0</v>
      </c>
      <c r="K106" s="485">
        <v>0</v>
      </c>
      <c r="L106" s="485">
        <v>0</v>
      </c>
      <c r="M106" s="485">
        <v>31</v>
      </c>
      <c r="N106" s="485">
        <v>9</v>
      </c>
      <c r="O106" s="485">
        <v>2</v>
      </c>
      <c r="P106" s="485">
        <v>0</v>
      </c>
    </row>
    <row r="107" spans="1:16" ht="17" thickBot="1">
      <c r="A107" s="255" t="s">
        <v>237</v>
      </c>
      <c r="B107" s="23" t="s">
        <v>119</v>
      </c>
      <c r="C107" s="30" t="s">
        <v>50</v>
      </c>
      <c r="D107" s="26" t="s">
        <v>20</v>
      </c>
      <c r="E107" s="485">
        <v>0</v>
      </c>
      <c r="F107" s="485">
        <v>0</v>
      </c>
      <c r="G107" s="485">
        <v>0</v>
      </c>
      <c r="H107" s="485">
        <v>0</v>
      </c>
      <c r="I107" s="485">
        <v>0</v>
      </c>
      <c r="J107" s="485">
        <v>0</v>
      </c>
      <c r="K107" s="485">
        <v>0</v>
      </c>
      <c r="L107" s="485">
        <v>0</v>
      </c>
      <c r="M107" s="485">
        <v>0</v>
      </c>
      <c r="N107" s="485">
        <v>1</v>
      </c>
      <c r="O107" s="485">
        <v>0</v>
      </c>
      <c r="P107" s="485">
        <v>0</v>
      </c>
    </row>
    <row r="108" spans="1:16" ht="17" thickBot="1">
      <c r="A108" s="255" t="s">
        <v>237</v>
      </c>
      <c r="B108" s="23" t="s">
        <v>119</v>
      </c>
      <c r="C108" s="30" t="s">
        <v>50</v>
      </c>
      <c r="D108" s="26" t="s">
        <v>13</v>
      </c>
      <c r="E108" s="485">
        <v>0</v>
      </c>
      <c r="F108" s="485">
        <v>0</v>
      </c>
      <c r="G108" s="485">
        <v>0</v>
      </c>
      <c r="H108" s="485">
        <v>0</v>
      </c>
      <c r="I108" s="485">
        <v>0</v>
      </c>
      <c r="J108" s="485">
        <v>0</v>
      </c>
      <c r="K108" s="485">
        <v>0</v>
      </c>
      <c r="L108" s="485">
        <v>0</v>
      </c>
      <c r="M108" s="485">
        <v>0</v>
      </c>
      <c r="N108" s="485">
        <v>0</v>
      </c>
      <c r="O108" s="485">
        <v>0</v>
      </c>
      <c r="P108" s="485">
        <v>0</v>
      </c>
    </row>
    <row r="109" spans="1:16" ht="17" thickBot="1">
      <c r="A109" s="255" t="s">
        <v>237</v>
      </c>
      <c r="B109" s="23" t="s">
        <v>119</v>
      </c>
      <c r="C109" s="30" t="s">
        <v>50</v>
      </c>
      <c r="D109" s="27" t="s">
        <v>47</v>
      </c>
      <c r="E109" s="485">
        <v>0</v>
      </c>
      <c r="F109" s="485">
        <v>0</v>
      </c>
      <c r="G109" s="485">
        <v>0</v>
      </c>
      <c r="H109" s="485"/>
      <c r="I109" s="485"/>
      <c r="J109" s="485"/>
      <c r="K109" s="485"/>
      <c r="L109" s="485"/>
      <c r="M109" s="485"/>
      <c r="N109" s="485"/>
      <c r="O109" s="485"/>
      <c r="P109" s="485"/>
    </row>
    <row r="110" spans="1:16" ht="17" thickBot="1">
      <c r="A110" s="255" t="s">
        <v>237</v>
      </c>
      <c r="B110" s="23" t="s">
        <v>119</v>
      </c>
      <c r="C110" s="30" t="s">
        <v>50</v>
      </c>
      <c r="D110" s="53" t="s">
        <v>30</v>
      </c>
      <c r="E110" s="485">
        <v>0</v>
      </c>
      <c r="F110" s="485">
        <v>0</v>
      </c>
      <c r="G110" s="485">
        <v>0</v>
      </c>
      <c r="H110" s="485">
        <v>1</v>
      </c>
      <c r="I110" s="485">
        <v>3</v>
      </c>
      <c r="J110" s="485">
        <v>0</v>
      </c>
      <c r="K110" s="485">
        <v>0</v>
      </c>
      <c r="L110" s="485">
        <v>0</v>
      </c>
      <c r="M110" s="485">
        <v>0</v>
      </c>
      <c r="N110" s="485">
        <v>0</v>
      </c>
      <c r="O110" s="485">
        <v>0</v>
      </c>
      <c r="P110" s="485">
        <v>1</v>
      </c>
    </row>
    <row r="111" spans="1:16" ht="17" thickBot="1">
      <c r="A111" s="255" t="s">
        <v>237</v>
      </c>
      <c r="B111" s="23" t="s">
        <v>119</v>
      </c>
      <c r="C111" s="30" t="s">
        <v>50</v>
      </c>
      <c r="D111" s="53" t="s">
        <v>108</v>
      </c>
      <c r="E111" s="485">
        <v>0</v>
      </c>
      <c r="F111" s="485">
        <v>0</v>
      </c>
      <c r="G111" s="485">
        <v>0</v>
      </c>
      <c r="H111" s="485"/>
      <c r="I111" s="485"/>
      <c r="J111" s="485"/>
      <c r="K111" s="485"/>
      <c r="L111" s="485"/>
      <c r="M111" s="485"/>
      <c r="N111" s="485"/>
      <c r="O111" s="485"/>
      <c r="P111" s="485"/>
    </row>
    <row r="112" spans="1:16" ht="17" thickBot="1">
      <c r="A112" s="255" t="s">
        <v>237</v>
      </c>
      <c r="B112" s="23" t="s">
        <v>119</v>
      </c>
      <c r="C112" s="30" t="s">
        <v>50</v>
      </c>
      <c r="D112" s="24" t="s">
        <v>56</v>
      </c>
      <c r="E112" s="485">
        <v>0</v>
      </c>
      <c r="F112" s="485">
        <v>0</v>
      </c>
      <c r="G112" s="485">
        <v>0</v>
      </c>
      <c r="H112" s="485">
        <v>0</v>
      </c>
      <c r="I112" s="485">
        <v>0</v>
      </c>
      <c r="J112" s="485">
        <v>50</v>
      </c>
      <c r="K112" s="485">
        <v>0</v>
      </c>
      <c r="L112" s="485">
        <v>0</v>
      </c>
      <c r="M112" s="485">
        <v>0</v>
      </c>
      <c r="N112" s="485">
        <v>0</v>
      </c>
      <c r="O112" s="485">
        <v>0</v>
      </c>
      <c r="P112" s="485">
        <v>700</v>
      </c>
    </row>
    <row r="113" spans="1:16" ht="17" thickBot="1">
      <c r="A113" s="255" t="s">
        <v>237</v>
      </c>
      <c r="B113" s="23" t="s">
        <v>119</v>
      </c>
      <c r="C113" s="30" t="s">
        <v>50</v>
      </c>
      <c r="D113" s="54" t="s">
        <v>89</v>
      </c>
      <c r="E113" s="485">
        <v>0</v>
      </c>
      <c r="F113" s="485">
        <v>0</v>
      </c>
      <c r="G113" s="485">
        <v>0</v>
      </c>
      <c r="H113" s="485">
        <v>0</v>
      </c>
      <c r="I113" s="485">
        <v>0</v>
      </c>
      <c r="J113" s="485">
        <v>0</v>
      </c>
      <c r="K113" s="485">
        <v>0</v>
      </c>
      <c r="L113" s="485">
        <v>0</v>
      </c>
      <c r="M113" s="485">
        <v>0</v>
      </c>
      <c r="N113" s="485">
        <v>0</v>
      </c>
      <c r="O113" s="485">
        <v>0</v>
      </c>
      <c r="P113" s="485">
        <v>0</v>
      </c>
    </row>
    <row r="114" spans="1:16" ht="17" thickBot="1">
      <c r="A114" s="255" t="s">
        <v>237</v>
      </c>
      <c r="B114" s="23" t="s">
        <v>119</v>
      </c>
      <c r="C114" s="30" t="s">
        <v>50</v>
      </c>
      <c r="D114" s="24" t="s">
        <v>83</v>
      </c>
      <c r="E114" s="485">
        <v>0</v>
      </c>
      <c r="F114" s="485">
        <v>0</v>
      </c>
      <c r="G114" s="485">
        <v>0</v>
      </c>
      <c r="H114" s="485"/>
      <c r="I114" s="485"/>
      <c r="J114" s="485"/>
      <c r="K114" s="485"/>
      <c r="L114" s="485"/>
      <c r="M114" s="485"/>
      <c r="N114" s="485"/>
      <c r="O114" s="485"/>
      <c r="P114" s="485"/>
    </row>
    <row r="115" spans="1:16" ht="17" thickBot="1">
      <c r="A115" s="255" t="s">
        <v>237</v>
      </c>
      <c r="B115" s="23" t="s">
        <v>119</v>
      </c>
      <c r="C115" s="30" t="s">
        <v>50</v>
      </c>
      <c r="D115" s="54" t="s">
        <v>115</v>
      </c>
      <c r="E115" s="485">
        <v>0</v>
      </c>
      <c r="F115" s="485">
        <v>0</v>
      </c>
      <c r="G115" s="485">
        <v>0</v>
      </c>
      <c r="H115" s="485">
        <v>0</v>
      </c>
      <c r="I115" s="485">
        <v>0</v>
      </c>
      <c r="J115" s="485">
        <v>0</v>
      </c>
      <c r="K115" s="485">
        <v>0</v>
      </c>
      <c r="L115" s="485">
        <v>0</v>
      </c>
      <c r="M115" s="485">
        <v>0</v>
      </c>
      <c r="N115" s="485">
        <v>0</v>
      </c>
      <c r="O115" s="485">
        <v>0</v>
      </c>
      <c r="P115" s="485">
        <v>0</v>
      </c>
    </row>
    <row r="116" spans="1:16" ht="17" thickBot="1">
      <c r="A116" s="255" t="s">
        <v>237</v>
      </c>
      <c r="B116" s="23" t="s">
        <v>119</v>
      </c>
      <c r="C116" s="30" t="s">
        <v>50</v>
      </c>
      <c r="D116" s="24" t="s">
        <v>113</v>
      </c>
      <c r="E116" s="485">
        <v>0</v>
      </c>
      <c r="F116" s="485">
        <v>0</v>
      </c>
      <c r="G116" s="485">
        <v>0</v>
      </c>
      <c r="H116" s="485">
        <v>0</v>
      </c>
      <c r="I116" s="485">
        <v>0</v>
      </c>
      <c r="J116" s="485">
        <v>0</v>
      </c>
      <c r="K116" s="485">
        <v>0</v>
      </c>
      <c r="L116" s="485">
        <v>0</v>
      </c>
      <c r="M116" s="485">
        <v>0</v>
      </c>
      <c r="N116" s="485">
        <v>0</v>
      </c>
      <c r="O116" s="485">
        <v>0</v>
      </c>
      <c r="P116" s="485">
        <v>0</v>
      </c>
    </row>
    <row r="117" spans="1:16" ht="17" thickBot="1">
      <c r="A117" s="255" t="s">
        <v>237</v>
      </c>
      <c r="B117" s="23" t="s">
        <v>119</v>
      </c>
      <c r="C117" s="30" t="s">
        <v>50</v>
      </c>
      <c r="D117" s="54" t="s">
        <v>124</v>
      </c>
      <c r="E117" s="485">
        <v>0</v>
      </c>
      <c r="F117" s="485">
        <v>0</v>
      </c>
      <c r="G117" s="485">
        <v>0</v>
      </c>
      <c r="H117" s="485">
        <v>0</v>
      </c>
      <c r="I117" s="485">
        <v>0</v>
      </c>
      <c r="J117" s="485">
        <v>0</v>
      </c>
      <c r="K117" s="485">
        <v>0</v>
      </c>
      <c r="L117" s="485">
        <v>0</v>
      </c>
      <c r="M117" s="485">
        <v>0</v>
      </c>
      <c r="N117" s="485">
        <v>0</v>
      </c>
      <c r="O117" s="485">
        <v>0</v>
      </c>
      <c r="P117" s="485">
        <v>0</v>
      </c>
    </row>
    <row r="118" spans="1:16" ht="17" thickBot="1">
      <c r="A118" s="255" t="s">
        <v>237</v>
      </c>
      <c r="B118" s="23" t="s">
        <v>126</v>
      </c>
      <c r="C118" s="30" t="s">
        <v>129</v>
      </c>
      <c r="D118" s="24" t="s">
        <v>29</v>
      </c>
      <c r="E118" s="485">
        <v>0</v>
      </c>
      <c r="F118" s="485">
        <v>0</v>
      </c>
      <c r="G118" s="485">
        <v>0</v>
      </c>
      <c r="H118" s="485">
        <v>0</v>
      </c>
      <c r="I118" s="485">
        <v>0</v>
      </c>
      <c r="J118" s="485">
        <v>0</v>
      </c>
      <c r="K118" s="485">
        <v>0</v>
      </c>
      <c r="L118" s="485">
        <v>0</v>
      </c>
      <c r="M118" s="485">
        <v>0</v>
      </c>
      <c r="N118" s="485">
        <v>0</v>
      </c>
      <c r="O118" s="485">
        <v>0</v>
      </c>
      <c r="P118" s="485">
        <v>0</v>
      </c>
    </row>
    <row r="119" spans="1:16" ht="17" thickBot="1">
      <c r="A119" s="255" t="s">
        <v>237</v>
      </c>
      <c r="B119" s="23" t="s">
        <v>126</v>
      </c>
      <c r="C119" s="30" t="s">
        <v>129</v>
      </c>
      <c r="D119" s="24" t="s">
        <v>33</v>
      </c>
      <c r="E119" s="485">
        <v>0</v>
      </c>
      <c r="F119" s="485">
        <v>8</v>
      </c>
      <c r="G119" s="485">
        <v>7</v>
      </c>
      <c r="H119" s="485">
        <v>1</v>
      </c>
      <c r="I119" s="485">
        <v>10</v>
      </c>
      <c r="J119" s="485">
        <v>8</v>
      </c>
      <c r="K119" s="485">
        <v>7</v>
      </c>
      <c r="L119" s="485">
        <v>10</v>
      </c>
      <c r="M119" s="485">
        <v>18</v>
      </c>
      <c r="N119" s="485">
        <v>10</v>
      </c>
      <c r="O119" s="485">
        <v>6</v>
      </c>
      <c r="P119" s="485">
        <v>11</v>
      </c>
    </row>
    <row r="120" spans="1:16" ht="17" thickBot="1">
      <c r="A120" s="255" t="s">
        <v>237</v>
      </c>
      <c r="B120" s="23" t="s">
        <v>126</v>
      </c>
      <c r="C120" s="30" t="s">
        <v>129</v>
      </c>
      <c r="D120" s="24" t="s">
        <v>56</v>
      </c>
      <c r="E120" s="485">
        <v>0</v>
      </c>
      <c r="F120" s="485">
        <v>0</v>
      </c>
      <c r="G120" s="485">
        <v>0</v>
      </c>
      <c r="H120" s="485">
        <v>0</v>
      </c>
      <c r="I120" s="485">
        <v>0</v>
      </c>
      <c r="J120" s="485">
        <v>0</v>
      </c>
      <c r="K120" s="485">
        <v>0</v>
      </c>
      <c r="L120" s="485">
        <v>0</v>
      </c>
      <c r="M120" s="485">
        <v>0</v>
      </c>
      <c r="N120" s="485">
        <v>0</v>
      </c>
      <c r="O120" s="485">
        <v>0</v>
      </c>
      <c r="P120" s="485">
        <v>0</v>
      </c>
    </row>
    <row r="121" spans="1:16" ht="17" thickBot="1">
      <c r="A121" s="255" t="s">
        <v>237</v>
      </c>
      <c r="B121" s="23" t="s">
        <v>126</v>
      </c>
      <c r="C121" s="30" t="s">
        <v>129</v>
      </c>
      <c r="D121" s="54" t="s">
        <v>30</v>
      </c>
      <c r="E121" s="485">
        <v>0</v>
      </c>
      <c r="F121" s="485">
        <v>0</v>
      </c>
      <c r="G121" s="485">
        <v>0</v>
      </c>
      <c r="H121" s="485">
        <v>0</v>
      </c>
      <c r="I121" s="485">
        <v>0</v>
      </c>
      <c r="J121" s="485">
        <v>0</v>
      </c>
      <c r="K121" s="485">
        <v>0</v>
      </c>
      <c r="L121" s="485">
        <v>0</v>
      </c>
      <c r="M121" s="485">
        <v>2</v>
      </c>
      <c r="N121" s="485">
        <v>0</v>
      </c>
      <c r="O121" s="485">
        <v>0</v>
      </c>
      <c r="P121" s="485">
        <v>0</v>
      </c>
    </row>
    <row r="122" spans="1:16" ht="17" thickBot="1">
      <c r="A122" s="255" t="s">
        <v>237</v>
      </c>
      <c r="B122" s="23" t="s">
        <v>126</v>
      </c>
      <c r="C122" s="30" t="s">
        <v>129</v>
      </c>
      <c r="D122" s="53" t="s">
        <v>123</v>
      </c>
      <c r="E122" s="36"/>
      <c r="F122" s="36"/>
      <c r="G122" s="36"/>
      <c r="H122" s="36"/>
      <c r="I122" s="36"/>
      <c r="J122" s="36"/>
      <c r="K122" s="36"/>
      <c r="L122" s="36"/>
      <c r="M122" s="36"/>
      <c r="N122" s="36"/>
      <c r="O122" s="36"/>
      <c r="P122" s="36"/>
    </row>
    <row r="123" spans="1:16" ht="17" thickBot="1">
      <c r="A123" s="255" t="s">
        <v>237</v>
      </c>
      <c r="B123" s="23" t="s">
        <v>126</v>
      </c>
      <c r="C123" s="30" t="s">
        <v>130</v>
      </c>
      <c r="D123" s="53" t="s">
        <v>113</v>
      </c>
      <c r="E123" s="485">
        <v>0</v>
      </c>
      <c r="F123" s="485">
        <v>0</v>
      </c>
      <c r="G123" s="485">
        <v>0</v>
      </c>
      <c r="H123" s="485">
        <v>0</v>
      </c>
      <c r="I123" s="485">
        <v>0</v>
      </c>
      <c r="J123" s="485">
        <v>0</v>
      </c>
      <c r="K123" s="485">
        <v>0</v>
      </c>
      <c r="L123" s="485">
        <v>0</v>
      </c>
      <c r="M123" s="485">
        <v>0</v>
      </c>
      <c r="N123" s="485">
        <v>0</v>
      </c>
      <c r="O123" s="485">
        <v>0</v>
      </c>
      <c r="P123" s="485">
        <v>1508</v>
      </c>
    </row>
    <row r="124" spans="1:16" ht="17" thickBot="1">
      <c r="A124" s="255" t="s">
        <v>237</v>
      </c>
      <c r="B124" s="23" t="s">
        <v>126</v>
      </c>
      <c r="C124" s="30" t="s">
        <v>130</v>
      </c>
      <c r="D124" s="53" t="s">
        <v>114</v>
      </c>
      <c r="E124" s="485">
        <v>0</v>
      </c>
      <c r="F124" s="485">
        <v>0</v>
      </c>
      <c r="G124" s="485">
        <v>0</v>
      </c>
      <c r="H124" s="485">
        <v>0</v>
      </c>
      <c r="I124" s="485">
        <v>0</v>
      </c>
      <c r="J124" s="485">
        <v>0</v>
      </c>
      <c r="K124" s="485">
        <v>0</v>
      </c>
      <c r="L124" s="485">
        <v>6</v>
      </c>
      <c r="M124" s="485">
        <v>1</v>
      </c>
      <c r="N124" s="485">
        <v>2</v>
      </c>
      <c r="O124" s="485">
        <v>6</v>
      </c>
      <c r="P124" s="485">
        <v>12</v>
      </c>
    </row>
    <row r="125" spans="1:16" ht="17" thickBot="1">
      <c r="A125" s="255" t="s">
        <v>237</v>
      </c>
      <c r="B125" s="23" t="s">
        <v>126</v>
      </c>
      <c r="C125" s="30" t="s">
        <v>130</v>
      </c>
      <c r="D125" s="53" t="s">
        <v>133</v>
      </c>
      <c r="E125" s="485">
        <v>0</v>
      </c>
      <c r="F125" s="485">
        <v>0</v>
      </c>
      <c r="G125" s="485">
        <v>0</v>
      </c>
      <c r="H125" s="485">
        <v>0</v>
      </c>
      <c r="I125" s="485">
        <v>0</v>
      </c>
      <c r="J125" s="485">
        <v>0</v>
      </c>
      <c r="K125" s="485">
        <v>0</v>
      </c>
      <c r="L125" s="485">
        <v>0</v>
      </c>
      <c r="M125" s="485">
        <v>0</v>
      </c>
      <c r="N125" s="485">
        <v>0</v>
      </c>
      <c r="O125" s="485">
        <v>0</v>
      </c>
      <c r="P125" s="485">
        <v>0</v>
      </c>
    </row>
    <row r="126" spans="1:16" ht="17" thickBot="1">
      <c r="A126" s="255" t="s">
        <v>237</v>
      </c>
      <c r="B126" s="23" t="s">
        <v>126</v>
      </c>
      <c r="C126" s="30" t="s">
        <v>131</v>
      </c>
      <c r="D126" s="53" t="s">
        <v>105</v>
      </c>
      <c r="E126" s="485">
        <v>28</v>
      </c>
      <c r="F126" s="485">
        <v>0</v>
      </c>
      <c r="G126" s="485">
        <v>0</v>
      </c>
      <c r="H126" s="485">
        <v>0</v>
      </c>
      <c r="I126" s="485">
        <v>0</v>
      </c>
      <c r="J126" s="485">
        <v>0</v>
      </c>
      <c r="K126" s="485">
        <v>0</v>
      </c>
      <c r="L126" s="485">
        <v>0</v>
      </c>
      <c r="M126" s="485">
        <v>2</v>
      </c>
      <c r="N126" s="485">
        <v>2</v>
      </c>
      <c r="O126" s="485">
        <v>2</v>
      </c>
      <c r="P126" s="485">
        <v>0</v>
      </c>
    </row>
    <row r="127" spans="1:16" ht="17" thickBot="1">
      <c r="A127" s="255" t="s">
        <v>237</v>
      </c>
      <c r="B127" s="23" t="s">
        <v>126</v>
      </c>
      <c r="C127" s="30" t="s">
        <v>131</v>
      </c>
      <c r="D127" s="53" t="s">
        <v>120</v>
      </c>
      <c r="E127" s="485">
        <v>26</v>
      </c>
      <c r="F127" s="485">
        <v>28</v>
      </c>
      <c r="G127" s="485">
        <v>40</v>
      </c>
      <c r="H127" s="485">
        <v>24</v>
      </c>
      <c r="I127" s="485">
        <v>41</v>
      </c>
      <c r="J127" s="485">
        <v>9</v>
      </c>
      <c r="K127" s="485">
        <v>28</v>
      </c>
      <c r="L127" s="485">
        <v>11</v>
      </c>
      <c r="M127" s="485">
        <v>9</v>
      </c>
      <c r="N127" s="485">
        <v>8</v>
      </c>
      <c r="O127" s="485">
        <v>2</v>
      </c>
      <c r="P127" s="485">
        <v>0</v>
      </c>
    </row>
    <row r="128" spans="1:16" ht="17" thickBot="1">
      <c r="A128" s="255" t="s">
        <v>237</v>
      </c>
      <c r="B128" s="23" t="s">
        <v>126</v>
      </c>
      <c r="C128" s="30" t="s">
        <v>134</v>
      </c>
      <c r="D128" s="24" t="s">
        <v>29</v>
      </c>
      <c r="E128" s="485">
        <v>0</v>
      </c>
      <c r="F128" s="485">
        <v>0</v>
      </c>
      <c r="G128" s="485">
        <v>0</v>
      </c>
      <c r="H128" s="485">
        <v>0</v>
      </c>
      <c r="I128" s="485">
        <v>0</v>
      </c>
      <c r="J128" s="485">
        <v>0</v>
      </c>
      <c r="K128" s="485">
        <v>0</v>
      </c>
      <c r="L128" s="485">
        <v>0</v>
      </c>
      <c r="M128" s="485">
        <v>0</v>
      </c>
      <c r="N128" s="485">
        <v>0</v>
      </c>
      <c r="O128" s="485">
        <v>0</v>
      </c>
      <c r="P128" s="485">
        <v>0</v>
      </c>
    </row>
    <row r="129" spans="1:16" ht="17" thickBot="1">
      <c r="A129" s="255" t="s">
        <v>237</v>
      </c>
      <c r="B129" s="23" t="s">
        <v>126</v>
      </c>
      <c r="C129" s="30" t="s">
        <v>134</v>
      </c>
      <c r="D129" s="24" t="s">
        <v>51</v>
      </c>
      <c r="E129" s="485">
        <v>0</v>
      </c>
      <c r="F129" s="485">
        <v>0</v>
      </c>
      <c r="G129" s="485">
        <v>0</v>
      </c>
      <c r="H129" s="485">
        <v>0</v>
      </c>
      <c r="I129" s="485">
        <v>0</v>
      </c>
      <c r="J129" s="485">
        <v>0</v>
      </c>
      <c r="K129" s="485">
        <v>0</v>
      </c>
      <c r="L129" s="485">
        <v>0</v>
      </c>
      <c r="M129" s="485">
        <v>0</v>
      </c>
      <c r="N129" s="485">
        <v>0</v>
      </c>
      <c r="O129" s="485">
        <v>0</v>
      </c>
      <c r="P129" s="485">
        <v>0</v>
      </c>
    </row>
    <row r="130" spans="1:16" ht="17" thickBot="1">
      <c r="A130" s="255" t="s">
        <v>237</v>
      </c>
      <c r="B130" s="23" t="s">
        <v>126</v>
      </c>
      <c r="C130" s="30" t="s">
        <v>134</v>
      </c>
      <c r="D130" s="26" t="s">
        <v>140</v>
      </c>
      <c r="E130" s="485">
        <v>2</v>
      </c>
      <c r="F130" s="485">
        <v>0</v>
      </c>
      <c r="G130" s="485">
        <v>2</v>
      </c>
      <c r="H130" s="485">
        <v>0</v>
      </c>
      <c r="I130" s="485">
        <v>0</v>
      </c>
      <c r="J130" s="485">
        <v>0</v>
      </c>
      <c r="K130" s="485">
        <v>0</v>
      </c>
      <c r="L130" s="485">
        <v>0</v>
      </c>
      <c r="M130" s="485">
        <v>0</v>
      </c>
      <c r="N130" s="485">
        <v>0</v>
      </c>
      <c r="O130" s="485">
        <v>0</v>
      </c>
      <c r="P130" s="485">
        <v>0</v>
      </c>
    </row>
    <row r="131" spans="1:16" ht="17" thickBot="1">
      <c r="A131" s="255" t="s">
        <v>237</v>
      </c>
      <c r="B131" s="23" t="s">
        <v>126</v>
      </c>
      <c r="C131" s="30" t="s">
        <v>134</v>
      </c>
      <c r="D131" s="26" t="s">
        <v>13</v>
      </c>
      <c r="E131" s="485">
        <v>0</v>
      </c>
      <c r="F131" s="485">
        <v>0</v>
      </c>
      <c r="G131" s="485">
        <v>0</v>
      </c>
      <c r="H131" s="485">
        <v>0</v>
      </c>
      <c r="I131" s="485">
        <v>0</v>
      </c>
      <c r="J131" s="485">
        <v>0</v>
      </c>
      <c r="K131" s="485">
        <v>0</v>
      </c>
      <c r="L131" s="485">
        <v>0</v>
      </c>
      <c r="M131" s="485">
        <v>0</v>
      </c>
      <c r="N131" s="485">
        <v>0</v>
      </c>
      <c r="O131" s="485">
        <v>0</v>
      </c>
      <c r="P131" s="485">
        <v>0</v>
      </c>
    </row>
    <row r="132" spans="1:16" ht="17" thickBot="1">
      <c r="A132" s="255" t="s">
        <v>237</v>
      </c>
      <c r="B132" s="23" t="s">
        <v>126</v>
      </c>
      <c r="C132" s="30" t="s">
        <v>134</v>
      </c>
      <c r="D132" s="27" t="s">
        <v>47</v>
      </c>
      <c r="E132" s="485"/>
      <c r="F132" s="485">
        <v>0</v>
      </c>
      <c r="G132" s="485"/>
      <c r="H132" s="485"/>
      <c r="I132" s="485"/>
      <c r="J132" s="485"/>
      <c r="K132" s="485"/>
      <c r="L132" s="485"/>
      <c r="M132" s="485"/>
      <c r="N132" s="485"/>
      <c r="O132" s="485">
        <v>0</v>
      </c>
      <c r="P132" s="485">
        <v>0</v>
      </c>
    </row>
    <row r="133" spans="1:16" ht="17" thickBot="1">
      <c r="A133" s="255" t="s">
        <v>237</v>
      </c>
      <c r="B133" s="23" t="s">
        <v>126</v>
      </c>
      <c r="C133" s="30" t="s">
        <v>134</v>
      </c>
      <c r="D133" s="53" t="s">
        <v>30</v>
      </c>
      <c r="E133" s="485">
        <v>1</v>
      </c>
      <c r="F133" s="485">
        <v>0</v>
      </c>
      <c r="G133" s="485">
        <v>1</v>
      </c>
      <c r="H133" s="485">
        <v>0</v>
      </c>
      <c r="I133" s="485">
        <v>0</v>
      </c>
      <c r="J133" s="485">
        <v>0</v>
      </c>
      <c r="K133" s="485">
        <v>0</v>
      </c>
      <c r="L133" s="485">
        <v>0</v>
      </c>
      <c r="M133" s="485">
        <v>0</v>
      </c>
      <c r="N133" s="485">
        <v>0</v>
      </c>
      <c r="O133" s="485">
        <v>0</v>
      </c>
      <c r="P133" s="485">
        <v>0</v>
      </c>
    </row>
    <row r="134" spans="1:16" ht="17" thickBot="1">
      <c r="A134" s="255" t="s">
        <v>237</v>
      </c>
      <c r="B134" s="23" t="s">
        <v>126</v>
      </c>
      <c r="C134" s="30" t="s">
        <v>134</v>
      </c>
      <c r="D134" s="53" t="s">
        <v>108</v>
      </c>
      <c r="E134" s="485"/>
      <c r="F134" s="485">
        <v>0</v>
      </c>
      <c r="G134" s="485"/>
      <c r="H134" s="485"/>
      <c r="I134" s="485">
        <v>0</v>
      </c>
      <c r="J134" s="485"/>
      <c r="K134" s="485"/>
      <c r="L134" s="485"/>
      <c r="M134" s="485"/>
      <c r="N134" s="485"/>
      <c r="O134" s="485">
        <v>0</v>
      </c>
      <c r="P134" s="485">
        <v>0</v>
      </c>
    </row>
    <row r="135" spans="1:16" ht="17" thickBot="1">
      <c r="A135" s="255" t="s">
        <v>237</v>
      </c>
      <c r="B135" s="23" t="s">
        <v>126</v>
      </c>
      <c r="C135" s="30" t="s">
        <v>134</v>
      </c>
      <c r="D135" s="24" t="s">
        <v>56</v>
      </c>
      <c r="E135" s="485">
        <v>4</v>
      </c>
      <c r="F135" s="485">
        <v>0</v>
      </c>
      <c r="G135" s="485">
        <v>1</v>
      </c>
      <c r="H135" s="485">
        <v>1</v>
      </c>
      <c r="I135" s="485">
        <v>0</v>
      </c>
      <c r="J135" s="485">
        <v>0</v>
      </c>
      <c r="K135" s="485">
        <v>0</v>
      </c>
      <c r="L135" s="485">
        <v>0</v>
      </c>
      <c r="M135" s="485">
        <v>0</v>
      </c>
      <c r="N135" s="485">
        <v>0</v>
      </c>
      <c r="O135" s="485">
        <v>0</v>
      </c>
      <c r="P135" s="485">
        <v>0</v>
      </c>
    </row>
    <row r="136" spans="1:16" ht="17" thickBot="1">
      <c r="A136" s="255" t="s">
        <v>237</v>
      </c>
      <c r="B136" s="23" t="s">
        <v>126</v>
      </c>
      <c r="C136" s="30" t="s">
        <v>134</v>
      </c>
      <c r="D136" s="54" t="s">
        <v>89</v>
      </c>
      <c r="E136" s="485">
        <v>0</v>
      </c>
      <c r="F136" s="485">
        <v>0</v>
      </c>
      <c r="G136" s="485">
        <v>0</v>
      </c>
      <c r="H136" s="485">
        <v>0</v>
      </c>
      <c r="I136" s="485">
        <v>0</v>
      </c>
      <c r="J136" s="485">
        <v>0</v>
      </c>
      <c r="K136" s="485">
        <v>0</v>
      </c>
      <c r="L136" s="485">
        <v>0</v>
      </c>
      <c r="M136" s="485">
        <v>0</v>
      </c>
      <c r="N136" s="485">
        <v>0</v>
      </c>
      <c r="O136" s="485">
        <v>0</v>
      </c>
      <c r="P136" s="485">
        <v>0</v>
      </c>
    </row>
    <row r="137" spans="1:16" ht="17" thickBot="1">
      <c r="A137" s="255" t="s">
        <v>237</v>
      </c>
      <c r="B137" s="23" t="s">
        <v>126</v>
      </c>
      <c r="C137" s="30" t="s">
        <v>134</v>
      </c>
      <c r="D137" s="24" t="s">
        <v>83</v>
      </c>
      <c r="E137" s="485"/>
      <c r="F137" s="485"/>
      <c r="G137" s="485"/>
      <c r="H137" s="485"/>
      <c r="I137" s="485"/>
      <c r="J137" s="485"/>
      <c r="K137" s="485"/>
      <c r="L137" s="485"/>
      <c r="M137" s="485"/>
      <c r="N137" s="485">
        <v>0</v>
      </c>
      <c r="O137" s="485">
        <v>0</v>
      </c>
      <c r="P137" s="485">
        <v>0</v>
      </c>
    </row>
    <row r="138" spans="1:16" ht="17" thickBot="1">
      <c r="A138" s="255" t="s">
        <v>237</v>
      </c>
      <c r="B138" s="23" t="s">
        <v>126</v>
      </c>
      <c r="C138" s="30" t="s">
        <v>134</v>
      </c>
      <c r="D138" s="54" t="s">
        <v>124</v>
      </c>
      <c r="E138" s="485">
        <v>0</v>
      </c>
      <c r="F138" s="485">
        <v>0</v>
      </c>
      <c r="G138" s="485">
        <v>0</v>
      </c>
      <c r="H138" s="485">
        <v>0</v>
      </c>
      <c r="I138" s="485">
        <v>0</v>
      </c>
      <c r="J138" s="485">
        <v>0</v>
      </c>
      <c r="K138" s="485">
        <v>0</v>
      </c>
      <c r="L138" s="485">
        <v>0</v>
      </c>
      <c r="M138" s="485">
        <v>0</v>
      </c>
      <c r="N138" s="485">
        <v>0</v>
      </c>
      <c r="O138" s="485">
        <v>0</v>
      </c>
      <c r="P138" s="485">
        <v>0</v>
      </c>
    </row>
    <row r="139" spans="1:16" ht="17" thickBot="1">
      <c r="A139" s="255" t="s">
        <v>237</v>
      </c>
      <c r="B139" s="23" t="s">
        <v>126</v>
      </c>
      <c r="C139" s="30" t="s">
        <v>134</v>
      </c>
      <c r="D139" s="54" t="s">
        <v>127</v>
      </c>
      <c r="E139" s="485">
        <v>0</v>
      </c>
      <c r="F139" s="485">
        <v>0</v>
      </c>
      <c r="G139" s="485">
        <v>0</v>
      </c>
      <c r="H139" s="485">
        <v>0</v>
      </c>
      <c r="I139" s="485">
        <v>0</v>
      </c>
      <c r="J139" s="485">
        <v>0</v>
      </c>
      <c r="K139" s="485">
        <v>0</v>
      </c>
      <c r="L139" s="485">
        <v>0</v>
      </c>
      <c r="M139" s="485">
        <v>0</v>
      </c>
      <c r="N139" s="485">
        <v>1</v>
      </c>
      <c r="O139" s="485">
        <v>0</v>
      </c>
      <c r="P139" s="485">
        <v>0</v>
      </c>
    </row>
    <row r="140" spans="1:16" ht="17" thickBot="1">
      <c r="A140" s="255" t="s">
        <v>237</v>
      </c>
      <c r="B140" s="23" t="s">
        <v>126</v>
      </c>
      <c r="C140" s="30" t="s">
        <v>134</v>
      </c>
      <c r="D140" s="54" t="s">
        <v>128</v>
      </c>
      <c r="E140" s="485">
        <v>0</v>
      </c>
      <c r="F140" s="485">
        <v>0</v>
      </c>
      <c r="G140" s="485">
        <v>0</v>
      </c>
      <c r="H140" s="485">
        <v>0</v>
      </c>
      <c r="I140" s="485">
        <v>0</v>
      </c>
      <c r="J140" s="485">
        <v>0</v>
      </c>
      <c r="K140" s="485">
        <v>0</v>
      </c>
      <c r="L140" s="485">
        <v>0</v>
      </c>
      <c r="M140" s="485">
        <v>0</v>
      </c>
      <c r="N140" s="485">
        <v>0</v>
      </c>
      <c r="O140" s="485">
        <v>0</v>
      </c>
      <c r="P140" s="485">
        <v>0</v>
      </c>
    </row>
    <row r="141" spans="1:16" ht="17" thickBot="1">
      <c r="A141" s="255" t="s">
        <v>237</v>
      </c>
      <c r="B141" s="23" t="s">
        <v>126</v>
      </c>
      <c r="C141" s="30" t="s">
        <v>132</v>
      </c>
      <c r="D141" s="54" t="s">
        <v>115</v>
      </c>
      <c r="E141" s="485">
        <v>0</v>
      </c>
      <c r="F141" s="485">
        <v>0</v>
      </c>
      <c r="G141" s="485">
        <v>0</v>
      </c>
      <c r="H141" s="485">
        <v>0</v>
      </c>
      <c r="I141" s="485">
        <v>0</v>
      </c>
      <c r="J141" s="485">
        <v>0</v>
      </c>
      <c r="K141" s="485">
        <v>0</v>
      </c>
      <c r="L141" s="485">
        <v>0</v>
      </c>
      <c r="M141" s="485">
        <v>0</v>
      </c>
      <c r="N141" s="485">
        <v>0</v>
      </c>
      <c r="O141" s="485">
        <v>0</v>
      </c>
      <c r="P141" s="485">
        <v>0</v>
      </c>
    </row>
    <row r="142" spans="1:16" ht="17" thickBot="1">
      <c r="A142" s="255" t="s">
        <v>237</v>
      </c>
      <c r="B142" s="23" t="s">
        <v>126</v>
      </c>
      <c r="C142" s="30" t="s">
        <v>132</v>
      </c>
      <c r="D142" s="24" t="s">
        <v>113</v>
      </c>
      <c r="E142" s="485">
        <v>0</v>
      </c>
      <c r="F142" s="485">
        <v>0</v>
      </c>
      <c r="G142" s="485">
        <v>0</v>
      </c>
      <c r="H142" s="485">
        <v>0</v>
      </c>
      <c r="I142" s="485">
        <v>0</v>
      </c>
      <c r="J142" s="485">
        <v>0</v>
      </c>
      <c r="K142" s="485">
        <v>0</v>
      </c>
      <c r="L142" s="485">
        <v>0</v>
      </c>
      <c r="M142" s="485">
        <v>0</v>
      </c>
      <c r="N142" s="485">
        <v>0</v>
      </c>
      <c r="O142" s="485">
        <v>0</v>
      </c>
      <c r="P142" s="485">
        <v>6700</v>
      </c>
    </row>
    <row r="143" spans="1:16" ht="17" thickBot="1">
      <c r="A143" s="255" t="s">
        <v>237</v>
      </c>
      <c r="B143" s="23" t="s">
        <v>143</v>
      </c>
      <c r="C143" s="30" t="s">
        <v>129</v>
      </c>
      <c r="D143" s="24" t="s">
        <v>29</v>
      </c>
      <c r="E143" s="485">
        <v>4</v>
      </c>
      <c r="F143" s="485">
        <v>0</v>
      </c>
      <c r="G143" s="485">
        <v>5</v>
      </c>
      <c r="H143" s="485">
        <v>2</v>
      </c>
      <c r="I143" s="485">
        <v>1</v>
      </c>
      <c r="J143" s="485">
        <v>3</v>
      </c>
      <c r="K143" s="485">
        <v>11</v>
      </c>
      <c r="L143" s="485">
        <v>0</v>
      </c>
      <c r="M143" s="485">
        <v>1</v>
      </c>
      <c r="N143" s="485">
        <v>8</v>
      </c>
      <c r="O143" s="485">
        <v>9</v>
      </c>
      <c r="P143" s="485">
        <v>5</v>
      </c>
    </row>
    <row r="144" spans="1:16" ht="17" thickBot="1">
      <c r="A144" s="255" t="s">
        <v>237</v>
      </c>
      <c r="B144" s="23" t="s">
        <v>143</v>
      </c>
      <c r="C144" s="30" t="s">
        <v>129</v>
      </c>
      <c r="D144" s="24" t="s">
        <v>33</v>
      </c>
      <c r="E144" s="485">
        <v>16</v>
      </c>
      <c r="F144" s="485">
        <v>9</v>
      </c>
      <c r="G144" s="485">
        <v>8</v>
      </c>
      <c r="H144" s="485">
        <v>10</v>
      </c>
      <c r="I144" s="485">
        <v>3</v>
      </c>
      <c r="J144" s="485">
        <v>7</v>
      </c>
      <c r="K144" s="485">
        <v>17</v>
      </c>
      <c r="L144" s="485">
        <v>7</v>
      </c>
      <c r="M144" s="485">
        <v>2</v>
      </c>
      <c r="N144" s="485">
        <v>22</v>
      </c>
      <c r="O144" s="485">
        <v>21</v>
      </c>
      <c r="P144" s="485">
        <v>18</v>
      </c>
    </row>
    <row r="145" spans="1:16" ht="17" thickBot="1">
      <c r="A145" s="255" t="s">
        <v>237</v>
      </c>
      <c r="B145" s="23" t="s">
        <v>143</v>
      </c>
      <c r="C145" s="30" t="s">
        <v>129</v>
      </c>
      <c r="D145" s="24" t="s">
        <v>56</v>
      </c>
      <c r="E145" s="485">
        <v>0</v>
      </c>
      <c r="F145" s="485">
        <v>0</v>
      </c>
      <c r="G145" s="485">
        <v>0</v>
      </c>
      <c r="H145" s="485">
        <v>0</v>
      </c>
      <c r="I145" s="485">
        <v>0</v>
      </c>
      <c r="J145" s="485">
        <v>0</v>
      </c>
      <c r="K145" s="485">
        <v>0</v>
      </c>
      <c r="L145" s="485">
        <v>0</v>
      </c>
      <c r="M145" s="485">
        <v>0</v>
      </c>
      <c r="N145" s="485">
        <v>0</v>
      </c>
      <c r="O145" s="485">
        <v>0</v>
      </c>
      <c r="P145" s="485">
        <v>0</v>
      </c>
    </row>
    <row r="146" spans="1:16" ht="17" thickBot="1">
      <c r="A146" s="255" t="s">
        <v>237</v>
      </c>
      <c r="B146" s="23" t="s">
        <v>143</v>
      </c>
      <c r="C146" s="30" t="s">
        <v>129</v>
      </c>
      <c r="D146" s="54" t="s">
        <v>30</v>
      </c>
      <c r="E146" s="485">
        <v>1</v>
      </c>
      <c r="F146" s="485">
        <v>1</v>
      </c>
      <c r="G146" s="485">
        <v>0</v>
      </c>
      <c r="H146" s="485">
        <v>0</v>
      </c>
      <c r="I146" s="485">
        <v>0</v>
      </c>
      <c r="J146" s="485">
        <v>0</v>
      </c>
      <c r="K146" s="485">
        <v>0</v>
      </c>
      <c r="L146" s="485">
        <v>0</v>
      </c>
      <c r="M146" s="485">
        <v>0</v>
      </c>
      <c r="N146" s="485">
        <v>0</v>
      </c>
      <c r="O146" s="485">
        <v>0</v>
      </c>
      <c r="P146" s="485">
        <v>0</v>
      </c>
    </row>
    <row r="147" spans="1:16" ht="17" thickBot="1">
      <c r="A147" s="255" t="s">
        <v>237</v>
      </c>
      <c r="B147" s="23" t="s">
        <v>143</v>
      </c>
      <c r="C147" s="30" t="s">
        <v>129</v>
      </c>
      <c r="D147" s="53" t="s">
        <v>123</v>
      </c>
      <c r="E147" s="485"/>
      <c r="F147" s="485"/>
      <c r="G147" s="485"/>
      <c r="H147" s="485"/>
      <c r="I147" s="485"/>
      <c r="J147" s="485"/>
      <c r="K147" s="485"/>
      <c r="L147" s="485"/>
      <c r="M147" s="485"/>
      <c r="N147" s="485"/>
      <c r="O147" s="485"/>
      <c r="P147" s="485"/>
    </row>
    <row r="148" spans="1:16" ht="17" thickBot="1">
      <c r="A148" s="255" t="s">
        <v>237</v>
      </c>
      <c r="B148" s="23" t="s">
        <v>143</v>
      </c>
      <c r="C148" s="30" t="s">
        <v>129</v>
      </c>
      <c r="D148" s="53" t="s">
        <v>145</v>
      </c>
      <c r="E148" s="485">
        <v>0</v>
      </c>
      <c r="F148" s="485">
        <v>0</v>
      </c>
      <c r="G148" s="485">
        <v>0</v>
      </c>
      <c r="H148" s="485">
        <v>0</v>
      </c>
      <c r="I148" s="485">
        <v>0</v>
      </c>
      <c r="J148" s="485">
        <v>0</v>
      </c>
      <c r="K148" s="485">
        <v>0</v>
      </c>
      <c r="L148" s="485">
        <v>0</v>
      </c>
      <c r="M148" s="485">
        <v>0</v>
      </c>
      <c r="N148" s="485">
        <v>0</v>
      </c>
      <c r="O148" s="485">
        <v>0</v>
      </c>
      <c r="P148" s="485">
        <v>0</v>
      </c>
    </row>
    <row r="149" spans="1:16" ht="17" thickBot="1">
      <c r="A149" s="255" t="s">
        <v>237</v>
      </c>
      <c r="B149" s="23" t="s">
        <v>143</v>
      </c>
      <c r="C149" s="30" t="s">
        <v>130</v>
      </c>
      <c r="D149" s="53" t="s">
        <v>113</v>
      </c>
      <c r="E149" s="485">
        <v>1014</v>
      </c>
      <c r="F149" s="485">
        <v>0</v>
      </c>
      <c r="G149" s="485">
        <v>0</v>
      </c>
      <c r="H149" s="485">
        <v>0</v>
      </c>
      <c r="I149" s="485">
        <v>0</v>
      </c>
      <c r="J149" s="485">
        <v>0</v>
      </c>
      <c r="K149" s="485">
        <v>0</v>
      </c>
      <c r="L149" s="485">
        <v>0</v>
      </c>
      <c r="M149" s="485">
        <v>0</v>
      </c>
      <c r="N149" s="485">
        <v>0</v>
      </c>
      <c r="O149" s="485">
        <v>0</v>
      </c>
      <c r="P149" s="485">
        <v>0</v>
      </c>
    </row>
    <row r="150" spans="1:16" ht="17" thickBot="1">
      <c r="A150" s="255" t="s">
        <v>237</v>
      </c>
      <c r="B150" s="23" t="s">
        <v>143</v>
      </c>
      <c r="C150" s="30" t="s">
        <v>130</v>
      </c>
      <c r="D150" s="53" t="s">
        <v>114</v>
      </c>
      <c r="E150" s="485">
        <v>0</v>
      </c>
      <c r="F150" s="485">
        <v>11</v>
      </c>
      <c r="G150" s="485">
        <v>2</v>
      </c>
      <c r="H150" s="485">
        <v>2</v>
      </c>
      <c r="I150" s="485">
        <v>11</v>
      </c>
      <c r="J150" s="485">
        <v>1</v>
      </c>
      <c r="K150" s="485">
        <v>2</v>
      </c>
      <c r="L150" s="485">
        <v>2</v>
      </c>
      <c r="M150" s="485">
        <v>0</v>
      </c>
      <c r="N150" s="485">
        <v>0</v>
      </c>
      <c r="O150" s="485">
        <v>0</v>
      </c>
      <c r="P150" s="485">
        <v>0</v>
      </c>
    </row>
    <row r="151" spans="1:16" ht="17" thickBot="1">
      <c r="A151" s="255" t="s">
        <v>237</v>
      </c>
      <c r="B151" s="23" t="s">
        <v>143</v>
      </c>
      <c r="C151" s="30" t="s">
        <v>130</v>
      </c>
      <c r="D151" s="53" t="s">
        <v>133</v>
      </c>
      <c r="E151" s="485">
        <v>0</v>
      </c>
      <c r="F151" s="485">
        <v>0</v>
      </c>
      <c r="G151" s="485">
        <v>0</v>
      </c>
      <c r="H151" s="485">
        <v>0</v>
      </c>
      <c r="I151" s="485">
        <v>3</v>
      </c>
      <c r="J151" s="485">
        <v>1</v>
      </c>
      <c r="K151" s="485">
        <v>2</v>
      </c>
      <c r="L151" s="485">
        <v>0</v>
      </c>
      <c r="M151" s="485">
        <v>1</v>
      </c>
      <c r="N151" s="485">
        <v>0</v>
      </c>
      <c r="O151" s="485">
        <v>2</v>
      </c>
      <c r="P151" s="485">
        <v>2</v>
      </c>
    </row>
    <row r="152" spans="1:16" ht="17" thickBot="1">
      <c r="A152" s="255" t="s">
        <v>237</v>
      </c>
      <c r="B152" s="23" t="s">
        <v>143</v>
      </c>
      <c r="C152" s="30" t="s">
        <v>131</v>
      </c>
      <c r="D152" s="53" t="s">
        <v>105</v>
      </c>
      <c r="E152" s="103"/>
      <c r="F152" s="103"/>
      <c r="G152" s="103"/>
      <c r="H152" s="103"/>
      <c r="I152" s="103"/>
      <c r="J152" s="103"/>
      <c r="K152" s="103"/>
      <c r="L152" s="103"/>
      <c r="M152" s="103"/>
      <c r="N152" s="103"/>
      <c r="O152" s="103"/>
      <c r="P152" s="103"/>
    </row>
    <row r="153" spans="1:16" ht="17" thickBot="1">
      <c r="A153" s="255" t="s">
        <v>237</v>
      </c>
      <c r="B153" s="23" t="s">
        <v>143</v>
      </c>
      <c r="C153" s="30" t="s">
        <v>131</v>
      </c>
      <c r="D153" s="53" t="s">
        <v>120</v>
      </c>
      <c r="E153" s="103"/>
      <c r="F153" s="103"/>
      <c r="G153" s="103"/>
      <c r="H153" s="103"/>
      <c r="I153" s="103"/>
      <c r="J153" s="103"/>
      <c r="K153" s="103"/>
      <c r="L153" s="103"/>
      <c r="M153" s="103"/>
      <c r="N153" s="103"/>
      <c r="O153" s="103"/>
      <c r="P153" s="103"/>
    </row>
    <row r="154" spans="1:16" ht="17" thickBot="1">
      <c r="A154" s="255" t="s">
        <v>237</v>
      </c>
      <c r="B154" s="23" t="s">
        <v>143</v>
      </c>
      <c r="C154" s="30" t="s">
        <v>134</v>
      </c>
      <c r="D154" s="24" t="s">
        <v>29</v>
      </c>
      <c r="E154" s="485">
        <v>0</v>
      </c>
      <c r="F154" s="485">
        <v>0</v>
      </c>
      <c r="G154" s="485">
        <v>0</v>
      </c>
      <c r="H154" s="485">
        <v>0</v>
      </c>
      <c r="I154" s="485">
        <v>0</v>
      </c>
      <c r="J154" s="485">
        <v>97</v>
      </c>
      <c r="K154" s="485">
        <v>0</v>
      </c>
      <c r="L154" s="485">
        <v>0</v>
      </c>
      <c r="M154" s="485">
        <v>0</v>
      </c>
      <c r="N154" s="485">
        <v>0</v>
      </c>
      <c r="O154" s="485">
        <v>0</v>
      </c>
      <c r="P154" s="485">
        <v>0</v>
      </c>
    </row>
    <row r="155" spans="1:16" ht="17" thickBot="1">
      <c r="A155" s="255" t="s">
        <v>237</v>
      </c>
      <c r="B155" s="23" t="s">
        <v>143</v>
      </c>
      <c r="C155" s="30" t="s">
        <v>134</v>
      </c>
      <c r="D155" s="24" t="s">
        <v>51</v>
      </c>
      <c r="E155" s="485">
        <v>0</v>
      </c>
      <c r="F155" s="485">
        <v>0</v>
      </c>
      <c r="G155" s="485">
        <v>0</v>
      </c>
      <c r="H155" s="485">
        <v>0</v>
      </c>
      <c r="I155" s="485">
        <v>0</v>
      </c>
      <c r="J155" s="485">
        <v>0</v>
      </c>
      <c r="K155" s="485">
        <v>0</v>
      </c>
      <c r="L155" s="485">
        <v>0</v>
      </c>
      <c r="M155" s="485">
        <v>0</v>
      </c>
      <c r="N155" s="485">
        <v>0</v>
      </c>
      <c r="O155" s="485">
        <v>0</v>
      </c>
      <c r="P155" s="485">
        <v>0</v>
      </c>
    </row>
    <row r="156" spans="1:16" ht="17" thickBot="1">
      <c r="A156" s="255" t="s">
        <v>237</v>
      </c>
      <c r="B156" s="23" t="s">
        <v>143</v>
      </c>
      <c r="C156" s="30" t="s">
        <v>134</v>
      </c>
      <c r="D156" s="26" t="s">
        <v>140</v>
      </c>
      <c r="E156" s="485">
        <v>0</v>
      </c>
      <c r="F156" s="485">
        <v>0</v>
      </c>
      <c r="G156" s="485">
        <v>0</v>
      </c>
      <c r="H156" s="485">
        <v>0</v>
      </c>
      <c r="I156" s="485">
        <v>0</v>
      </c>
      <c r="J156" s="485">
        <v>0</v>
      </c>
      <c r="K156" s="485">
        <v>0</v>
      </c>
      <c r="L156" s="485">
        <v>0</v>
      </c>
      <c r="M156" s="485">
        <v>0</v>
      </c>
      <c r="N156" s="485">
        <v>0</v>
      </c>
      <c r="O156" s="485">
        <v>0</v>
      </c>
      <c r="P156" s="485">
        <v>0</v>
      </c>
    </row>
    <row r="157" spans="1:16" ht="17" thickBot="1">
      <c r="A157" s="255" t="s">
        <v>237</v>
      </c>
      <c r="B157" s="23" t="s">
        <v>143</v>
      </c>
      <c r="C157" s="30" t="s">
        <v>134</v>
      </c>
      <c r="D157" s="26" t="s">
        <v>13</v>
      </c>
      <c r="E157" s="485"/>
      <c r="F157" s="485"/>
      <c r="G157" s="485"/>
      <c r="H157" s="485"/>
      <c r="I157" s="485"/>
      <c r="J157" s="485"/>
      <c r="K157" s="485"/>
      <c r="L157" s="485"/>
      <c r="M157" s="485"/>
      <c r="N157" s="485"/>
      <c r="O157" s="485"/>
      <c r="P157" s="485"/>
    </row>
    <row r="158" spans="1:16" ht="17" thickBot="1">
      <c r="A158" s="255" t="s">
        <v>237</v>
      </c>
      <c r="B158" s="23" t="s">
        <v>143</v>
      </c>
      <c r="C158" s="30" t="s">
        <v>134</v>
      </c>
      <c r="D158" s="27" t="s">
        <v>47</v>
      </c>
      <c r="E158" s="485"/>
      <c r="F158" s="485"/>
      <c r="G158" s="485"/>
      <c r="H158" s="485"/>
      <c r="I158" s="485"/>
      <c r="J158" s="485"/>
      <c r="K158" s="485"/>
      <c r="L158" s="485"/>
      <c r="M158" s="485"/>
      <c r="N158" s="485"/>
      <c r="O158" s="485"/>
      <c r="P158" s="485"/>
    </row>
    <row r="159" spans="1:16" ht="17" thickBot="1">
      <c r="A159" s="255" t="s">
        <v>237</v>
      </c>
      <c r="B159" s="23" t="s">
        <v>143</v>
      </c>
      <c r="C159" s="30" t="s">
        <v>134</v>
      </c>
      <c r="D159" s="53" t="s">
        <v>30</v>
      </c>
      <c r="E159" s="485">
        <v>0</v>
      </c>
      <c r="F159" s="485">
        <v>0</v>
      </c>
      <c r="G159" s="485">
        <v>0</v>
      </c>
      <c r="H159" s="485">
        <v>0</v>
      </c>
      <c r="I159" s="485">
        <v>0</v>
      </c>
      <c r="J159" s="485">
        <v>0</v>
      </c>
      <c r="K159" s="485">
        <v>0</v>
      </c>
      <c r="L159" s="485">
        <v>0</v>
      </c>
      <c r="M159" s="485">
        <v>4</v>
      </c>
      <c r="N159" s="485">
        <v>4</v>
      </c>
      <c r="O159" s="485">
        <v>0</v>
      </c>
      <c r="P159" s="485">
        <v>0</v>
      </c>
    </row>
    <row r="160" spans="1:16" ht="17" thickBot="1">
      <c r="A160" s="255" t="s">
        <v>237</v>
      </c>
      <c r="B160" s="23" t="s">
        <v>143</v>
      </c>
      <c r="C160" s="30" t="s">
        <v>134</v>
      </c>
      <c r="D160" s="53" t="s">
        <v>108</v>
      </c>
      <c r="E160" s="485"/>
      <c r="F160" s="485"/>
      <c r="G160" s="485"/>
      <c r="H160" s="485"/>
      <c r="I160" s="485"/>
      <c r="J160" s="485"/>
      <c r="K160" s="485"/>
      <c r="L160" s="485"/>
      <c r="M160" s="485"/>
      <c r="N160" s="485"/>
      <c r="O160" s="485"/>
      <c r="P160" s="485"/>
    </row>
    <row r="161" spans="1:16" ht="17" thickBot="1">
      <c r="A161" s="255" t="s">
        <v>237</v>
      </c>
      <c r="B161" s="23" t="s">
        <v>143</v>
      </c>
      <c r="C161" s="30" t="s">
        <v>134</v>
      </c>
      <c r="D161" s="24" t="s">
        <v>56</v>
      </c>
      <c r="E161" s="485">
        <v>0</v>
      </c>
      <c r="F161" s="485">
        <v>0</v>
      </c>
      <c r="G161" s="485">
        <v>0</v>
      </c>
      <c r="H161" s="485">
        <v>0</v>
      </c>
      <c r="I161" s="485">
        <v>0</v>
      </c>
      <c r="J161" s="485">
        <v>0</v>
      </c>
      <c r="K161" s="485">
        <v>0</v>
      </c>
      <c r="L161" s="485">
        <v>0</v>
      </c>
      <c r="M161" s="485">
        <v>232</v>
      </c>
      <c r="N161" s="485">
        <v>0</v>
      </c>
      <c r="O161" s="485">
        <v>0</v>
      </c>
      <c r="P161" s="485">
        <v>0</v>
      </c>
    </row>
    <row r="162" spans="1:16" ht="17" thickBot="1">
      <c r="A162" s="255" t="s">
        <v>237</v>
      </c>
      <c r="B162" s="23" t="s">
        <v>143</v>
      </c>
      <c r="C162" s="30" t="s">
        <v>134</v>
      </c>
      <c r="D162" s="54" t="s">
        <v>89</v>
      </c>
      <c r="E162" s="485">
        <v>0</v>
      </c>
      <c r="F162" s="485">
        <v>0</v>
      </c>
      <c r="G162" s="485">
        <v>0</v>
      </c>
      <c r="H162" s="485">
        <v>0</v>
      </c>
      <c r="I162" s="485">
        <v>0</v>
      </c>
      <c r="J162" s="485">
        <v>0</v>
      </c>
      <c r="K162" s="485">
        <v>0</v>
      </c>
      <c r="L162" s="485">
        <v>0</v>
      </c>
      <c r="M162" s="485">
        <v>0</v>
      </c>
      <c r="N162" s="485">
        <v>0</v>
      </c>
      <c r="O162" s="485">
        <v>0</v>
      </c>
      <c r="P162" s="485">
        <v>0</v>
      </c>
    </row>
    <row r="163" spans="1:16" ht="17" thickBot="1">
      <c r="A163" s="255" t="s">
        <v>237</v>
      </c>
      <c r="B163" s="23" t="s">
        <v>143</v>
      </c>
      <c r="C163" s="30" t="s">
        <v>134</v>
      </c>
      <c r="D163" s="24" t="s">
        <v>83</v>
      </c>
      <c r="E163" s="485"/>
      <c r="F163" s="485"/>
      <c r="G163" s="485"/>
      <c r="H163" s="485"/>
      <c r="I163" s="485"/>
      <c r="J163" s="485"/>
      <c r="K163" s="485"/>
      <c r="L163" s="485"/>
      <c r="M163" s="485"/>
      <c r="N163" s="485"/>
      <c r="O163" s="485"/>
      <c r="P163" s="485"/>
    </row>
    <row r="164" spans="1:16" ht="17" thickBot="1">
      <c r="A164" s="255" t="s">
        <v>237</v>
      </c>
      <c r="B164" s="23" t="s">
        <v>143</v>
      </c>
      <c r="C164" s="30" t="s">
        <v>134</v>
      </c>
      <c r="D164" s="54" t="s">
        <v>124</v>
      </c>
      <c r="E164" s="485">
        <v>0</v>
      </c>
      <c r="F164" s="485">
        <v>0</v>
      </c>
      <c r="G164" s="485">
        <v>0</v>
      </c>
      <c r="H164" s="485">
        <v>0</v>
      </c>
      <c r="I164" s="485">
        <v>0</v>
      </c>
      <c r="J164" s="485">
        <v>0</v>
      </c>
      <c r="K164" s="485">
        <v>0</v>
      </c>
      <c r="L164" s="485">
        <v>0</v>
      </c>
      <c r="M164" s="485">
        <v>0</v>
      </c>
      <c r="N164" s="485">
        <v>0</v>
      </c>
      <c r="O164" s="485">
        <v>0</v>
      </c>
      <c r="P164" s="485">
        <v>0</v>
      </c>
    </row>
    <row r="165" spans="1:16" ht="17" thickBot="1">
      <c r="A165" s="255" t="s">
        <v>237</v>
      </c>
      <c r="B165" s="23" t="s">
        <v>143</v>
      </c>
      <c r="C165" s="30" t="s">
        <v>134</v>
      </c>
      <c r="D165" s="54" t="s">
        <v>127</v>
      </c>
      <c r="E165" s="485">
        <v>0</v>
      </c>
      <c r="F165" s="485">
        <v>0</v>
      </c>
      <c r="G165" s="485">
        <v>0</v>
      </c>
      <c r="H165" s="485">
        <v>0</v>
      </c>
      <c r="I165" s="485">
        <v>0</v>
      </c>
      <c r="J165" s="485">
        <v>0</v>
      </c>
      <c r="K165" s="485">
        <v>0</v>
      </c>
      <c r="L165" s="485">
        <v>0</v>
      </c>
      <c r="M165" s="485">
        <v>0</v>
      </c>
      <c r="N165" s="485">
        <v>0</v>
      </c>
      <c r="O165" s="485">
        <v>0</v>
      </c>
      <c r="P165" s="485">
        <v>0</v>
      </c>
    </row>
    <row r="166" spans="1:16" ht="17" thickBot="1">
      <c r="A166" s="255" t="s">
        <v>237</v>
      </c>
      <c r="B166" s="23" t="s">
        <v>143</v>
      </c>
      <c r="C166" s="30" t="s">
        <v>134</v>
      </c>
      <c r="D166" s="54" t="s">
        <v>128</v>
      </c>
      <c r="E166" s="485">
        <v>0</v>
      </c>
      <c r="F166" s="485">
        <v>0</v>
      </c>
      <c r="G166" s="485">
        <v>0</v>
      </c>
      <c r="H166" s="485">
        <v>0</v>
      </c>
      <c r="I166" s="485">
        <v>0</v>
      </c>
      <c r="J166" s="485">
        <v>0</v>
      </c>
      <c r="K166" s="485">
        <v>0</v>
      </c>
      <c r="L166" s="485">
        <v>0</v>
      </c>
      <c r="M166" s="485">
        <v>0</v>
      </c>
      <c r="N166" s="485">
        <v>0</v>
      </c>
      <c r="O166" s="485">
        <v>0</v>
      </c>
      <c r="P166" s="485">
        <v>0</v>
      </c>
    </row>
    <row r="167" spans="1:16" ht="17" thickBot="1">
      <c r="A167" s="255" t="s">
        <v>237</v>
      </c>
      <c r="B167" s="23" t="s">
        <v>143</v>
      </c>
      <c r="C167" s="30" t="s">
        <v>134</v>
      </c>
      <c r="D167" s="54" t="s">
        <v>146</v>
      </c>
      <c r="E167" s="485">
        <v>0</v>
      </c>
      <c r="F167" s="485">
        <v>0</v>
      </c>
      <c r="G167" s="485">
        <v>0</v>
      </c>
      <c r="H167" s="485">
        <v>0</v>
      </c>
      <c r="I167" s="485">
        <v>0</v>
      </c>
      <c r="J167" s="485">
        <v>0</v>
      </c>
      <c r="K167" s="485">
        <v>0</v>
      </c>
      <c r="L167" s="485">
        <v>0</v>
      </c>
      <c r="M167" s="485">
        <v>0</v>
      </c>
      <c r="N167" s="485">
        <v>0</v>
      </c>
      <c r="O167" s="485">
        <v>0</v>
      </c>
      <c r="P167" s="485">
        <v>0</v>
      </c>
    </row>
    <row r="168" spans="1:16" ht="17" thickBot="1">
      <c r="A168" s="255" t="s">
        <v>237</v>
      </c>
      <c r="B168" s="23" t="s">
        <v>143</v>
      </c>
      <c r="C168" s="30" t="s">
        <v>132</v>
      </c>
      <c r="D168" s="54" t="s">
        <v>115</v>
      </c>
      <c r="E168" s="136"/>
      <c r="F168" s="136"/>
      <c r="G168" s="136"/>
      <c r="H168" s="136"/>
      <c r="I168" s="136"/>
      <c r="J168" s="136"/>
      <c r="K168" s="136"/>
      <c r="L168" s="136"/>
      <c r="M168" s="136"/>
      <c r="N168" s="136"/>
      <c r="O168" s="136"/>
      <c r="P168" s="136"/>
    </row>
    <row r="169" spans="1:16" ht="17" thickBot="1">
      <c r="A169" s="255" t="s">
        <v>237</v>
      </c>
      <c r="B169" s="23" t="s">
        <v>143</v>
      </c>
      <c r="C169" s="30" t="s">
        <v>132</v>
      </c>
      <c r="D169" s="24" t="s">
        <v>113</v>
      </c>
      <c r="E169" s="485">
        <v>1660</v>
      </c>
      <c r="F169" s="485">
        <v>0</v>
      </c>
      <c r="G169" s="485">
        <v>0</v>
      </c>
      <c r="H169" s="485">
        <v>0</v>
      </c>
      <c r="I169" s="485">
        <v>0</v>
      </c>
      <c r="J169" s="485">
        <v>0</v>
      </c>
      <c r="K169" s="485">
        <v>0</v>
      </c>
      <c r="L169" s="485">
        <v>0</v>
      </c>
      <c r="M169" s="485">
        <v>0</v>
      </c>
      <c r="N169" s="485">
        <v>0</v>
      </c>
      <c r="O169" s="485">
        <v>0</v>
      </c>
      <c r="P169" s="485">
        <v>0</v>
      </c>
    </row>
    <row r="170" spans="1:16" ht="17" thickBot="1">
      <c r="A170" s="255" t="s">
        <v>237</v>
      </c>
      <c r="B170" s="23" t="s">
        <v>152</v>
      </c>
      <c r="C170" s="30" t="s">
        <v>129</v>
      </c>
      <c r="D170" s="24" t="s">
        <v>29</v>
      </c>
      <c r="E170" s="485">
        <v>8</v>
      </c>
      <c r="F170" s="485">
        <v>12</v>
      </c>
      <c r="G170" s="485">
        <v>16</v>
      </c>
      <c r="H170" s="485">
        <v>17</v>
      </c>
      <c r="I170" s="485">
        <v>13</v>
      </c>
      <c r="J170" s="485">
        <v>8</v>
      </c>
      <c r="K170" s="485">
        <v>9</v>
      </c>
      <c r="L170" s="485">
        <v>15</v>
      </c>
      <c r="M170" s="485">
        <v>14</v>
      </c>
      <c r="N170" s="485">
        <v>13</v>
      </c>
      <c r="O170" s="485">
        <v>14</v>
      </c>
      <c r="P170" s="485">
        <v>15</v>
      </c>
    </row>
    <row r="171" spans="1:16" ht="17" thickBot="1">
      <c r="A171" s="255" t="s">
        <v>237</v>
      </c>
      <c r="B171" s="23" t="s">
        <v>152</v>
      </c>
      <c r="C171" s="30" t="s">
        <v>129</v>
      </c>
      <c r="D171" s="24" t="s">
        <v>33</v>
      </c>
      <c r="E171" s="485">
        <v>9</v>
      </c>
      <c r="F171" s="485">
        <v>10</v>
      </c>
      <c r="G171" s="485">
        <v>9</v>
      </c>
      <c r="H171" s="485">
        <v>8</v>
      </c>
      <c r="I171" s="485">
        <v>3</v>
      </c>
      <c r="J171" s="485">
        <v>6</v>
      </c>
      <c r="K171" s="485">
        <v>4</v>
      </c>
      <c r="L171" s="485">
        <v>7</v>
      </c>
      <c r="M171" s="485">
        <v>15</v>
      </c>
      <c r="N171" s="485">
        <v>4</v>
      </c>
      <c r="O171" s="485">
        <v>8</v>
      </c>
      <c r="P171" s="485">
        <v>3</v>
      </c>
    </row>
    <row r="172" spans="1:16" ht="17" thickBot="1">
      <c r="A172" s="255" t="s">
        <v>237</v>
      </c>
      <c r="B172" s="23" t="s">
        <v>152</v>
      </c>
      <c r="C172" s="30" t="s">
        <v>129</v>
      </c>
      <c r="D172" s="24" t="s">
        <v>56</v>
      </c>
      <c r="E172" s="485">
        <v>0</v>
      </c>
      <c r="F172" s="485">
        <v>0</v>
      </c>
      <c r="G172" s="485">
        <v>0</v>
      </c>
      <c r="H172" s="485">
        <v>0</v>
      </c>
      <c r="I172" s="485">
        <v>0</v>
      </c>
      <c r="J172" s="485">
        <v>0</v>
      </c>
      <c r="K172" s="485">
        <v>0</v>
      </c>
      <c r="L172" s="485">
        <v>0</v>
      </c>
      <c r="M172" s="485">
        <v>33</v>
      </c>
      <c r="N172" s="485">
        <v>0</v>
      </c>
      <c r="O172" s="485">
        <v>0</v>
      </c>
      <c r="P172" s="485">
        <v>0</v>
      </c>
    </row>
    <row r="173" spans="1:16" ht="17" thickBot="1">
      <c r="A173" s="255" t="s">
        <v>237</v>
      </c>
      <c r="B173" s="23" t="s">
        <v>152</v>
      </c>
      <c r="C173" s="30" t="s">
        <v>129</v>
      </c>
      <c r="D173" s="54" t="s">
        <v>30</v>
      </c>
      <c r="E173" s="485">
        <v>0</v>
      </c>
      <c r="F173" s="485">
        <v>0</v>
      </c>
      <c r="G173" s="485">
        <v>0</v>
      </c>
      <c r="H173" s="485">
        <v>1</v>
      </c>
      <c r="I173" s="485">
        <v>0</v>
      </c>
      <c r="J173" s="485">
        <v>0</v>
      </c>
      <c r="K173" s="485">
        <v>1</v>
      </c>
      <c r="L173" s="485">
        <v>0</v>
      </c>
      <c r="M173" s="485">
        <v>1</v>
      </c>
      <c r="N173" s="485">
        <v>0</v>
      </c>
      <c r="O173" s="485">
        <v>1</v>
      </c>
      <c r="P173" s="485">
        <v>1</v>
      </c>
    </row>
    <row r="174" spans="1:16" ht="17" thickBot="1">
      <c r="A174" s="255" t="s">
        <v>237</v>
      </c>
      <c r="B174" s="23" t="s">
        <v>152</v>
      </c>
      <c r="C174" s="30" t="s">
        <v>129</v>
      </c>
      <c r="D174" s="53" t="s">
        <v>146</v>
      </c>
      <c r="E174" s="485">
        <v>0</v>
      </c>
      <c r="F174" s="485">
        <v>0</v>
      </c>
      <c r="G174" s="485">
        <v>0</v>
      </c>
      <c r="H174" s="485">
        <v>0</v>
      </c>
      <c r="I174" s="485">
        <v>0</v>
      </c>
      <c r="J174" s="485">
        <v>0</v>
      </c>
      <c r="K174" s="485">
        <v>0</v>
      </c>
      <c r="L174" s="485">
        <v>0</v>
      </c>
      <c r="M174" s="485">
        <v>0</v>
      </c>
      <c r="N174" s="485">
        <v>0</v>
      </c>
      <c r="O174" s="485">
        <v>0</v>
      </c>
      <c r="P174" s="485">
        <v>0</v>
      </c>
    </row>
    <row r="175" spans="1:16" ht="17" thickBot="1">
      <c r="A175" s="255" t="s">
        <v>237</v>
      </c>
      <c r="B175" s="23" t="s">
        <v>152</v>
      </c>
      <c r="C175" s="30" t="s">
        <v>129</v>
      </c>
      <c r="D175" s="53" t="s">
        <v>145</v>
      </c>
      <c r="E175" s="485">
        <v>0</v>
      </c>
      <c r="F175" s="485">
        <v>0</v>
      </c>
      <c r="G175" s="485">
        <v>0</v>
      </c>
      <c r="H175" s="485">
        <v>0</v>
      </c>
      <c r="I175" s="485">
        <v>0</v>
      </c>
      <c r="J175" s="485">
        <v>0</v>
      </c>
      <c r="K175" s="485">
        <v>0</v>
      </c>
      <c r="L175" s="485">
        <v>0</v>
      </c>
      <c r="M175" s="485">
        <v>5</v>
      </c>
      <c r="N175" s="485">
        <v>0</v>
      </c>
      <c r="O175" s="485">
        <v>0</v>
      </c>
      <c r="P175" s="485">
        <v>1</v>
      </c>
    </row>
    <row r="176" spans="1:16" ht="17" thickBot="1">
      <c r="A176" s="255" t="s">
        <v>237</v>
      </c>
      <c r="B176" s="23" t="s">
        <v>152</v>
      </c>
      <c r="C176" s="30" t="s">
        <v>130</v>
      </c>
      <c r="D176" s="53" t="s">
        <v>113</v>
      </c>
      <c r="E176" s="485">
        <v>1261</v>
      </c>
      <c r="F176" s="485"/>
      <c r="G176" s="485"/>
      <c r="H176" s="485"/>
      <c r="I176" s="485"/>
      <c r="J176" s="485"/>
      <c r="K176" s="485"/>
      <c r="L176" s="485"/>
      <c r="M176" s="485"/>
      <c r="N176" s="485"/>
      <c r="O176" s="485"/>
      <c r="P176" s="485"/>
    </row>
    <row r="177" spans="1:16" ht="17" thickBot="1">
      <c r="A177" s="255" t="s">
        <v>237</v>
      </c>
      <c r="B177" s="23" t="s">
        <v>152</v>
      </c>
      <c r="C177" s="30" t="s">
        <v>130</v>
      </c>
      <c r="D177" s="53" t="s">
        <v>114</v>
      </c>
      <c r="E177" s="485">
        <v>7</v>
      </c>
      <c r="F177" s="485">
        <v>1</v>
      </c>
      <c r="G177" s="485">
        <v>1</v>
      </c>
      <c r="H177" s="485">
        <v>2</v>
      </c>
      <c r="I177" s="485">
        <v>1</v>
      </c>
      <c r="J177" s="485">
        <v>2</v>
      </c>
      <c r="K177" s="485">
        <v>0</v>
      </c>
      <c r="L177" s="485">
        <v>0</v>
      </c>
      <c r="M177" s="485">
        <v>0</v>
      </c>
      <c r="N177" s="485">
        <v>0</v>
      </c>
      <c r="O177" s="485">
        <v>0</v>
      </c>
      <c r="P177" s="485">
        <v>0</v>
      </c>
    </row>
    <row r="178" spans="1:16" ht="17" thickBot="1">
      <c r="A178" s="255" t="s">
        <v>237</v>
      </c>
      <c r="B178" s="23" t="s">
        <v>152</v>
      </c>
      <c r="C178" s="30" t="s">
        <v>130</v>
      </c>
      <c r="D178" s="53" t="s">
        <v>133</v>
      </c>
      <c r="E178" s="485">
        <v>1</v>
      </c>
      <c r="F178" s="485">
        <v>1</v>
      </c>
      <c r="G178" s="485">
        <v>2</v>
      </c>
      <c r="H178" s="485">
        <v>2</v>
      </c>
      <c r="I178" s="485">
        <v>6</v>
      </c>
      <c r="J178" s="485">
        <v>4</v>
      </c>
      <c r="K178" s="485">
        <v>1</v>
      </c>
      <c r="L178" s="485">
        <v>2</v>
      </c>
      <c r="M178" s="485">
        <v>1</v>
      </c>
      <c r="N178" s="485">
        <v>0</v>
      </c>
      <c r="O178" s="485">
        <v>6</v>
      </c>
      <c r="P178" s="485">
        <v>4</v>
      </c>
    </row>
    <row r="179" spans="1:16" ht="17" thickBot="1">
      <c r="A179" s="255" t="s">
        <v>237</v>
      </c>
      <c r="B179" s="23" t="s">
        <v>152</v>
      </c>
      <c r="C179" s="30" t="s">
        <v>130</v>
      </c>
      <c r="D179" s="53" t="s">
        <v>163</v>
      </c>
      <c r="E179" s="485"/>
      <c r="F179" s="485"/>
      <c r="G179" s="485"/>
      <c r="H179" s="485"/>
      <c r="I179" s="485"/>
      <c r="J179" s="485"/>
      <c r="K179" s="485"/>
      <c r="L179" s="485"/>
      <c r="M179" s="485"/>
      <c r="N179" s="485"/>
      <c r="O179" s="485"/>
      <c r="P179" s="485"/>
    </row>
    <row r="180" spans="1:16" ht="17" thickBot="1">
      <c r="A180" s="255" t="s">
        <v>237</v>
      </c>
      <c r="B180" s="23" t="s">
        <v>152</v>
      </c>
      <c r="C180" s="30" t="s">
        <v>131</v>
      </c>
      <c r="D180" s="53" t="s">
        <v>105</v>
      </c>
      <c r="E180" s="103"/>
      <c r="F180" s="103"/>
      <c r="G180" s="103"/>
      <c r="H180" s="103"/>
      <c r="I180" s="103"/>
      <c r="J180" s="103"/>
      <c r="K180" s="103"/>
      <c r="L180" s="103"/>
      <c r="M180" s="103"/>
      <c r="N180" s="103"/>
      <c r="O180" s="103"/>
      <c r="P180" s="103"/>
    </row>
    <row r="181" spans="1:16" ht="17" thickBot="1">
      <c r="A181" s="255" t="s">
        <v>237</v>
      </c>
      <c r="B181" s="23" t="s">
        <v>152</v>
      </c>
      <c r="C181" s="30" t="s">
        <v>131</v>
      </c>
      <c r="D181" s="53" t="s">
        <v>120</v>
      </c>
      <c r="E181" s="103"/>
      <c r="F181" s="103"/>
      <c r="G181" s="103"/>
      <c r="H181" s="103"/>
      <c r="I181" s="103"/>
      <c r="J181" s="103"/>
      <c r="K181" s="103"/>
      <c r="L181" s="103"/>
      <c r="M181" s="103"/>
      <c r="N181" s="103"/>
      <c r="O181" s="103"/>
      <c r="P181" s="103"/>
    </row>
    <row r="182" spans="1:16" ht="17" thickBot="1">
      <c r="A182" s="255" t="s">
        <v>237</v>
      </c>
      <c r="B182" s="23" t="s">
        <v>152</v>
      </c>
      <c r="C182" s="30" t="s">
        <v>134</v>
      </c>
      <c r="D182" s="24" t="s">
        <v>29</v>
      </c>
      <c r="E182" s="485">
        <v>5</v>
      </c>
      <c r="F182" s="485">
        <v>0</v>
      </c>
      <c r="G182" s="485">
        <v>169</v>
      </c>
      <c r="H182" s="485">
        <v>0</v>
      </c>
      <c r="I182" s="485">
        <v>143</v>
      </c>
      <c r="J182" s="485">
        <v>0</v>
      </c>
      <c r="K182" s="485">
        <v>0</v>
      </c>
      <c r="L182" s="485">
        <v>177</v>
      </c>
      <c r="M182" s="485">
        <v>0</v>
      </c>
      <c r="N182" s="485">
        <v>0</v>
      </c>
      <c r="O182" s="485">
        <v>109</v>
      </c>
      <c r="P182" s="485">
        <v>0</v>
      </c>
    </row>
    <row r="183" spans="1:16" ht="17" thickBot="1">
      <c r="A183" s="255" t="s">
        <v>237</v>
      </c>
      <c r="B183" s="23" t="s">
        <v>152</v>
      </c>
      <c r="C183" s="30" t="s">
        <v>134</v>
      </c>
      <c r="D183" s="24" t="s">
        <v>51</v>
      </c>
      <c r="E183" s="485">
        <v>0</v>
      </c>
      <c r="F183" s="485">
        <v>0</v>
      </c>
      <c r="G183" s="485">
        <v>0</v>
      </c>
      <c r="H183" s="485">
        <v>0</v>
      </c>
      <c r="I183" s="485">
        <v>9</v>
      </c>
      <c r="J183" s="485">
        <v>0</v>
      </c>
      <c r="K183" s="485">
        <v>0</v>
      </c>
      <c r="L183" s="485">
        <v>0</v>
      </c>
      <c r="M183" s="485">
        <v>0</v>
      </c>
      <c r="N183" s="485">
        <v>0</v>
      </c>
      <c r="O183" s="485">
        <v>0</v>
      </c>
      <c r="P183" s="485">
        <v>0</v>
      </c>
    </row>
    <row r="184" spans="1:16" ht="17" thickBot="1">
      <c r="A184" s="255" t="s">
        <v>237</v>
      </c>
      <c r="B184" s="23" t="s">
        <v>152</v>
      </c>
      <c r="C184" s="30" t="s">
        <v>134</v>
      </c>
      <c r="D184" s="26" t="s">
        <v>140</v>
      </c>
      <c r="E184" s="485">
        <v>0</v>
      </c>
      <c r="F184" s="485">
        <v>0</v>
      </c>
      <c r="G184" s="485">
        <v>0</v>
      </c>
      <c r="H184" s="485">
        <v>0</v>
      </c>
      <c r="I184" s="485">
        <v>0</v>
      </c>
      <c r="J184" s="485">
        <v>0</v>
      </c>
      <c r="K184" s="485">
        <v>0</v>
      </c>
      <c r="L184" s="485">
        <v>0</v>
      </c>
      <c r="M184" s="485">
        <v>0</v>
      </c>
      <c r="N184" s="485">
        <v>0</v>
      </c>
      <c r="O184" s="485">
        <v>0</v>
      </c>
      <c r="P184" s="485">
        <v>0</v>
      </c>
    </row>
    <row r="185" spans="1:16" ht="17" thickBot="1">
      <c r="A185" s="255" t="s">
        <v>237</v>
      </c>
      <c r="B185" s="23" t="s">
        <v>152</v>
      </c>
      <c r="C185" s="30" t="s">
        <v>134</v>
      </c>
      <c r="D185" s="26" t="s">
        <v>13</v>
      </c>
      <c r="E185" s="485"/>
      <c r="F185" s="485"/>
      <c r="G185" s="485"/>
      <c r="H185" s="485"/>
      <c r="I185" s="485"/>
      <c r="J185" s="485"/>
      <c r="K185" s="485"/>
      <c r="L185" s="485"/>
      <c r="M185" s="485"/>
      <c r="N185" s="485"/>
      <c r="O185" s="485"/>
      <c r="P185" s="485"/>
    </row>
    <row r="186" spans="1:16" ht="17" thickBot="1">
      <c r="A186" s="255" t="s">
        <v>237</v>
      </c>
      <c r="B186" s="23" t="s">
        <v>152</v>
      </c>
      <c r="C186" s="30" t="s">
        <v>134</v>
      </c>
      <c r="D186" s="27" t="s">
        <v>47</v>
      </c>
      <c r="E186" s="485"/>
      <c r="F186" s="485"/>
      <c r="G186" s="485"/>
      <c r="H186" s="485"/>
      <c r="I186" s="485"/>
      <c r="J186" s="485"/>
      <c r="K186" s="485"/>
      <c r="L186" s="485"/>
      <c r="M186" s="485"/>
      <c r="N186" s="485"/>
      <c r="O186" s="485"/>
      <c r="P186" s="485"/>
    </row>
    <row r="187" spans="1:16" ht="17" thickBot="1">
      <c r="A187" s="255" t="s">
        <v>237</v>
      </c>
      <c r="B187" s="23" t="s">
        <v>152</v>
      </c>
      <c r="C187" s="30" t="s">
        <v>134</v>
      </c>
      <c r="D187" s="53" t="s">
        <v>30</v>
      </c>
      <c r="E187" s="485">
        <v>0</v>
      </c>
      <c r="F187" s="485">
        <v>1</v>
      </c>
      <c r="G187" s="485">
        <v>0</v>
      </c>
      <c r="H187" s="485">
        <v>0</v>
      </c>
      <c r="I187" s="485">
        <v>3</v>
      </c>
      <c r="J187" s="485">
        <v>0</v>
      </c>
      <c r="K187" s="485">
        <v>8</v>
      </c>
      <c r="L187" s="485">
        <v>0</v>
      </c>
      <c r="M187" s="485">
        <v>0</v>
      </c>
      <c r="N187" s="485">
        <v>0</v>
      </c>
      <c r="O187" s="485">
        <v>1</v>
      </c>
      <c r="P187" s="485">
        <v>1</v>
      </c>
    </row>
    <row r="188" spans="1:16" ht="17" thickBot="1">
      <c r="A188" s="255" t="s">
        <v>237</v>
      </c>
      <c r="B188" s="23" t="s">
        <v>152</v>
      </c>
      <c r="C188" s="30" t="s">
        <v>134</v>
      </c>
      <c r="D188" s="53" t="s">
        <v>108</v>
      </c>
      <c r="E188" s="485"/>
      <c r="F188" s="485"/>
      <c r="G188" s="485"/>
      <c r="H188" s="485"/>
      <c r="I188" s="485"/>
      <c r="J188" s="485"/>
      <c r="K188" s="485"/>
      <c r="L188" s="485"/>
      <c r="M188" s="485"/>
      <c r="N188" s="485"/>
      <c r="O188" s="485"/>
      <c r="P188" s="485"/>
    </row>
    <row r="189" spans="1:16" ht="17" thickBot="1">
      <c r="A189" s="255" t="s">
        <v>237</v>
      </c>
      <c r="B189" s="23" t="s">
        <v>152</v>
      </c>
      <c r="C189" s="30" t="s">
        <v>134</v>
      </c>
      <c r="D189" s="24" t="s">
        <v>56</v>
      </c>
      <c r="E189" s="485">
        <v>0</v>
      </c>
      <c r="F189" s="485">
        <v>0</v>
      </c>
      <c r="G189" s="485">
        <v>0</v>
      </c>
      <c r="H189" s="485">
        <v>0</v>
      </c>
      <c r="I189" s="485">
        <v>557</v>
      </c>
      <c r="J189" s="485">
        <v>0</v>
      </c>
      <c r="K189" s="485">
        <v>0</v>
      </c>
      <c r="L189" s="485">
        <v>0</v>
      </c>
      <c r="M189" s="485">
        <v>0</v>
      </c>
      <c r="N189" s="485">
        <v>0</v>
      </c>
      <c r="O189" s="485">
        <v>0</v>
      </c>
      <c r="P189" s="485">
        <v>51</v>
      </c>
    </row>
    <row r="190" spans="1:16" ht="17" thickBot="1">
      <c r="A190" s="255" t="s">
        <v>237</v>
      </c>
      <c r="B190" s="23" t="s">
        <v>152</v>
      </c>
      <c r="C190" s="30" t="s">
        <v>134</v>
      </c>
      <c r="D190" s="54" t="s">
        <v>89</v>
      </c>
      <c r="E190" s="485">
        <v>0</v>
      </c>
      <c r="F190" s="485">
        <v>0</v>
      </c>
      <c r="G190" s="485">
        <v>0</v>
      </c>
      <c r="H190" s="485">
        <v>0</v>
      </c>
      <c r="I190" s="485">
        <v>0</v>
      </c>
      <c r="J190" s="485">
        <v>0</v>
      </c>
      <c r="K190" s="485">
        <v>0</v>
      </c>
      <c r="L190" s="485">
        <v>0</v>
      </c>
      <c r="M190" s="485">
        <v>0</v>
      </c>
      <c r="N190" s="485">
        <v>0</v>
      </c>
      <c r="O190" s="485">
        <v>0</v>
      </c>
      <c r="P190" s="485">
        <v>0</v>
      </c>
    </row>
    <row r="191" spans="1:16" ht="17" thickBot="1">
      <c r="A191" s="255" t="s">
        <v>237</v>
      </c>
      <c r="B191" s="23" t="s">
        <v>152</v>
      </c>
      <c r="C191" s="30" t="s">
        <v>134</v>
      </c>
      <c r="D191" s="24" t="s">
        <v>83</v>
      </c>
      <c r="E191" s="485"/>
      <c r="F191" s="485"/>
      <c r="G191" s="485"/>
      <c r="H191" s="485"/>
      <c r="I191" s="485"/>
      <c r="J191" s="485"/>
      <c r="K191" s="485"/>
      <c r="L191" s="485"/>
      <c r="M191" s="485"/>
      <c r="N191" s="485"/>
      <c r="O191" s="485"/>
      <c r="P191" s="485"/>
    </row>
    <row r="192" spans="1:16" ht="17" thickBot="1">
      <c r="A192" s="255" t="s">
        <v>237</v>
      </c>
      <c r="B192" s="23" t="s">
        <v>152</v>
      </c>
      <c r="C192" s="30" t="s">
        <v>134</v>
      </c>
      <c r="D192" s="54" t="s">
        <v>124</v>
      </c>
      <c r="E192" s="485">
        <v>0</v>
      </c>
      <c r="F192" s="485">
        <v>0</v>
      </c>
      <c r="G192" s="485">
        <v>0</v>
      </c>
      <c r="H192" s="485">
        <v>0</v>
      </c>
      <c r="I192" s="485">
        <v>0</v>
      </c>
      <c r="J192" s="485">
        <v>0</v>
      </c>
      <c r="K192" s="485">
        <v>0</v>
      </c>
      <c r="L192" s="485">
        <v>0</v>
      </c>
      <c r="M192" s="485">
        <v>0</v>
      </c>
      <c r="N192" s="485">
        <v>0</v>
      </c>
      <c r="O192" s="485">
        <v>0</v>
      </c>
      <c r="P192" s="485">
        <v>0</v>
      </c>
    </row>
    <row r="193" spans="1:16" ht="17" thickBot="1">
      <c r="A193" s="255" t="s">
        <v>237</v>
      </c>
      <c r="B193" s="23" t="s">
        <v>152</v>
      </c>
      <c r="C193" s="30" t="s">
        <v>134</v>
      </c>
      <c r="D193" s="54" t="s">
        <v>127</v>
      </c>
      <c r="E193" s="485">
        <v>0</v>
      </c>
      <c r="F193" s="485">
        <v>0</v>
      </c>
      <c r="G193" s="485">
        <v>0</v>
      </c>
      <c r="H193" s="485">
        <v>0</v>
      </c>
      <c r="I193" s="485">
        <v>0</v>
      </c>
      <c r="J193" s="485">
        <v>0</v>
      </c>
      <c r="K193" s="485">
        <v>0</v>
      </c>
      <c r="L193" s="485">
        <v>0</v>
      </c>
      <c r="M193" s="485">
        <v>0</v>
      </c>
      <c r="N193" s="485">
        <v>0</v>
      </c>
      <c r="O193" s="485">
        <v>0</v>
      </c>
      <c r="P193" s="485">
        <v>0</v>
      </c>
    </row>
    <row r="194" spans="1:16" ht="17" thickBot="1">
      <c r="A194" s="255" t="s">
        <v>237</v>
      </c>
      <c r="B194" s="23" t="s">
        <v>152</v>
      </c>
      <c r="C194" s="30" t="s">
        <v>134</v>
      </c>
      <c r="D194" s="54" t="s">
        <v>128</v>
      </c>
      <c r="E194" s="485">
        <v>0</v>
      </c>
      <c r="F194" s="485">
        <v>0</v>
      </c>
      <c r="G194" s="485">
        <v>0</v>
      </c>
      <c r="H194" s="485">
        <v>0</v>
      </c>
      <c r="I194" s="485">
        <v>0</v>
      </c>
      <c r="J194" s="485">
        <v>0</v>
      </c>
      <c r="K194" s="485">
        <v>0</v>
      </c>
      <c r="L194" s="485">
        <v>0</v>
      </c>
      <c r="M194" s="485">
        <v>0</v>
      </c>
      <c r="N194" s="485">
        <v>0</v>
      </c>
      <c r="O194" s="485">
        <v>0</v>
      </c>
      <c r="P194" s="485">
        <v>0</v>
      </c>
    </row>
    <row r="195" spans="1:16" ht="17" thickBot="1">
      <c r="A195" s="255" t="s">
        <v>237</v>
      </c>
      <c r="B195" s="23" t="s">
        <v>152</v>
      </c>
      <c r="C195" s="30" t="s">
        <v>134</v>
      </c>
      <c r="D195" s="54" t="s">
        <v>146</v>
      </c>
      <c r="E195" s="485">
        <v>12</v>
      </c>
      <c r="F195" s="485">
        <v>0</v>
      </c>
      <c r="G195" s="485">
        <v>0</v>
      </c>
      <c r="H195" s="485">
        <v>0</v>
      </c>
      <c r="I195" s="485">
        <v>0</v>
      </c>
      <c r="J195" s="485">
        <v>0</v>
      </c>
      <c r="K195" s="485">
        <v>0</v>
      </c>
      <c r="L195" s="485">
        <v>0</v>
      </c>
      <c r="M195" s="485">
        <v>0</v>
      </c>
      <c r="N195" s="485">
        <v>0</v>
      </c>
      <c r="O195" s="485">
        <v>0</v>
      </c>
      <c r="P195" s="485">
        <v>0</v>
      </c>
    </row>
    <row r="196" spans="1:16" ht="17" thickBot="1">
      <c r="A196" s="255" t="s">
        <v>237</v>
      </c>
      <c r="B196" s="23" t="s">
        <v>152</v>
      </c>
      <c r="C196" s="30" t="s">
        <v>132</v>
      </c>
      <c r="D196" s="54" t="s">
        <v>115</v>
      </c>
      <c r="E196" s="103"/>
      <c r="F196" s="103"/>
      <c r="G196" s="103"/>
      <c r="H196" s="103"/>
      <c r="I196" s="103"/>
      <c r="J196" s="103"/>
      <c r="K196" s="103"/>
      <c r="L196" s="103"/>
      <c r="M196" s="103"/>
      <c r="N196" s="103"/>
      <c r="O196" s="103"/>
      <c r="P196" s="103"/>
    </row>
    <row r="197" spans="1:16" ht="17" thickBot="1">
      <c r="A197" s="255" t="s">
        <v>237</v>
      </c>
      <c r="B197" s="23" t="s">
        <v>152</v>
      </c>
      <c r="C197" s="30" t="s">
        <v>132</v>
      </c>
      <c r="D197" s="24" t="s">
        <v>113</v>
      </c>
      <c r="E197" s="485">
        <v>3831</v>
      </c>
      <c r="F197" s="485">
        <v>0</v>
      </c>
      <c r="G197" s="485">
        <v>0</v>
      </c>
      <c r="H197" s="485">
        <v>0</v>
      </c>
      <c r="I197" s="485">
        <v>0</v>
      </c>
      <c r="J197" s="485">
        <v>0</v>
      </c>
      <c r="K197" s="485">
        <v>0</v>
      </c>
      <c r="L197" s="485">
        <v>0</v>
      </c>
      <c r="M197" s="485">
        <v>0</v>
      </c>
      <c r="N197" s="485">
        <v>0</v>
      </c>
      <c r="O197" s="485">
        <v>0</v>
      </c>
      <c r="P197" s="485">
        <v>0</v>
      </c>
    </row>
    <row r="198" spans="1:16" ht="17" thickBot="1">
      <c r="A198" s="255" t="s">
        <v>237</v>
      </c>
      <c r="B198" s="23" t="s">
        <v>160</v>
      </c>
      <c r="C198" s="30" t="s">
        <v>129</v>
      </c>
      <c r="D198" s="24" t="s">
        <v>29</v>
      </c>
      <c r="E198" s="485">
        <v>28</v>
      </c>
      <c r="F198" s="485">
        <v>28</v>
      </c>
      <c r="G198" s="485">
        <v>33</v>
      </c>
      <c r="H198" s="485">
        <v>368</v>
      </c>
      <c r="I198" s="485">
        <v>187</v>
      </c>
      <c r="J198" s="485">
        <v>38</v>
      </c>
      <c r="K198" s="485">
        <v>62</v>
      </c>
      <c r="L198" s="485">
        <v>0</v>
      </c>
      <c r="M198" s="485">
        <v>9</v>
      </c>
      <c r="N198" s="485">
        <v>0</v>
      </c>
      <c r="O198" s="485">
        <v>0</v>
      </c>
      <c r="P198" s="485">
        <v>7</v>
      </c>
    </row>
    <row r="199" spans="1:16" ht="17" thickBot="1">
      <c r="A199" s="255" t="s">
        <v>237</v>
      </c>
      <c r="B199" s="23" t="s">
        <v>160</v>
      </c>
      <c r="C199" s="30" t="s">
        <v>129</v>
      </c>
      <c r="D199" s="24" t="s">
        <v>33</v>
      </c>
      <c r="E199" s="485">
        <v>6</v>
      </c>
      <c r="F199" s="485">
        <v>7</v>
      </c>
      <c r="G199" s="485">
        <v>2</v>
      </c>
      <c r="H199" s="485">
        <v>9</v>
      </c>
      <c r="I199" s="485">
        <v>3</v>
      </c>
      <c r="J199" s="485">
        <v>3</v>
      </c>
      <c r="K199" s="485">
        <v>3</v>
      </c>
      <c r="L199" s="485">
        <v>52</v>
      </c>
      <c r="M199" s="485">
        <v>14</v>
      </c>
      <c r="N199" s="485">
        <v>1</v>
      </c>
      <c r="O199" s="485">
        <v>5</v>
      </c>
      <c r="P199" s="485">
        <v>41</v>
      </c>
    </row>
    <row r="200" spans="1:16" ht="17" thickBot="1">
      <c r="A200" s="255" t="s">
        <v>237</v>
      </c>
      <c r="B200" s="23" t="s">
        <v>160</v>
      </c>
      <c r="C200" s="30" t="s">
        <v>129</v>
      </c>
      <c r="D200" s="24" t="s">
        <v>56</v>
      </c>
      <c r="E200" s="485">
        <v>0</v>
      </c>
      <c r="F200" s="485">
        <v>0</v>
      </c>
      <c r="G200" s="485">
        <v>0</v>
      </c>
      <c r="H200" s="485">
        <v>0</v>
      </c>
      <c r="I200" s="485">
        <v>0</v>
      </c>
      <c r="J200" s="485">
        <v>0</v>
      </c>
      <c r="K200" s="485">
        <v>0</v>
      </c>
      <c r="L200" s="485">
        <v>0</v>
      </c>
      <c r="M200" s="485">
        <v>0</v>
      </c>
      <c r="N200" s="485">
        <v>0</v>
      </c>
      <c r="O200" s="485">
        <v>0</v>
      </c>
      <c r="P200" s="485">
        <v>0</v>
      </c>
    </row>
    <row r="201" spans="1:16" ht="17" thickBot="1">
      <c r="A201" s="255" t="s">
        <v>237</v>
      </c>
      <c r="B201" s="23" t="s">
        <v>160</v>
      </c>
      <c r="C201" s="30" t="s">
        <v>129</v>
      </c>
      <c r="D201" s="54" t="s">
        <v>30</v>
      </c>
      <c r="E201" s="485">
        <v>0</v>
      </c>
      <c r="F201" s="485">
        <v>3</v>
      </c>
      <c r="G201" s="485">
        <v>2</v>
      </c>
      <c r="H201" s="485">
        <v>0</v>
      </c>
      <c r="I201" s="485">
        <v>1</v>
      </c>
      <c r="J201" s="485">
        <v>0</v>
      </c>
      <c r="K201" s="485">
        <v>1</v>
      </c>
      <c r="L201" s="485">
        <v>0</v>
      </c>
      <c r="M201" s="485">
        <v>3</v>
      </c>
      <c r="N201" s="485">
        <v>2</v>
      </c>
      <c r="O201" s="485">
        <v>3</v>
      </c>
      <c r="P201" s="485">
        <v>1</v>
      </c>
    </row>
    <row r="202" spans="1:16" ht="17" thickBot="1">
      <c r="A202" s="255" t="s">
        <v>237</v>
      </c>
      <c r="B202" s="23" t="s">
        <v>160</v>
      </c>
      <c r="C202" s="30" t="s">
        <v>129</v>
      </c>
      <c r="D202" s="53" t="s">
        <v>146</v>
      </c>
      <c r="E202" s="485">
        <v>0</v>
      </c>
      <c r="F202" s="485">
        <v>0</v>
      </c>
      <c r="G202" s="485">
        <v>4</v>
      </c>
      <c r="H202" s="485">
        <v>0</v>
      </c>
      <c r="I202" s="485">
        <v>2</v>
      </c>
      <c r="J202" s="485">
        <v>11</v>
      </c>
      <c r="K202" s="485">
        <v>27</v>
      </c>
      <c r="L202" s="485">
        <v>8</v>
      </c>
      <c r="M202" s="485">
        <v>9</v>
      </c>
      <c r="N202" s="485">
        <v>3</v>
      </c>
      <c r="O202" s="485">
        <v>0</v>
      </c>
      <c r="P202" s="485">
        <v>1</v>
      </c>
    </row>
    <row r="203" spans="1:16" ht="17" thickBot="1">
      <c r="A203" s="255" t="s">
        <v>237</v>
      </c>
      <c r="B203" s="23" t="s">
        <v>160</v>
      </c>
      <c r="C203" s="30" t="s">
        <v>129</v>
      </c>
      <c r="D203" s="53" t="s">
        <v>145</v>
      </c>
      <c r="E203" s="485">
        <v>0</v>
      </c>
      <c r="F203" s="485">
        <v>0</v>
      </c>
      <c r="G203" s="485">
        <v>1</v>
      </c>
      <c r="H203" s="485">
        <v>0</v>
      </c>
      <c r="I203" s="485">
        <v>0</v>
      </c>
      <c r="J203" s="485">
        <v>2</v>
      </c>
      <c r="K203" s="485">
        <v>4</v>
      </c>
      <c r="L203" s="485">
        <v>0</v>
      </c>
      <c r="M203" s="485">
        <v>1</v>
      </c>
      <c r="N203" s="485">
        <v>0</v>
      </c>
      <c r="O203" s="485">
        <v>7</v>
      </c>
      <c r="P203" s="485">
        <v>0</v>
      </c>
    </row>
    <row r="204" spans="1:16" ht="17" thickBot="1">
      <c r="A204" s="255" t="s">
        <v>237</v>
      </c>
      <c r="B204" s="23" t="s">
        <v>160</v>
      </c>
      <c r="C204" s="30" t="s">
        <v>129</v>
      </c>
      <c r="D204" s="53" t="s">
        <v>164</v>
      </c>
      <c r="E204" s="485">
        <v>0</v>
      </c>
      <c r="F204" s="485">
        <v>0</v>
      </c>
      <c r="G204" s="485">
        <v>0</v>
      </c>
      <c r="H204" s="485">
        <v>0</v>
      </c>
      <c r="I204" s="485">
        <v>0</v>
      </c>
      <c r="J204" s="485">
        <v>0</v>
      </c>
      <c r="K204" s="485">
        <v>0</v>
      </c>
      <c r="L204" s="485">
        <v>0</v>
      </c>
      <c r="M204" s="485">
        <v>0</v>
      </c>
      <c r="N204" s="485">
        <v>0</v>
      </c>
      <c r="O204" s="485">
        <v>0</v>
      </c>
      <c r="P204" s="485">
        <v>0</v>
      </c>
    </row>
    <row r="205" spans="1:16" ht="17" thickBot="1">
      <c r="A205" s="255" t="s">
        <v>237</v>
      </c>
      <c r="B205" s="23" t="s">
        <v>160</v>
      </c>
      <c r="C205" s="30" t="s">
        <v>130</v>
      </c>
      <c r="D205" s="53" t="s">
        <v>113</v>
      </c>
      <c r="E205" s="485">
        <v>0</v>
      </c>
      <c r="F205" s="485">
        <v>0</v>
      </c>
      <c r="G205" s="485">
        <v>0</v>
      </c>
      <c r="H205" s="485">
        <v>0</v>
      </c>
      <c r="I205" s="485">
        <v>0</v>
      </c>
      <c r="J205" s="485">
        <v>0</v>
      </c>
      <c r="K205" s="485">
        <v>0</v>
      </c>
      <c r="L205" s="485">
        <v>0</v>
      </c>
      <c r="M205" s="485">
        <v>0</v>
      </c>
      <c r="N205" s="485">
        <v>0</v>
      </c>
      <c r="O205" s="485">
        <v>0</v>
      </c>
      <c r="P205" s="485">
        <v>729</v>
      </c>
    </row>
    <row r="206" spans="1:16" ht="17" thickBot="1">
      <c r="A206" s="255" t="s">
        <v>237</v>
      </c>
      <c r="B206" s="23" t="s">
        <v>160</v>
      </c>
      <c r="C206" s="30" t="s">
        <v>130</v>
      </c>
      <c r="D206" s="53" t="s">
        <v>114</v>
      </c>
      <c r="E206" s="485">
        <v>10</v>
      </c>
      <c r="F206" s="485">
        <v>11</v>
      </c>
      <c r="G206" s="485">
        <v>2</v>
      </c>
      <c r="H206" s="485">
        <v>13</v>
      </c>
      <c r="I206" s="485">
        <v>2</v>
      </c>
      <c r="J206" s="485">
        <v>5</v>
      </c>
      <c r="K206" s="485">
        <v>7</v>
      </c>
      <c r="L206" s="485">
        <v>2</v>
      </c>
      <c r="M206" s="485">
        <v>5</v>
      </c>
      <c r="N206" s="485">
        <v>16</v>
      </c>
      <c r="O206" s="485">
        <v>13</v>
      </c>
      <c r="P206" s="485">
        <v>2</v>
      </c>
    </row>
    <row r="207" spans="1:16" ht="17" thickBot="1">
      <c r="A207" s="255" t="s">
        <v>237</v>
      </c>
      <c r="B207" s="23" t="s">
        <v>160</v>
      </c>
      <c r="C207" s="30" t="s">
        <v>130</v>
      </c>
      <c r="D207" s="53" t="s">
        <v>133</v>
      </c>
      <c r="E207" s="485">
        <v>2</v>
      </c>
      <c r="F207" s="485">
        <v>1</v>
      </c>
      <c r="G207" s="485">
        <v>1</v>
      </c>
      <c r="H207" s="485">
        <v>1</v>
      </c>
      <c r="I207" s="485">
        <v>0</v>
      </c>
      <c r="J207" s="485">
        <v>0</v>
      </c>
      <c r="K207" s="485">
        <v>0</v>
      </c>
      <c r="L207" s="485">
        <v>0</v>
      </c>
      <c r="M207" s="485">
        <v>0</v>
      </c>
      <c r="N207" s="485">
        <v>1</v>
      </c>
      <c r="O207" s="485">
        <v>1</v>
      </c>
      <c r="P207" s="485">
        <v>0</v>
      </c>
    </row>
    <row r="208" spans="1:16" ht="17" thickBot="1">
      <c r="A208" s="255" t="s">
        <v>237</v>
      </c>
      <c r="B208" s="23" t="s">
        <v>160</v>
      </c>
      <c r="C208" s="30" t="s">
        <v>130</v>
      </c>
      <c r="D208" s="53" t="s">
        <v>163</v>
      </c>
      <c r="E208" s="485">
        <v>0</v>
      </c>
      <c r="F208" s="485">
        <v>0</v>
      </c>
      <c r="G208" s="485">
        <v>0</v>
      </c>
      <c r="H208" s="485">
        <v>0</v>
      </c>
      <c r="I208" s="485">
        <v>0</v>
      </c>
      <c r="J208" s="485">
        <v>0</v>
      </c>
      <c r="K208" s="485">
        <v>0</v>
      </c>
      <c r="L208" s="485">
        <v>0</v>
      </c>
      <c r="M208" s="485">
        <v>0</v>
      </c>
      <c r="N208" s="485">
        <v>0</v>
      </c>
      <c r="O208" s="485">
        <v>0</v>
      </c>
      <c r="P208" s="485">
        <v>0</v>
      </c>
    </row>
    <row r="209" spans="1:16" ht="17" thickBot="1">
      <c r="A209" s="255" t="s">
        <v>237</v>
      </c>
      <c r="B209" s="23" t="s">
        <v>160</v>
      </c>
      <c r="C209" s="30" t="s">
        <v>134</v>
      </c>
      <c r="D209" s="24" t="s">
        <v>29</v>
      </c>
      <c r="E209" s="485">
        <v>0</v>
      </c>
      <c r="F209" s="485">
        <v>2</v>
      </c>
      <c r="G209" s="485">
        <v>0</v>
      </c>
      <c r="H209" s="485">
        <v>268</v>
      </c>
      <c r="I209" s="485">
        <v>10</v>
      </c>
      <c r="J209" s="485">
        <v>344</v>
      </c>
      <c r="K209" s="485">
        <v>275</v>
      </c>
      <c r="L209" s="485">
        <v>0</v>
      </c>
      <c r="M209" s="485">
        <v>0</v>
      </c>
      <c r="N209" s="485">
        <v>124</v>
      </c>
      <c r="O209" s="485">
        <v>0</v>
      </c>
      <c r="P209" s="485">
        <v>18</v>
      </c>
    </row>
    <row r="210" spans="1:16" ht="17" thickBot="1">
      <c r="A210" s="255" t="s">
        <v>237</v>
      </c>
      <c r="B210" s="23" t="s">
        <v>160</v>
      </c>
      <c r="C210" s="30" t="s">
        <v>134</v>
      </c>
      <c r="D210" s="54" t="s">
        <v>161</v>
      </c>
      <c r="E210" s="485">
        <v>0</v>
      </c>
      <c r="F210" s="485">
        <v>0</v>
      </c>
      <c r="G210" s="485">
        <v>0</v>
      </c>
      <c r="H210" s="485">
        <v>0</v>
      </c>
      <c r="I210" s="485">
        <v>0</v>
      </c>
      <c r="J210" s="485">
        <v>0</v>
      </c>
      <c r="K210" s="485">
        <v>0</v>
      </c>
      <c r="L210" s="485">
        <v>0</v>
      </c>
      <c r="M210" s="485">
        <v>0</v>
      </c>
      <c r="N210" s="485">
        <v>0</v>
      </c>
      <c r="O210" s="485">
        <v>0</v>
      </c>
      <c r="P210" s="485">
        <v>0</v>
      </c>
    </row>
    <row r="211" spans="1:16" ht="17" thickBot="1">
      <c r="A211" s="255" t="s">
        <v>237</v>
      </c>
      <c r="B211" s="23" t="s">
        <v>160</v>
      </c>
      <c r="C211" s="30" t="s">
        <v>134</v>
      </c>
      <c r="D211" s="26" t="s">
        <v>140</v>
      </c>
      <c r="E211" s="485">
        <v>0</v>
      </c>
      <c r="F211" s="485">
        <v>0</v>
      </c>
      <c r="G211" s="485">
        <v>0</v>
      </c>
      <c r="H211" s="485">
        <v>0</v>
      </c>
      <c r="I211" s="485">
        <v>0</v>
      </c>
      <c r="J211" s="485">
        <v>0</v>
      </c>
      <c r="K211" s="485">
        <v>0</v>
      </c>
      <c r="L211" s="485">
        <v>0</v>
      </c>
      <c r="M211" s="485">
        <v>0</v>
      </c>
      <c r="N211" s="485">
        <v>0</v>
      </c>
      <c r="O211" s="485">
        <v>0</v>
      </c>
      <c r="P211" s="485">
        <v>0</v>
      </c>
    </row>
    <row r="212" spans="1:16" ht="17" thickBot="1">
      <c r="A212" s="255" t="s">
        <v>237</v>
      </c>
      <c r="B212" s="23" t="s">
        <v>160</v>
      </c>
      <c r="C212" s="30" t="s">
        <v>134</v>
      </c>
      <c r="D212" s="53" t="s">
        <v>30</v>
      </c>
      <c r="E212" s="485">
        <v>0</v>
      </c>
      <c r="F212" s="485">
        <v>2</v>
      </c>
      <c r="G212" s="485">
        <v>0</v>
      </c>
      <c r="H212" s="485">
        <v>0</v>
      </c>
      <c r="I212" s="485">
        <v>0</v>
      </c>
      <c r="J212" s="485">
        <v>2</v>
      </c>
      <c r="K212" s="485">
        <v>37</v>
      </c>
      <c r="L212" s="485">
        <v>0</v>
      </c>
      <c r="M212" s="485">
        <v>0</v>
      </c>
      <c r="N212" s="485">
        <v>2</v>
      </c>
      <c r="O212" s="485">
        <v>0</v>
      </c>
      <c r="P212" s="485">
        <v>8</v>
      </c>
    </row>
    <row r="213" spans="1:16" ht="17" thickBot="1">
      <c r="A213" s="255" t="s">
        <v>237</v>
      </c>
      <c r="B213" s="23" t="s">
        <v>160</v>
      </c>
      <c r="C213" s="30" t="s">
        <v>134</v>
      </c>
      <c r="D213" s="24" t="s">
        <v>56</v>
      </c>
      <c r="E213" s="485">
        <v>0</v>
      </c>
      <c r="F213" s="485">
        <v>0</v>
      </c>
      <c r="G213" s="485">
        <v>0</v>
      </c>
      <c r="H213" s="485">
        <v>0</v>
      </c>
      <c r="I213" s="485">
        <v>0</v>
      </c>
      <c r="J213" s="485">
        <v>0</v>
      </c>
      <c r="K213" s="485">
        <v>0</v>
      </c>
      <c r="L213" s="485">
        <v>0</v>
      </c>
      <c r="M213" s="485">
        <v>0</v>
      </c>
      <c r="N213" s="485">
        <v>1500</v>
      </c>
      <c r="O213" s="485">
        <v>0</v>
      </c>
      <c r="P213" s="485">
        <v>0</v>
      </c>
    </row>
    <row r="214" spans="1:16" ht="17" thickBot="1">
      <c r="A214" s="255" t="s">
        <v>237</v>
      </c>
      <c r="B214" s="23" t="s">
        <v>160</v>
      </c>
      <c r="C214" s="30" t="s">
        <v>134</v>
      </c>
      <c r="D214" s="54" t="s">
        <v>89</v>
      </c>
      <c r="E214" s="485">
        <v>0</v>
      </c>
      <c r="F214" s="485">
        <v>0</v>
      </c>
      <c r="G214" s="485">
        <v>0</v>
      </c>
      <c r="H214" s="485">
        <v>0</v>
      </c>
      <c r="I214" s="485">
        <v>0</v>
      </c>
      <c r="J214" s="485">
        <v>0</v>
      </c>
      <c r="K214" s="485">
        <v>0</v>
      </c>
      <c r="L214" s="485">
        <v>0</v>
      </c>
      <c r="M214" s="485">
        <v>0</v>
      </c>
      <c r="N214" s="485">
        <v>0</v>
      </c>
      <c r="O214" s="485">
        <v>0</v>
      </c>
      <c r="P214" s="485">
        <v>0</v>
      </c>
    </row>
    <row r="215" spans="1:16" ht="17" thickBot="1">
      <c r="A215" s="255" t="s">
        <v>237</v>
      </c>
      <c r="B215" s="23" t="s">
        <v>160</v>
      </c>
      <c r="C215" s="30" t="s">
        <v>134</v>
      </c>
      <c r="D215" s="54" t="s">
        <v>124</v>
      </c>
      <c r="E215" s="485">
        <v>0</v>
      </c>
      <c r="F215" s="485">
        <v>0</v>
      </c>
      <c r="G215" s="485">
        <v>0</v>
      </c>
      <c r="H215" s="485">
        <v>0</v>
      </c>
      <c r="I215" s="485">
        <v>0</v>
      </c>
      <c r="J215" s="485">
        <v>0</v>
      </c>
      <c r="K215" s="485">
        <v>0</v>
      </c>
      <c r="L215" s="485">
        <v>0</v>
      </c>
      <c r="M215" s="485">
        <v>0</v>
      </c>
      <c r="N215" s="485">
        <v>0</v>
      </c>
      <c r="O215" s="485">
        <v>0</v>
      </c>
      <c r="P215" s="485">
        <v>0</v>
      </c>
    </row>
    <row r="216" spans="1:16" ht="17" thickBot="1">
      <c r="A216" s="255" t="s">
        <v>237</v>
      </c>
      <c r="B216" s="23" t="s">
        <v>160</v>
      </c>
      <c r="C216" s="30" t="s">
        <v>134</v>
      </c>
      <c r="D216" s="54" t="s">
        <v>127</v>
      </c>
      <c r="E216" s="485">
        <v>0</v>
      </c>
      <c r="F216" s="485">
        <v>0</v>
      </c>
      <c r="G216" s="485">
        <v>0</v>
      </c>
      <c r="H216" s="485">
        <v>0</v>
      </c>
      <c r="I216" s="485">
        <v>0</v>
      </c>
      <c r="J216" s="485">
        <v>0</v>
      </c>
      <c r="K216" s="485">
        <v>0</v>
      </c>
      <c r="L216" s="485">
        <v>0</v>
      </c>
      <c r="M216" s="485">
        <v>0</v>
      </c>
      <c r="N216" s="485">
        <v>0</v>
      </c>
      <c r="O216" s="485">
        <v>0</v>
      </c>
      <c r="P216" s="485">
        <v>0</v>
      </c>
    </row>
    <row r="217" spans="1:16" ht="17" thickBot="1">
      <c r="A217" s="255" t="s">
        <v>237</v>
      </c>
      <c r="B217" s="23" t="s">
        <v>160</v>
      </c>
      <c r="C217" s="30" t="s">
        <v>134</v>
      </c>
      <c r="D217" s="54" t="s">
        <v>128</v>
      </c>
      <c r="E217" s="485">
        <v>0</v>
      </c>
      <c r="F217" s="485">
        <v>0</v>
      </c>
      <c r="G217" s="485">
        <v>0</v>
      </c>
      <c r="H217" s="485">
        <v>0</v>
      </c>
      <c r="I217" s="485">
        <v>0</v>
      </c>
      <c r="J217" s="485">
        <v>0</v>
      </c>
      <c r="K217" s="485">
        <v>0</v>
      </c>
      <c r="L217" s="485">
        <v>0</v>
      </c>
      <c r="M217" s="485">
        <v>0</v>
      </c>
      <c r="N217" s="485">
        <v>0</v>
      </c>
      <c r="O217" s="485">
        <v>0</v>
      </c>
      <c r="P217" s="485">
        <v>0</v>
      </c>
    </row>
    <row r="218" spans="1:16" ht="17" thickBot="1">
      <c r="A218" s="255" t="s">
        <v>237</v>
      </c>
      <c r="B218" s="23" t="s">
        <v>160</v>
      </c>
      <c r="C218" s="30" t="s">
        <v>134</v>
      </c>
      <c r="D218" s="54" t="s">
        <v>146</v>
      </c>
      <c r="E218" s="485">
        <v>1</v>
      </c>
      <c r="F218" s="485">
        <v>0</v>
      </c>
      <c r="G218" s="485">
        <v>2</v>
      </c>
      <c r="H218" s="485">
        <v>0</v>
      </c>
      <c r="I218" s="485">
        <v>0</v>
      </c>
      <c r="J218" s="485">
        <v>0</v>
      </c>
      <c r="K218" s="485">
        <v>4</v>
      </c>
      <c r="L218" s="485">
        <v>1</v>
      </c>
      <c r="M218" s="485">
        <v>2</v>
      </c>
      <c r="N218" s="485">
        <v>0</v>
      </c>
      <c r="O218" s="485">
        <v>0</v>
      </c>
      <c r="P218" s="485">
        <v>0</v>
      </c>
    </row>
    <row r="219" spans="1:16" ht="17" thickBot="1">
      <c r="A219" s="255" t="s">
        <v>237</v>
      </c>
      <c r="B219" s="23" t="s">
        <v>160</v>
      </c>
      <c r="C219" s="30" t="s">
        <v>134</v>
      </c>
      <c r="D219" s="53" t="s">
        <v>164</v>
      </c>
      <c r="E219" s="485">
        <v>0</v>
      </c>
      <c r="F219" s="485">
        <v>0</v>
      </c>
      <c r="G219" s="485">
        <v>0</v>
      </c>
      <c r="H219" s="485">
        <v>0</v>
      </c>
      <c r="I219" s="485">
        <v>0</v>
      </c>
      <c r="J219" s="485">
        <v>0</v>
      </c>
      <c r="K219" s="485">
        <v>0</v>
      </c>
      <c r="L219" s="485">
        <v>0</v>
      </c>
      <c r="M219" s="485">
        <v>0</v>
      </c>
      <c r="N219" s="485">
        <v>0</v>
      </c>
      <c r="O219" s="485">
        <v>0</v>
      </c>
      <c r="P219" s="485">
        <v>0</v>
      </c>
    </row>
    <row r="220" spans="1:16" ht="17" thickBot="1">
      <c r="A220" s="255" t="s">
        <v>237</v>
      </c>
      <c r="B220" s="23" t="s">
        <v>160</v>
      </c>
      <c r="C220" s="30" t="s">
        <v>134</v>
      </c>
      <c r="D220" s="53" t="s">
        <v>165</v>
      </c>
      <c r="E220" s="485">
        <v>0</v>
      </c>
      <c r="F220" s="485">
        <v>0</v>
      </c>
      <c r="G220" s="485">
        <v>0</v>
      </c>
      <c r="H220" s="485">
        <v>0</v>
      </c>
      <c r="I220" s="485">
        <v>0</v>
      </c>
      <c r="J220" s="485">
        <v>0</v>
      </c>
      <c r="K220" s="485">
        <v>0</v>
      </c>
      <c r="L220" s="485">
        <v>0</v>
      </c>
      <c r="M220" s="485">
        <v>0</v>
      </c>
      <c r="N220" s="485">
        <v>0</v>
      </c>
      <c r="O220" s="485">
        <v>0</v>
      </c>
      <c r="P220" s="485">
        <v>525</v>
      </c>
    </row>
    <row r="221" spans="1:16" ht="17" thickBot="1">
      <c r="A221" s="255" t="s">
        <v>237</v>
      </c>
      <c r="B221" s="23" t="s">
        <v>160</v>
      </c>
      <c r="C221" s="30" t="s">
        <v>132</v>
      </c>
      <c r="D221" s="24" t="s">
        <v>113</v>
      </c>
      <c r="E221" s="485">
        <v>0</v>
      </c>
      <c r="F221" s="485">
        <v>0</v>
      </c>
      <c r="G221" s="485">
        <v>0</v>
      </c>
      <c r="H221" s="485">
        <v>0</v>
      </c>
      <c r="I221" s="485">
        <v>0</v>
      </c>
      <c r="J221" s="485">
        <v>0</v>
      </c>
      <c r="K221" s="485">
        <v>0</v>
      </c>
      <c r="L221" s="485">
        <v>0</v>
      </c>
      <c r="M221" s="485">
        <v>0</v>
      </c>
      <c r="N221" s="485">
        <v>0</v>
      </c>
      <c r="O221" s="485">
        <v>0</v>
      </c>
      <c r="P221" s="485">
        <v>3806</v>
      </c>
    </row>
    <row r="222" spans="1:16" ht="17" thickBot="1">
      <c r="A222" s="255" t="s">
        <v>237</v>
      </c>
      <c r="B222" s="23" t="s">
        <v>181</v>
      </c>
      <c r="C222" s="30" t="s">
        <v>129</v>
      </c>
      <c r="D222" s="24" t="s">
        <v>29</v>
      </c>
      <c r="E222" s="485">
        <v>4</v>
      </c>
      <c r="F222" s="485">
        <v>2</v>
      </c>
      <c r="G222" s="485">
        <v>248</v>
      </c>
      <c r="H222" s="485">
        <v>136</v>
      </c>
      <c r="I222" s="485">
        <v>280</v>
      </c>
      <c r="J222" s="485">
        <v>2</v>
      </c>
      <c r="K222" s="485">
        <v>169</v>
      </c>
      <c r="L222" s="485">
        <v>2</v>
      </c>
      <c r="M222" s="485">
        <v>3</v>
      </c>
      <c r="N222" s="485">
        <v>0</v>
      </c>
      <c r="O222" s="485">
        <v>13</v>
      </c>
      <c r="P222" s="485">
        <v>0</v>
      </c>
    </row>
    <row r="223" spans="1:16" ht="17" thickBot="1">
      <c r="A223" s="255" t="s">
        <v>237</v>
      </c>
      <c r="B223" s="23" t="s">
        <v>181</v>
      </c>
      <c r="C223" s="30" t="s">
        <v>129</v>
      </c>
      <c r="D223" s="24" t="s">
        <v>33</v>
      </c>
      <c r="E223" s="485">
        <v>4</v>
      </c>
      <c r="F223" s="485">
        <v>1</v>
      </c>
      <c r="G223" s="485">
        <v>6</v>
      </c>
      <c r="H223" s="485">
        <v>28</v>
      </c>
      <c r="I223" s="485">
        <v>7</v>
      </c>
      <c r="J223" s="485">
        <v>2</v>
      </c>
      <c r="K223" s="485">
        <v>6</v>
      </c>
      <c r="L223" s="485">
        <v>19</v>
      </c>
      <c r="M223" s="485">
        <v>2</v>
      </c>
      <c r="N223" s="485">
        <v>2</v>
      </c>
      <c r="O223" s="485">
        <v>13</v>
      </c>
      <c r="P223" s="485">
        <v>11</v>
      </c>
    </row>
    <row r="224" spans="1:16" ht="17" thickBot="1">
      <c r="A224" s="255" t="s">
        <v>237</v>
      </c>
      <c r="B224" s="23" t="s">
        <v>181</v>
      </c>
      <c r="C224" s="30" t="s">
        <v>129</v>
      </c>
      <c r="D224" s="24" t="s">
        <v>56</v>
      </c>
      <c r="E224" s="485">
        <v>0</v>
      </c>
      <c r="F224" s="485">
        <v>0</v>
      </c>
      <c r="G224" s="485">
        <v>0</v>
      </c>
      <c r="H224" s="485">
        <v>0</v>
      </c>
      <c r="I224" s="485">
        <v>30</v>
      </c>
      <c r="J224" s="485">
        <v>0</v>
      </c>
      <c r="K224" s="485">
        <v>0</v>
      </c>
      <c r="L224" s="485">
        <v>0</v>
      </c>
      <c r="M224" s="485">
        <v>0</v>
      </c>
      <c r="N224" s="485">
        <v>0</v>
      </c>
      <c r="O224" s="485">
        <v>0</v>
      </c>
      <c r="P224" s="485">
        <v>0</v>
      </c>
    </row>
    <row r="225" spans="1:16" ht="17" thickBot="1">
      <c r="A225" s="255" t="s">
        <v>237</v>
      </c>
      <c r="B225" s="23" t="s">
        <v>181</v>
      </c>
      <c r="C225" s="30" t="s">
        <v>129</v>
      </c>
      <c r="D225" s="54" t="s">
        <v>30</v>
      </c>
      <c r="E225" s="485">
        <v>1</v>
      </c>
      <c r="F225" s="485">
        <v>1</v>
      </c>
      <c r="G225" s="485">
        <v>2</v>
      </c>
      <c r="H225" s="485">
        <v>0</v>
      </c>
      <c r="I225" s="485">
        <v>1</v>
      </c>
      <c r="J225" s="485">
        <v>0</v>
      </c>
      <c r="K225" s="485">
        <v>1</v>
      </c>
      <c r="L225" s="485">
        <v>0</v>
      </c>
      <c r="M225" s="485">
        <v>1</v>
      </c>
      <c r="N225" s="485">
        <v>1</v>
      </c>
      <c r="O225" s="485">
        <v>6</v>
      </c>
      <c r="P225" s="485">
        <v>1</v>
      </c>
    </row>
    <row r="226" spans="1:16" ht="17" thickBot="1">
      <c r="A226" s="255" t="s">
        <v>237</v>
      </c>
      <c r="B226" s="23" t="s">
        <v>181</v>
      </c>
      <c r="C226" s="30" t="s">
        <v>129</v>
      </c>
      <c r="D226" s="53" t="s">
        <v>146</v>
      </c>
      <c r="E226" s="485">
        <v>0</v>
      </c>
      <c r="F226" s="485">
        <v>0</v>
      </c>
      <c r="G226" s="485">
        <v>0</v>
      </c>
      <c r="H226" s="485">
        <v>1</v>
      </c>
      <c r="I226" s="485">
        <v>0</v>
      </c>
      <c r="J226" s="485">
        <v>0</v>
      </c>
      <c r="K226" s="485">
        <v>1</v>
      </c>
      <c r="L226" s="485">
        <v>1</v>
      </c>
      <c r="M226" s="485">
        <v>1</v>
      </c>
      <c r="N226" s="485">
        <v>0</v>
      </c>
      <c r="O226" s="485">
        <v>0</v>
      </c>
      <c r="P226" s="485">
        <v>1</v>
      </c>
    </row>
    <row r="227" spans="1:16" ht="17" thickBot="1">
      <c r="A227" s="255" t="s">
        <v>237</v>
      </c>
      <c r="B227" s="23" t="s">
        <v>181</v>
      </c>
      <c r="C227" s="30" t="s">
        <v>129</v>
      </c>
      <c r="D227" s="53" t="s">
        <v>145</v>
      </c>
      <c r="E227" s="485">
        <v>4</v>
      </c>
      <c r="F227" s="485">
        <v>0</v>
      </c>
      <c r="G227" s="485">
        <v>0</v>
      </c>
      <c r="H227" s="485">
        <v>0</v>
      </c>
      <c r="I227" s="485">
        <v>102</v>
      </c>
      <c r="J227" s="485">
        <v>22</v>
      </c>
      <c r="K227" s="485">
        <v>0</v>
      </c>
      <c r="L227" s="485">
        <v>2</v>
      </c>
      <c r="M227" s="485">
        <v>2</v>
      </c>
      <c r="N227" s="485">
        <v>0</v>
      </c>
      <c r="O227" s="485">
        <v>2</v>
      </c>
      <c r="P227" s="485">
        <v>62</v>
      </c>
    </row>
    <row r="228" spans="1:16" ht="17" thickBot="1">
      <c r="A228" s="255" t="s">
        <v>237</v>
      </c>
      <c r="B228" s="23" t="s">
        <v>181</v>
      </c>
      <c r="C228" s="30" t="s">
        <v>129</v>
      </c>
      <c r="D228" s="53" t="s">
        <v>187</v>
      </c>
      <c r="E228" s="485">
        <v>0</v>
      </c>
      <c r="F228" s="485">
        <v>0</v>
      </c>
      <c r="G228" s="485">
        <v>0</v>
      </c>
      <c r="H228" s="485">
        <v>0</v>
      </c>
      <c r="I228" s="485">
        <v>0</v>
      </c>
      <c r="J228" s="485">
        <v>0</v>
      </c>
      <c r="K228" s="485">
        <v>0</v>
      </c>
      <c r="L228" s="485">
        <v>0</v>
      </c>
      <c r="M228" s="485">
        <v>0</v>
      </c>
      <c r="N228" s="485">
        <v>0</v>
      </c>
      <c r="O228" s="485">
        <v>0</v>
      </c>
      <c r="P228" s="485">
        <v>0</v>
      </c>
    </row>
    <row r="229" spans="1:16" ht="17" thickBot="1">
      <c r="A229" s="255" t="s">
        <v>237</v>
      </c>
      <c r="B229" s="23" t="s">
        <v>181</v>
      </c>
      <c r="C229" s="30" t="s">
        <v>129</v>
      </c>
      <c r="D229" s="53" t="s">
        <v>164</v>
      </c>
      <c r="E229" s="485">
        <v>0</v>
      </c>
      <c r="F229" s="485">
        <v>0</v>
      </c>
      <c r="G229" s="485">
        <v>0</v>
      </c>
      <c r="H229" s="485">
        <v>0</v>
      </c>
      <c r="I229" s="485">
        <v>0</v>
      </c>
      <c r="J229" s="485">
        <v>0</v>
      </c>
      <c r="K229" s="485">
        <v>0</v>
      </c>
      <c r="L229" s="485">
        <v>0</v>
      </c>
      <c r="M229" s="485">
        <v>0</v>
      </c>
      <c r="N229" s="485">
        <v>0</v>
      </c>
      <c r="O229" s="485">
        <v>0</v>
      </c>
      <c r="P229" s="485">
        <v>0</v>
      </c>
    </row>
    <row r="230" spans="1:16" ht="17" thickBot="1">
      <c r="A230" s="255" t="s">
        <v>237</v>
      </c>
      <c r="B230" s="23" t="s">
        <v>181</v>
      </c>
      <c r="C230" s="30" t="s">
        <v>130</v>
      </c>
      <c r="D230" s="53" t="s">
        <v>113</v>
      </c>
      <c r="E230" s="485">
        <v>0</v>
      </c>
      <c r="F230" s="485">
        <v>0</v>
      </c>
      <c r="G230" s="485">
        <v>183</v>
      </c>
      <c r="H230" s="485">
        <v>42</v>
      </c>
      <c r="I230" s="485">
        <v>0</v>
      </c>
      <c r="J230" s="485">
        <v>13</v>
      </c>
      <c r="K230" s="485">
        <v>25</v>
      </c>
      <c r="L230" s="485">
        <v>25</v>
      </c>
      <c r="M230" s="485">
        <v>25</v>
      </c>
      <c r="N230" s="485">
        <v>50</v>
      </c>
      <c r="O230" s="485">
        <v>50</v>
      </c>
      <c r="P230" s="485">
        <v>14</v>
      </c>
    </row>
    <row r="231" spans="1:16" ht="17" thickBot="1">
      <c r="A231" s="255" t="s">
        <v>237</v>
      </c>
      <c r="B231" s="23" t="s">
        <v>181</v>
      </c>
      <c r="C231" s="30" t="s">
        <v>130</v>
      </c>
      <c r="D231" s="53" t="s">
        <v>114</v>
      </c>
      <c r="E231" s="485">
        <v>0</v>
      </c>
      <c r="F231" s="485">
        <v>0</v>
      </c>
      <c r="G231" s="485">
        <v>1</v>
      </c>
      <c r="H231" s="485">
        <v>1</v>
      </c>
      <c r="I231" s="485">
        <v>0</v>
      </c>
      <c r="J231" s="485">
        <v>1</v>
      </c>
      <c r="K231" s="485">
        <v>2</v>
      </c>
      <c r="L231" s="485">
        <v>1</v>
      </c>
      <c r="M231" s="485">
        <v>1</v>
      </c>
      <c r="N231" s="485">
        <v>0</v>
      </c>
      <c r="O231" s="485">
        <v>3</v>
      </c>
      <c r="P231" s="485">
        <v>1</v>
      </c>
    </row>
    <row r="232" spans="1:16" ht="17" thickBot="1">
      <c r="A232" s="255" t="s">
        <v>237</v>
      </c>
      <c r="B232" s="23" t="s">
        <v>181</v>
      </c>
      <c r="C232" s="30" t="s">
        <v>130</v>
      </c>
      <c r="D232" s="53" t="s">
        <v>189</v>
      </c>
      <c r="E232" s="485">
        <v>0</v>
      </c>
      <c r="F232" s="485">
        <v>0</v>
      </c>
      <c r="G232" s="485">
        <v>3</v>
      </c>
      <c r="H232" s="485">
        <v>8</v>
      </c>
      <c r="I232" s="485">
        <v>2</v>
      </c>
      <c r="J232" s="485">
        <v>0</v>
      </c>
      <c r="K232" s="485">
        <v>0</v>
      </c>
      <c r="L232" s="485">
        <v>1</v>
      </c>
      <c r="M232" s="485">
        <v>3</v>
      </c>
      <c r="N232" s="485">
        <v>2</v>
      </c>
      <c r="O232" s="485">
        <v>2</v>
      </c>
      <c r="P232" s="485">
        <v>0</v>
      </c>
    </row>
    <row r="233" spans="1:16" ht="17" thickBot="1">
      <c r="A233" s="255" t="s">
        <v>237</v>
      </c>
      <c r="B233" s="23" t="s">
        <v>181</v>
      </c>
      <c r="C233" s="30" t="s">
        <v>130</v>
      </c>
      <c r="D233" s="53" t="s">
        <v>163</v>
      </c>
      <c r="E233" s="485">
        <v>1</v>
      </c>
      <c r="F233" s="485">
        <v>0</v>
      </c>
      <c r="G233" s="485">
        <v>0</v>
      </c>
      <c r="H233" s="485">
        <v>0</v>
      </c>
      <c r="I233" s="485">
        <v>0</v>
      </c>
      <c r="J233" s="485">
        <v>0</v>
      </c>
      <c r="K233" s="485">
        <v>0</v>
      </c>
      <c r="L233" s="485">
        <v>1</v>
      </c>
      <c r="M233" s="485">
        <v>0</v>
      </c>
      <c r="N233" s="485">
        <v>3</v>
      </c>
      <c r="O233" s="485">
        <v>1</v>
      </c>
      <c r="P233" s="485">
        <v>0</v>
      </c>
    </row>
    <row r="234" spans="1:16" ht="17" thickBot="1">
      <c r="A234" s="255" t="s">
        <v>237</v>
      </c>
      <c r="B234" s="23" t="s">
        <v>181</v>
      </c>
      <c r="C234" s="30" t="s">
        <v>134</v>
      </c>
      <c r="D234" s="24" t="s">
        <v>29</v>
      </c>
      <c r="E234" s="485">
        <v>0</v>
      </c>
      <c r="F234" s="485">
        <v>0</v>
      </c>
      <c r="G234" s="485">
        <v>254</v>
      </c>
      <c r="H234" s="485">
        <v>0</v>
      </c>
      <c r="I234" s="485">
        <v>8</v>
      </c>
      <c r="J234" s="485">
        <v>0</v>
      </c>
      <c r="K234" s="485">
        <v>0</v>
      </c>
      <c r="L234" s="485">
        <v>0</v>
      </c>
      <c r="M234" s="485">
        <v>93</v>
      </c>
      <c r="N234" s="485">
        <v>0</v>
      </c>
      <c r="O234" s="485">
        <v>0</v>
      </c>
      <c r="P234" s="485">
        <v>0</v>
      </c>
    </row>
    <row r="235" spans="1:16" ht="17" thickBot="1">
      <c r="A235" s="255" t="s">
        <v>237</v>
      </c>
      <c r="B235" s="23" t="s">
        <v>181</v>
      </c>
      <c r="C235" s="30" t="s">
        <v>134</v>
      </c>
      <c r="D235" s="54" t="s">
        <v>161</v>
      </c>
      <c r="E235" s="485">
        <v>0</v>
      </c>
      <c r="F235" s="485">
        <v>0</v>
      </c>
      <c r="G235" s="485">
        <v>0</v>
      </c>
      <c r="H235" s="485">
        <v>0</v>
      </c>
      <c r="I235" s="485">
        <v>0</v>
      </c>
      <c r="J235" s="485">
        <v>0</v>
      </c>
      <c r="K235" s="485">
        <v>0</v>
      </c>
      <c r="L235" s="485">
        <v>0</v>
      </c>
      <c r="M235" s="485">
        <v>0</v>
      </c>
      <c r="N235" s="485">
        <v>0</v>
      </c>
      <c r="O235" s="485">
        <v>0</v>
      </c>
      <c r="P235" s="485">
        <v>0</v>
      </c>
    </row>
    <row r="236" spans="1:16" ht="17" thickBot="1">
      <c r="A236" s="255" t="s">
        <v>237</v>
      </c>
      <c r="B236" s="23" t="s">
        <v>181</v>
      </c>
      <c r="C236" s="30" t="s">
        <v>134</v>
      </c>
      <c r="D236" s="26" t="s">
        <v>140</v>
      </c>
      <c r="E236" s="485">
        <v>0</v>
      </c>
      <c r="F236" s="485">
        <v>0</v>
      </c>
      <c r="G236" s="485">
        <v>0</v>
      </c>
      <c r="H236" s="485">
        <v>0</v>
      </c>
      <c r="I236" s="485">
        <v>0</v>
      </c>
      <c r="J236" s="485">
        <v>0</v>
      </c>
      <c r="K236" s="485">
        <v>0</v>
      </c>
      <c r="L236" s="485">
        <v>0</v>
      </c>
      <c r="M236" s="485">
        <v>0</v>
      </c>
      <c r="N236" s="485">
        <v>0</v>
      </c>
      <c r="O236" s="485">
        <v>0</v>
      </c>
      <c r="P236" s="485">
        <v>0</v>
      </c>
    </row>
    <row r="237" spans="1:16" ht="17" thickBot="1">
      <c r="A237" s="255" t="s">
        <v>237</v>
      </c>
      <c r="B237" s="23" t="s">
        <v>181</v>
      </c>
      <c r="C237" s="30" t="s">
        <v>134</v>
      </c>
      <c r="D237" s="53" t="s">
        <v>30</v>
      </c>
      <c r="E237" s="485">
        <v>1</v>
      </c>
      <c r="F237" s="485">
        <v>36</v>
      </c>
      <c r="G237" s="485">
        <v>0</v>
      </c>
      <c r="H237" s="485">
        <v>0</v>
      </c>
      <c r="I237" s="485">
        <v>18</v>
      </c>
      <c r="J237" s="485">
        <v>0</v>
      </c>
      <c r="K237" s="485">
        <v>7</v>
      </c>
      <c r="L237" s="485">
        <v>6</v>
      </c>
      <c r="M237" s="485">
        <v>2</v>
      </c>
      <c r="N237" s="485">
        <v>0</v>
      </c>
      <c r="O237" s="485">
        <v>0</v>
      </c>
      <c r="P237" s="485">
        <v>0</v>
      </c>
    </row>
    <row r="238" spans="1:16" ht="17" thickBot="1">
      <c r="A238" s="255" t="s">
        <v>237</v>
      </c>
      <c r="B238" s="23" t="s">
        <v>181</v>
      </c>
      <c r="C238" s="30" t="s">
        <v>134</v>
      </c>
      <c r="D238" s="24" t="s">
        <v>56</v>
      </c>
      <c r="E238" s="485">
        <v>0</v>
      </c>
      <c r="F238" s="485">
        <v>0</v>
      </c>
      <c r="G238" s="485">
        <v>0</v>
      </c>
      <c r="H238" s="485">
        <v>0</v>
      </c>
      <c r="I238" s="485">
        <v>0</v>
      </c>
      <c r="J238" s="485">
        <v>0</v>
      </c>
      <c r="K238" s="485">
        <v>0</v>
      </c>
      <c r="L238" s="485">
        <v>0</v>
      </c>
      <c r="M238" s="485">
        <v>0</v>
      </c>
      <c r="N238" s="485">
        <v>0</v>
      </c>
      <c r="O238" s="485">
        <v>0</v>
      </c>
      <c r="P238" s="485">
        <v>0</v>
      </c>
    </row>
    <row r="239" spans="1:16" ht="17" thickBot="1">
      <c r="A239" s="255" t="s">
        <v>237</v>
      </c>
      <c r="B239" s="23" t="s">
        <v>181</v>
      </c>
      <c r="C239" s="30" t="s">
        <v>134</v>
      </c>
      <c r="D239" s="54" t="s">
        <v>89</v>
      </c>
      <c r="E239" s="485">
        <v>0</v>
      </c>
      <c r="F239" s="485">
        <v>0</v>
      </c>
      <c r="G239" s="485">
        <v>0</v>
      </c>
      <c r="H239" s="485">
        <v>0</v>
      </c>
      <c r="I239" s="485">
        <v>0</v>
      </c>
      <c r="J239" s="485">
        <v>0</v>
      </c>
      <c r="K239" s="485">
        <v>0</v>
      </c>
      <c r="L239" s="485">
        <v>0</v>
      </c>
      <c r="M239" s="485">
        <v>0</v>
      </c>
      <c r="N239" s="485">
        <v>0</v>
      </c>
      <c r="O239" s="485">
        <v>0</v>
      </c>
      <c r="P239" s="485">
        <v>0</v>
      </c>
    </row>
    <row r="240" spans="1:16" ht="17" thickBot="1">
      <c r="A240" s="255" t="s">
        <v>237</v>
      </c>
      <c r="B240" s="23" t="s">
        <v>181</v>
      </c>
      <c r="C240" s="30" t="s">
        <v>134</v>
      </c>
      <c r="D240" s="54" t="s">
        <v>124</v>
      </c>
      <c r="E240" s="485">
        <v>0</v>
      </c>
      <c r="F240" s="485">
        <v>0</v>
      </c>
      <c r="G240" s="485">
        <v>0</v>
      </c>
      <c r="H240" s="485">
        <v>0</v>
      </c>
      <c r="I240" s="485">
        <v>0</v>
      </c>
      <c r="J240" s="485">
        <v>0</v>
      </c>
      <c r="K240" s="485">
        <v>0</v>
      </c>
      <c r="L240" s="485">
        <v>0</v>
      </c>
      <c r="M240" s="485">
        <v>0</v>
      </c>
      <c r="N240" s="485">
        <v>0</v>
      </c>
      <c r="O240" s="485">
        <v>0</v>
      </c>
      <c r="P240" s="485">
        <v>0</v>
      </c>
    </row>
    <row r="241" spans="1:16" ht="17" thickBot="1">
      <c r="A241" s="255" t="s">
        <v>237</v>
      </c>
      <c r="B241" s="23" t="s">
        <v>181</v>
      </c>
      <c r="C241" s="30" t="s">
        <v>134</v>
      </c>
      <c r="D241" s="54" t="s">
        <v>127</v>
      </c>
      <c r="E241" s="485">
        <v>0</v>
      </c>
      <c r="F241" s="485">
        <v>0</v>
      </c>
      <c r="G241" s="485">
        <v>0</v>
      </c>
      <c r="H241" s="485">
        <v>0</v>
      </c>
      <c r="I241" s="485">
        <v>0</v>
      </c>
      <c r="J241" s="485">
        <v>0</v>
      </c>
      <c r="K241" s="485">
        <v>0</v>
      </c>
      <c r="L241" s="485">
        <v>0</v>
      </c>
      <c r="M241" s="485">
        <v>0</v>
      </c>
      <c r="N241" s="485">
        <v>0</v>
      </c>
      <c r="O241" s="485">
        <v>0</v>
      </c>
      <c r="P241" s="485">
        <v>0</v>
      </c>
    </row>
    <row r="242" spans="1:16" ht="17" thickBot="1">
      <c r="A242" s="255" t="s">
        <v>237</v>
      </c>
      <c r="B242" s="23" t="s">
        <v>181</v>
      </c>
      <c r="C242" s="30" t="s">
        <v>134</v>
      </c>
      <c r="D242" s="54" t="s">
        <v>128</v>
      </c>
      <c r="E242" s="485">
        <v>0</v>
      </c>
      <c r="F242" s="485">
        <v>0</v>
      </c>
      <c r="G242" s="485">
        <v>0</v>
      </c>
      <c r="H242" s="485">
        <v>0</v>
      </c>
      <c r="I242" s="485">
        <v>0</v>
      </c>
      <c r="J242" s="485">
        <v>0</v>
      </c>
      <c r="K242" s="485">
        <v>0</v>
      </c>
      <c r="L242" s="485">
        <v>0</v>
      </c>
      <c r="M242" s="485">
        <v>0</v>
      </c>
      <c r="N242" s="485">
        <v>0</v>
      </c>
      <c r="O242" s="485">
        <v>0</v>
      </c>
      <c r="P242" s="485">
        <v>0</v>
      </c>
    </row>
    <row r="243" spans="1:16" ht="17" thickBot="1">
      <c r="A243" s="255" t="s">
        <v>237</v>
      </c>
      <c r="B243" s="23" t="s">
        <v>181</v>
      </c>
      <c r="C243" s="30" t="s">
        <v>134</v>
      </c>
      <c r="D243" s="54" t="s">
        <v>146</v>
      </c>
      <c r="E243" s="485">
        <v>0</v>
      </c>
      <c r="F243" s="485">
        <v>0</v>
      </c>
      <c r="G243" s="485">
        <v>0</v>
      </c>
      <c r="H243" s="485">
        <v>1</v>
      </c>
      <c r="I243" s="485">
        <v>0</v>
      </c>
      <c r="J243" s="485">
        <v>0</v>
      </c>
      <c r="K243" s="485">
        <v>0</v>
      </c>
      <c r="L243" s="485">
        <v>0</v>
      </c>
      <c r="M243" s="485">
        <v>2</v>
      </c>
      <c r="N243" s="485">
        <v>1</v>
      </c>
      <c r="O243" s="485">
        <v>0</v>
      </c>
      <c r="P243" s="485">
        <v>0</v>
      </c>
    </row>
    <row r="244" spans="1:16" ht="17" thickBot="1">
      <c r="A244" s="255" t="s">
        <v>237</v>
      </c>
      <c r="B244" s="23" t="s">
        <v>181</v>
      </c>
      <c r="C244" s="30" t="s">
        <v>134</v>
      </c>
      <c r="D244" s="53" t="s">
        <v>164</v>
      </c>
      <c r="E244" s="485">
        <v>0</v>
      </c>
      <c r="F244" s="485">
        <v>0</v>
      </c>
      <c r="G244" s="485">
        <v>0</v>
      </c>
      <c r="H244" s="485">
        <v>0</v>
      </c>
      <c r="I244" s="485">
        <v>0</v>
      </c>
      <c r="J244" s="485">
        <v>0</v>
      </c>
      <c r="K244" s="485">
        <v>0</v>
      </c>
      <c r="L244" s="485">
        <v>0</v>
      </c>
      <c r="M244" s="485">
        <v>0</v>
      </c>
      <c r="N244" s="485">
        <v>0</v>
      </c>
      <c r="O244" s="485">
        <v>0</v>
      </c>
      <c r="P244" s="485">
        <v>0</v>
      </c>
    </row>
    <row r="245" spans="1:16" ht="17" thickBot="1">
      <c r="A245" s="255" t="s">
        <v>237</v>
      </c>
      <c r="B245" s="23" t="s">
        <v>181</v>
      </c>
      <c r="C245" s="30" t="s">
        <v>134</v>
      </c>
      <c r="D245" s="53" t="s">
        <v>165</v>
      </c>
      <c r="E245" s="485">
        <v>0</v>
      </c>
      <c r="F245" s="485">
        <v>0</v>
      </c>
      <c r="G245" s="485">
        <v>0</v>
      </c>
      <c r="H245" s="485">
        <v>0</v>
      </c>
      <c r="I245" s="485">
        <v>0</v>
      </c>
      <c r="J245" s="485">
        <v>0</v>
      </c>
      <c r="K245" s="485">
        <v>0</v>
      </c>
      <c r="L245" s="485">
        <v>0</v>
      </c>
      <c r="M245" s="485">
        <v>0</v>
      </c>
      <c r="N245" s="485">
        <v>0</v>
      </c>
      <c r="O245" s="485">
        <v>0</v>
      </c>
      <c r="P245" s="485">
        <v>0</v>
      </c>
    </row>
    <row r="246" spans="1:16" ht="17" thickBot="1">
      <c r="A246" s="255" t="s">
        <v>237</v>
      </c>
      <c r="B246" s="23" t="s">
        <v>181</v>
      </c>
      <c r="C246" s="30" t="s">
        <v>132</v>
      </c>
      <c r="D246" s="24" t="s">
        <v>113</v>
      </c>
      <c r="E246" s="485">
        <v>0</v>
      </c>
      <c r="F246" s="485">
        <v>0</v>
      </c>
      <c r="G246" s="485">
        <v>0</v>
      </c>
      <c r="H246" s="485">
        <v>0</v>
      </c>
      <c r="I246" s="485">
        <v>0</v>
      </c>
      <c r="J246" s="485">
        <v>0</v>
      </c>
      <c r="K246" s="485">
        <v>0</v>
      </c>
      <c r="L246" s="485">
        <v>0</v>
      </c>
      <c r="M246" s="485">
        <v>0</v>
      </c>
      <c r="N246" s="485">
        <v>0</v>
      </c>
      <c r="O246" s="485">
        <v>0</v>
      </c>
      <c r="P246" s="485">
        <v>0</v>
      </c>
    </row>
    <row r="247" spans="1:16" ht="17" thickBot="1">
      <c r="A247" s="255" t="s">
        <v>237</v>
      </c>
      <c r="B247" s="23" t="s">
        <v>193</v>
      </c>
      <c r="C247" s="30" t="s">
        <v>129</v>
      </c>
      <c r="D247" s="24" t="s">
        <v>29</v>
      </c>
      <c r="E247" s="485">
        <v>48</v>
      </c>
      <c r="F247" s="485">
        <v>23</v>
      </c>
      <c r="G247" s="485">
        <v>47</v>
      </c>
      <c r="H247" s="485">
        <v>37</v>
      </c>
      <c r="I247" s="485">
        <v>2</v>
      </c>
      <c r="J247" s="485">
        <v>3</v>
      </c>
      <c r="K247" s="485">
        <v>0</v>
      </c>
      <c r="L247" s="485">
        <v>1</v>
      </c>
      <c r="M247" s="485">
        <v>3</v>
      </c>
      <c r="N247" s="485">
        <v>3</v>
      </c>
      <c r="O247" s="485">
        <v>4</v>
      </c>
      <c r="P247" s="485">
        <v>0</v>
      </c>
    </row>
    <row r="248" spans="1:16" ht="17" thickBot="1">
      <c r="A248" s="255" t="s">
        <v>237</v>
      </c>
      <c r="B248" s="23" t="s">
        <v>193</v>
      </c>
      <c r="C248" s="30" t="s">
        <v>129</v>
      </c>
      <c r="D248" s="24" t="s">
        <v>33</v>
      </c>
      <c r="E248" s="485">
        <v>4</v>
      </c>
      <c r="F248" s="485">
        <v>10</v>
      </c>
      <c r="G248" s="485">
        <v>7</v>
      </c>
      <c r="H248" s="485">
        <v>7</v>
      </c>
      <c r="I248" s="485">
        <v>21</v>
      </c>
      <c r="J248" s="485">
        <v>7</v>
      </c>
      <c r="K248" s="485">
        <v>0</v>
      </c>
      <c r="L248" s="485">
        <v>12</v>
      </c>
      <c r="M248" s="485">
        <v>33</v>
      </c>
      <c r="N248" s="485">
        <v>0</v>
      </c>
      <c r="O248" s="485">
        <v>0</v>
      </c>
      <c r="P248" s="485">
        <v>32</v>
      </c>
    </row>
    <row r="249" spans="1:16" ht="17" thickBot="1">
      <c r="A249" s="255" t="s">
        <v>237</v>
      </c>
      <c r="B249" s="23" t="s">
        <v>193</v>
      </c>
      <c r="C249" s="30" t="s">
        <v>129</v>
      </c>
      <c r="D249" s="24" t="s">
        <v>56</v>
      </c>
      <c r="E249" s="485">
        <v>0</v>
      </c>
      <c r="F249" s="485">
        <v>0</v>
      </c>
      <c r="G249" s="485">
        <v>0</v>
      </c>
      <c r="H249" s="485">
        <v>0</v>
      </c>
      <c r="I249" s="485">
        <v>0</v>
      </c>
      <c r="J249" s="485">
        <v>0</v>
      </c>
      <c r="K249" s="485">
        <v>0</v>
      </c>
      <c r="L249" s="485">
        <v>0</v>
      </c>
      <c r="M249" s="485">
        <v>0</v>
      </c>
      <c r="N249" s="485">
        <v>0</v>
      </c>
      <c r="O249" s="485">
        <v>0</v>
      </c>
      <c r="P249" s="485">
        <v>0</v>
      </c>
    </row>
    <row r="250" spans="1:16" ht="17" thickBot="1">
      <c r="A250" s="255" t="s">
        <v>237</v>
      </c>
      <c r="B250" s="23" t="s">
        <v>193</v>
      </c>
      <c r="C250" s="30" t="s">
        <v>129</v>
      </c>
      <c r="D250" s="54" t="s">
        <v>30</v>
      </c>
      <c r="E250" s="485">
        <v>7</v>
      </c>
      <c r="F250" s="485">
        <v>0</v>
      </c>
      <c r="G250" s="485">
        <v>0</v>
      </c>
      <c r="H250" s="485">
        <v>0</v>
      </c>
      <c r="I250" s="485">
        <v>2</v>
      </c>
      <c r="J250" s="485">
        <v>0</v>
      </c>
      <c r="K250" s="485">
        <v>1</v>
      </c>
      <c r="L250" s="485">
        <v>1</v>
      </c>
      <c r="M250" s="485">
        <v>0</v>
      </c>
      <c r="N250" s="485">
        <v>0</v>
      </c>
      <c r="O250" s="485">
        <v>0</v>
      </c>
      <c r="P250" s="485">
        <v>10</v>
      </c>
    </row>
    <row r="251" spans="1:16" ht="17" thickBot="1">
      <c r="A251" s="255" t="s">
        <v>237</v>
      </c>
      <c r="B251" s="23" t="s">
        <v>193</v>
      </c>
      <c r="C251" s="30" t="s">
        <v>129</v>
      </c>
      <c r="D251" s="53" t="s">
        <v>146</v>
      </c>
      <c r="E251" s="485">
        <v>0</v>
      </c>
      <c r="F251" s="485">
        <v>0</v>
      </c>
      <c r="G251" s="485">
        <v>0</v>
      </c>
      <c r="H251" s="485">
        <v>0</v>
      </c>
      <c r="I251" s="485">
        <v>0</v>
      </c>
      <c r="J251" s="485">
        <v>0</v>
      </c>
      <c r="K251" s="485">
        <v>0</v>
      </c>
      <c r="L251" s="485">
        <v>0</v>
      </c>
      <c r="M251" s="485">
        <v>0</v>
      </c>
      <c r="N251" s="485">
        <v>0</v>
      </c>
      <c r="O251" s="485">
        <v>0</v>
      </c>
      <c r="P251" s="485">
        <v>0</v>
      </c>
    </row>
    <row r="252" spans="1:16" ht="17" thickBot="1">
      <c r="A252" s="255" t="s">
        <v>237</v>
      </c>
      <c r="B252" s="23" t="s">
        <v>193</v>
      </c>
      <c r="C252" s="30" t="s">
        <v>129</v>
      </c>
      <c r="D252" s="53" t="s">
        <v>145</v>
      </c>
      <c r="E252" s="485">
        <v>0</v>
      </c>
      <c r="F252" s="485">
        <v>0</v>
      </c>
      <c r="G252" s="485">
        <v>0</v>
      </c>
      <c r="H252" s="485">
        <v>0</v>
      </c>
      <c r="I252" s="485">
        <v>4</v>
      </c>
      <c r="J252" s="485">
        <v>0</v>
      </c>
      <c r="K252" s="485">
        <v>0</v>
      </c>
      <c r="L252" s="485">
        <v>0</v>
      </c>
      <c r="M252" s="485">
        <v>0</v>
      </c>
      <c r="N252" s="485">
        <v>0</v>
      </c>
      <c r="O252" s="485">
        <v>0</v>
      </c>
      <c r="P252" s="485">
        <v>0</v>
      </c>
    </row>
    <row r="253" spans="1:16" ht="17" thickBot="1">
      <c r="A253" s="255" t="s">
        <v>237</v>
      </c>
      <c r="B253" s="23" t="s">
        <v>193</v>
      </c>
      <c r="C253" s="30" t="s">
        <v>129</v>
      </c>
      <c r="D253" s="53" t="s">
        <v>187</v>
      </c>
      <c r="E253" s="485">
        <v>0</v>
      </c>
      <c r="F253" s="485">
        <v>0</v>
      </c>
      <c r="G253" s="485">
        <v>0</v>
      </c>
      <c r="H253" s="485">
        <v>0</v>
      </c>
      <c r="I253" s="485">
        <v>0</v>
      </c>
      <c r="J253" s="485">
        <v>0</v>
      </c>
      <c r="K253" s="485">
        <v>0</v>
      </c>
      <c r="L253" s="485">
        <v>0</v>
      </c>
      <c r="M253" s="485">
        <v>0</v>
      </c>
      <c r="N253" s="485">
        <v>0</v>
      </c>
      <c r="O253" s="485">
        <v>0</v>
      </c>
      <c r="P253" s="485">
        <v>0</v>
      </c>
    </row>
    <row r="254" spans="1:16" ht="17" thickBot="1">
      <c r="A254" s="255" t="s">
        <v>237</v>
      </c>
      <c r="B254" s="23" t="s">
        <v>193</v>
      </c>
      <c r="C254" s="30" t="s">
        <v>129</v>
      </c>
      <c r="D254" s="53" t="s">
        <v>164</v>
      </c>
      <c r="E254" s="485">
        <v>0</v>
      </c>
      <c r="F254" s="485">
        <v>0</v>
      </c>
      <c r="G254" s="485">
        <v>0</v>
      </c>
      <c r="H254" s="485">
        <v>0</v>
      </c>
      <c r="I254" s="485">
        <v>0</v>
      </c>
      <c r="J254" s="485">
        <v>0</v>
      </c>
      <c r="K254" s="485">
        <v>0</v>
      </c>
      <c r="L254" s="485">
        <v>0</v>
      </c>
      <c r="M254" s="485">
        <v>0</v>
      </c>
      <c r="N254" s="485">
        <v>0</v>
      </c>
      <c r="O254" s="485">
        <v>0</v>
      </c>
      <c r="P254" s="485">
        <v>0</v>
      </c>
    </row>
    <row r="255" spans="1:16" ht="17" thickBot="1">
      <c r="A255" s="255" t="s">
        <v>237</v>
      </c>
      <c r="B255" s="23" t="s">
        <v>193</v>
      </c>
      <c r="C255" s="30" t="s">
        <v>130</v>
      </c>
      <c r="D255" s="53" t="s">
        <v>113</v>
      </c>
      <c r="E255" s="485">
        <v>50</v>
      </c>
      <c r="F255" s="485">
        <v>50</v>
      </c>
      <c r="G255" s="485">
        <v>0</v>
      </c>
      <c r="H255" s="485">
        <v>0</v>
      </c>
      <c r="I255" s="485">
        <v>0</v>
      </c>
      <c r="J255" s="485">
        <v>0</v>
      </c>
      <c r="K255" s="485">
        <v>25</v>
      </c>
      <c r="L255" s="485">
        <v>0</v>
      </c>
      <c r="M255" s="485">
        <v>0</v>
      </c>
      <c r="N255" s="485">
        <v>112</v>
      </c>
      <c r="O255" s="485">
        <v>0</v>
      </c>
      <c r="P255" s="485">
        <v>0</v>
      </c>
    </row>
    <row r="256" spans="1:16" ht="17" thickBot="1">
      <c r="A256" s="255" t="s">
        <v>237</v>
      </c>
      <c r="B256" s="23" t="s">
        <v>193</v>
      </c>
      <c r="C256" s="30" t="s">
        <v>130</v>
      </c>
      <c r="D256" s="53" t="s">
        <v>114</v>
      </c>
      <c r="E256" s="485">
        <v>5</v>
      </c>
      <c r="F256" s="485">
        <v>2</v>
      </c>
      <c r="G256" s="485">
        <v>2</v>
      </c>
      <c r="H256" s="485">
        <v>3</v>
      </c>
      <c r="I256" s="485">
        <v>0</v>
      </c>
      <c r="J256" s="485">
        <v>1</v>
      </c>
      <c r="K256" s="485">
        <v>0</v>
      </c>
      <c r="L256" s="485">
        <v>1</v>
      </c>
      <c r="M256" s="485">
        <v>0</v>
      </c>
      <c r="N256" s="485">
        <v>0</v>
      </c>
      <c r="O256" s="485">
        <v>0</v>
      </c>
      <c r="P256" s="485">
        <v>0</v>
      </c>
    </row>
    <row r="257" spans="1:16" ht="17" thickBot="1">
      <c r="A257" s="255" t="s">
        <v>237</v>
      </c>
      <c r="B257" s="23" t="s">
        <v>193</v>
      </c>
      <c r="C257" s="30" t="s">
        <v>130</v>
      </c>
      <c r="D257" s="53" t="s">
        <v>189</v>
      </c>
      <c r="E257" s="485">
        <v>2</v>
      </c>
      <c r="F257" s="485">
        <v>1</v>
      </c>
      <c r="G257" s="485">
        <v>1</v>
      </c>
      <c r="H257" s="485">
        <v>1</v>
      </c>
      <c r="I257" s="485">
        <v>0</v>
      </c>
      <c r="J257" s="485">
        <v>0</v>
      </c>
      <c r="K257" s="485">
        <v>1</v>
      </c>
      <c r="L257" s="485">
        <v>2</v>
      </c>
      <c r="M257" s="485">
        <v>1</v>
      </c>
      <c r="N257" s="485">
        <v>0</v>
      </c>
      <c r="O257" s="485">
        <v>2</v>
      </c>
      <c r="P257" s="485">
        <v>1</v>
      </c>
    </row>
    <row r="258" spans="1:16" ht="17" thickBot="1">
      <c r="A258" s="255" t="s">
        <v>237</v>
      </c>
      <c r="B258" s="23" t="s">
        <v>193</v>
      </c>
      <c r="C258" s="30" t="s">
        <v>130</v>
      </c>
      <c r="D258" s="53" t="s">
        <v>163</v>
      </c>
      <c r="E258" s="485">
        <v>0</v>
      </c>
      <c r="F258" s="485">
        <v>0</v>
      </c>
      <c r="G258" s="485">
        <v>3</v>
      </c>
      <c r="H258" s="485">
        <v>0</v>
      </c>
      <c r="I258" s="485">
        <v>1</v>
      </c>
      <c r="J258" s="485">
        <v>1</v>
      </c>
      <c r="K258" s="485">
        <v>1</v>
      </c>
      <c r="L258" s="485">
        <v>0</v>
      </c>
      <c r="M258" s="485">
        <v>3</v>
      </c>
      <c r="N258" s="485">
        <v>2</v>
      </c>
      <c r="O258" s="485">
        <v>9</v>
      </c>
      <c r="P258" s="485">
        <v>0</v>
      </c>
    </row>
    <row r="259" spans="1:16" ht="17" thickBot="1">
      <c r="A259" s="255" t="s">
        <v>237</v>
      </c>
      <c r="B259" s="23" t="s">
        <v>193</v>
      </c>
      <c r="C259" s="30" t="s">
        <v>134</v>
      </c>
      <c r="D259" s="24" t="s">
        <v>29</v>
      </c>
      <c r="E259" s="485">
        <v>0</v>
      </c>
      <c r="F259" s="485">
        <v>0</v>
      </c>
      <c r="G259" s="485">
        <v>0</v>
      </c>
      <c r="H259" s="485">
        <v>187</v>
      </c>
      <c r="I259" s="485">
        <v>0</v>
      </c>
      <c r="J259" s="485">
        <v>0</v>
      </c>
      <c r="K259" s="485">
        <v>0</v>
      </c>
      <c r="L259" s="485">
        <v>0</v>
      </c>
      <c r="M259" s="485">
        <v>0</v>
      </c>
      <c r="N259" s="485">
        <v>0</v>
      </c>
      <c r="O259" s="485">
        <v>106</v>
      </c>
      <c r="P259" s="485">
        <v>0</v>
      </c>
    </row>
    <row r="260" spans="1:16" ht="17" thickBot="1">
      <c r="A260" s="255" t="s">
        <v>237</v>
      </c>
      <c r="B260" s="23" t="s">
        <v>193</v>
      </c>
      <c r="C260" s="30" t="s">
        <v>134</v>
      </c>
      <c r="D260" s="54" t="s">
        <v>161</v>
      </c>
      <c r="E260" s="485">
        <v>0</v>
      </c>
      <c r="F260" s="485">
        <v>0</v>
      </c>
      <c r="G260" s="485">
        <v>0</v>
      </c>
      <c r="H260" s="485">
        <v>0</v>
      </c>
      <c r="I260" s="485">
        <v>0</v>
      </c>
      <c r="J260" s="485">
        <v>0</v>
      </c>
      <c r="K260" s="485">
        <v>0</v>
      </c>
      <c r="L260" s="485">
        <v>0</v>
      </c>
      <c r="M260" s="485">
        <v>0</v>
      </c>
      <c r="N260" s="485">
        <v>0</v>
      </c>
      <c r="O260" s="485">
        <v>0</v>
      </c>
      <c r="P260" s="485">
        <v>0</v>
      </c>
    </row>
    <row r="261" spans="1:16" ht="17" thickBot="1">
      <c r="A261" s="255" t="s">
        <v>237</v>
      </c>
      <c r="B261" s="23" t="s">
        <v>193</v>
      </c>
      <c r="C261" s="30" t="s">
        <v>134</v>
      </c>
      <c r="D261" s="26" t="s">
        <v>140</v>
      </c>
      <c r="E261" s="485">
        <v>0</v>
      </c>
      <c r="F261" s="485">
        <v>0</v>
      </c>
      <c r="G261" s="485">
        <v>0</v>
      </c>
      <c r="H261" s="485">
        <v>0</v>
      </c>
      <c r="I261" s="485">
        <v>0</v>
      </c>
      <c r="J261" s="485">
        <v>0</v>
      </c>
      <c r="K261" s="485">
        <v>0</v>
      </c>
      <c r="L261" s="485">
        <v>0</v>
      </c>
      <c r="M261" s="485">
        <v>0</v>
      </c>
      <c r="N261" s="485">
        <v>0</v>
      </c>
      <c r="O261" s="485">
        <v>0</v>
      </c>
      <c r="P261" s="485">
        <v>0</v>
      </c>
    </row>
    <row r="262" spans="1:16" ht="17" thickBot="1">
      <c r="A262" s="255" t="s">
        <v>237</v>
      </c>
      <c r="B262" s="23" t="s">
        <v>193</v>
      </c>
      <c r="C262" s="30" t="s">
        <v>134</v>
      </c>
      <c r="D262" s="53" t="s">
        <v>30</v>
      </c>
      <c r="E262" s="485">
        <v>0</v>
      </c>
      <c r="F262" s="485">
        <v>0</v>
      </c>
      <c r="G262" s="485">
        <v>2</v>
      </c>
      <c r="H262" s="485">
        <v>0</v>
      </c>
      <c r="I262" s="485">
        <v>0</v>
      </c>
      <c r="J262" s="485">
        <v>0</v>
      </c>
      <c r="K262" s="485">
        <v>0</v>
      </c>
      <c r="L262" s="485">
        <v>0</v>
      </c>
      <c r="M262" s="485">
        <v>0</v>
      </c>
      <c r="N262" s="485">
        <v>0</v>
      </c>
      <c r="O262" s="485">
        <v>7</v>
      </c>
      <c r="P262" s="485">
        <v>0</v>
      </c>
    </row>
    <row r="263" spans="1:16" ht="17" thickBot="1">
      <c r="A263" s="255" t="s">
        <v>237</v>
      </c>
      <c r="B263" s="23" t="s">
        <v>193</v>
      </c>
      <c r="C263" s="30" t="s">
        <v>134</v>
      </c>
      <c r="D263" s="24" t="s">
        <v>56</v>
      </c>
      <c r="E263" s="485">
        <v>0</v>
      </c>
      <c r="F263" s="485">
        <v>0</v>
      </c>
      <c r="G263" s="485">
        <v>0</v>
      </c>
      <c r="H263" s="485">
        <v>0</v>
      </c>
      <c r="I263" s="485">
        <v>0</v>
      </c>
      <c r="J263" s="485">
        <v>0</v>
      </c>
      <c r="K263" s="485">
        <v>0</v>
      </c>
      <c r="L263" s="485">
        <v>0</v>
      </c>
      <c r="M263" s="485">
        <v>0</v>
      </c>
      <c r="N263" s="485">
        <v>0</v>
      </c>
      <c r="O263" s="485">
        <v>5050</v>
      </c>
      <c r="P263" s="485">
        <v>0</v>
      </c>
    </row>
    <row r="264" spans="1:16" ht="17" thickBot="1">
      <c r="A264" s="255" t="s">
        <v>237</v>
      </c>
      <c r="B264" s="23" t="s">
        <v>193</v>
      </c>
      <c r="C264" s="30" t="s">
        <v>134</v>
      </c>
      <c r="D264" s="54" t="s">
        <v>89</v>
      </c>
      <c r="E264" s="485">
        <v>0</v>
      </c>
      <c r="F264" s="485">
        <v>0</v>
      </c>
      <c r="G264" s="485">
        <v>0</v>
      </c>
      <c r="H264" s="485">
        <v>0</v>
      </c>
      <c r="I264" s="485">
        <v>0</v>
      </c>
      <c r="J264" s="485">
        <v>0</v>
      </c>
      <c r="K264" s="485">
        <v>0</v>
      </c>
      <c r="L264" s="485">
        <v>0</v>
      </c>
      <c r="M264" s="485">
        <v>0</v>
      </c>
      <c r="N264" s="485">
        <v>0</v>
      </c>
      <c r="O264" s="485">
        <v>0</v>
      </c>
      <c r="P264" s="485">
        <v>0</v>
      </c>
    </row>
    <row r="265" spans="1:16" ht="17" thickBot="1">
      <c r="A265" s="255" t="s">
        <v>237</v>
      </c>
      <c r="B265" s="23" t="s">
        <v>193</v>
      </c>
      <c r="C265" s="30" t="s">
        <v>134</v>
      </c>
      <c r="D265" s="54" t="s">
        <v>124</v>
      </c>
      <c r="E265" s="485">
        <v>0</v>
      </c>
      <c r="F265" s="485">
        <v>0</v>
      </c>
      <c r="G265" s="485">
        <v>0</v>
      </c>
      <c r="H265" s="485">
        <v>0</v>
      </c>
      <c r="I265" s="485">
        <v>0</v>
      </c>
      <c r="J265" s="485">
        <v>0</v>
      </c>
      <c r="K265" s="485">
        <v>0</v>
      </c>
      <c r="L265" s="485">
        <v>0</v>
      </c>
      <c r="M265" s="485">
        <v>0</v>
      </c>
      <c r="N265" s="485">
        <v>0</v>
      </c>
      <c r="O265" s="485">
        <v>0</v>
      </c>
      <c r="P265" s="485">
        <v>0</v>
      </c>
    </row>
    <row r="266" spans="1:16" ht="17" thickBot="1">
      <c r="A266" s="255" t="s">
        <v>237</v>
      </c>
      <c r="B266" s="23" t="s">
        <v>193</v>
      </c>
      <c r="C266" s="30" t="s">
        <v>134</v>
      </c>
      <c r="D266" s="54" t="s">
        <v>127</v>
      </c>
      <c r="E266" s="485">
        <v>0</v>
      </c>
      <c r="F266" s="485">
        <v>0</v>
      </c>
      <c r="G266" s="485">
        <v>0</v>
      </c>
      <c r="H266" s="485">
        <v>0</v>
      </c>
      <c r="I266" s="485">
        <v>0</v>
      </c>
      <c r="J266" s="485">
        <v>0</v>
      </c>
      <c r="K266" s="485">
        <v>0</v>
      </c>
      <c r="L266" s="485">
        <v>0</v>
      </c>
      <c r="M266" s="485">
        <v>0</v>
      </c>
      <c r="N266" s="485">
        <v>0</v>
      </c>
      <c r="O266" s="485">
        <v>0</v>
      </c>
      <c r="P266" s="485">
        <v>0</v>
      </c>
    </row>
    <row r="267" spans="1:16" ht="17" thickBot="1">
      <c r="A267" s="255" t="s">
        <v>237</v>
      </c>
      <c r="B267" s="23" t="s">
        <v>193</v>
      </c>
      <c r="C267" s="30" t="s">
        <v>134</v>
      </c>
      <c r="D267" s="54" t="s">
        <v>128</v>
      </c>
      <c r="E267" s="485">
        <v>0</v>
      </c>
      <c r="F267" s="485">
        <v>0</v>
      </c>
      <c r="G267" s="485">
        <v>0</v>
      </c>
      <c r="H267" s="485">
        <v>0</v>
      </c>
      <c r="I267" s="485">
        <v>0</v>
      </c>
      <c r="J267" s="485">
        <v>0</v>
      </c>
      <c r="K267" s="485">
        <v>1</v>
      </c>
      <c r="L267" s="485">
        <v>0</v>
      </c>
      <c r="M267" s="485">
        <v>0</v>
      </c>
      <c r="N267" s="485">
        <v>0</v>
      </c>
      <c r="O267" s="485">
        <v>0</v>
      </c>
      <c r="P267" s="485">
        <v>0</v>
      </c>
    </row>
    <row r="268" spans="1:16" ht="17" thickBot="1">
      <c r="A268" s="255" t="s">
        <v>237</v>
      </c>
      <c r="B268" s="23" t="s">
        <v>193</v>
      </c>
      <c r="C268" s="30" t="s">
        <v>134</v>
      </c>
      <c r="D268" s="54" t="s">
        <v>146</v>
      </c>
      <c r="E268" s="485">
        <v>0</v>
      </c>
      <c r="F268" s="485">
        <v>0</v>
      </c>
      <c r="G268" s="485">
        <v>0</v>
      </c>
      <c r="H268" s="485">
        <v>0</v>
      </c>
      <c r="I268" s="485">
        <v>0</v>
      </c>
      <c r="J268" s="485">
        <v>0</v>
      </c>
      <c r="K268" s="485">
        <v>0</v>
      </c>
      <c r="L268" s="485">
        <v>0</v>
      </c>
      <c r="M268" s="485">
        <v>0</v>
      </c>
      <c r="N268" s="485">
        <v>0</v>
      </c>
      <c r="O268" s="485">
        <v>0</v>
      </c>
      <c r="P268" s="485">
        <v>0</v>
      </c>
    </row>
    <row r="269" spans="1:16" ht="17" thickBot="1">
      <c r="A269" s="255" t="s">
        <v>237</v>
      </c>
      <c r="B269" s="23" t="s">
        <v>193</v>
      </c>
      <c r="C269" s="30" t="s">
        <v>134</v>
      </c>
      <c r="D269" s="53" t="s">
        <v>164</v>
      </c>
      <c r="E269" s="485">
        <v>0</v>
      </c>
      <c r="F269" s="485">
        <v>0</v>
      </c>
      <c r="G269" s="485">
        <v>0</v>
      </c>
      <c r="H269" s="485">
        <v>0</v>
      </c>
      <c r="I269" s="485">
        <v>0</v>
      </c>
      <c r="J269" s="485">
        <v>0</v>
      </c>
      <c r="K269" s="485">
        <v>0</v>
      </c>
      <c r="L269" s="485">
        <v>0</v>
      </c>
      <c r="M269" s="485">
        <v>0</v>
      </c>
      <c r="N269" s="485">
        <v>0</v>
      </c>
      <c r="O269" s="485">
        <v>0</v>
      </c>
      <c r="P269" s="485">
        <v>0</v>
      </c>
    </row>
    <row r="270" spans="1:16" ht="17" thickBot="1">
      <c r="A270" s="255" t="s">
        <v>237</v>
      </c>
      <c r="B270" s="23" t="s">
        <v>193</v>
      </c>
      <c r="C270" s="30" t="s">
        <v>134</v>
      </c>
      <c r="D270" s="53" t="s">
        <v>165</v>
      </c>
      <c r="E270" s="485">
        <v>0</v>
      </c>
      <c r="F270" s="485">
        <v>0</v>
      </c>
      <c r="G270" s="485">
        <v>0</v>
      </c>
      <c r="H270" s="485">
        <v>0</v>
      </c>
      <c r="I270" s="485">
        <v>0</v>
      </c>
      <c r="J270" s="485">
        <v>0</v>
      </c>
      <c r="K270" s="485">
        <v>0</v>
      </c>
      <c r="L270" s="485">
        <v>0</v>
      </c>
      <c r="M270" s="485">
        <v>0</v>
      </c>
      <c r="N270" s="485">
        <v>731</v>
      </c>
      <c r="O270" s="485">
        <v>0</v>
      </c>
      <c r="P270" s="485">
        <v>344</v>
      </c>
    </row>
    <row r="271" spans="1:16" ht="17" thickBot="1">
      <c r="A271" s="255" t="s">
        <v>237</v>
      </c>
      <c r="B271" s="23" t="s">
        <v>193</v>
      </c>
      <c r="C271" s="30" t="s">
        <v>132</v>
      </c>
      <c r="D271" s="24" t="s">
        <v>113</v>
      </c>
      <c r="E271" s="485">
        <v>0</v>
      </c>
      <c r="F271" s="485">
        <v>0</v>
      </c>
      <c r="G271" s="485">
        <v>0</v>
      </c>
      <c r="H271" s="485">
        <v>0</v>
      </c>
      <c r="I271" s="485">
        <v>0</v>
      </c>
      <c r="J271" s="485">
        <v>0</v>
      </c>
      <c r="K271" s="485">
        <v>0</v>
      </c>
      <c r="L271" s="485">
        <v>350</v>
      </c>
      <c r="M271" s="485">
        <v>0</v>
      </c>
      <c r="N271" s="485">
        <v>2530</v>
      </c>
      <c r="O271" s="485">
        <v>0</v>
      </c>
      <c r="P271" s="485">
        <v>0</v>
      </c>
    </row>
    <row r="272" spans="1:16" ht="17" thickBot="1">
      <c r="A272" s="255" t="s">
        <v>237</v>
      </c>
      <c r="B272" s="23" t="s">
        <v>207</v>
      </c>
      <c r="C272" s="30" t="s">
        <v>129</v>
      </c>
      <c r="D272" s="24" t="s">
        <v>29</v>
      </c>
      <c r="E272" s="485">
        <v>0</v>
      </c>
      <c r="F272" s="485">
        <v>1</v>
      </c>
      <c r="G272" s="485">
        <v>0</v>
      </c>
      <c r="H272" s="485">
        <v>0</v>
      </c>
      <c r="I272" s="485">
        <v>0</v>
      </c>
      <c r="J272" s="485">
        <v>0</v>
      </c>
      <c r="K272" s="485">
        <v>0</v>
      </c>
      <c r="L272" s="485">
        <v>0</v>
      </c>
      <c r="M272" s="485">
        <v>1</v>
      </c>
      <c r="N272" s="485">
        <v>0</v>
      </c>
      <c r="O272" s="485">
        <v>0</v>
      </c>
      <c r="P272" s="485">
        <v>52</v>
      </c>
    </row>
    <row r="273" spans="1:16" ht="17" thickBot="1">
      <c r="A273" s="255" t="s">
        <v>237</v>
      </c>
      <c r="B273" s="23" t="s">
        <v>207</v>
      </c>
      <c r="C273" s="30" t="s">
        <v>129</v>
      </c>
      <c r="D273" s="24" t="s">
        <v>33</v>
      </c>
      <c r="E273" s="485">
        <v>1</v>
      </c>
      <c r="F273" s="485">
        <v>1</v>
      </c>
      <c r="G273" s="485">
        <v>25</v>
      </c>
      <c r="H273" s="485">
        <v>2</v>
      </c>
      <c r="I273" s="485">
        <v>5</v>
      </c>
      <c r="J273" s="485">
        <v>7</v>
      </c>
      <c r="K273" s="485">
        <v>5</v>
      </c>
      <c r="L273" s="485">
        <v>4</v>
      </c>
      <c r="M273" s="485">
        <v>4</v>
      </c>
      <c r="N273" s="485">
        <v>2</v>
      </c>
      <c r="O273" s="485">
        <v>41</v>
      </c>
      <c r="P273" s="485">
        <v>26</v>
      </c>
    </row>
    <row r="274" spans="1:16" ht="17" thickBot="1">
      <c r="A274" s="255" t="s">
        <v>237</v>
      </c>
      <c r="B274" s="23" t="s">
        <v>207</v>
      </c>
      <c r="C274" s="30" t="s">
        <v>129</v>
      </c>
      <c r="D274" s="24" t="s">
        <v>56</v>
      </c>
      <c r="E274" s="485">
        <v>0</v>
      </c>
      <c r="F274" s="485">
        <v>0</v>
      </c>
      <c r="G274" s="485">
        <v>0</v>
      </c>
      <c r="H274" s="485">
        <v>0</v>
      </c>
      <c r="I274" s="485">
        <v>0</v>
      </c>
      <c r="J274" s="485">
        <v>0</v>
      </c>
      <c r="K274" s="485">
        <v>0</v>
      </c>
      <c r="L274" s="485">
        <v>0</v>
      </c>
      <c r="M274" s="485">
        <v>0</v>
      </c>
      <c r="N274" s="485">
        <v>0</v>
      </c>
      <c r="O274" s="485">
        <v>0</v>
      </c>
      <c r="P274" s="485">
        <v>0</v>
      </c>
    </row>
    <row r="275" spans="1:16" ht="17" thickBot="1">
      <c r="A275" s="255" t="s">
        <v>237</v>
      </c>
      <c r="B275" s="23" t="s">
        <v>207</v>
      </c>
      <c r="C275" s="30" t="s">
        <v>129</v>
      </c>
      <c r="D275" s="54" t="s">
        <v>30</v>
      </c>
      <c r="E275" s="485">
        <v>0</v>
      </c>
      <c r="F275" s="485">
        <v>4</v>
      </c>
      <c r="G275" s="485">
        <v>8</v>
      </c>
      <c r="H275" s="485">
        <v>1</v>
      </c>
      <c r="I275" s="485">
        <v>1</v>
      </c>
      <c r="J275" s="485">
        <v>4</v>
      </c>
      <c r="K275" s="485">
        <v>2</v>
      </c>
      <c r="L275" s="485">
        <v>1</v>
      </c>
      <c r="M275" s="485">
        <v>3</v>
      </c>
      <c r="N275" s="485">
        <v>5</v>
      </c>
      <c r="O275" s="485">
        <v>3</v>
      </c>
      <c r="P275" s="485">
        <v>6</v>
      </c>
    </row>
    <row r="276" spans="1:16" ht="17" thickBot="1">
      <c r="A276" s="255" t="s">
        <v>237</v>
      </c>
      <c r="B276" s="23" t="s">
        <v>207</v>
      </c>
      <c r="C276" s="30" t="s">
        <v>129</v>
      </c>
      <c r="D276" s="53" t="s">
        <v>146</v>
      </c>
      <c r="E276" s="485">
        <v>0</v>
      </c>
      <c r="F276" s="485">
        <v>0</v>
      </c>
      <c r="G276" s="485">
        <v>0</v>
      </c>
      <c r="H276" s="485">
        <v>0</v>
      </c>
      <c r="I276" s="485">
        <v>0</v>
      </c>
      <c r="J276" s="485">
        <v>0</v>
      </c>
      <c r="K276" s="485">
        <v>0</v>
      </c>
      <c r="L276" s="485">
        <v>1</v>
      </c>
      <c r="M276" s="485">
        <v>1</v>
      </c>
      <c r="N276" s="485">
        <v>1</v>
      </c>
      <c r="O276" s="485">
        <v>0</v>
      </c>
      <c r="P276" s="485">
        <v>1</v>
      </c>
    </row>
    <row r="277" spans="1:16" ht="17" thickBot="1">
      <c r="A277" s="255" t="s">
        <v>237</v>
      </c>
      <c r="B277" s="23" t="s">
        <v>207</v>
      </c>
      <c r="C277" s="30" t="s">
        <v>129</v>
      </c>
      <c r="D277" s="53" t="s">
        <v>145</v>
      </c>
      <c r="E277" s="485">
        <v>0</v>
      </c>
      <c r="F277" s="485">
        <v>0</v>
      </c>
      <c r="G277" s="485">
        <v>0</v>
      </c>
      <c r="H277" s="485">
        <v>0</v>
      </c>
      <c r="I277" s="485">
        <v>0</v>
      </c>
      <c r="J277" s="485">
        <v>0</v>
      </c>
      <c r="K277" s="485">
        <v>0</v>
      </c>
      <c r="L277" s="485">
        <v>0</v>
      </c>
      <c r="M277" s="485">
        <v>0</v>
      </c>
      <c r="N277" s="485">
        <v>0</v>
      </c>
      <c r="O277" s="485">
        <v>0</v>
      </c>
      <c r="P277" s="485">
        <v>0</v>
      </c>
    </row>
    <row r="278" spans="1:16" ht="17" thickBot="1">
      <c r="A278" s="255" t="s">
        <v>237</v>
      </c>
      <c r="B278" s="23" t="s">
        <v>207</v>
      </c>
      <c r="C278" s="30" t="s">
        <v>129</v>
      </c>
      <c r="D278" s="53" t="s">
        <v>187</v>
      </c>
      <c r="E278" s="485">
        <v>0</v>
      </c>
      <c r="F278" s="485">
        <v>1</v>
      </c>
      <c r="G278" s="485">
        <v>0</v>
      </c>
      <c r="H278" s="485">
        <v>0</v>
      </c>
      <c r="I278" s="485">
        <v>0</v>
      </c>
      <c r="J278" s="485">
        <v>0</v>
      </c>
      <c r="K278" s="485">
        <v>0</v>
      </c>
      <c r="L278" s="485">
        <v>0</v>
      </c>
      <c r="M278" s="485">
        <v>0</v>
      </c>
      <c r="N278" s="485">
        <v>0</v>
      </c>
      <c r="O278" s="485">
        <v>0</v>
      </c>
      <c r="P278" s="485">
        <v>0</v>
      </c>
    </row>
    <row r="279" spans="1:16" ht="17" thickBot="1">
      <c r="A279" s="255" t="s">
        <v>237</v>
      </c>
      <c r="B279" s="23" t="s">
        <v>207</v>
      </c>
      <c r="C279" s="30" t="s">
        <v>129</v>
      </c>
      <c r="D279" s="53" t="s">
        <v>164</v>
      </c>
      <c r="E279" s="485">
        <v>0</v>
      </c>
      <c r="F279" s="485">
        <v>0</v>
      </c>
      <c r="G279" s="485">
        <v>0</v>
      </c>
      <c r="H279" s="485">
        <v>0</v>
      </c>
      <c r="I279" s="485">
        <v>0</v>
      </c>
      <c r="J279" s="485">
        <v>0</v>
      </c>
      <c r="K279" s="485">
        <v>0</v>
      </c>
      <c r="L279" s="485">
        <v>0</v>
      </c>
      <c r="M279" s="485">
        <v>0</v>
      </c>
      <c r="N279" s="485">
        <v>0</v>
      </c>
      <c r="O279" s="485">
        <v>0</v>
      </c>
      <c r="P279" s="485">
        <v>0</v>
      </c>
    </row>
    <row r="280" spans="1:16" ht="17" thickBot="1">
      <c r="A280" s="255" t="s">
        <v>237</v>
      </c>
      <c r="B280" s="23" t="s">
        <v>207</v>
      </c>
      <c r="C280" s="30" t="s">
        <v>130</v>
      </c>
      <c r="D280" s="53" t="s">
        <v>208</v>
      </c>
      <c r="E280" s="485">
        <v>0</v>
      </c>
      <c r="F280" s="485">
        <v>0</v>
      </c>
      <c r="G280" s="485">
        <v>0</v>
      </c>
      <c r="H280" s="485">
        <v>0</v>
      </c>
      <c r="I280" s="485">
        <v>0</v>
      </c>
      <c r="J280" s="485">
        <v>0</v>
      </c>
      <c r="K280" s="485">
        <v>0</v>
      </c>
      <c r="L280" s="485">
        <v>0</v>
      </c>
      <c r="M280" s="485">
        <v>7</v>
      </c>
      <c r="N280" s="485">
        <v>15</v>
      </c>
      <c r="O280" s="485">
        <v>23</v>
      </c>
      <c r="P280" s="485">
        <v>22</v>
      </c>
    </row>
    <row r="281" spans="1:16" ht="17" thickBot="1">
      <c r="A281" s="255" t="s">
        <v>237</v>
      </c>
      <c r="B281" s="23" t="s">
        <v>207</v>
      </c>
      <c r="C281" s="30" t="s">
        <v>130</v>
      </c>
      <c r="D281" s="53" t="s">
        <v>114</v>
      </c>
      <c r="E281" s="485">
        <v>0</v>
      </c>
      <c r="F281" s="520">
        <v>0</v>
      </c>
      <c r="G281" s="485">
        <v>2</v>
      </c>
      <c r="H281" s="485">
        <v>1</v>
      </c>
      <c r="I281" s="485">
        <v>0</v>
      </c>
      <c r="J281" s="485">
        <v>0</v>
      </c>
      <c r="K281" s="485">
        <v>1</v>
      </c>
      <c r="L281" s="485">
        <v>0</v>
      </c>
      <c r="M281" s="485">
        <v>1</v>
      </c>
      <c r="N281" s="485">
        <v>0</v>
      </c>
      <c r="O281" s="485">
        <v>0</v>
      </c>
      <c r="P281" s="485">
        <v>4</v>
      </c>
    </row>
    <row r="282" spans="1:16" ht="17" thickBot="1">
      <c r="A282" s="255" t="s">
        <v>237</v>
      </c>
      <c r="B282" s="23" t="s">
        <v>207</v>
      </c>
      <c r="C282" s="30" t="s">
        <v>130</v>
      </c>
      <c r="D282" s="53" t="s">
        <v>189</v>
      </c>
      <c r="E282" s="485">
        <v>0</v>
      </c>
      <c r="F282" s="485">
        <v>4</v>
      </c>
      <c r="G282" s="485">
        <v>1</v>
      </c>
      <c r="H282" s="485">
        <v>5</v>
      </c>
      <c r="I282" s="485">
        <v>2</v>
      </c>
      <c r="J282" s="485">
        <v>1</v>
      </c>
      <c r="K282" s="485">
        <v>0</v>
      </c>
      <c r="L282" s="485">
        <v>1</v>
      </c>
      <c r="M282" s="485">
        <v>6</v>
      </c>
      <c r="N282" s="485">
        <v>11</v>
      </c>
      <c r="O282" s="485">
        <v>13</v>
      </c>
      <c r="P282" s="485">
        <v>23</v>
      </c>
    </row>
    <row r="283" spans="1:16" ht="17" thickBot="1">
      <c r="A283" s="255" t="s">
        <v>237</v>
      </c>
      <c r="B283" s="23" t="s">
        <v>207</v>
      </c>
      <c r="C283" s="30" t="s">
        <v>130</v>
      </c>
      <c r="D283" s="53" t="s">
        <v>163</v>
      </c>
      <c r="E283" s="485">
        <v>1</v>
      </c>
      <c r="F283" s="485">
        <v>0</v>
      </c>
      <c r="G283" s="485">
        <v>1</v>
      </c>
      <c r="H283" s="485">
        <v>0</v>
      </c>
      <c r="I283" s="485">
        <v>0</v>
      </c>
      <c r="J283" s="485">
        <v>1</v>
      </c>
      <c r="K283" s="485">
        <v>1</v>
      </c>
      <c r="L283" s="485">
        <v>0</v>
      </c>
      <c r="M283" s="485">
        <v>1</v>
      </c>
      <c r="N283" s="485">
        <v>0</v>
      </c>
      <c r="O283" s="485">
        <v>0</v>
      </c>
      <c r="P283" s="485">
        <v>6</v>
      </c>
    </row>
    <row r="284" spans="1:16" ht="17" thickBot="1">
      <c r="A284" s="255" t="s">
        <v>237</v>
      </c>
      <c r="B284" s="23" t="s">
        <v>207</v>
      </c>
      <c r="C284" s="30" t="s">
        <v>134</v>
      </c>
      <c r="D284" s="24" t="s">
        <v>29</v>
      </c>
      <c r="E284" s="485">
        <v>0</v>
      </c>
      <c r="F284" s="485">
        <v>0</v>
      </c>
      <c r="G284" s="485">
        <v>0</v>
      </c>
      <c r="H284" s="485">
        <v>6</v>
      </c>
      <c r="I284" s="485">
        <v>0</v>
      </c>
      <c r="J284" s="485">
        <v>222</v>
      </c>
      <c r="K284" s="485">
        <v>0</v>
      </c>
      <c r="L284" s="485">
        <v>6</v>
      </c>
      <c r="M284" s="485">
        <v>0</v>
      </c>
      <c r="N284" s="485">
        <v>0</v>
      </c>
      <c r="O284" s="485">
        <v>0</v>
      </c>
      <c r="P284" s="485">
        <v>0</v>
      </c>
    </row>
    <row r="285" spans="1:16" ht="17" thickBot="1">
      <c r="A285" s="255" t="s">
        <v>237</v>
      </c>
      <c r="B285" s="23" t="s">
        <v>207</v>
      </c>
      <c r="C285" s="30" t="s">
        <v>134</v>
      </c>
      <c r="D285" s="54" t="s">
        <v>161</v>
      </c>
      <c r="E285" s="485">
        <v>0</v>
      </c>
      <c r="F285" s="485">
        <v>0</v>
      </c>
      <c r="G285" s="485">
        <v>0</v>
      </c>
      <c r="H285" s="485">
        <v>0</v>
      </c>
      <c r="I285" s="485">
        <v>0</v>
      </c>
      <c r="J285" s="485">
        <v>0</v>
      </c>
      <c r="K285" s="485">
        <v>0</v>
      </c>
      <c r="L285" s="485">
        <v>0</v>
      </c>
      <c r="M285" s="485">
        <v>0</v>
      </c>
      <c r="N285" s="485">
        <v>0</v>
      </c>
      <c r="O285" s="485">
        <v>0</v>
      </c>
      <c r="P285" s="485">
        <v>0</v>
      </c>
    </row>
    <row r="286" spans="1:16" ht="17" thickBot="1">
      <c r="A286" s="255" t="s">
        <v>237</v>
      </c>
      <c r="B286" s="23" t="s">
        <v>207</v>
      </c>
      <c r="C286" s="30" t="s">
        <v>134</v>
      </c>
      <c r="D286" s="26" t="s">
        <v>140</v>
      </c>
      <c r="E286" s="485">
        <v>0</v>
      </c>
      <c r="F286" s="485">
        <v>0</v>
      </c>
      <c r="G286" s="485">
        <v>0</v>
      </c>
      <c r="H286" s="485">
        <v>0</v>
      </c>
      <c r="I286" s="485">
        <v>0</v>
      </c>
      <c r="J286" s="485">
        <v>0</v>
      </c>
      <c r="K286" s="485">
        <v>1</v>
      </c>
      <c r="L286" s="485">
        <v>0</v>
      </c>
      <c r="M286" s="485">
        <v>0</v>
      </c>
      <c r="N286" s="485">
        <v>0</v>
      </c>
      <c r="O286" s="485">
        <v>0</v>
      </c>
      <c r="P286" s="485">
        <v>0</v>
      </c>
    </row>
    <row r="287" spans="1:16" ht="17" thickBot="1">
      <c r="A287" s="255" t="s">
        <v>237</v>
      </c>
      <c r="B287" s="23" t="s">
        <v>207</v>
      </c>
      <c r="C287" s="30" t="s">
        <v>134</v>
      </c>
      <c r="D287" s="53" t="s">
        <v>30</v>
      </c>
      <c r="E287" s="485">
        <v>0</v>
      </c>
      <c r="F287" s="485">
        <v>11</v>
      </c>
      <c r="G287" s="485">
        <v>0</v>
      </c>
      <c r="H287" s="485">
        <v>0</v>
      </c>
      <c r="I287" s="485">
        <v>0</v>
      </c>
      <c r="J287" s="485">
        <v>0</v>
      </c>
      <c r="K287" s="485">
        <v>0</v>
      </c>
      <c r="L287" s="485">
        <v>0</v>
      </c>
      <c r="M287" s="485">
        <v>0</v>
      </c>
      <c r="N287" s="485">
        <v>0</v>
      </c>
      <c r="O287" s="485">
        <v>0</v>
      </c>
      <c r="P287" s="485">
        <v>12</v>
      </c>
    </row>
    <row r="288" spans="1:16" ht="17" thickBot="1">
      <c r="A288" s="255" t="s">
        <v>237</v>
      </c>
      <c r="B288" s="23" t="s">
        <v>207</v>
      </c>
      <c r="C288" s="30" t="s">
        <v>134</v>
      </c>
      <c r="D288" s="24" t="s">
        <v>56</v>
      </c>
      <c r="E288" s="485">
        <v>0</v>
      </c>
      <c r="F288" s="485">
        <v>1</v>
      </c>
      <c r="G288" s="485">
        <v>0</v>
      </c>
      <c r="H288" s="485">
        <v>0</v>
      </c>
      <c r="I288" s="485">
        <v>0</v>
      </c>
      <c r="J288" s="485">
        <v>0</v>
      </c>
      <c r="K288" s="485">
        <v>0</v>
      </c>
      <c r="L288" s="485">
        <v>0</v>
      </c>
      <c r="M288" s="485">
        <v>0</v>
      </c>
      <c r="N288" s="485">
        <v>0</v>
      </c>
      <c r="O288" s="485">
        <v>0</v>
      </c>
      <c r="P288" s="485">
        <v>0</v>
      </c>
    </row>
    <row r="289" spans="1:16" ht="17" thickBot="1">
      <c r="A289" s="255" t="s">
        <v>237</v>
      </c>
      <c r="B289" s="23" t="s">
        <v>207</v>
      </c>
      <c r="C289" s="30" t="s">
        <v>134</v>
      </c>
      <c r="D289" s="54" t="s">
        <v>89</v>
      </c>
      <c r="E289" s="485">
        <v>0</v>
      </c>
      <c r="F289" s="485">
        <v>0</v>
      </c>
      <c r="G289" s="485">
        <v>0</v>
      </c>
      <c r="H289" s="485">
        <v>0</v>
      </c>
      <c r="I289" s="485">
        <v>0</v>
      </c>
      <c r="J289" s="485">
        <v>0</v>
      </c>
      <c r="K289" s="485">
        <v>0</v>
      </c>
      <c r="L289" s="485">
        <v>0</v>
      </c>
      <c r="M289" s="485">
        <v>0</v>
      </c>
      <c r="N289" s="485">
        <v>0</v>
      </c>
      <c r="O289" s="485">
        <v>0</v>
      </c>
      <c r="P289" s="485">
        <v>0</v>
      </c>
    </row>
    <row r="290" spans="1:16" ht="17" thickBot="1">
      <c r="A290" s="255" t="s">
        <v>237</v>
      </c>
      <c r="B290" s="23" t="s">
        <v>207</v>
      </c>
      <c r="C290" s="30" t="s">
        <v>134</v>
      </c>
      <c r="D290" s="54" t="s">
        <v>124</v>
      </c>
      <c r="E290" s="485">
        <v>0</v>
      </c>
      <c r="F290" s="485">
        <v>0</v>
      </c>
      <c r="G290" s="485">
        <v>0</v>
      </c>
      <c r="H290" s="485">
        <v>0</v>
      </c>
      <c r="I290" s="485">
        <v>0</v>
      </c>
      <c r="J290" s="485">
        <v>0</v>
      </c>
      <c r="K290" s="485">
        <v>0</v>
      </c>
      <c r="L290" s="485">
        <v>0</v>
      </c>
      <c r="M290" s="485">
        <v>0</v>
      </c>
      <c r="N290" s="485">
        <v>0</v>
      </c>
      <c r="O290" s="485">
        <v>0</v>
      </c>
      <c r="P290" s="485">
        <v>0</v>
      </c>
    </row>
    <row r="291" spans="1:16" ht="17" thickBot="1">
      <c r="A291" s="255" t="s">
        <v>237</v>
      </c>
      <c r="B291" s="23" t="s">
        <v>207</v>
      </c>
      <c r="C291" s="30" t="s">
        <v>134</v>
      </c>
      <c r="D291" s="54" t="s">
        <v>127</v>
      </c>
      <c r="E291" s="485">
        <v>0</v>
      </c>
      <c r="F291" s="485">
        <v>0</v>
      </c>
      <c r="G291" s="485">
        <v>0</v>
      </c>
      <c r="H291" s="485">
        <v>0</v>
      </c>
      <c r="I291" s="485">
        <v>0</v>
      </c>
      <c r="J291" s="485">
        <v>0</v>
      </c>
      <c r="K291" s="485">
        <v>0</v>
      </c>
      <c r="L291" s="485">
        <v>0</v>
      </c>
      <c r="M291" s="485">
        <v>0</v>
      </c>
      <c r="N291" s="485">
        <v>0</v>
      </c>
      <c r="O291" s="485">
        <v>0</v>
      </c>
      <c r="P291" s="485">
        <v>0</v>
      </c>
    </row>
    <row r="292" spans="1:16" ht="17" thickBot="1">
      <c r="A292" s="255" t="s">
        <v>237</v>
      </c>
      <c r="B292" s="23" t="s">
        <v>207</v>
      </c>
      <c r="C292" s="30" t="s">
        <v>134</v>
      </c>
      <c r="D292" s="54" t="s">
        <v>128</v>
      </c>
      <c r="E292" s="485">
        <v>0</v>
      </c>
      <c r="F292" s="485">
        <v>0</v>
      </c>
      <c r="G292" s="485">
        <v>0</v>
      </c>
      <c r="H292" s="485">
        <v>0</v>
      </c>
      <c r="I292" s="485">
        <v>0</v>
      </c>
      <c r="J292" s="485">
        <v>0</v>
      </c>
      <c r="K292" s="485">
        <v>0</v>
      </c>
      <c r="L292" s="485">
        <v>0</v>
      </c>
      <c r="M292" s="485">
        <v>0</v>
      </c>
      <c r="N292" s="485">
        <v>0</v>
      </c>
      <c r="O292" s="485">
        <v>0</v>
      </c>
      <c r="P292" s="485">
        <v>0</v>
      </c>
    </row>
    <row r="293" spans="1:16" ht="17" thickBot="1">
      <c r="A293" s="255" t="s">
        <v>237</v>
      </c>
      <c r="B293" s="23" t="s">
        <v>207</v>
      </c>
      <c r="C293" s="30" t="s">
        <v>134</v>
      </c>
      <c r="D293" s="54" t="s">
        <v>146</v>
      </c>
      <c r="E293" s="485">
        <v>0</v>
      </c>
      <c r="F293" s="485">
        <v>0</v>
      </c>
      <c r="G293" s="485">
        <v>0</v>
      </c>
      <c r="H293" s="485">
        <v>0</v>
      </c>
      <c r="I293" s="485">
        <v>0</v>
      </c>
      <c r="J293" s="485">
        <v>0</v>
      </c>
      <c r="K293" s="485">
        <v>0</v>
      </c>
      <c r="L293" s="485">
        <v>0</v>
      </c>
      <c r="M293" s="485">
        <v>0</v>
      </c>
      <c r="N293" s="485">
        <v>0</v>
      </c>
      <c r="O293" s="485">
        <v>0</v>
      </c>
      <c r="P293" s="485">
        <v>0</v>
      </c>
    </row>
    <row r="294" spans="1:16" ht="17" thickBot="1">
      <c r="A294" s="255" t="s">
        <v>237</v>
      </c>
      <c r="B294" s="23" t="s">
        <v>207</v>
      </c>
      <c r="C294" s="30" t="s">
        <v>134</v>
      </c>
      <c r="D294" s="53" t="s">
        <v>164</v>
      </c>
      <c r="E294" s="485">
        <v>0</v>
      </c>
      <c r="F294" s="485">
        <v>0</v>
      </c>
      <c r="G294" s="485">
        <v>0</v>
      </c>
      <c r="H294" s="485">
        <v>0</v>
      </c>
      <c r="I294" s="485">
        <v>0</v>
      </c>
      <c r="J294" s="485">
        <v>0</v>
      </c>
      <c r="K294" s="485">
        <v>0</v>
      </c>
      <c r="L294" s="485">
        <v>0</v>
      </c>
      <c r="M294" s="485">
        <v>0</v>
      </c>
      <c r="N294" s="485">
        <v>0</v>
      </c>
      <c r="O294" s="485">
        <v>0</v>
      </c>
      <c r="P294" s="485">
        <v>0</v>
      </c>
    </row>
    <row r="295" spans="1:16" ht="17" thickBot="1">
      <c r="A295" s="255" t="s">
        <v>237</v>
      </c>
      <c r="B295" s="23" t="s">
        <v>207</v>
      </c>
      <c r="C295" s="30" t="s">
        <v>134</v>
      </c>
      <c r="D295" s="54" t="s">
        <v>165</v>
      </c>
      <c r="E295" s="485">
        <v>0</v>
      </c>
      <c r="F295" s="485">
        <v>0</v>
      </c>
      <c r="G295" s="485">
        <v>0</v>
      </c>
      <c r="H295" s="485">
        <v>0</v>
      </c>
      <c r="I295" s="485">
        <v>0</v>
      </c>
      <c r="J295" s="485">
        <v>0</v>
      </c>
      <c r="K295" s="485">
        <v>0</v>
      </c>
      <c r="L295" s="485">
        <v>0</v>
      </c>
      <c r="M295" s="485">
        <v>0</v>
      </c>
      <c r="N295" s="485">
        <v>0</v>
      </c>
      <c r="O295" s="485">
        <v>0</v>
      </c>
      <c r="P295" s="485">
        <v>0</v>
      </c>
    </row>
    <row r="296" spans="1:16" ht="17" thickBot="1">
      <c r="A296" s="255" t="s">
        <v>237</v>
      </c>
      <c r="B296" s="23" t="s">
        <v>207</v>
      </c>
      <c r="C296" s="30" t="s">
        <v>132</v>
      </c>
      <c r="D296" s="53" t="s">
        <v>133</v>
      </c>
      <c r="E296" s="485"/>
      <c r="F296" s="485"/>
      <c r="G296" s="485"/>
      <c r="H296" s="485"/>
      <c r="I296" s="485"/>
      <c r="J296" s="485"/>
      <c r="K296" s="485"/>
      <c r="L296" s="485"/>
      <c r="M296" s="485"/>
      <c r="N296" s="485"/>
      <c r="O296" s="485"/>
      <c r="P296" s="485"/>
    </row>
    <row r="297" spans="1:16" ht="17" thickBot="1">
      <c r="A297" s="255" t="s">
        <v>237</v>
      </c>
      <c r="B297" s="23" t="s">
        <v>217</v>
      </c>
      <c r="C297" s="30" t="s">
        <v>129</v>
      </c>
      <c r="D297" s="24" t="s">
        <v>29</v>
      </c>
      <c r="E297" s="485">
        <v>2</v>
      </c>
      <c r="F297" s="485">
        <v>63</v>
      </c>
      <c r="G297" s="485">
        <v>33</v>
      </c>
      <c r="H297" s="485">
        <v>4</v>
      </c>
      <c r="I297" s="485">
        <v>33</v>
      </c>
      <c r="J297" s="485">
        <v>0</v>
      </c>
      <c r="K297" s="485">
        <v>4</v>
      </c>
      <c r="L297" s="485">
        <v>7</v>
      </c>
      <c r="M297" s="485">
        <v>2</v>
      </c>
      <c r="N297" s="485">
        <v>3</v>
      </c>
      <c r="O297" s="485">
        <v>8</v>
      </c>
      <c r="P297" s="485">
        <v>1</v>
      </c>
    </row>
    <row r="298" spans="1:16" ht="17" thickBot="1">
      <c r="A298" s="255" t="s">
        <v>237</v>
      </c>
      <c r="B298" s="23" t="s">
        <v>217</v>
      </c>
      <c r="C298" s="30" t="s">
        <v>129</v>
      </c>
      <c r="D298" s="24" t="s">
        <v>33</v>
      </c>
      <c r="E298" s="485">
        <v>2</v>
      </c>
      <c r="F298" s="485">
        <v>11</v>
      </c>
      <c r="G298" s="485">
        <v>5</v>
      </c>
      <c r="H298" s="485">
        <v>2</v>
      </c>
      <c r="I298" s="485">
        <v>3</v>
      </c>
      <c r="J298" s="485">
        <v>2</v>
      </c>
      <c r="K298" s="485">
        <v>2</v>
      </c>
      <c r="L298" s="485">
        <v>7</v>
      </c>
      <c r="M298" s="485">
        <v>3</v>
      </c>
      <c r="N298" s="485">
        <v>2</v>
      </c>
      <c r="O298" s="485">
        <v>21</v>
      </c>
      <c r="P298" s="485">
        <v>3</v>
      </c>
    </row>
    <row r="299" spans="1:16" ht="17" thickBot="1">
      <c r="A299" s="255" t="s">
        <v>237</v>
      </c>
      <c r="B299" s="23" t="s">
        <v>217</v>
      </c>
      <c r="C299" s="30" t="s">
        <v>129</v>
      </c>
      <c r="D299" s="24" t="s">
        <v>56</v>
      </c>
      <c r="E299" s="485"/>
      <c r="F299" s="485"/>
      <c r="G299" s="485"/>
      <c r="H299" s="485"/>
      <c r="I299" s="485"/>
      <c r="J299" s="485"/>
      <c r="K299" s="485"/>
      <c r="L299" s="485"/>
      <c r="M299" s="485"/>
      <c r="N299" s="485"/>
      <c r="O299" s="485"/>
      <c r="P299" s="485"/>
    </row>
    <row r="300" spans="1:16" ht="17" thickBot="1">
      <c r="A300" s="255" t="s">
        <v>237</v>
      </c>
      <c r="B300" s="23" t="s">
        <v>217</v>
      </c>
      <c r="C300" s="30" t="s">
        <v>129</v>
      </c>
      <c r="D300" s="54" t="s">
        <v>30</v>
      </c>
      <c r="E300" s="485">
        <v>2</v>
      </c>
      <c r="F300" s="485">
        <v>7</v>
      </c>
      <c r="G300" s="485">
        <v>5</v>
      </c>
      <c r="H300" s="485">
        <v>5</v>
      </c>
      <c r="I300" s="485">
        <v>4</v>
      </c>
      <c r="J300" s="485">
        <v>0</v>
      </c>
      <c r="K300" s="485">
        <v>0</v>
      </c>
      <c r="L300" s="485">
        <v>2</v>
      </c>
      <c r="M300" s="485">
        <v>2</v>
      </c>
      <c r="N300" s="485">
        <v>2</v>
      </c>
      <c r="O300" s="485">
        <v>2</v>
      </c>
      <c r="P300" s="485">
        <v>5</v>
      </c>
    </row>
    <row r="301" spans="1:16" ht="17" thickBot="1">
      <c r="A301" s="255" t="s">
        <v>237</v>
      </c>
      <c r="B301" s="23" t="s">
        <v>217</v>
      </c>
      <c r="C301" s="30" t="s">
        <v>129</v>
      </c>
      <c r="D301" s="53" t="s">
        <v>146</v>
      </c>
      <c r="E301" s="485">
        <v>1</v>
      </c>
      <c r="F301" s="485">
        <v>1</v>
      </c>
      <c r="G301" s="485"/>
      <c r="H301" s="485"/>
      <c r="I301" s="485">
        <v>2</v>
      </c>
      <c r="J301" s="485">
        <v>1</v>
      </c>
      <c r="K301" s="485">
        <v>2</v>
      </c>
      <c r="L301" s="485"/>
      <c r="M301" s="485">
        <v>1</v>
      </c>
      <c r="N301" s="485">
        <v>2</v>
      </c>
      <c r="O301" s="485">
        <v>1</v>
      </c>
      <c r="P301" s="485"/>
    </row>
    <row r="302" spans="1:16" ht="17" thickBot="1">
      <c r="A302" s="255" t="s">
        <v>237</v>
      </c>
      <c r="B302" s="23" t="s">
        <v>217</v>
      </c>
      <c r="C302" s="30" t="s">
        <v>129</v>
      </c>
      <c r="D302" s="53" t="s">
        <v>145</v>
      </c>
      <c r="E302" s="485"/>
      <c r="F302" s="485"/>
      <c r="G302" s="485"/>
      <c r="H302" s="485"/>
      <c r="I302" s="485"/>
      <c r="J302" s="485"/>
      <c r="K302" s="485"/>
      <c r="L302" s="485"/>
      <c r="M302" s="485"/>
      <c r="N302" s="485"/>
      <c r="O302" s="485"/>
      <c r="P302" s="485"/>
    </row>
    <row r="303" spans="1:16" ht="17" thickBot="1">
      <c r="A303" s="255" t="s">
        <v>237</v>
      </c>
      <c r="B303" s="23" t="s">
        <v>217</v>
      </c>
      <c r="C303" s="30" t="s">
        <v>129</v>
      </c>
      <c r="D303" s="53" t="s">
        <v>187</v>
      </c>
      <c r="E303" s="485"/>
      <c r="F303" s="485"/>
      <c r="G303" s="485"/>
      <c r="H303" s="485"/>
      <c r="I303" s="485"/>
      <c r="J303" s="485"/>
      <c r="K303" s="485"/>
      <c r="L303" s="485"/>
      <c r="M303" s="485"/>
      <c r="N303" s="485"/>
      <c r="O303" s="485"/>
      <c r="P303" s="485"/>
    </row>
    <row r="304" spans="1:16" ht="17" thickBot="1">
      <c r="A304" s="255" t="s">
        <v>237</v>
      </c>
      <c r="B304" s="23" t="s">
        <v>217</v>
      </c>
      <c r="C304" s="30" t="s">
        <v>129</v>
      </c>
      <c r="D304" s="53" t="s">
        <v>164</v>
      </c>
      <c r="E304" s="485"/>
      <c r="F304" s="485"/>
      <c r="G304" s="485"/>
      <c r="H304" s="485"/>
      <c r="I304" s="485"/>
      <c r="J304" s="485"/>
      <c r="K304" s="485"/>
      <c r="L304" s="485"/>
      <c r="M304" s="485"/>
      <c r="N304" s="485"/>
      <c r="O304" s="485"/>
      <c r="P304" s="485"/>
    </row>
    <row r="305" spans="1:16" ht="17" thickBot="1">
      <c r="A305" s="255" t="s">
        <v>237</v>
      </c>
      <c r="B305" s="23" t="s">
        <v>217</v>
      </c>
      <c r="C305" s="30" t="s">
        <v>130</v>
      </c>
      <c r="D305" s="53" t="s">
        <v>208</v>
      </c>
      <c r="E305" s="485">
        <v>24</v>
      </c>
      <c r="F305" s="485">
        <v>0</v>
      </c>
      <c r="G305" s="485"/>
      <c r="H305" s="485"/>
      <c r="I305" s="485"/>
      <c r="J305" s="485"/>
      <c r="K305" s="485"/>
      <c r="L305" s="485"/>
      <c r="M305" s="485">
        <v>17</v>
      </c>
      <c r="N305" s="485"/>
      <c r="O305" s="485">
        <v>6</v>
      </c>
      <c r="P305" s="485">
        <v>15</v>
      </c>
    </row>
    <row r="306" spans="1:16" ht="17" thickBot="1">
      <c r="A306" s="255" t="s">
        <v>237</v>
      </c>
      <c r="B306" s="23" t="s">
        <v>217</v>
      </c>
      <c r="C306" s="30" t="s">
        <v>130</v>
      </c>
      <c r="D306" s="53" t="s">
        <v>114</v>
      </c>
      <c r="E306" s="485">
        <v>2</v>
      </c>
      <c r="F306" s="520">
        <v>1</v>
      </c>
      <c r="G306" s="485">
        <v>0</v>
      </c>
      <c r="H306" s="485">
        <v>0</v>
      </c>
      <c r="I306" s="485">
        <v>0</v>
      </c>
      <c r="J306" s="485">
        <v>3</v>
      </c>
      <c r="K306" s="485">
        <v>1</v>
      </c>
      <c r="L306" s="485">
        <v>1</v>
      </c>
      <c r="M306" s="485">
        <v>0</v>
      </c>
      <c r="N306" s="485">
        <v>0</v>
      </c>
      <c r="O306" s="485">
        <v>0</v>
      </c>
      <c r="P306" s="485">
        <v>0</v>
      </c>
    </row>
    <row r="307" spans="1:16" ht="17" thickBot="1">
      <c r="A307" s="255" t="s">
        <v>237</v>
      </c>
      <c r="B307" s="23" t="s">
        <v>217</v>
      </c>
      <c r="C307" s="30" t="s">
        <v>130</v>
      </c>
      <c r="D307" s="53" t="s">
        <v>189</v>
      </c>
      <c r="E307" s="485">
        <v>0</v>
      </c>
      <c r="F307" s="485">
        <v>32</v>
      </c>
      <c r="G307" s="485">
        <v>14</v>
      </c>
      <c r="H307" s="485">
        <v>9</v>
      </c>
      <c r="I307" s="485">
        <v>6</v>
      </c>
      <c r="J307" s="485">
        <v>1</v>
      </c>
      <c r="K307" s="485">
        <v>3</v>
      </c>
      <c r="L307" s="485">
        <v>7</v>
      </c>
      <c r="M307" s="485">
        <v>1</v>
      </c>
      <c r="N307" s="485">
        <v>0</v>
      </c>
      <c r="O307" s="485">
        <v>2</v>
      </c>
      <c r="P307" s="485">
        <v>3</v>
      </c>
    </row>
    <row r="308" spans="1:16" ht="17" thickBot="1">
      <c r="A308" s="255" t="s">
        <v>237</v>
      </c>
      <c r="B308" s="23" t="s">
        <v>217</v>
      </c>
      <c r="C308" s="30" t="s">
        <v>130</v>
      </c>
      <c r="D308" s="53" t="s">
        <v>163</v>
      </c>
      <c r="E308" s="485">
        <v>1</v>
      </c>
      <c r="F308" s="485">
        <v>0</v>
      </c>
      <c r="G308" s="485">
        <v>4</v>
      </c>
      <c r="H308" s="485">
        <v>0</v>
      </c>
      <c r="I308" s="485">
        <v>0</v>
      </c>
      <c r="J308" s="485">
        <v>1</v>
      </c>
      <c r="K308" s="485">
        <v>3</v>
      </c>
      <c r="L308" s="485">
        <v>3</v>
      </c>
      <c r="M308" s="485">
        <v>2</v>
      </c>
      <c r="N308" s="485">
        <v>0</v>
      </c>
      <c r="O308" s="485">
        <v>0</v>
      </c>
      <c r="P308" s="485">
        <v>0</v>
      </c>
    </row>
    <row r="309" spans="1:16" ht="17" thickBot="1">
      <c r="A309" s="255" t="s">
        <v>237</v>
      </c>
      <c r="B309" s="23" t="s">
        <v>217</v>
      </c>
      <c r="C309" s="30" t="s">
        <v>130</v>
      </c>
      <c r="D309" s="53" t="s">
        <v>227</v>
      </c>
      <c r="E309" s="485"/>
      <c r="F309" s="485"/>
      <c r="G309" s="485"/>
      <c r="H309" s="485"/>
      <c r="I309" s="485"/>
      <c r="J309" s="485"/>
      <c r="K309" s="485"/>
      <c r="L309" s="485"/>
      <c r="M309" s="485"/>
      <c r="N309" s="485"/>
      <c r="O309" s="485"/>
      <c r="P309" s="485"/>
    </row>
    <row r="310" spans="1:16" ht="17" thickBot="1">
      <c r="A310" s="255" t="s">
        <v>237</v>
      </c>
      <c r="B310" s="23" t="s">
        <v>217</v>
      </c>
      <c r="C310" s="30" t="s">
        <v>134</v>
      </c>
      <c r="D310" s="24" t="s">
        <v>29</v>
      </c>
      <c r="E310" s="485"/>
      <c r="F310" s="485"/>
      <c r="G310" s="485"/>
      <c r="H310" s="485"/>
      <c r="I310" s="485">
        <v>138</v>
      </c>
      <c r="J310" s="485">
        <v>350</v>
      </c>
      <c r="K310" s="485"/>
      <c r="L310" s="485">
        <v>274</v>
      </c>
      <c r="M310" s="485"/>
      <c r="N310" s="485"/>
      <c r="O310" s="485"/>
      <c r="P310" s="485"/>
    </row>
    <row r="311" spans="1:16" ht="17" thickBot="1">
      <c r="A311" s="255" t="s">
        <v>237</v>
      </c>
      <c r="B311" s="23" t="s">
        <v>217</v>
      </c>
      <c r="C311" s="30" t="s">
        <v>134</v>
      </c>
      <c r="D311" s="54" t="s">
        <v>161</v>
      </c>
      <c r="E311" s="485"/>
      <c r="F311" s="485"/>
      <c r="G311" s="485"/>
      <c r="H311" s="485"/>
      <c r="I311" s="485"/>
      <c r="J311" s="485"/>
      <c r="K311" s="485"/>
      <c r="L311" s="485"/>
      <c r="M311" s="485"/>
      <c r="N311" s="485"/>
      <c r="O311" s="485"/>
      <c r="P311" s="485"/>
    </row>
    <row r="312" spans="1:16" ht="17" thickBot="1">
      <c r="A312" s="255" t="s">
        <v>237</v>
      </c>
      <c r="B312" s="23" t="s">
        <v>217</v>
      </c>
      <c r="C312" s="30" t="s">
        <v>134</v>
      </c>
      <c r="D312" s="26" t="s">
        <v>140</v>
      </c>
      <c r="E312" s="485"/>
      <c r="F312" s="485"/>
      <c r="G312" s="485"/>
      <c r="H312" s="485"/>
      <c r="I312" s="485"/>
      <c r="J312" s="485"/>
      <c r="K312" s="485"/>
      <c r="L312" s="485"/>
      <c r="M312" s="485"/>
      <c r="N312" s="485"/>
      <c r="O312" s="485"/>
      <c r="P312" s="485"/>
    </row>
    <row r="313" spans="1:16" ht="17" thickBot="1">
      <c r="A313" s="255" t="s">
        <v>237</v>
      </c>
      <c r="B313" s="23" t="s">
        <v>217</v>
      </c>
      <c r="C313" s="30" t="s">
        <v>134</v>
      </c>
      <c r="D313" s="53" t="s">
        <v>30</v>
      </c>
      <c r="E313" s="485"/>
      <c r="F313" s="485"/>
      <c r="G313" s="485"/>
      <c r="H313" s="485"/>
      <c r="I313" s="485"/>
      <c r="J313" s="485">
        <v>4</v>
      </c>
      <c r="K313" s="485"/>
      <c r="L313" s="485">
        <v>1</v>
      </c>
      <c r="M313" s="485">
        <v>1</v>
      </c>
      <c r="N313" s="485"/>
      <c r="O313" s="485">
        <v>1</v>
      </c>
      <c r="P313" s="485"/>
    </row>
    <row r="314" spans="1:16" ht="17" thickBot="1">
      <c r="A314" s="255" t="s">
        <v>237</v>
      </c>
      <c r="B314" s="23" t="s">
        <v>217</v>
      </c>
      <c r="C314" s="30" t="s">
        <v>134</v>
      </c>
      <c r="D314" s="24" t="s">
        <v>56</v>
      </c>
      <c r="E314" s="485"/>
      <c r="F314" s="485"/>
      <c r="G314" s="485"/>
      <c r="H314" s="485"/>
      <c r="I314" s="485"/>
      <c r="J314" s="485"/>
      <c r="K314" s="485"/>
      <c r="L314" s="485"/>
      <c r="M314" s="485"/>
      <c r="N314" s="485"/>
      <c r="O314" s="485"/>
      <c r="P314" s="485"/>
    </row>
    <row r="315" spans="1:16" ht="17" thickBot="1">
      <c r="A315" s="255" t="s">
        <v>237</v>
      </c>
      <c r="B315" s="23" t="s">
        <v>217</v>
      </c>
      <c r="C315" s="30" t="s">
        <v>134</v>
      </c>
      <c r="D315" s="54" t="s">
        <v>89</v>
      </c>
      <c r="E315" s="485"/>
      <c r="F315" s="485"/>
      <c r="G315" s="485"/>
      <c r="H315" s="485"/>
      <c r="I315" s="485"/>
      <c r="J315" s="485"/>
      <c r="K315" s="485"/>
      <c r="L315" s="485"/>
      <c r="M315" s="485"/>
      <c r="N315" s="485"/>
      <c r="O315" s="485"/>
      <c r="P315" s="485"/>
    </row>
    <row r="316" spans="1:16" ht="17" thickBot="1">
      <c r="A316" s="255" t="s">
        <v>237</v>
      </c>
      <c r="B316" s="23" t="s">
        <v>217</v>
      </c>
      <c r="C316" s="30" t="s">
        <v>134</v>
      </c>
      <c r="D316" s="54" t="s">
        <v>124</v>
      </c>
      <c r="E316" s="485"/>
      <c r="F316" s="485"/>
      <c r="G316" s="485"/>
      <c r="H316" s="485"/>
      <c r="I316" s="485"/>
      <c r="J316" s="485"/>
      <c r="K316" s="485"/>
      <c r="L316" s="485"/>
      <c r="M316" s="485"/>
      <c r="N316" s="485"/>
      <c r="O316" s="485"/>
      <c r="P316" s="485"/>
    </row>
    <row r="317" spans="1:16" ht="17" thickBot="1">
      <c r="A317" s="255" t="s">
        <v>237</v>
      </c>
      <c r="B317" s="23" t="s">
        <v>217</v>
      </c>
      <c r="C317" s="30" t="s">
        <v>134</v>
      </c>
      <c r="D317" s="54" t="s">
        <v>127</v>
      </c>
      <c r="E317" s="485"/>
      <c r="F317" s="485"/>
      <c r="G317" s="485"/>
      <c r="H317" s="485"/>
      <c r="I317" s="485"/>
      <c r="J317" s="485"/>
      <c r="K317" s="485"/>
      <c r="L317" s="485">
        <v>1241</v>
      </c>
      <c r="M317" s="485"/>
      <c r="N317" s="485"/>
      <c r="O317" s="485"/>
      <c r="P317" s="485"/>
    </row>
    <row r="318" spans="1:16" ht="17" thickBot="1">
      <c r="A318" s="255" t="s">
        <v>237</v>
      </c>
      <c r="B318" s="23" t="s">
        <v>217</v>
      </c>
      <c r="C318" s="30" t="s">
        <v>134</v>
      </c>
      <c r="D318" s="54" t="s">
        <v>128</v>
      </c>
      <c r="E318" s="485"/>
      <c r="F318" s="485"/>
      <c r="G318" s="485"/>
      <c r="H318" s="485"/>
      <c r="I318" s="485"/>
      <c r="J318" s="485"/>
      <c r="K318" s="485"/>
      <c r="L318" s="485"/>
      <c r="M318" s="485"/>
      <c r="N318" s="485"/>
      <c r="O318" s="485"/>
      <c r="P318" s="485"/>
    </row>
    <row r="319" spans="1:16" ht="17" thickBot="1">
      <c r="A319" s="255" t="s">
        <v>237</v>
      </c>
      <c r="B319" s="23" t="s">
        <v>217</v>
      </c>
      <c r="C319" s="30" t="s">
        <v>134</v>
      </c>
      <c r="D319" s="54" t="s">
        <v>146</v>
      </c>
      <c r="E319" s="485">
        <v>2</v>
      </c>
      <c r="F319" s="485">
        <v>1</v>
      </c>
      <c r="G319" s="485"/>
      <c r="H319" s="485"/>
      <c r="I319" s="485"/>
      <c r="J319" s="485"/>
      <c r="K319" s="485">
        <v>1</v>
      </c>
      <c r="L319" s="485"/>
      <c r="M319" s="485">
        <v>1</v>
      </c>
      <c r="N319" s="485"/>
      <c r="O319" s="485"/>
      <c r="P319" s="485"/>
    </row>
    <row r="320" spans="1:16" ht="17" thickBot="1">
      <c r="A320" s="255" t="s">
        <v>237</v>
      </c>
      <c r="B320" s="23" t="s">
        <v>217</v>
      </c>
      <c r="C320" s="30" t="s">
        <v>134</v>
      </c>
      <c r="D320" s="53" t="s">
        <v>164</v>
      </c>
      <c r="E320" s="485"/>
      <c r="F320" s="485"/>
      <c r="G320" s="485"/>
      <c r="H320" s="485"/>
      <c r="I320" s="485"/>
      <c r="J320" s="485"/>
      <c r="K320" s="485"/>
      <c r="L320" s="485"/>
      <c r="M320" s="485"/>
      <c r="N320" s="485"/>
      <c r="O320" s="485"/>
      <c r="P320" s="485"/>
    </row>
    <row r="321" spans="1:16" ht="17" thickBot="1">
      <c r="A321" s="255" t="s">
        <v>237</v>
      </c>
      <c r="B321" s="23" t="s">
        <v>217</v>
      </c>
      <c r="C321" s="30" t="s">
        <v>134</v>
      </c>
      <c r="D321" s="54" t="s">
        <v>165</v>
      </c>
      <c r="E321" s="485"/>
      <c r="F321" s="485"/>
      <c r="G321" s="485"/>
      <c r="H321" s="485"/>
      <c r="I321" s="485"/>
      <c r="J321" s="485"/>
      <c r="K321" s="485"/>
      <c r="L321" s="485">
        <v>166</v>
      </c>
      <c r="M321" s="485"/>
      <c r="N321" s="485"/>
      <c r="O321" s="485"/>
      <c r="P321" s="485"/>
    </row>
    <row r="322" spans="1:16" ht="17" thickBot="1">
      <c r="A322" s="255" t="s">
        <v>237</v>
      </c>
      <c r="B322" s="23" t="s">
        <v>217</v>
      </c>
      <c r="C322" s="30" t="s">
        <v>132</v>
      </c>
      <c r="D322" s="53" t="s">
        <v>133</v>
      </c>
      <c r="E322" s="485"/>
      <c r="F322" s="485"/>
      <c r="G322" s="485"/>
      <c r="H322" s="485"/>
      <c r="I322" s="485"/>
      <c r="J322" s="485"/>
      <c r="K322" s="485"/>
      <c r="L322" s="485"/>
      <c r="M322" s="485"/>
      <c r="N322" s="485"/>
      <c r="O322" s="485"/>
      <c r="P322" s="485"/>
    </row>
    <row r="323" spans="1:16" ht="17" thickBot="1">
      <c r="A323" s="255" t="s">
        <v>239</v>
      </c>
      <c r="B323" s="23" t="s">
        <v>34</v>
      </c>
      <c r="C323" s="30" t="s">
        <v>48</v>
      </c>
      <c r="D323" s="24" t="s">
        <v>28</v>
      </c>
      <c r="E323" s="485">
        <v>0</v>
      </c>
      <c r="F323" s="485">
        <v>0</v>
      </c>
      <c r="G323" s="485">
        <v>0</v>
      </c>
      <c r="H323" s="485">
        <v>0</v>
      </c>
      <c r="I323" s="485">
        <v>0</v>
      </c>
      <c r="J323" s="485">
        <v>1</v>
      </c>
      <c r="K323" s="485">
        <v>0</v>
      </c>
      <c r="L323" s="485">
        <v>0</v>
      </c>
      <c r="M323" s="485">
        <v>2</v>
      </c>
      <c r="N323" s="485">
        <v>3</v>
      </c>
      <c r="O323" s="485">
        <v>0</v>
      </c>
      <c r="P323" s="485">
        <v>0</v>
      </c>
    </row>
    <row r="324" spans="1:16" ht="17" thickBot="1">
      <c r="A324" s="255" t="s">
        <v>239</v>
      </c>
      <c r="B324" s="23" t="s">
        <v>34</v>
      </c>
      <c r="C324" s="30" t="s">
        <v>48</v>
      </c>
      <c r="D324" s="24" t="s">
        <v>29</v>
      </c>
      <c r="E324" s="485">
        <v>0</v>
      </c>
      <c r="F324" s="485">
        <v>0</v>
      </c>
      <c r="G324" s="485">
        <v>0</v>
      </c>
      <c r="H324" s="485">
        <v>0</v>
      </c>
      <c r="I324" s="485">
        <v>0</v>
      </c>
      <c r="J324" s="485">
        <v>0</v>
      </c>
      <c r="K324" s="485">
        <v>0</v>
      </c>
      <c r="L324" s="485">
        <v>0</v>
      </c>
      <c r="M324" s="485">
        <v>0</v>
      </c>
      <c r="N324" s="485">
        <v>0</v>
      </c>
      <c r="O324" s="485">
        <v>0</v>
      </c>
      <c r="P324" s="485">
        <v>0</v>
      </c>
    </row>
    <row r="325" spans="1:16" ht="17" thickBot="1">
      <c r="A325" s="255" t="s">
        <v>239</v>
      </c>
      <c r="B325" s="23" t="s">
        <v>34</v>
      </c>
      <c r="C325" s="30" t="s">
        <v>48</v>
      </c>
      <c r="D325" s="24" t="s">
        <v>33</v>
      </c>
      <c r="E325" s="485">
        <v>5</v>
      </c>
      <c r="F325" s="485">
        <v>0</v>
      </c>
      <c r="G325" s="485">
        <v>17</v>
      </c>
      <c r="H325" s="485">
        <v>33</v>
      </c>
      <c r="I325" s="485">
        <v>15</v>
      </c>
      <c r="J325" s="485">
        <v>8</v>
      </c>
      <c r="K325" s="485">
        <v>20</v>
      </c>
      <c r="L325" s="485">
        <v>15</v>
      </c>
      <c r="M325" s="485">
        <v>12</v>
      </c>
      <c r="N325" s="485">
        <v>17</v>
      </c>
      <c r="O325" s="485">
        <v>12</v>
      </c>
      <c r="P325" s="485">
        <v>16</v>
      </c>
    </row>
    <row r="326" spans="1:16" ht="17" thickBot="1">
      <c r="A326" s="255" t="s">
        <v>239</v>
      </c>
      <c r="B326" s="23" t="s">
        <v>34</v>
      </c>
      <c r="C326" s="30" t="s">
        <v>48</v>
      </c>
      <c r="D326" s="24" t="s">
        <v>56</v>
      </c>
      <c r="E326" s="485">
        <v>0</v>
      </c>
      <c r="F326" s="485">
        <v>0</v>
      </c>
      <c r="G326" s="485">
        <v>0</v>
      </c>
      <c r="H326" s="485">
        <v>0</v>
      </c>
      <c r="I326" s="485">
        <v>0</v>
      </c>
      <c r="J326" s="485">
        <v>0</v>
      </c>
      <c r="K326" s="485">
        <v>0</v>
      </c>
      <c r="L326" s="485">
        <v>0</v>
      </c>
      <c r="M326" s="485">
        <v>0</v>
      </c>
      <c r="N326" s="485">
        <v>22</v>
      </c>
      <c r="O326" s="485">
        <v>0</v>
      </c>
      <c r="P326" s="485">
        <v>0</v>
      </c>
    </row>
    <row r="327" spans="1:16" ht="17" thickBot="1">
      <c r="A327" s="255" t="s">
        <v>239</v>
      </c>
      <c r="B327" s="23" t="s">
        <v>34</v>
      </c>
      <c r="C327" s="30" t="s">
        <v>48</v>
      </c>
      <c r="D327" s="24" t="s">
        <v>52</v>
      </c>
      <c r="E327" s="485">
        <v>0</v>
      </c>
      <c r="F327" s="485">
        <v>0</v>
      </c>
      <c r="G327" s="485">
        <v>0</v>
      </c>
      <c r="H327" s="485">
        <v>0</v>
      </c>
      <c r="I327" s="485">
        <v>0</v>
      </c>
      <c r="J327" s="485">
        <v>0</v>
      </c>
      <c r="K327" s="485">
        <v>0</v>
      </c>
      <c r="L327" s="485">
        <v>0</v>
      </c>
      <c r="M327" s="485">
        <v>0</v>
      </c>
      <c r="N327" s="485">
        <v>0</v>
      </c>
      <c r="O327" s="485">
        <v>0</v>
      </c>
      <c r="P327" s="485">
        <v>0</v>
      </c>
    </row>
    <row r="328" spans="1:16" ht="17" thickBot="1">
      <c r="A328" s="255" t="s">
        <v>239</v>
      </c>
      <c r="B328" s="23" t="s">
        <v>34</v>
      </c>
      <c r="C328" s="30" t="s">
        <v>48</v>
      </c>
      <c r="D328" s="25" t="s">
        <v>57</v>
      </c>
      <c r="E328" s="485">
        <v>0</v>
      </c>
      <c r="F328" s="485">
        <v>0</v>
      </c>
      <c r="G328" s="485">
        <v>0</v>
      </c>
      <c r="H328" s="485">
        <v>0</v>
      </c>
      <c r="I328" s="485">
        <v>0</v>
      </c>
      <c r="J328" s="485">
        <v>0</v>
      </c>
      <c r="K328" s="485">
        <v>0</v>
      </c>
      <c r="L328" s="485">
        <v>0</v>
      </c>
      <c r="M328" s="485">
        <v>0</v>
      </c>
      <c r="N328" s="485">
        <v>0</v>
      </c>
      <c r="O328" s="485">
        <v>0</v>
      </c>
      <c r="P328" s="485">
        <v>0</v>
      </c>
    </row>
    <row r="329" spans="1:16" ht="17" thickBot="1">
      <c r="A329" s="255" t="s">
        <v>239</v>
      </c>
      <c r="B329" s="23" t="s">
        <v>34</v>
      </c>
      <c r="C329" s="30" t="s">
        <v>48</v>
      </c>
      <c r="D329" s="25" t="s">
        <v>76</v>
      </c>
      <c r="E329" s="485">
        <v>0</v>
      </c>
      <c r="F329" s="485">
        <v>0</v>
      </c>
      <c r="G329" s="485">
        <v>0</v>
      </c>
      <c r="H329" s="485">
        <v>0</v>
      </c>
      <c r="I329" s="485">
        <v>0</v>
      </c>
      <c r="J329" s="485">
        <v>0</v>
      </c>
      <c r="K329" s="485">
        <v>0</v>
      </c>
      <c r="L329" s="485">
        <v>0</v>
      </c>
      <c r="M329" s="485">
        <v>0</v>
      </c>
      <c r="N329" s="485">
        <v>1</v>
      </c>
      <c r="O329" s="485">
        <v>0</v>
      </c>
      <c r="P329" s="485">
        <v>2</v>
      </c>
    </row>
    <row r="330" spans="1:16" ht="17" thickBot="1">
      <c r="A330" s="255" t="s">
        <v>239</v>
      </c>
      <c r="B330" s="23" t="s">
        <v>34</v>
      </c>
      <c r="C330" s="30" t="s">
        <v>49</v>
      </c>
      <c r="D330" s="25" t="s">
        <v>49</v>
      </c>
      <c r="E330" s="485">
        <v>0</v>
      </c>
      <c r="F330" s="485">
        <v>0</v>
      </c>
      <c r="G330" s="485">
        <v>0</v>
      </c>
      <c r="H330" s="485">
        <v>0</v>
      </c>
      <c r="I330" s="485">
        <v>0</v>
      </c>
      <c r="J330" s="485">
        <v>0</v>
      </c>
      <c r="K330" s="485">
        <v>0</v>
      </c>
      <c r="L330" s="485">
        <v>0</v>
      </c>
      <c r="M330" s="485">
        <v>0</v>
      </c>
      <c r="N330" s="485">
        <v>0</v>
      </c>
      <c r="O330" s="485">
        <v>0</v>
      </c>
      <c r="P330" s="485">
        <v>28</v>
      </c>
    </row>
    <row r="331" spans="1:16" ht="17" thickBot="1">
      <c r="A331" s="255" t="s">
        <v>239</v>
      </c>
      <c r="B331" s="23" t="s">
        <v>34</v>
      </c>
      <c r="C331" s="30" t="s">
        <v>50</v>
      </c>
      <c r="D331" s="26" t="s">
        <v>26</v>
      </c>
      <c r="E331" s="485">
        <v>0</v>
      </c>
      <c r="F331" s="485">
        <v>0</v>
      </c>
      <c r="G331" s="485">
        <v>0</v>
      </c>
      <c r="H331" s="485">
        <v>0</v>
      </c>
      <c r="I331" s="485">
        <v>0</v>
      </c>
      <c r="J331" s="485">
        <v>0</v>
      </c>
      <c r="K331" s="485">
        <v>0</v>
      </c>
      <c r="L331" s="485">
        <v>0</v>
      </c>
      <c r="M331" s="485">
        <v>0</v>
      </c>
      <c r="N331" s="485">
        <v>0</v>
      </c>
      <c r="O331" s="485">
        <v>0</v>
      </c>
      <c r="P331" s="485">
        <v>0</v>
      </c>
    </row>
    <row r="332" spans="1:16" ht="17" thickBot="1">
      <c r="A332" s="255" t="s">
        <v>239</v>
      </c>
      <c r="B332" s="23" t="s">
        <v>34</v>
      </c>
      <c r="C332" s="30" t="s">
        <v>50</v>
      </c>
      <c r="D332" s="26" t="s">
        <v>25</v>
      </c>
      <c r="E332" s="485">
        <v>0</v>
      </c>
      <c r="F332" s="485">
        <v>0</v>
      </c>
      <c r="G332" s="485">
        <v>0</v>
      </c>
      <c r="H332" s="485">
        <v>0</v>
      </c>
      <c r="I332" s="485">
        <v>0</v>
      </c>
      <c r="J332" s="485">
        <v>0</v>
      </c>
      <c r="K332" s="485">
        <v>0</v>
      </c>
      <c r="L332" s="485">
        <v>0</v>
      </c>
      <c r="M332" s="485">
        <v>0</v>
      </c>
      <c r="N332" s="485">
        <v>0</v>
      </c>
      <c r="O332" s="485">
        <v>0</v>
      </c>
      <c r="P332" s="485">
        <v>0</v>
      </c>
    </row>
    <row r="333" spans="1:16" ht="17" thickBot="1">
      <c r="A333" s="255" t="s">
        <v>239</v>
      </c>
      <c r="B333" s="23" t="s">
        <v>34</v>
      </c>
      <c r="C333" s="30" t="s">
        <v>50</v>
      </c>
      <c r="D333" s="24" t="s">
        <v>29</v>
      </c>
      <c r="E333" s="485">
        <v>0</v>
      </c>
      <c r="F333" s="485">
        <v>0</v>
      </c>
      <c r="G333" s="485">
        <v>0</v>
      </c>
      <c r="H333" s="485">
        <v>0</v>
      </c>
      <c r="I333" s="485">
        <v>0</v>
      </c>
      <c r="J333" s="485">
        <v>0</v>
      </c>
      <c r="K333" s="485">
        <v>158</v>
      </c>
      <c r="L333" s="485">
        <v>0</v>
      </c>
      <c r="M333" s="485">
        <v>0</v>
      </c>
      <c r="N333" s="485">
        <v>0</v>
      </c>
      <c r="O333" s="485">
        <v>0</v>
      </c>
      <c r="P333" s="485">
        <v>0</v>
      </c>
    </row>
    <row r="334" spans="1:16" ht="17" thickBot="1">
      <c r="A334" s="255" t="s">
        <v>239</v>
      </c>
      <c r="B334" s="23" t="s">
        <v>34</v>
      </c>
      <c r="C334" s="30" t="s">
        <v>50</v>
      </c>
      <c r="D334" s="24" t="s">
        <v>51</v>
      </c>
      <c r="E334" s="485">
        <v>0</v>
      </c>
      <c r="F334" s="485">
        <v>0</v>
      </c>
      <c r="G334" s="485">
        <v>0</v>
      </c>
      <c r="H334" s="485">
        <v>0</v>
      </c>
      <c r="I334" s="485">
        <v>0</v>
      </c>
      <c r="J334" s="485">
        <v>0</v>
      </c>
      <c r="K334" s="485">
        <v>20</v>
      </c>
      <c r="L334" s="485">
        <v>70</v>
      </c>
      <c r="M334" s="485">
        <v>0</v>
      </c>
      <c r="N334" s="485">
        <v>0</v>
      </c>
      <c r="O334" s="485">
        <v>0</v>
      </c>
      <c r="P334" s="485">
        <v>0</v>
      </c>
    </row>
    <row r="335" spans="1:16" ht="17" thickBot="1">
      <c r="A335" s="255" t="s">
        <v>239</v>
      </c>
      <c r="B335" s="23" t="s">
        <v>34</v>
      </c>
      <c r="C335" s="30" t="s">
        <v>50</v>
      </c>
      <c r="D335" s="26" t="s">
        <v>20</v>
      </c>
      <c r="E335" s="485">
        <v>0</v>
      </c>
      <c r="F335" s="485">
        <v>0</v>
      </c>
      <c r="G335" s="485">
        <v>0</v>
      </c>
      <c r="H335" s="485">
        <v>0</v>
      </c>
      <c r="I335" s="485">
        <v>0</v>
      </c>
      <c r="J335" s="485">
        <v>0</v>
      </c>
      <c r="K335" s="485">
        <v>0</v>
      </c>
      <c r="L335" s="485">
        <v>0</v>
      </c>
      <c r="M335" s="485">
        <v>0</v>
      </c>
      <c r="N335" s="485">
        <v>0</v>
      </c>
      <c r="O335" s="485">
        <v>0</v>
      </c>
      <c r="P335" s="485">
        <v>0</v>
      </c>
    </row>
    <row r="336" spans="1:16" ht="17" thickBot="1">
      <c r="A336" s="255" t="s">
        <v>239</v>
      </c>
      <c r="B336" s="23" t="s">
        <v>34</v>
      </c>
      <c r="C336" s="30" t="s">
        <v>50</v>
      </c>
      <c r="D336" s="26" t="s">
        <v>140</v>
      </c>
      <c r="E336" s="485">
        <v>0</v>
      </c>
      <c r="F336" s="485">
        <v>0</v>
      </c>
      <c r="G336" s="485">
        <v>0</v>
      </c>
      <c r="H336" s="485">
        <v>0</v>
      </c>
      <c r="I336" s="485">
        <v>0</v>
      </c>
      <c r="J336" s="485">
        <v>0</v>
      </c>
      <c r="K336" s="485">
        <v>0</v>
      </c>
      <c r="L336" s="485">
        <v>0</v>
      </c>
      <c r="M336" s="485">
        <v>0</v>
      </c>
      <c r="N336" s="485">
        <v>0</v>
      </c>
      <c r="O336" s="485">
        <v>0</v>
      </c>
      <c r="P336" s="485">
        <v>0</v>
      </c>
    </row>
    <row r="337" spans="1:16" ht="17" thickBot="1">
      <c r="A337" s="255" t="s">
        <v>239</v>
      </c>
      <c r="B337" s="23" t="s">
        <v>34</v>
      </c>
      <c r="C337" s="30" t="s">
        <v>50</v>
      </c>
      <c r="D337" s="27" t="s">
        <v>47</v>
      </c>
      <c r="E337" s="485">
        <v>0</v>
      </c>
      <c r="F337" s="485">
        <v>0</v>
      </c>
      <c r="G337" s="485">
        <v>0</v>
      </c>
      <c r="H337" s="485">
        <v>0</v>
      </c>
      <c r="I337" s="485">
        <v>0</v>
      </c>
      <c r="J337" s="485">
        <v>0</v>
      </c>
      <c r="K337" s="485">
        <v>0</v>
      </c>
      <c r="L337" s="485">
        <v>0</v>
      </c>
      <c r="M337" s="485">
        <v>0</v>
      </c>
      <c r="N337" s="485">
        <v>0</v>
      </c>
      <c r="O337" s="485">
        <v>0</v>
      </c>
      <c r="P337" s="485">
        <v>0</v>
      </c>
    </row>
    <row r="338" spans="1:16" ht="17" thickBot="1">
      <c r="A338" s="255" t="s">
        <v>239</v>
      </c>
      <c r="B338" s="23" t="s">
        <v>34</v>
      </c>
      <c r="C338" s="30" t="s">
        <v>50</v>
      </c>
      <c r="D338" s="25" t="s">
        <v>52</v>
      </c>
      <c r="E338" s="485">
        <v>0</v>
      </c>
      <c r="F338" s="485">
        <v>0</v>
      </c>
      <c r="G338" s="485">
        <v>0</v>
      </c>
      <c r="H338" s="485">
        <v>0</v>
      </c>
      <c r="I338" s="485">
        <v>0</v>
      </c>
      <c r="J338" s="485">
        <v>0</v>
      </c>
      <c r="K338" s="485">
        <v>0</v>
      </c>
      <c r="L338" s="485">
        <v>0</v>
      </c>
      <c r="M338" s="485">
        <v>0</v>
      </c>
      <c r="N338" s="485">
        <v>0</v>
      </c>
      <c r="O338" s="485">
        <v>0</v>
      </c>
      <c r="P338" s="485">
        <v>0</v>
      </c>
    </row>
    <row r="339" spans="1:16" ht="17" thickBot="1">
      <c r="A339" s="255" t="s">
        <v>239</v>
      </c>
      <c r="B339" s="23" t="s">
        <v>34</v>
      </c>
      <c r="C339" s="30" t="s">
        <v>50</v>
      </c>
      <c r="D339" s="25" t="s">
        <v>77</v>
      </c>
      <c r="E339" s="485">
        <v>0</v>
      </c>
      <c r="F339" s="485">
        <v>0</v>
      </c>
      <c r="G339" s="485">
        <v>0</v>
      </c>
      <c r="H339" s="485">
        <v>0</v>
      </c>
      <c r="I339" s="485">
        <v>0</v>
      </c>
      <c r="J339" s="485">
        <v>2</v>
      </c>
      <c r="K339" s="485">
        <v>0</v>
      </c>
      <c r="L339" s="485">
        <v>0</v>
      </c>
      <c r="M339" s="485">
        <v>0</v>
      </c>
      <c r="N339" s="485">
        <v>0</v>
      </c>
      <c r="O339" s="485">
        <v>0</v>
      </c>
      <c r="P339" s="485">
        <v>0</v>
      </c>
    </row>
    <row r="340" spans="1:16" ht="17" thickBot="1">
      <c r="A340" s="255" t="s">
        <v>239</v>
      </c>
      <c r="B340" s="23" t="s">
        <v>34</v>
      </c>
      <c r="C340" s="30" t="s">
        <v>50</v>
      </c>
      <c r="D340" s="24" t="s">
        <v>56</v>
      </c>
      <c r="E340" s="485">
        <v>0</v>
      </c>
      <c r="F340" s="485">
        <v>0</v>
      </c>
      <c r="G340" s="485">
        <v>0</v>
      </c>
      <c r="H340" s="485">
        <v>0</v>
      </c>
      <c r="I340" s="485">
        <v>0</v>
      </c>
      <c r="J340" s="485">
        <v>0</v>
      </c>
      <c r="K340" s="485">
        <v>0</v>
      </c>
      <c r="L340" s="485">
        <v>0</v>
      </c>
      <c r="M340" s="485">
        <v>0</v>
      </c>
      <c r="N340" s="485">
        <v>0</v>
      </c>
      <c r="O340" s="485">
        <v>0</v>
      </c>
      <c r="P340" s="485">
        <v>0</v>
      </c>
    </row>
    <row r="341" spans="1:16" ht="17" thickBot="1">
      <c r="A341" s="255" t="s">
        <v>239</v>
      </c>
      <c r="B341" s="23" t="s">
        <v>34</v>
      </c>
      <c r="C341" s="30" t="s">
        <v>54</v>
      </c>
      <c r="D341" s="28" t="s">
        <v>29</v>
      </c>
      <c r="E341" s="492">
        <v>0</v>
      </c>
      <c r="F341" s="493">
        <v>0</v>
      </c>
      <c r="G341" s="493">
        <v>0</v>
      </c>
      <c r="H341" s="493">
        <v>0</v>
      </c>
      <c r="I341" s="493">
        <v>0</v>
      </c>
      <c r="J341" s="493">
        <v>0</v>
      </c>
      <c r="K341" s="493">
        <v>0</v>
      </c>
      <c r="L341" s="493">
        <v>0</v>
      </c>
      <c r="M341" s="493">
        <v>0</v>
      </c>
      <c r="N341" s="486">
        <v>0</v>
      </c>
      <c r="O341" s="486">
        <v>0</v>
      </c>
      <c r="P341" s="494">
        <v>0</v>
      </c>
    </row>
    <row r="342" spans="1:16" ht="17" thickBot="1">
      <c r="A342" s="255" t="s">
        <v>239</v>
      </c>
      <c r="B342" s="23" t="s">
        <v>34</v>
      </c>
      <c r="C342" s="30" t="s">
        <v>54</v>
      </c>
      <c r="D342" s="26" t="s">
        <v>51</v>
      </c>
      <c r="E342" s="495">
        <v>0</v>
      </c>
      <c r="F342" s="485">
        <v>0</v>
      </c>
      <c r="G342" s="485">
        <v>0</v>
      </c>
      <c r="H342" s="485">
        <v>0</v>
      </c>
      <c r="I342" s="485">
        <v>0</v>
      </c>
      <c r="J342" s="485">
        <v>0</v>
      </c>
      <c r="K342" s="485">
        <v>0</v>
      </c>
      <c r="L342" s="485">
        <v>0</v>
      </c>
      <c r="M342" s="485">
        <v>0</v>
      </c>
      <c r="N342" s="485">
        <v>51</v>
      </c>
      <c r="O342" s="485">
        <v>0</v>
      </c>
      <c r="P342" s="496">
        <v>0</v>
      </c>
    </row>
    <row r="343" spans="1:16" ht="17" thickBot="1">
      <c r="A343" s="255" t="s">
        <v>239</v>
      </c>
      <c r="B343" s="23" t="s">
        <v>34</v>
      </c>
      <c r="C343" s="30" t="s">
        <v>54</v>
      </c>
      <c r="D343" s="26" t="s">
        <v>15</v>
      </c>
      <c r="E343" s="495">
        <v>0</v>
      </c>
      <c r="F343" s="485">
        <v>0</v>
      </c>
      <c r="G343" s="485">
        <v>0</v>
      </c>
      <c r="H343" s="485">
        <v>0</v>
      </c>
      <c r="I343" s="485">
        <v>0</v>
      </c>
      <c r="J343" s="485">
        <v>0</v>
      </c>
      <c r="K343" s="485">
        <v>0</v>
      </c>
      <c r="L343" s="485">
        <v>0</v>
      </c>
      <c r="M343" s="485">
        <v>0</v>
      </c>
      <c r="N343" s="485">
        <v>0</v>
      </c>
      <c r="O343" s="487">
        <v>42</v>
      </c>
      <c r="P343" s="496">
        <v>0</v>
      </c>
    </row>
    <row r="344" spans="1:16" ht="17" thickBot="1">
      <c r="A344" s="255" t="s">
        <v>239</v>
      </c>
      <c r="B344" s="23" t="s">
        <v>34</v>
      </c>
      <c r="C344" s="30" t="s">
        <v>54</v>
      </c>
      <c r="D344" s="26" t="s">
        <v>30</v>
      </c>
      <c r="E344" s="495">
        <v>0</v>
      </c>
      <c r="F344" s="485">
        <v>0</v>
      </c>
      <c r="G344" s="485">
        <v>0</v>
      </c>
      <c r="H344" s="485">
        <v>0</v>
      </c>
      <c r="I344" s="485">
        <v>0</v>
      </c>
      <c r="J344" s="485">
        <v>0</v>
      </c>
      <c r="K344" s="485">
        <v>0</v>
      </c>
      <c r="L344" s="485">
        <v>0</v>
      </c>
      <c r="M344" s="485">
        <v>0</v>
      </c>
      <c r="N344" s="485">
        <v>0</v>
      </c>
      <c r="O344" s="485">
        <v>0</v>
      </c>
      <c r="P344" s="496">
        <v>0</v>
      </c>
    </row>
    <row r="345" spans="1:16" ht="17" thickBot="1">
      <c r="A345" s="255" t="s">
        <v>239</v>
      </c>
      <c r="B345" s="23" t="s">
        <v>34</v>
      </c>
      <c r="C345" s="30" t="s">
        <v>54</v>
      </c>
      <c r="D345" s="29" t="s">
        <v>55</v>
      </c>
      <c r="E345" s="498">
        <v>0</v>
      </c>
      <c r="F345" s="499">
        <v>0</v>
      </c>
      <c r="G345" s="499">
        <v>0</v>
      </c>
      <c r="H345" s="499">
        <v>0</v>
      </c>
      <c r="I345" s="499">
        <v>0</v>
      </c>
      <c r="J345" s="499">
        <v>0</v>
      </c>
      <c r="K345" s="499">
        <v>0</v>
      </c>
      <c r="L345" s="499">
        <v>0</v>
      </c>
      <c r="M345" s="499">
        <v>0</v>
      </c>
      <c r="N345" s="490">
        <v>0</v>
      </c>
      <c r="O345" s="490">
        <v>0</v>
      </c>
      <c r="P345" s="491">
        <v>0</v>
      </c>
    </row>
    <row r="346" spans="1:16" ht="17" thickBot="1">
      <c r="A346" s="255" t="s">
        <v>239</v>
      </c>
      <c r="B346" s="23" t="s">
        <v>80</v>
      </c>
      <c r="C346" s="30" t="s">
        <v>48</v>
      </c>
      <c r="D346" s="24" t="s">
        <v>28</v>
      </c>
      <c r="E346" s="485">
        <v>0</v>
      </c>
      <c r="F346" s="485">
        <v>0</v>
      </c>
      <c r="G346" s="485">
        <v>0</v>
      </c>
      <c r="H346" s="485">
        <v>0</v>
      </c>
      <c r="I346" s="485">
        <v>0</v>
      </c>
      <c r="J346" s="485">
        <v>0</v>
      </c>
      <c r="K346" s="485">
        <v>0</v>
      </c>
      <c r="L346" s="485">
        <v>0</v>
      </c>
      <c r="M346" s="485">
        <v>0</v>
      </c>
      <c r="N346" s="485">
        <v>0</v>
      </c>
      <c r="O346" s="485">
        <v>0</v>
      </c>
      <c r="P346" s="485">
        <v>0</v>
      </c>
    </row>
    <row r="347" spans="1:16" ht="17" thickBot="1">
      <c r="A347" s="255" t="s">
        <v>239</v>
      </c>
      <c r="B347" s="23" t="s">
        <v>80</v>
      </c>
      <c r="C347" s="30" t="s">
        <v>48</v>
      </c>
      <c r="D347" s="24" t="s">
        <v>29</v>
      </c>
      <c r="E347" s="485">
        <v>0</v>
      </c>
      <c r="F347" s="485">
        <v>0</v>
      </c>
      <c r="G347" s="485">
        <v>0</v>
      </c>
      <c r="H347" s="485">
        <v>3</v>
      </c>
      <c r="I347" s="485">
        <v>1</v>
      </c>
      <c r="J347" s="485">
        <v>7</v>
      </c>
      <c r="K347" s="485">
        <v>0</v>
      </c>
      <c r="L347" s="485">
        <v>2</v>
      </c>
      <c r="M347" s="485">
        <v>144</v>
      </c>
      <c r="N347" s="485">
        <v>0</v>
      </c>
      <c r="O347" s="485">
        <v>3</v>
      </c>
      <c r="P347" s="485">
        <v>18</v>
      </c>
    </row>
    <row r="348" spans="1:16" ht="17" thickBot="1">
      <c r="A348" s="255" t="s">
        <v>239</v>
      </c>
      <c r="B348" s="23" t="s">
        <v>80</v>
      </c>
      <c r="C348" s="30" t="s">
        <v>48</v>
      </c>
      <c r="D348" s="24" t="s">
        <v>33</v>
      </c>
      <c r="E348" s="485">
        <v>0</v>
      </c>
      <c r="F348" s="485">
        <v>0</v>
      </c>
      <c r="G348" s="485">
        <v>2</v>
      </c>
      <c r="H348" s="485">
        <v>15</v>
      </c>
      <c r="I348" s="485">
        <v>8</v>
      </c>
      <c r="J348" s="485">
        <v>13</v>
      </c>
      <c r="K348" s="485">
        <v>3</v>
      </c>
      <c r="L348" s="485">
        <v>5</v>
      </c>
      <c r="M348" s="485">
        <v>12</v>
      </c>
      <c r="N348" s="485">
        <v>1</v>
      </c>
      <c r="O348" s="485">
        <v>17</v>
      </c>
      <c r="P348" s="485">
        <v>11</v>
      </c>
    </row>
    <row r="349" spans="1:16" ht="17" thickBot="1">
      <c r="A349" s="255" t="s">
        <v>239</v>
      </c>
      <c r="B349" s="23" t="s">
        <v>80</v>
      </c>
      <c r="C349" s="30" t="s">
        <v>48</v>
      </c>
      <c r="D349" s="24" t="s">
        <v>56</v>
      </c>
      <c r="E349" s="485">
        <v>0</v>
      </c>
      <c r="F349" s="485">
        <v>0</v>
      </c>
      <c r="G349" s="485">
        <v>0</v>
      </c>
      <c r="H349" s="485">
        <v>20</v>
      </c>
      <c r="I349" s="485">
        <v>0</v>
      </c>
      <c r="J349" s="485">
        <v>20</v>
      </c>
      <c r="K349" s="485">
        <v>0</v>
      </c>
      <c r="L349" s="485">
        <v>0</v>
      </c>
      <c r="M349" s="485">
        <v>0</v>
      </c>
      <c r="N349" s="485">
        <v>0</v>
      </c>
      <c r="O349" s="485">
        <v>0</v>
      </c>
      <c r="P349" s="485">
        <v>0</v>
      </c>
    </row>
    <row r="350" spans="1:16" ht="17" thickBot="1">
      <c r="A350" s="255" t="s">
        <v>239</v>
      </c>
      <c r="B350" s="23" t="s">
        <v>80</v>
      </c>
      <c r="C350" s="30" t="s">
        <v>48</v>
      </c>
      <c r="D350" s="24" t="s">
        <v>52</v>
      </c>
      <c r="E350" s="485">
        <v>0</v>
      </c>
      <c r="F350" s="485">
        <v>0</v>
      </c>
      <c r="G350" s="485">
        <v>0</v>
      </c>
      <c r="H350" s="485">
        <v>0</v>
      </c>
      <c r="I350" s="485">
        <v>0</v>
      </c>
      <c r="J350" s="485">
        <v>0</v>
      </c>
      <c r="K350" s="485">
        <v>0</v>
      </c>
      <c r="L350" s="485">
        <v>0</v>
      </c>
      <c r="M350" s="485">
        <v>0</v>
      </c>
      <c r="N350" s="485">
        <v>1</v>
      </c>
      <c r="O350" s="485">
        <v>0</v>
      </c>
      <c r="P350" s="485">
        <v>0</v>
      </c>
    </row>
    <row r="351" spans="1:16" ht="17" thickBot="1">
      <c r="A351" s="255" t="s">
        <v>239</v>
      </c>
      <c r="B351" s="23" t="s">
        <v>80</v>
      </c>
      <c r="C351" s="30" t="s">
        <v>48</v>
      </c>
      <c r="D351" s="25" t="s">
        <v>86</v>
      </c>
      <c r="E351" s="485">
        <v>0</v>
      </c>
      <c r="F351" s="485">
        <v>0</v>
      </c>
      <c r="G351" s="485">
        <v>0</v>
      </c>
      <c r="H351" s="485">
        <v>0</v>
      </c>
      <c r="I351" s="485">
        <v>0</v>
      </c>
      <c r="J351" s="485">
        <v>0</v>
      </c>
      <c r="K351" s="485">
        <v>0</v>
      </c>
      <c r="L351" s="485">
        <v>0</v>
      </c>
      <c r="M351" s="485">
        <v>0</v>
      </c>
      <c r="N351" s="485">
        <v>0</v>
      </c>
      <c r="O351" s="485">
        <v>0</v>
      </c>
      <c r="P351" s="485">
        <v>0</v>
      </c>
    </row>
    <row r="352" spans="1:16" ht="17" thickBot="1">
      <c r="A352" s="255" t="s">
        <v>239</v>
      </c>
      <c r="B352" s="23" t="s">
        <v>80</v>
      </c>
      <c r="C352" s="30" t="s">
        <v>48</v>
      </c>
      <c r="D352" s="53" t="s">
        <v>90</v>
      </c>
      <c r="E352" s="485">
        <v>0</v>
      </c>
      <c r="F352" s="485">
        <v>0</v>
      </c>
      <c r="G352" s="485">
        <v>0</v>
      </c>
      <c r="H352" s="485">
        <v>0</v>
      </c>
      <c r="I352" s="485">
        <v>0</v>
      </c>
      <c r="J352" s="485">
        <v>0</v>
      </c>
      <c r="K352" s="485">
        <v>0</v>
      </c>
      <c r="L352" s="485">
        <v>0</v>
      </c>
      <c r="M352" s="485">
        <v>0</v>
      </c>
      <c r="N352" s="485">
        <v>0</v>
      </c>
      <c r="O352" s="485">
        <v>0</v>
      </c>
      <c r="P352" s="485">
        <v>0</v>
      </c>
    </row>
    <row r="353" spans="1:16" ht="17" thickBot="1">
      <c r="A353" s="255" t="s">
        <v>239</v>
      </c>
      <c r="B353" s="23" t="s">
        <v>80</v>
      </c>
      <c r="C353" s="30" t="s">
        <v>49</v>
      </c>
      <c r="D353" s="25" t="s">
        <v>49</v>
      </c>
      <c r="E353" s="485">
        <v>0</v>
      </c>
      <c r="F353" s="485">
        <v>0</v>
      </c>
      <c r="G353" s="485">
        <v>224</v>
      </c>
      <c r="H353" s="485">
        <v>0</v>
      </c>
      <c r="I353" s="485">
        <v>11</v>
      </c>
      <c r="J353" s="485">
        <v>0</v>
      </c>
      <c r="K353" s="485">
        <v>0</v>
      </c>
      <c r="L353" s="485">
        <v>0</v>
      </c>
      <c r="M353" s="485">
        <v>0</v>
      </c>
      <c r="N353" s="485">
        <v>0</v>
      </c>
      <c r="O353" s="485">
        <v>0</v>
      </c>
      <c r="P353" s="485">
        <v>0</v>
      </c>
    </row>
    <row r="354" spans="1:16" ht="17" thickBot="1">
      <c r="A354" s="255" t="s">
        <v>239</v>
      </c>
      <c r="B354" s="23" t="s">
        <v>80</v>
      </c>
      <c r="C354" s="30" t="s">
        <v>50</v>
      </c>
      <c r="D354" s="26" t="s">
        <v>26</v>
      </c>
      <c r="E354" s="485">
        <v>0</v>
      </c>
      <c r="F354" s="485">
        <v>0</v>
      </c>
      <c r="G354" s="485">
        <v>0</v>
      </c>
      <c r="H354" s="485">
        <v>0</v>
      </c>
      <c r="I354" s="485">
        <v>0</v>
      </c>
      <c r="J354" s="485">
        <v>0</v>
      </c>
      <c r="K354" s="485">
        <v>0</v>
      </c>
      <c r="L354" s="485">
        <v>0</v>
      </c>
      <c r="M354" s="485">
        <v>0</v>
      </c>
      <c r="N354" s="485">
        <v>0</v>
      </c>
      <c r="O354" s="485">
        <v>0</v>
      </c>
      <c r="P354" s="485">
        <v>0</v>
      </c>
    </row>
    <row r="355" spans="1:16" ht="17" thickBot="1">
      <c r="A355" s="255" t="s">
        <v>239</v>
      </c>
      <c r="B355" s="23" t="s">
        <v>80</v>
      </c>
      <c r="C355" s="30" t="s">
        <v>50</v>
      </c>
      <c r="D355" s="26" t="s">
        <v>25</v>
      </c>
      <c r="E355" s="485">
        <v>0</v>
      </c>
      <c r="F355" s="485">
        <v>0</v>
      </c>
      <c r="G355" s="485">
        <v>0</v>
      </c>
      <c r="H355" s="485">
        <v>0</v>
      </c>
      <c r="I355" s="485">
        <v>0</v>
      </c>
      <c r="J355" s="485">
        <v>0</v>
      </c>
      <c r="K355" s="485">
        <v>0</v>
      </c>
      <c r="L355" s="485">
        <v>0</v>
      </c>
      <c r="M355" s="485">
        <v>0</v>
      </c>
      <c r="N355" s="485">
        <v>0</v>
      </c>
      <c r="O355" s="485">
        <v>0</v>
      </c>
      <c r="P355" s="485">
        <v>0</v>
      </c>
    </row>
    <row r="356" spans="1:16" ht="17" thickBot="1">
      <c r="A356" s="255" t="s">
        <v>239</v>
      </c>
      <c r="B356" s="23" t="s">
        <v>80</v>
      </c>
      <c r="C356" s="30" t="s">
        <v>50</v>
      </c>
      <c r="D356" s="24" t="s">
        <v>29</v>
      </c>
      <c r="E356" s="485">
        <v>0</v>
      </c>
      <c r="F356" s="485">
        <v>0</v>
      </c>
      <c r="G356" s="485">
        <v>0</v>
      </c>
      <c r="H356" s="485">
        <v>0</v>
      </c>
      <c r="I356" s="485">
        <v>12</v>
      </c>
      <c r="J356" s="485">
        <v>0</v>
      </c>
      <c r="K356" s="485">
        <v>0</v>
      </c>
      <c r="L356" s="485">
        <v>14</v>
      </c>
      <c r="M356" s="485">
        <v>0</v>
      </c>
      <c r="N356" s="485">
        <v>0</v>
      </c>
      <c r="O356" s="485">
        <v>0</v>
      </c>
      <c r="P356" s="485">
        <v>0</v>
      </c>
    </row>
    <row r="357" spans="1:16" ht="17" thickBot="1">
      <c r="A357" s="255" t="s">
        <v>239</v>
      </c>
      <c r="B357" s="23" t="s">
        <v>80</v>
      </c>
      <c r="C357" s="30" t="s">
        <v>50</v>
      </c>
      <c r="D357" s="24" t="s">
        <v>51</v>
      </c>
      <c r="E357" s="485">
        <v>0</v>
      </c>
      <c r="F357" s="485">
        <v>4</v>
      </c>
      <c r="G357" s="485">
        <v>0</v>
      </c>
      <c r="H357" s="485">
        <v>0</v>
      </c>
      <c r="I357" s="485">
        <v>0</v>
      </c>
      <c r="J357" s="485">
        <v>5</v>
      </c>
      <c r="K357" s="485">
        <v>2</v>
      </c>
      <c r="L357" s="485">
        <v>0</v>
      </c>
      <c r="M357" s="485">
        <v>7</v>
      </c>
      <c r="N357" s="485">
        <v>0</v>
      </c>
      <c r="O357" s="485">
        <v>0</v>
      </c>
      <c r="P357" s="485">
        <v>11</v>
      </c>
    </row>
    <row r="358" spans="1:16" ht="17" thickBot="1">
      <c r="A358" s="255" t="s">
        <v>239</v>
      </c>
      <c r="B358" s="23" t="s">
        <v>80</v>
      </c>
      <c r="C358" s="30" t="s">
        <v>50</v>
      </c>
      <c r="D358" s="26" t="s">
        <v>20</v>
      </c>
      <c r="E358" s="485">
        <v>0</v>
      </c>
      <c r="F358" s="485">
        <v>0</v>
      </c>
      <c r="G358" s="485">
        <v>0</v>
      </c>
      <c r="H358" s="485">
        <v>0</v>
      </c>
      <c r="I358" s="485">
        <v>0</v>
      </c>
      <c r="J358" s="485">
        <v>0</v>
      </c>
      <c r="K358" s="485">
        <v>0</v>
      </c>
      <c r="L358" s="485">
        <v>0</v>
      </c>
      <c r="M358" s="485">
        <v>0</v>
      </c>
      <c r="N358" s="485">
        <v>0</v>
      </c>
      <c r="O358" s="485">
        <v>0</v>
      </c>
      <c r="P358" s="485">
        <v>0</v>
      </c>
    </row>
    <row r="359" spans="1:16" ht="17" thickBot="1">
      <c r="A359" s="255" t="s">
        <v>239</v>
      </c>
      <c r="B359" s="23" t="s">
        <v>80</v>
      </c>
      <c r="C359" s="30" t="s">
        <v>50</v>
      </c>
      <c r="D359" s="26" t="s">
        <v>13</v>
      </c>
      <c r="E359" s="485">
        <v>0</v>
      </c>
      <c r="F359" s="485">
        <v>0</v>
      </c>
      <c r="G359" s="485">
        <v>1</v>
      </c>
      <c r="H359" s="485">
        <v>0</v>
      </c>
      <c r="I359" s="485">
        <v>0</v>
      </c>
      <c r="J359" s="485">
        <v>0</v>
      </c>
      <c r="K359" s="485">
        <v>0</v>
      </c>
      <c r="L359" s="485">
        <v>0</v>
      </c>
      <c r="M359" s="485">
        <v>0</v>
      </c>
      <c r="N359" s="485">
        <v>1</v>
      </c>
      <c r="O359" s="485">
        <v>1</v>
      </c>
      <c r="P359" s="485">
        <v>0</v>
      </c>
    </row>
    <row r="360" spans="1:16" ht="17" thickBot="1">
      <c r="A360" s="255" t="s">
        <v>239</v>
      </c>
      <c r="B360" s="23" t="s">
        <v>80</v>
      </c>
      <c r="C360" s="30" t="s">
        <v>50</v>
      </c>
      <c r="D360" s="27" t="s">
        <v>47</v>
      </c>
      <c r="E360" s="485">
        <v>0</v>
      </c>
      <c r="F360" s="485">
        <v>0</v>
      </c>
      <c r="G360" s="485">
        <v>0</v>
      </c>
      <c r="H360" s="485">
        <v>0</v>
      </c>
      <c r="I360" s="485">
        <v>0</v>
      </c>
      <c r="J360" s="485">
        <v>0</v>
      </c>
      <c r="K360" s="485">
        <v>0</v>
      </c>
      <c r="L360" s="485">
        <v>0</v>
      </c>
      <c r="M360" s="485">
        <v>0</v>
      </c>
      <c r="N360" s="485">
        <v>0</v>
      </c>
      <c r="O360" s="485">
        <v>0</v>
      </c>
      <c r="P360" s="485">
        <v>0</v>
      </c>
    </row>
    <row r="361" spans="1:16" ht="17" thickBot="1">
      <c r="A361" s="255" t="s">
        <v>239</v>
      </c>
      <c r="B361" s="23" t="s">
        <v>80</v>
      </c>
      <c r="C361" s="30" t="s">
        <v>50</v>
      </c>
      <c r="D361" s="25" t="s">
        <v>52</v>
      </c>
      <c r="E361" s="485">
        <v>0</v>
      </c>
      <c r="F361" s="485">
        <v>0</v>
      </c>
      <c r="G361" s="485">
        <v>0</v>
      </c>
      <c r="H361" s="485">
        <v>0</v>
      </c>
      <c r="I361" s="485">
        <v>0</v>
      </c>
      <c r="J361" s="485">
        <v>0</v>
      </c>
      <c r="K361" s="485">
        <v>0</v>
      </c>
      <c r="L361" s="485">
        <v>0</v>
      </c>
      <c r="M361" s="485">
        <v>0</v>
      </c>
      <c r="N361" s="485">
        <v>0</v>
      </c>
      <c r="O361" s="485">
        <v>4</v>
      </c>
      <c r="P361" s="485">
        <v>4</v>
      </c>
    </row>
    <row r="362" spans="1:16" ht="17" thickBot="1">
      <c r="A362" s="255" t="s">
        <v>239</v>
      </c>
      <c r="B362" s="23" t="s">
        <v>80</v>
      </c>
      <c r="C362" s="30" t="s">
        <v>50</v>
      </c>
      <c r="D362" s="25" t="s">
        <v>53</v>
      </c>
      <c r="E362" s="485">
        <v>0</v>
      </c>
      <c r="F362" s="485">
        <v>0</v>
      </c>
      <c r="G362" s="485">
        <v>0</v>
      </c>
      <c r="H362" s="485">
        <v>0</v>
      </c>
      <c r="I362" s="485">
        <v>0</v>
      </c>
      <c r="J362" s="485">
        <v>0</v>
      </c>
      <c r="K362" s="485">
        <v>0</v>
      </c>
      <c r="L362" s="485">
        <v>0</v>
      </c>
      <c r="M362" s="485">
        <v>0</v>
      </c>
      <c r="N362" s="485">
        <v>0</v>
      </c>
      <c r="O362" s="485">
        <v>0</v>
      </c>
      <c r="P362" s="485">
        <v>0</v>
      </c>
    </row>
    <row r="363" spans="1:16" ht="17" thickBot="1">
      <c r="A363" s="255" t="s">
        <v>239</v>
      </c>
      <c r="B363" s="23" t="s">
        <v>80</v>
      </c>
      <c r="C363" s="30" t="s">
        <v>50</v>
      </c>
      <c r="D363" s="24" t="s">
        <v>56</v>
      </c>
      <c r="E363" s="485">
        <v>0</v>
      </c>
      <c r="F363" s="485">
        <v>0</v>
      </c>
      <c r="G363" s="485">
        <v>0</v>
      </c>
      <c r="H363" s="485">
        <v>0</v>
      </c>
      <c r="I363" s="485">
        <v>0</v>
      </c>
      <c r="J363" s="485">
        <v>0</v>
      </c>
      <c r="K363" s="485">
        <v>0</v>
      </c>
      <c r="L363" s="485">
        <v>0</v>
      </c>
      <c r="M363" s="485">
        <v>0</v>
      </c>
      <c r="N363" s="485">
        <v>0</v>
      </c>
      <c r="O363" s="485">
        <v>0</v>
      </c>
      <c r="P363" s="485">
        <v>0</v>
      </c>
    </row>
    <row r="364" spans="1:16" ht="17" thickBot="1">
      <c r="A364" s="255" t="s">
        <v>239</v>
      </c>
      <c r="B364" s="23" t="s">
        <v>80</v>
      </c>
      <c r="C364" s="30" t="s">
        <v>50</v>
      </c>
      <c r="D364" s="54" t="s">
        <v>89</v>
      </c>
      <c r="E364" s="485">
        <v>0</v>
      </c>
      <c r="F364" s="485">
        <v>0</v>
      </c>
      <c r="G364" s="485">
        <v>0</v>
      </c>
      <c r="H364" s="485">
        <v>0</v>
      </c>
      <c r="I364" s="485">
        <v>0</v>
      </c>
      <c r="J364" s="485">
        <v>0</v>
      </c>
      <c r="K364" s="485">
        <v>0</v>
      </c>
      <c r="L364" s="485">
        <v>0</v>
      </c>
      <c r="M364" s="485">
        <v>0</v>
      </c>
      <c r="N364" s="485">
        <v>0</v>
      </c>
      <c r="O364" s="485">
        <v>0</v>
      </c>
      <c r="P364" s="485">
        <v>0</v>
      </c>
    </row>
    <row r="365" spans="1:16" ht="17" thickBot="1">
      <c r="A365" s="255" t="s">
        <v>239</v>
      </c>
      <c r="B365" s="23" t="s">
        <v>80</v>
      </c>
      <c r="C365" s="30" t="s">
        <v>50</v>
      </c>
      <c r="D365" s="24" t="s">
        <v>83</v>
      </c>
      <c r="E365" s="485">
        <v>0</v>
      </c>
      <c r="F365" s="485">
        <v>0</v>
      </c>
      <c r="G365" s="485">
        <v>15</v>
      </c>
      <c r="H365" s="485">
        <v>0</v>
      </c>
      <c r="I365" s="485">
        <v>0</v>
      </c>
      <c r="J365" s="485">
        <v>0</v>
      </c>
      <c r="K365" s="485">
        <v>0</v>
      </c>
      <c r="L365" s="485">
        <v>0</v>
      </c>
      <c r="M365" s="485">
        <v>0</v>
      </c>
      <c r="N365" s="485">
        <v>0</v>
      </c>
      <c r="O365" s="485">
        <v>0</v>
      </c>
      <c r="P365" s="485">
        <v>0</v>
      </c>
    </row>
    <row r="366" spans="1:16" ht="17" thickBot="1">
      <c r="A366" s="255" t="s">
        <v>239</v>
      </c>
      <c r="B366" s="23" t="s">
        <v>80</v>
      </c>
      <c r="C366" s="30" t="s">
        <v>54</v>
      </c>
      <c r="D366" s="28" t="s">
        <v>29</v>
      </c>
      <c r="E366" s="492">
        <v>0</v>
      </c>
      <c r="F366" s="493">
        <v>0</v>
      </c>
      <c r="G366" s="493">
        <v>0</v>
      </c>
      <c r="H366" s="493">
        <v>0</v>
      </c>
      <c r="I366" s="493">
        <v>0</v>
      </c>
      <c r="J366" s="493">
        <v>0</v>
      </c>
      <c r="K366" s="493">
        <v>0</v>
      </c>
      <c r="L366" s="493">
        <v>0</v>
      </c>
      <c r="M366" s="493">
        <v>0</v>
      </c>
      <c r="N366" s="486">
        <v>0</v>
      </c>
      <c r="O366" s="486">
        <v>0</v>
      </c>
      <c r="P366" s="494">
        <v>0</v>
      </c>
    </row>
    <row r="367" spans="1:16" ht="17" thickBot="1">
      <c r="A367" s="255" t="s">
        <v>239</v>
      </c>
      <c r="B367" s="23" t="s">
        <v>80</v>
      </c>
      <c r="C367" s="30" t="s">
        <v>54</v>
      </c>
      <c r="D367" s="26" t="s">
        <v>51</v>
      </c>
      <c r="E367" s="495">
        <v>0</v>
      </c>
      <c r="F367" s="485">
        <v>0</v>
      </c>
      <c r="G367" s="485">
        <v>0</v>
      </c>
      <c r="H367" s="485">
        <v>0</v>
      </c>
      <c r="I367" s="485">
        <v>0</v>
      </c>
      <c r="J367" s="485">
        <v>0</v>
      </c>
      <c r="K367" s="485">
        <v>0</v>
      </c>
      <c r="L367" s="485">
        <v>0</v>
      </c>
      <c r="M367" s="485">
        <v>0</v>
      </c>
      <c r="N367" s="485">
        <v>0</v>
      </c>
      <c r="O367" s="485">
        <v>0</v>
      </c>
      <c r="P367" s="496">
        <v>0</v>
      </c>
    </row>
    <row r="368" spans="1:16" ht="17" thickBot="1">
      <c r="A368" s="255" t="s">
        <v>239</v>
      </c>
      <c r="B368" s="23" t="s">
        <v>80</v>
      </c>
      <c r="C368" s="30" t="s">
        <v>54</v>
      </c>
      <c r="D368" s="26" t="s">
        <v>15</v>
      </c>
      <c r="E368" s="495">
        <v>0</v>
      </c>
      <c r="F368" s="485">
        <v>0</v>
      </c>
      <c r="G368" s="485">
        <v>0</v>
      </c>
      <c r="H368" s="485">
        <v>0</v>
      </c>
      <c r="I368" s="485">
        <v>0</v>
      </c>
      <c r="J368" s="485">
        <v>0</v>
      </c>
      <c r="K368" s="485">
        <v>0</v>
      </c>
      <c r="L368" s="485">
        <v>0</v>
      </c>
      <c r="M368" s="485">
        <v>0</v>
      </c>
      <c r="N368" s="485">
        <v>0</v>
      </c>
      <c r="O368" s="487">
        <v>0</v>
      </c>
      <c r="P368" s="496">
        <v>0</v>
      </c>
    </row>
    <row r="369" spans="1:16" ht="17" thickBot="1">
      <c r="A369" s="255" t="s">
        <v>239</v>
      </c>
      <c r="B369" s="23" t="s">
        <v>80</v>
      </c>
      <c r="C369" s="30" t="s">
        <v>54</v>
      </c>
      <c r="D369" s="26" t="s">
        <v>30</v>
      </c>
      <c r="E369" s="495">
        <v>0</v>
      </c>
      <c r="F369" s="485">
        <v>0</v>
      </c>
      <c r="G369" s="485">
        <v>0</v>
      </c>
      <c r="H369" s="485">
        <v>0</v>
      </c>
      <c r="I369" s="485">
        <v>0</v>
      </c>
      <c r="J369" s="485">
        <v>0</v>
      </c>
      <c r="K369" s="485">
        <v>0</v>
      </c>
      <c r="L369" s="485">
        <v>0</v>
      </c>
      <c r="M369" s="485">
        <v>0</v>
      </c>
      <c r="N369" s="485">
        <v>0</v>
      </c>
      <c r="O369" s="485">
        <v>0</v>
      </c>
      <c r="P369" s="496">
        <v>0</v>
      </c>
    </row>
    <row r="370" spans="1:16" ht="17" thickBot="1">
      <c r="A370" s="255" t="s">
        <v>239</v>
      </c>
      <c r="B370" s="23" t="s">
        <v>80</v>
      </c>
      <c r="C370" s="30" t="s">
        <v>54</v>
      </c>
      <c r="D370" s="26" t="s">
        <v>55</v>
      </c>
      <c r="E370" s="495">
        <v>0</v>
      </c>
      <c r="F370" s="485">
        <v>0</v>
      </c>
      <c r="G370" s="485">
        <v>44</v>
      </c>
      <c r="H370" s="485">
        <v>0</v>
      </c>
      <c r="I370" s="485">
        <v>0</v>
      </c>
      <c r="J370" s="485">
        <v>0</v>
      </c>
      <c r="K370" s="485">
        <v>0</v>
      </c>
      <c r="L370" s="485">
        <v>0</v>
      </c>
      <c r="M370" s="485">
        <v>0</v>
      </c>
      <c r="N370" s="487">
        <v>0</v>
      </c>
      <c r="O370" s="487">
        <v>0</v>
      </c>
      <c r="P370" s="497">
        <v>0</v>
      </c>
    </row>
    <row r="371" spans="1:16" ht="17" thickBot="1">
      <c r="A371" s="255" t="s">
        <v>239</v>
      </c>
      <c r="B371" s="23" t="s">
        <v>80</v>
      </c>
      <c r="C371" s="30" t="s">
        <v>54</v>
      </c>
      <c r="D371" s="38" t="s">
        <v>82</v>
      </c>
      <c r="E371" s="489">
        <v>0</v>
      </c>
      <c r="F371" s="490">
        <v>0</v>
      </c>
      <c r="G371" s="490">
        <v>1</v>
      </c>
      <c r="H371" s="490">
        <v>0</v>
      </c>
      <c r="I371" s="490">
        <v>0</v>
      </c>
      <c r="J371" s="490">
        <v>0</v>
      </c>
      <c r="K371" s="490">
        <v>0</v>
      </c>
      <c r="L371" s="490">
        <v>0</v>
      </c>
      <c r="M371" s="490">
        <v>0</v>
      </c>
      <c r="N371" s="490">
        <v>0</v>
      </c>
      <c r="O371" s="490">
        <v>0</v>
      </c>
      <c r="P371" s="491">
        <v>0</v>
      </c>
    </row>
    <row r="372" spans="1:16" ht="17" thickBot="1">
      <c r="A372" s="255" t="s">
        <v>239</v>
      </c>
      <c r="B372" s="23" t="s">
        <v>101</v>
      </c>
      <c r="C372" s="30" t="s">
        <v>48</v>
      </c>
      <c r="D372" s="24" t="s">
        <v>28</v>
      </c>
      <c r="E372" s="485">
        <v>0</v>
      </c>
      <c r="F372" s="485">
        <v>0</v>
      </c>
      <c r="G372" s="485">
        <v>0</v>
      </c>
      <c r="H372" s="485">
        <v>0</v>
      </c>
      <c r="I372" s="485">
        <v>0</v>
      </c>
      <c r="J372" s="485">
        <v>0</v>
      </c>
      <c r="K372" s="485">
        <v>0</v>
      </c>
      <c r="L372" s="485">
        <v>0</v>
      </c>
      <c r="M372" s="485">
        <v>0</v>
      </c>
      <c r="N372" s="485">
        <v>0</v>
      </c>
      <c r="O372" s="485">
        <v>0</v>
      </c>
      <c r="P372" s="485">
        <v>0</v>
      </c>
    </row>
    <row r="373" spans="1:16" ht="17" thickBot="1">
      <c r="A373" s="255" t="s">
        <v>239</v>
      </c>
      <c r="B373" s="23" t="s">
        <v>101</v>
      </c>
      <c r="C373" s="30" t="s">
        <v>48</v>
      </c>
      <c r="D373" s="24" t="s">
        <v>29</v>
      </c>
      <c r="E373" s="485">
        <v>134</v>
      </c>
      <c r="F373" s="485">
        <v>0</v>
      </c>
      <c r="G373" s="485">
        <v>0</v>
      </c>
      <c r="H373" s="485">
        <v>0</v>
      </c>
      <c r="I373" s="485">
        <v>0</v>
      </c>
      <c r="J373" s="485">
        <v>1</v>
      </c>
      <c r="K373" s="485">
        <v>2</v>
      </c>
      <c r="L373" s="485">
        <v>2</v>
      </c>
      <c r="M373" s="485">
        <v>2</v>
      </c>
      <c r="N373" s="485">
        <v>1</v>
      </c>
      <c r="O373" s="485">
        <v>5</v>
      </c>
      <c r="P373" s="485">
        <v>0</v>
      </c>
    </row>
    <row r="374" spans="1:16" ht="17" thickBot="1">
      <c r="A374" s="255" t="s">
        <v>239</v>
      </c>
      <c r="B374" s="23" t="s">
        <v>101</v>
      </c>
      <c r="C374" s="30" t="s">
        <v>48</v>
      </c>
      <c r="D374" s="24" t="s">
        <v>33</v>
      </c>
      <c r="E374" s="485">
        <v>11</v>
      </c>
      <c r="F374" s="485">
        <v>0</v>
      </c>
      <c r="G374" s="485">
        <v>1</v>
      </c>
      <c r="H374" s="485">
        <v>2</v>
      </c>
      <c r="I374" s="485">
        <v>0</v>
      </c>
      <c r="J374" s="485">
        <v>3</v>
      </c>
      <c r="K374" s="485">
        <v>2</v>
      </c>
      <c r="L374" s="485">
        <v>4</v>
      </c>
      <c r="M374" s="485">
        <v>9</v>
      </c>
      <c r="N374" s="485">
        <v>1</v>
      </c>
      <c r="O374" s="485">
        <v>6</v>
      </c>
      <c r="P374" s="485">
        <v>10</v>
      </c>
    </row>
    <row r="375" spans="1:16" ht="17" thickBot="1">
      <c r="A375" s="255" t="s">
        <v>239</v>
      </c>
      <c r="B375" s="23" t="s">
        <v>101</v>
      </c>
      <c r="C375" s="30" t="s">
        <v>48</v>
      </c>
      <c r="D375" s="24" t="s">
        <v>56</v>
      </c>
      <c r="E375" s="485">
        <v>0</v>
      </c>
      <c r="F375" s="485">
        <v>0</v>
      </c>
      <c r="G375" s="485">
        <v>0</v>
      </c>
      <c r="H375" s="485">
        <v>0</v>
      </c>
      <c r="I375" s="485">
        <v>0</v>
      </c>
      <c r="J375" s="485">
        <v>0</v>
      </c>
      <c r="K375" s="485">
        <v>0</v>
      </c>
      <c r="L375" s="485">
        <v>0</v>
      </c>
      <c r="M375" s="485">
        <v>0</v>
      </c>
      <c r="N375" s="485">
        <v>0</v>
      </c>
      <c r="O375" s="485">
        <v>0</v>
      </c>
      <c r="P375" s="485">
        <v>0</v>
      </c>
    </row>
    <row r="376" spans="1:16" ht="17" thickBot="1">
      <c r="A376" s="255" t="s">
        <v>239</v>
      </c>
      <c r="B376" s="23" t="s">
        <v>101</v>
      </c>
      <c r="C376" s="30" t="s">
        <v>48</v>
      </c>
      <c r="D376" s="24" t="s">
        <v>52</v>
      </c>
      <c r="E376" s="485">
        <v>0</v>
      </c>
      <c r="F376" s="485">
        <v>0</v>
      </c>
      <c r="G376" s="485">
        <v>0</v>
      </c>
      <c r="H376" s="485">
        <v>0</v>
      </c>
      <c r="I376" s="485">
        <v>0</v>
      </c>
      <c r="J376" s="485">
        <v>0</v>
      </c>
      <c r="K376" s="485">
        <v>1</v>
      </c>
      <c r="L376" s="485">
        <v>0</v>
      </c>
      <c r="M376" s="485">
        <v>0</v>
      </c>
      <c r="N376" s="485">
        <v>0</v>
      </c>
      <c r="O376" s="485">
        <v>0</v>
      </c>
      <c r="P376" s="485">
        <v>0</v>
      </c>
    </row>
    <row r="377" spans="1:16" ht="17" thickBot="1">
      <c r="A377" s="255" t="s">
        <v>239</v>
      </c>
      <c r="B377" s="23" t="s">
        <v>101</v>
      </c>
      <c r="C377" s="30" t="s">
        <v>48</v>
      </c>
      <c r="D377" s="53" t="s">
        <v>106</v>
      </c>
      <c r="E377" s="485">
        <v>0</v>
      </c>
      <c r="F377" s="485">
        <v>0</v>
      </c>
      <c r="G377" s="485">
        <v>0</v>
      </c>
      <c r="H377" s="485">
        <v>0</v>
      </c>
      <c r="I377" s="485">
        <v>0</v>
      </c>
      <c r="J377" s="485">
        <v>0</v>
      </c>
      <c r="K377" s="485">
        <v>0</v>
      </c>
      <c r="L377" s="485">
        <v>0</v>
      </c>
      <c r="M377" s="485">
        <v>0</v>
      </c>
      <c r="N377" s="485">
        <v>0</v>
      </c>
      <c r="O377" s="485">
        <v>0</v>
      </c>
      <c r="P377" s="485">
        <v>0</v>
      </c>
    </row>
    <row r="378" spans="1:16" ht="17" thickBot="1">
      <c r="A378" s="255" t="s">
        <v>239</v>
      </c>
      <c r="B378" s="23" t="s">
        <v>101</v>
      </c>
      <c r="C378" s="30" t="s">
        <v>48</v>
      </c>
      <c r="D378" s="53" t="s">
        <v>109</v>
      </c>
      <c r="E378" s="485">
        <v>0</v>
      </c>
      <c r="F378" s="485">
        <v>0</v>
      </c>
      <c r="G378" s="485">
        <v>1</v>
      </c>
      <c r="H378" s="485">
        <v>0</v>
      </c>
      <c r="I378" s="485">
        <v>0</v>
      </c>
      <c r="J378" s="485">
        <v>0</v>
      </c>
      <c r="K378" s="485">
        <v>0</v>
      </c>
      <c r="L378" s="485">
        <v>0</v>
      </c>
      <c r="M378" s="485">
        <v>1</v>
      </c>
      <c r="N378" s="485">
        <v>0</v>
      </c>
      <c r="O378" s="485">
        <v>1</v>
      </c>
      <c r="P378" s="485">
        <v>0</v>
      </c>
    </row>
    <row r="379" spans="1:16" ht="17" thickBot="1">
      <c r="A379" s="255" t="s">
        <v>239</v>
      </c>
      <c r="B379" s="23" t="s">
        <v>101</v>
      </c>
      <c r="C379" s="30" t="s">
        <v>49</v>
      </c>
      <c r="D379" s="25" t="s">
        <v>49</v>
      </c>
      <c r="E379" s="485">
        <v>0</v>
      </c>
      <c r="F379" s="485">
        <v>0</v>
      </c>
      <c r="G379" s="485">
        <v>0</v>
      </c>
      <c r="H379" s="485">
        <v>0</v>
      </c>
      <c r="I379" s="485">
        <v>0</v>
      </c>
      <c r="J379" s="485">
        <v>0</v>
      </c>
      <c r="K379" s="485">
        <v>0</v>
      </c>
      <c r="L379" s="485">
        <v>0</v>
      </c>
      <c r="M379" s="485">
        <v>0</v>
      </c>
      <c r="N379" s="485">
        <v>0</v>
      </c>
      <c r="O379" s="485">
        <v>0</v>
      </c>
      <c r="P379" s="485">
        <v>0</v>
      </c>
    </row>
    <row r="380" spans="1:16" ht="17" thickBot="1">
      <c r="A380" s="255" t="s">
        <v>239</v>
      </c>
      <c r="B380" s="23" t="s">
        <v>101</v>
      </c>
      <c r="C380" s="30" t="s">
        <v>50</v>
      </c>
      <c r="D380" s="26" t="s">
        <v>26</v>
      </c>
      <c r="E380" s="485">
        <v>0</v>
      </c>
      <c r="F380" s="485">
        <v>0</v>
      </c>
      <c r="G380" s="485">
        <v>0</v>
      </c>
      <c r="H380" s="485">
        <v>0</v>
      </c>
      <c r="I380" s="485">
        <v>0</v>
      </c>
      <c r="J380" s="485">
        <v>0</v>
      </c>
      <c r="K380" s="485">
        <v>0</v>
      </c>
      <c r="L380" s="485">
        <v>0</v>
      </c>
      <c r="M380" s="485">
        <v>0</v>
      </c>
      <c r="N380" s="485">
        <v>0</v>
      </c>
      <c r="O380" s="485">
        <v>0</v>
      </c>
      <c r="P380" s="485">
        <v>0</v>
      </c>
    </row>
    <row r="381" spans="1:16" ht="17" thickBot="1">
      <c r="A381" s="255" t="s">
        <v>239</v>
      </c>
      <c r="B381" s="23" t="s">
        <v>101</v>
      </c>
      <c r="C381" s="30" t="s">
        <v>50</v>
      </c>
      <c r="D381" s="26" t="s">
        <v>25</v>
      </c>
      <c r="E381" s="485">
        <v>0</v>
      </c>
      <c r="F381" s="485">
        <v>0</v>
      </c>
      <c r="G381" s="485">
        <v>0</v>
      </c>
      <c r="H381" s="485">
        <v>0</v>
      </c>
      <c r="I381" s="485">
        <v>0</v>
      </c>
      <c r="J381" s="485">
        <v>0</v>
      </c>
      <c r="K381" s="485">
        <v>0</v>
      </c>
      <c r="L381" s="485">
        <v>0</v>
      </c>
      <c r="M381" s="485">
        <v>0</v>
      </c>
      <c r="N381" s="485">
        <v>0</v>
      </c>
      <c r="O381" s="485">
        <v>0</v>
      </c>
      <c r="P381" s="485">
        <v>0</v>
      </c>
    </row>
    <row r="382" spans="1:16" ht="17" thickBot="1">
      <c r="A382" s="255" t="s">
        <v>239</v>
      </c>
      <c r="B382" s="23" t="s">
        <v>101</v>
      </c>
      <c r="C382" s="30" t="s">
        <v>50</v>
      </c>
      <c r="D382" s="24" t="s">
        <v>29</v>
      </c>
      <c r="E382" s="485">
        <v>0</v>
      </c>
      <c r="F382" s="485">
        <v>101</v>
      </c>
      <c r="G382" s="485">
        <v>0</v>
      </c>
      <c r="H382" s="485">
        <v>0</v>
      </c>
      <c r="I382" s="485">
        <v>0</v>
      </c>
      <c r="J382" s="485">
        <v>0</v>
      </c>
      <c r="K382" s="485">
        <v>0</v>
      </c>
      <c r="L382" s="485">
        <v>0</v>
      </c>
      <c r="M382" s="485">
        <v>0</v>
      </c>
      <c r="N382" s="485">
        <v>0</v>
      </c>
      <c r="O382" s="485">
        <v>0</v>
      </c>
      <c r="P382" s="485">
        <v>0</v>
      </c>
    </row>
    <row r="383" spans="1:16" ht="17" thickBot="1">
      <c r="A383" s="255" t="s">
        <v>239</v>
      </c>
      <c r="B383" s="23" t="s">
        <v>101</v>
      </c>
      <c r="C383" s="30" t="s">
        <v>50</v>
      </c>
      <c r="D383" s="24" t="s">
        <v>51</v>
      </c>
      <c r="E383" s="485">
        <v>0</v>
      </c>
      <c r="F383" s="485">
        <v>7</v>
      </c>
      <c r="G383" s="485">
        <v>0</v>
      </c>
      <c r="H383" s="485">
        <v>8</v>
      </c>
      <c r="I383" s="485">
        <v>0</v>
      </c>
      <c r="J383" s="485">
        <v>0</v>
      </c>
      <c r="K383" s="485">
        <v>0</v>
      </c>
      <c r="L383" s="485">
        <v>0</v>
      </c>
      <c r="M383" s="485">
        <v>0</v>
      </c>
      <c r="N383" s="485">
        <v>0</v>
      </c>
      <c r="O383" s="485">
        <v>0</v>
      </c>
      <c r="P383" s="485">
        <v>0</v>
      </c>
    </row>
    <row r="384" spans="1:16" ht="17" thickBot="1">
      <c r="A384" s="255" t="s">
        <v>239</v>
      </c>
      <c r="B384" s="23" t="s">
        <v>101</v>
      </c>
      <c r="C384" s="30" t="s">
        <v>50</v>
      </c>
      <c r="D384" s="26" t="s">
        <v>20</v>
      </c>
      <c r="E384" s="485">
        <v>0</v>
      </c>
      <c r="F384" s="485">
        <v>0</v>
      </c>
      <c r="G384" s="485">
        <v>0</v>
      </c>
      <c r="H384" s="485">
        <v>0</v>
      </c>
      <c r="I384" s="485">
        <v>0</v>
      </c>
      <c r="J384" s="485">
        <v>0</v>
      </c>
      <c r="K384" s="485">
        <v>0</v>
      </c>
      <c r="L384" s="485">
        <v>0</v>
      </c>
      <c r="M384" s="485">
        <v>0</v>
      </c>
      <c r="N384" s="485">
        <v>0</v>
      </c>
      <c r="O384" s="485">
        <v>0</v>
      </c>
      <c r="P384" s="485">
        <v>0</v>
      </c>
    </row>
    <row r="385" spans="1:16" ht="17" thickBot="1">
      <c r="A385" s="255" t="s">
        <v>239</v>
      </c>
      <c r="B385" s="23" t="s">
        <v>101</v>
      </c>
      <c r="C385" s="30" t="s">
        <v>50</v>
      </c>
      <c r="D385" s="26" t="s">
        <v>13</v>
      </c>
      <c r="E385" s="485">
        <v>0</v>
      </c>
      <c r="F385" s="485">
        <v>0</v>
      </c>
      <c r="G385" s="485">
        <v>0</v>
      </c>
      <c r="H385" s="485">
        <v>0</v>
      </c>
      <c r="I385" s="485">
        <v>0</v>
      </c>
      <c r="J385" s="485">
        <v>0</v>
      </c>
      <c r="K385" s="485">
        <v>0</v>
      </c>
      <c r="L385" s="485">
        <v>0</v>
      </c>
      <c r="M385" s="485">
        <v>0</v>
      </c>
      <c r="N385" s="485">
        <v>0</v>
      </c>
      <c r="O385" s="485">
        <v>0</v>
      </c>
      <c r="P385" s="485">
        <v>0</v>
      </c>
    </row>
    <row r="386" spans="1:16" ht="17" thickBot="1">
      <c r="A386" s="255" t="s">
        <v>239</v>
      </c>
      <c r="B386" s="23" t="s">
        <v>101</v>
      </c>
      <c r="C386" s="30" t="s">
        <v>50</v>
      </c>
      <c r="D386" s="27" t="s">
        <v>47</v>
      </c>
      <c r="E386" s="485">
        <v>0</v>
      </c>
      <c r="F386" s="485">
        <v>0</v>
      </c>
      <c r="G386" s="485">
        <v>0</v>
      </c>
      <c r="H386" s="485">
        <v>0</v>
      </c>
      <c r="I386" s="485">
        <v>0</v>
      </c>
      <c r="J386" s="485">
        <v>0</v>
      </c>
      <c r="K386" s="485">
        <v>0</v>
      </c>
      <c r="L386" s="485">
        <v>0</v>
      </c>
      <c r="M386" s="485">
        <v>0</v>
      </c>
      <c r="N386" s="485">
        <v>0</v>
      </c>
      <c r="O386" s="485">
        <v>0</v>
      </c>
      <c r="P386" s="485">
        <v>0</v>
      </c>
    </row>
    <row r="387" spans="1:16" ht="17" thickBot="1">
      <c r="A387" s="255" t="s">
        <v>239</v>
      </c>
      <c r="B387" s="23" t="s">
        <v>101</v>
      </c>
      <c r="C387" s="30" t="s">
        <v>50</v>
      </c>
      <c r="D387" s="53" t="s">
        <v>30</v>
      </c>
      <c r="E387" s="485">
        <v>0</v>
      </c>
      <c r="F387" s="485">
        <v>0</v>
      </c>
      <c r="G387" s="485">
        <v>0</v>
      </c>
      <c r="H387" s="485">
        <v>0</v>
      </c>
      <c r="I387" s="485">
        <v>0</v>
      </c>
      <c r="J387" s="485">
        <v>0</v>
      </c>
      <c r="K387" s="485">
        <v>0</v>
      </c>
      <c r="L387" s="485">
        <v>0</v>
      </c>
      <c r="M387" s="485">
        <v>0</v>
      </c>
      <c r="N387" s="485">
        <v>1</v>
      </c>
      <c r="O387" s="485">
        <v>0</v>
      </c>
      <c r="P387" s="485">
        <v>0</v>
      </c>
    </row>
    <row r="388" spans="1:16" ht="17" thickBot="1">
      <c r="A388" s="255" t="s">
        <v>239</v>
      </c>
      <c r="B388" s="23" t="s">
        <v>101</v>
      </c>
      <c r="C388" s="30" t="s">
        <v>50</v>
      </c>
      <c r="D388" s="53" t="s">
        <v>108</v>
      </c>
      <c r="E388" s="485">
        <v>0</v>
      </c>
      <c r="F388" s="485">
        <v>0</v>
      </c>
      <c r="G388" s="485">
        <v>0</v>
      </c>
      <c r="H388" s="485">
        <v>0</v>
      </c>
      <c r="I388" s="485">
        <v>0</v>
      </c>
      <c r="J388" s="485">
        <v>0</v>
      </c>
      <c r="K388" s="485">
        <v>0</v>
      </c>
      <c r="L388" s="485">
        <v>0</v>
      </c>
      <c r="M388" s="485">
        <v>0</v>
      </c>
      <c r="N388" s="485">
        <v>0</v>
      </c>
      <c r="O388" s="485">
        <v>0</v>
      </c>
      <c r="P388" s="485">
        <v>0</v>
      </c>
    </row>
    <row r="389" spans="1:16" ht="17" thickBot="1">
      <c r="A389" s="255" t="s">
        <v>239</v>
      </c>
      <c r="B389" s="23" t="s">
        <v>101</v>
      </c>
      <c r="C389" s="30" t="s">
        <v>50</v>
      </c>
      <c r="D389" s="24" t="s">
        <v>56</v>
      </c>
      <c r="E389" s="485">
        <v>0</v>
      </c>
      <c r="F389" s="485">
        <v>0</v>
      </c>
      <c r="G389" s="485">
        <v>0</v>
      </c>
      <c r="H389" s="485">
        <v>0</v>
      </c>
      <c r="I389" s="485">
        <v>0</v>
      </c>
      <c r="J389" s="485">
        <v>0</v>
      </c>
      <c r="K389" s="485">
        <v>0</v>
      </c>
      <c r="L389" s="485">
        <v>0</v>
      </c>
      <c r="M389" s="485">
        <v>0</v>
      </c>
      <c r="N389" s="485">
        <v>0</v>
      </c>
      <c r="O389" s="485">
        <v>0</v>
      </c>
      <c r="P389" s="485">
        <v>0</v>
      </c>
    </row>
    <row r="390" spans="1:16" ht="17" thickBot="1">
      <c r="A390" s="255" t="s">
        <v>239</v>
      </c>
      <c r="B390" s="23" t="s">
        <v>101</v>
      </c>
      <c r="C390" s="30" t="s">
        <v>50</v>
      </c>
      <c r="D390" s="54" t="s">
        <v>89</v>
      </c>
      <c r="E390" s="485">
        <v>0</v>
      </c>
      <c r="F390" s="485">
        <v>0</v>
      </c>
      <c r="G390" s="485">
        <v>0</v>
      </c>
      <c r="H390" s="485">
        <v>0</v>
      </c>
      <c r="I390" s="485">
        <v>0</v>
      </c>
      <c r="J390" s="485">
        <v>0</v>
      </c>
      <c r="K390" s="485">
        <v>0</v>
      </c>
      <c r="L390" s="485">
        <v>0</v>
      </c>
      <c r="M390" s="485">
        <v>0</v>
      </c>
      <c r="N390" s="485">
        <v>0</v>
      </c>
      <c r="O390" s="485">
        <v>0</v>
      </c>
      <c r="P390" s="485">
        <v>0</v>
      </c>
    </row>
    <row r="391" spans="1:16" ht="17" thickBot="1">
      <c r="A391" s="255" t="s">
        <v>239</v>
      </c>
      <c r="B391" s="23" t="s">
        <v>101</v>
      </c>
      <c r="C391" s="30" t="s">
        <v>50</v>
      </c>
      <c r="D391" s="24" t="s">
        <v>83</v>
      </c>
      <c r="E391" s="485">
        <v>0</v>
      </c>
      <c r="F391" s="485">
        <v>0</v>
      </c>
      <c r="G391" s="485">
        <v>0</v>
      </c>
      <c r="H391" s="485">
        <v>0</v>
      </c>
      <c r="I391" s="485">
        <v>0</v>
      </c>
      <c r="J391" s="485">
        <v>0</v>
      </c>
      <c r="K391" s="485">
        <v>0</v>
      </c>
      <c r="L391" s="485">
        <v>0</v>
      </c>
      <c r="M391" s="485">
        <v>0</v>
      </c>
      <c r="N391" s="485">
        <v>0</v>
      </c>
      <c r="O391" s="485">
        <v>0</v>
      </c>
      <c r="P391" s="485">
        <v>0</v>
      </c>
    </row>
    <row r="392" spans="1:16" ht="17" thickBot="1">
      <c r="A392" s="255" t="s">
        <v>239</v>
      </c>
      <c r="B392" s="23" t="s">
        <v>101</v>
      </c>
      <c r="C392" s="30" t="s">
        <v>54</v>
      </c>
      <c r="D392" s="28" t="s">
        <v>29</v>
      </c>
      <c r="E392" s="486">
        <v>0</v>
      </c>
      <c r="F392" s="486">
        <v>0</v>
      </c>
      <c r="G392" s="486">
        <v>0</v>
      </c>
      <c r="H392" s="486">
        <v>0</v>
      </c>
      <c r="I392" s="486">
        <v>0</v>
      </c>
      <c r="J392" s="486">
        <v>0</v>
      </c>
      <c r="K392" s="486">
        <v>0</v>
      </c>
      <c r="L392" s="486">
        <v>0</v>
      </c>
      <c r="M392" s="486">
        <v>0</v>
      </c>
      <c r="N392" s="486">
        <v>0</v>
      </c>
      <c r="O392" s="486">
        <v>0</v>
      </c>
      <c r="P392" s="486">
        <v>0</v>
      </c>
    </row>
    <row r="393" spans="1:16" ht="17" thickBot="1">
      <c r="A393" s="255" t="s">
        <v>239</v>
      </c>
      <c r="B393" s="23" t="s">
        <v>101</v>
      </c>
      <c r="C393" s="30" t="s">
        <v>54</v>
      </c>
      <c r="D393" s="26" t="s">
        <v>51</v>
      </c>
      <c r="E393" s="485">
        <v>0</v>
      </c>
      <c r="F393" s="485">
        <v>0</v>
      </c>
      <c r="G393" s="485">
        <v>0</v>
      </c>
      <c r="H393" s="485">
        <v>0</v>
      </c>
      <c r="I393" s="485">
        <v>0</v>
      </c>
      <c r="J393" s="485">
        <v>0</v>
      </c>
      <c r="K393" s="485">
        <v>0</v>
      </c>
      <c r="L393" s="485">
        <v>0</v>
      </c>
      <c r="M393" s="485">
        <v>0</v>
      </c>
      <c r="N393" s="485">
        <v>0</v>
      </c>
      <c r="O393" s="485">
        <v>0</v>
      </c>
      <c r="P393" s="485">
        <v>0</v>
      </c>
    </row>
    <row r="394" spans="1:16" ht="17" thickBot="1">
      <c r="A394" s="255" t="s">
        <v>239</v>
      </c>
      <c r="B394" s="23" t="s">
        <v>101</v>
      </c>
      <c r="C394" s="30" t="s">
        <v>54</v>
      </c>
      <c r="D394" s="26" t="s">
        <v>15</v>
      </c>
      <c r="E394" s="485">
        <v>0</v>
      </c>
      <c r="F394" s="485">
        <v>0</v>
      </c>
      <c r="G394" s="485">
        <v>0</v>
      </c>
      <c r="H394" s="485">
        <v>0</v>
      </c>
      <c r="I394" s="485">
        <v>0</v>
      </c>
      <c r="J394" s="485">
        <v>0</v>
      </c>
      <c r="K394" s="485">
        <v>0</v>
      </c>
      <c r="L394" s="485">
        <v>0</v>
      </c>
      <c r="M394" s="485">
        <v>0</v>
      </c>
      <c r="N394" s="485">
        <v>0</v>
      </c>
      <c r="O394" s="487">
        <v>0</v>
      </c>
      <c r="P394" s="485">
        <v>0</v>
      </c>
    </row>
    <row r="395" spans="1:16" ht="17" thickBot="1">
      <c r="A395" s="255" t="s">
        <v>239</v>
      </c>
      <c r="B395" s="23" t="s">
        <v>101</v>
      </c>
      <c r="C395" s="30" t="s">
        <v>54</v>
      </c>
      <c r="D395" s="26" t="s">
        <v>30</v>
      </c>
      <c r="E395" s="485">
        <v>0</v>
      </c>
      <c r="F395" s="485">
        <v>0</v>
      </c>
      <c r="G395" s="485">
        <v>0</v>
      </c>
      <c r="H395" s="485">
        <v>0</v>
      </c>
      <c r="I395" s="485">
        <v>0</v>
      </c>
      <c r="J395" s="485">
        <v>0</v>
      </c>
      <c r="K395" s="485">
        <v>0</v>
      </c>
      <c r="L395" s="485">
        <v>0</v>
      </c>
      <c r="M395" s="485">
        <v>0</v>
      </c>
      <c r="N395" s="485">
        <v>0</v>
      </c>
      <c r="O395" s="485">
        <v>0</v>
      </c>
      <c r="P395" s="485">
        <v>0</v>
      </c>
    </row>
    <row r="396" spans="1:16" ht="17" thickBot="1">
      <c r="A396" s="255" t="s">
        <v>239</v>
      </c>
      <c r="B396" s="23" t="s">
        <v>101</v>
      </c>
      <c r="C396" s="30" t="s">
        <v>54</v>
      </c>
      <c r="D396" s="24" t="s">
        <v>55</v>
      </c>
      <c r="E396" s="487">
        <v>0</v>
      </c>
      <c r="F396" s="487">
        <v>0</v>
      </c>
      <c r="G396" s="488">
        <v>0</v>
      </c>
      <c r="H396" s="487">
        <v>0</v>
      </c>
      <c r="I396" s="487">
        <v>0</v>
      </c>
      <c r="J396" s="487">
        <v>0</v>
      </c>
      <c r="K396" s="487">
        <v>0</v>
      </c>
      <c r="L396" s="487">
        <v>0</v>
      </c>
      <c r="M396" s="487">
        <v>0</v>
      </c>
      <c r="N396" s="487">
        <v>0</v>
      </c>
      <c r="O396" s="487">
        <v>0</v>
      </c>
      <c r="P396" s="487">
        <v>0</v>
      </c>
    </row>
    <row r="397" spans="1:16" ht="17" thickBot="1">
      <c r="A397" s="255" t="s">
        <v>239</v>
      </c>
      <c r="B397" s="23" t="s">
        <v>101</v>
      </c>
      <c r="C397" s="30" t="s">
        <v>54</v>
      </c>
      <c r="D397" s="68" t="s">
        <v>108</v>
      </c>
      <c r="E397" s="489">
        <v>0</v>
      </c>
      <c r="F397" s="490">
        <v>0</v>
      </c>
      <c r="G397" s="490">
        <v>0</v>
      </c>
      <c r="H397" s="490">
        <v>0</v>
      </c>
      <c r="I397" s="490">
        <v>0</v>
      </c>
      <c r="J397" s="490">
        <v>0</v>
      </c>
      <c r="K397" s="490">
        <v>0</v>
      </c>
      <c r="L397" s="490">
        <v>0</v>
      </c>
      <c r="M397" s="490">
        <v>0</v>
      </c>
      <c r="N397" s="490">
        <v>0</v>
      </c>
      <c r="O397" s="490">
        <v>0</v>
      </c>
      <c r="P397" s="491">
        <v>0</v>
      </c>
    </row>
    <row r="398" spans="1:16" ht="17" thickBot="1">
      <c r="A398" s="255" t="s">
        <v>239</v>
      </c>
      <c r="B398" s="23" t="s">
        <v>111</v>
      </c>
      <c r="C398" s="30" t="s">
        <v>48</v>
      </c>
      <c r="D398" s="24" t="s">
        <v>29</v>
      </c>
      <c r="E398" s="485">
        <v>4</v>
      </c>
      <c r="F398" s="485">
        <v>1</v>
      </c>
      <c r="G398" s="485">
        <v>0</v>
      </c>
      <c r="H398" s="485">
        <v>0</v>
      </c>
      <c r="I398" s="485">
        <v>0</v>
      </c>
      <c r="J398" s="485">
        <v>0</v>
      </c>
      <c r="K398" s="485">
        <v>0</v>
      </c>
      <c r="L398" s="485">
        <v>0</v>
      </c>
      <c r="M398" s="485">
        <v>0</v>
      </c>
      <c r="N398" s="485">
        <v>0</v>
      </c>
      <c r="O398" s="485">
        <v>0</v>
      </c>
      <c r="P398" s="485">
        <v>0</v>
      </c>
    </row>
    <row r="399" spans="1:16" ht="17" thickBot="1">
      <c r="A399" s="255" t="s">
        <v>239</v>
      </c>
      <c r="B399" s="23" t="s">
        <v>111</v>
      </c>
      <c r="C399" s="30" t="s">
        <v>48</v>
      </c>
      <c r="D399" s="24" t="s">
        <v>33</v>
      </c>
      <c r="E399" s="485">
        <v>9</v>
      </c>
      <c r="F399" s="485">
        <v>13</v>
      </c>
      <c r="G399" s="485">
        <v>36</v>
      </c>
      <c r="H399" s="485">
        <v>13</v>
      </c>
      <c r="I399" s="485">
        <v>28</v>
      </c>
      <c r="J399" s="485">
        <v>6</v>
      </c>
      <c r="K399" s="485">
        <v>16</v>
      </c>
      <c r="L399" s="485">
        <v>0</v>
      </c>
      <c r="M399" s="485">
        <v>28</v>
      </c>
      <c r="N399" s="485">
        <v>2</v>
      </c>
      <c r="O399" s="485">
        <v>31</v>
      </c>
      <c r="P399" s="485">
        <v>17</v>
      </c>
    </row>
    <row r="400" spans="1:16" ht="17" thickBot="1">
      <c r="A400" s="255" t="s">
        <v>239</v>
      </c>
      <c r="B400" s="23" t="s">
        <v>111</v>
      </c>
      <c r="C400" s="30" t="s">
        <v>48</v>
      </c>
      <c r="D400" s="24" t="s">
        <v>56</v>
      </c>
      <c r="E400" s="485">
        <v>15</v>
      </c>
      <c r="F400" s="485">
        <v>0</v>
      </c>
      <c r="G400" s="485">
        <v>0</v>
      </c>
      <c r="H400" s="485">
        <v>0</v>
      </c>
      <c r="I400" s="485">
        <v>75</v>
      </c>
      <c r="J400" s="485">
        <v>0</v>
      </c>
      <c r="K400" s="485">
        <v>0</v>
      </c>
      <c r="L400" s="485">
        <v>0</v>
      </c>
      <c r="M400" s="485">
        <v>0</v>
      </c>
      <c r="N400" s="485">
        <v>0</v>
      </c>
      <c r="O400" s="485">
        <v>0</v>
      </c>
      <c r="P400" s="485">
        <v>0</v>
      </c>
    </row>
    <row r="401" spans="1:16" ht="17" thickBot="1">
      <c r="A401" s="255" t="s">
        <v>239</v>
      </c>
      <c r="B401" s="23" t="s">
        <v>111</v>
      </c>
      <c r="C401" s="30" t="s">
        <v>48</v>
      </c>
      <c r="D401" s="54" t="s">
        <v>30</v>
      </c>
      <c r="E401" s="485">
        <v>0</v>
      </c>
      <c r="F401" s="485">
        <v>0</v>
      </c>
      <c r="G401" s="485">
        <v>0</v>
      </c>
      <c r="H401" s="485">
        <v>0</v>
      </c>
      <c r="I401" s="485">
        <v>1</v>
      </c>
      <c r="J401" s="485">
        <v>0</v>
      </c>
      <c r="K401" s="485">
        <v>0</v>
      </c>
      <c r="L401" s="485">
        <v>0</v>
      </c>
      <c r="M401" s="485">
        <v>0</v>
      </c>
      <c r="N401" s="485">
        <v>0</v>
      </c>
      <c r="O401" s="485">
        <v>0</v>
      </c>
      <c r="P401" s="485">
        <v>0</v>
      </c>
    </row>
    <row r="402" spans="1:16" ht="17" thickBot="1">
      <c r="A402" s="255" t="s">
        <v>239</v>
      </c>
      <c r="B402" s="23" t="s">
        <v>111</v>
      </c>
      <c r="C402" s="30" t="s">
        <v>48</v>
      </c>
      <c r="D402" s="53" t="s">
        <v>116</v>
      </c>
      <c r="E402" s="485">
        <v>0</v>
      </c>
      <c r="F402" s="485">
        <v>0</v>
      </c>
      <c r="G402" s="485">
        <v>0</v>
      </c>
      <c r="H402" s="485">
        <v>0</v>
      </c>
      <c r="I402" s="485">
        <v>600</v>
      </c>
      <c r="J402" s="485">
        <v>0</v>
      </c>
      <c r="K402" s="485">
        <v>0</v>
      </c>
      <c r="L402" s="485">
        <v>0</v>
      </c>
      <c r="M402" s="485">
        <v>0</v>
      </c>
      <c r="N402" s="485">
        <v>0</v>
      </c>
      <c r="O402" s="485">
        <v>0</v>
      </c>
      <c r="P402" s="485">
        <v>0</v>
      </c>
    </row>
    <row r="403" spans="1:16" ht="17" thickBot="1">
      <c r="A403" s="255" t="s">
        <v>239</v>
      </c>
      <c r="B403" s="23" t="s">
        <v>111</v>
      </c>
      <c r="C403" s="30" t="s">
        <v>48</v>
      </c>
      <c r="D403" s="53" t="s">
        <v>113</v>
      </c>
      <c r="E403" s="485">
        <v>0</v>
      </c>
      <c r="F403" s="485">
        <v>0</v>
      </c>
      <c r="G403" s="485">
        <v>0</v>
      </c>
      <c r="H403" s="485">
        <v>0</v>
      </c>
      <c r="I403" s="485">
        <v>0</v>
      </c>
      <c r="J403" s="485">
        <v>0</v>
      </c>
      <c r="K403" s="485">
        <v>0</v>
      </c>
      <c r="L403" s="485">
        <v>0</v>
      </c>
      <c r="M403" s="485">
        <v>0</v>
      </c>
      <c r="N403" s="485">
        <v>48</v>
      </c>
      <c r="O403" s="485">
        <v>0</v>
      </c>
      <c r="P403" s="485">
        <v>0</v>
      </c>
    </row>
    <row r="404" spans="1:16" ht="17" thickBot="1">
      <c r="A404" s="255" t="s">
        <v>239</v>
      </c>
      <c r="B404" s="23" t="s">
        <v>111</v>
      </c>
      <c r="C404" s="30" t="s">
        <v>48</v>
      </c>
      <c r="D404" s="53" t="s">
        <v>114</v>
      </c>
      <c r="E404" s="485">
        <v>0</v>
      </c>
      <c r="F404" s="485">
        <v>0</v>
      </c>
      <c r="G404" s="485">
        <v>0</v>
      </c>
      <c r="H404" s="485">
        <v>0</v>
      </c>
      <c r="I404" s="485">
        <v>0</v>
      </c>
      <c r="J404" s="485">
        <v>0</v>
      </c>
      <c r="K404" s="485">
        <v>0</v>
      </c>
      <c r="L404" s="485">
        <v>0</v>
      </c>
      <c r="M404" s="485">
        <v>0</v>
      </c>
      <c r="N404" s="485">
        <v>0</v>
      </c>
      <c r="O404" s="485">
        <v>0</v>
      </c>
      <c r="P404" s="485">
        <v>0</v>
      </c>
    </row>
    <row r="405" spans="1:16" ht="17" thickBot="1">
      <c r="A405" s="255" t="s">
        <v>239</v>
      </c>
      <c r="B405" s="23" t="s">
        <v>111</v>
      </c>
      <c r="C405" s="30" t="s">
        <v>49</v>
      </c>
      <c r="D405" s="25" t="s">
        <v>49</v>
      </c>
      <c r="E405" s="485">
        <v>0</v>
      </c>
      <c r="F405" s="485">
        <v>0</v>
      </c>
      <c r="G405" s="485">
        <v>0</v>
      </c>
      <c r="H405" s="485">
        <v>0</v>
      </c>
      <c r="I405" s="485">
        <v>0</v>
      </c>
      <c r="J405" s="485">
        <v>0</v>
      </c>
      <c r="K405" s="485">
        <v>1</v>
      </c>
      <c r="L405" s="485">
        <v>0</v>
      </c>
      <c r="M405" s="485">
        <v>0</v>
      </c>
      <c r="N405" s="485">
        <v>0</v>
      </c>
      <c r="O405" s="485">
        <v>0</v>
      </c>
      <c r="P405" s="485">
        <v>0</v>
      </c>
    </row>
    <row r="406" spans="1:16" ht="17" thickBot="1">
      <c r="A406" s="255" t="s">
        <v>239</v>
      </c>
      <c r="B406" s="23" t="s">
        <v>111</v>
      </c>
      <c r="C406" s="30" t="s">
        <v>50</v>
      </c>
      <c r="D406" s="24" t="s">
        <v>29</v>
      </c>
      <c r="E406" s="485">
        <v>0</v>
      </c>
      <c r="F406" s="485">
        <v>0</v>
      </c>
      <c r="G406" s="485">
        <v>0</v>
      </c>
      <c r="H406" s="485">
        <v>0</v>
      </c>
      <c r="I406" s="485">
        <v>0</v>
      </c>
      <c r="J406" s="485">
        <v>0</v>
      </c>
      <c r="K406" s="485">
        <v>0</v>
      </c>
      <c r="L406" s="485">
        <v>0</v>
      </c>
      <c r="M406" s="485">
        <v>0</v>
      </c>
      <c r="N406" s="485">
        <v>0</v>
      </c>
      <c r="O406" s="485">
        <v>0</v>
      </c>
      <c r="P406" s="485">
        <v>0</v>
      </c>
    </row>
    <row r="407" spans="1:16" ht="17" thickBot="1">
      <c r="A407" s="255" t="s">
        <v>239</v>
      </c>
      <c r="B407" s="23" t="s">
        <v>111</v>
      </c>
      <c r="C407" s="30" t="s">
        <v>50</v>
      </c>
      <c r="D407" s="24" t="s">
        <v>51</v>
      </c>
      <c r="E407" s="485">
        <v>0</v>
      </c>
      <c r="F407" s="485">
        <v>0</v>
      </c>
      <c r="G407" s="485">
        <v>0</v>
      </c>
      <c r="H407" s="485">
        <v>1</v>
      </c>
      <c r="I407" s="485">
        <v>0</v>
      </c>
      <c r="J407" s="485">
        <v>87</v>
      </c>
      <c r="K407" s="485">
        <v>23</v>
      </c>
      <c r="L407" s="485">
        <v>0</v>
      </c>
      <c r="M407" s="485">
        <v>0</v>
      </c>
      <c r="N407" s="485">
        <v>0</v>
      </c>
      <c r="O407" s="485">
        <v>0</v>
      </c>
      <c r="P407" s="485">
        <v>0</v>
      </c>
    </row>
    <row r="408" spans="1:16" ht="17" thickBot="1">
      <c r="A408" s="255" t="s">
        <v>239</v>
      </c>
      <c r="B408" s="23" t="s">
        <v>111</v>
      </c>
      <c r="C408" s="30" t="s">
        <v>50</v>
      </c>
      <c r="D408" s="26" t="s">
        <v>20</v>
      </c>
      <c r="E408" s="485">
        <v>0</v>
      </c>
      <c r="F408" s="485">
        <v>0</v>
      </c>
      <c r="G408" s="485">
        <v>0</v>
      </c>
      <c r="H408" s="485">
        <v>0</v>
      </c>
      <c r="I408" s="485">
        <v>0</v>
      </c>
      <c r="J408" s="485">
        <v>0</v>
      </c>
      <c r="K408" s="485">
        <v>0</v>
      </c>
      <c r="L408" s="485">
        <v>0</v>
      </c>
      <c r="M408" s="485">
        <v>0</v>
      </c>
      <c r="N408" s="485">
        <v>0</v>
      </c>
      <c r="O408" s="485">
        <v>0</v>
      </c>
      <c r="P408" s="485">
        <v>0</v>
      </c>
    </row>
    <row r="409" spans="1:16" ht="17" thickBot="1">
      <c r="A409" s="255" t="s">
        <v>239</v>
      </c>
      <c r="B409" s="23" t="s">
        <v>111</v>
      </c>
      <c r="C409" s="30" t="s">
        <v>50</v>
      </c>
      <c r="D409" s="26" t="s">
        <v>13</v>
      </c>
      <c r="E409" s="485">
        <v>0</v>
      </c>
      <c r="F409" s="485">
        <v>0</v>
      </c>
      <c r="G409" s="485">
        <v>0</v>
      </c>
      <c r="H409" s="485">
        <v>0</v>
      </c>
      <c r="I409" s="485">
        <v>0</v>
      </c>
      <c r="J409" s="485">
        <v>0</v>
      </c>
      <c r="K409" s="485">
        <v>0</v>
      </c>
      <c r="L409" s="485">
        <v>0</v>
      </c>
      <c r="M409" s="485">
        <v>0</v>
      </c>
      <c r="N409" s="485">
        <v>0</v>
      </c>
      <c r="O409" s="485">
        <v>0</v>
      </c>
      <c r="P409" s="485">
        <v>0</v>
      </c>
    </row>
    <row r="410" spans="1:16" ht="17" thickBot="1">
      <c r="A410" s="255" t="s">
        <v>239</v>
      </c>
      <c r="B410" s="23" t="s">
        <v>111</v>
      </c>
      <c r="C410" s="30" t="s">
        <v>50</v>
      </c>
      <c r="D410" s="27" t="s">
        <v>47</v>
      </c>
      <c r="E410" s="485">
        <v>0</v>
      </c>
      <c r="F410" s="485">
        <v>0</v>
      </c>
      <c r="G410" s="485">
        <v>0</v>
      </c>
      <c r="H410" s="485">
        <v>0</v>
      </c>
      <c r="I410" s="485">
        <v>0</v>
      </c>
      <c r="J410" s="485">
        <v>0</v>
      </c>
      <c r="K410" s="485">
        <v>0</v>
      </c>
      <c r="L410" s="485">
        <v>0</v>
      </c>
      <c r="M410" s="485">
        <v>0</v>
      </c>
      <c r="N410" s="485">
        <v>0</v>
      </c>
      <c r="O410" s="485">
        <v>0</v>
      </c>
      <c r="P410" s="485">
        <v>0</v>
      </c>
    </row>
    <row r="411" spans="1:16" ht="17" thickBot="1">
      <c r="A411" s="255" t="s">
        <v>239</v>
      </c>
      <c r="B411" s="23" t="s">
        <v>111</v>
      </c>
      <c r="C411" s="30" t="s">
        <v>50</v>
      </c>
      <c r="D411" s="53" t="s">
        <v>30</v>
      </c>
      <c r="E411" s="485">
        <v>0</v>
      </c>
      <c r="F411" s="485">
        <v>0</v>
      </c>
      <c r="G411" s="485">
        <v>0</v>
      </c>
      <c r="H411" s="485">
        <v>0</v>
      </c>
      <c r="I411" s="485">
        <v>0</v>
      </c>
      <c r="J411" s="485">
        <v>0</v>
      </c>
      <c r="K411" s="485">
        <v>0</v>
      </c>
      <c r="L411" s="485">
        <v>0</v>
      </c>
      <c r="M411" s="485">
        <v>0</v>
      </c>
      <c r="N411" s="485">
        <v>0</v>
      </c>
      <c r="O411" s="485">
        <v>0</v>
      </c>
      <c r="P411" s="485">
        <v>0</v>
      </c>
    </row>
    <row r="412" spans="1:16" ht="17" thickBot="1">
      <c r="A412" s="255" t="s">
        <v>239</v>
      </c>
      <c r="B412" s="23" t="s">
        <v>111</v>
      </c>
      <c r="C412" s="30" t="s">
        <v>50</v>
      </c>
      <c r="D412" s="53" t="s">
        <v>108</v>
      </c>
      <c r="E412" s="485">
        <v>0</v>
      </c>
      <c r="F412" s="485">
        <v>0</v>
      </c>
      <c r="G412" s="485">
        <v>0</v>
      </c>
      <c r="H412" s="485">
        <v>0</v>
      </c>
      <c r="I412" s="485">
        <v>0</v>
      </c>
      <c r="J412" s="485">
        <v>0</v>
      </c>
      <c r="K412" s="485">
        <v>0</v>
      </c>
      <c r="L412" s="485">
        <v>0</v>
      </c>
      <c r="M412" s="485">
        <v>0</v>
      </c>
      <c r="N412" s="485">
        <v>0</v>
      </c>
      <c r="O412" s="485">
        <v>0</v>
      </c>
      <c r="P412" s="485">
        <v>0</v>
      </c>
    </row>
    <row r="413" spans="1:16" ht="17" thickBot="1">
      <c r="A413" s="255" t="s">
        <v>239</v>
      </c>
      <c r="B413" s="23" t="s">
        <v>111</v>
      </c>
      <c r="C413" s="30" t="s">
        <v>50</v>
      </c>
      <c r="D413" s="24" t="s">
        <v>56</v>
      </c>
      <c r="E413" s="485">
        <v>0</v>
      </c>
      <c r="F413" s="485">
        <v>0</v>
      </c>
      <c r="G413" s="485">
        <v>0</v>
      </c>
      <c r="H413" s="485">
        <v>0</v>
      </c>
      <c r="I413" s="485">
        <v>0</v>
      </c>
      <c r="J413" s="485">
        <v>0</v>
      </c>
      <c r="K413" s="485">
        <v>0</v>
      </c>
      <c r="L413" s="485">
        <v>0</v>
      </c>
      <c r="M413" s="485">
        <v>0</v>
      </c>
      <c r="N413" s="485">
        <v>0</v>
      </c>
      <c r="O413" s="485">
        <v>0</v>
      </c>
      <c r="P413" s="485">
        <v>0</v>
      </c>
    </row>
    <row r="414" spans="1:16" ht="17" thickBot="1">
      <c r="A414" s="255" t="s">
        <v>239</v>
      </c>
      <c r="B414" s="23" t="s">
        <v>111</v>
      </c>
      <c r="C414" s="30" t="s">
        <v>50</v>
      </c>
      <c r="D414" s="54" t="s">
        <v>89</v>
      </c>
      <c r="E414" s="485">
        <v>0</v>
      </c>
      <c r="F414" s="485">
        <v>0</v>
      </c>
      <c r="G414" s="485">
        <v>0</v>
      </c>
      <c r="H414" s="485">
        <v>0</v>
      </c>
      <c r="I414" s="485">
        <v>0</v>
      </c>
      <c r="J414" s="485">
        <v>0</v>
      </c>
      <c r="K414" s="485">
        <v>0</v>
      </c>
      <c r="L414" s="485">
        <v>0</v>
      </c>
      <c r="M414" s="485">
        <v>0</v>
      </c>
      <c r="N414" s="485">
        <v>0</v>
      </c>
      <c r="O414" s="485">
        <v>0</v>
      </c>
      <c r="P414" s="485">
        <v>0</v>
      </c>
    </row>
    <row r="415" spans="1:16" ht="17" thickBot="1">
      <c r="A415" s="255" t="s">
        <v>239</v>
      </c>
      <c r="B415" s="23" t="s">
        <v>111</v>
      </c>
      <c r="C415" s="30" t="s">
        <v>50</v>
      </c>
      <c r="D415" s="24" t="s">
        <v>83</v>
      </c>
      <c r="E415" s="485">
        <v>0</v>
      </c>
      <c r="F415" s="485">
        <v>0</v>
      </c>
      <c r="G415" s="485">
        <v>0</v>
      </c>
      <c r="H415" s="485">
        <v>0</v>
      </c>
      <c r="I415" s="485">
        <v>0</v>
      </c>
      <c r="J415" s="485">
        <v>0</v>
      </c>
      <c r="K415" s="485">
        <v>0</v>
      </c>
      <c r="L415" s="485">
        <v>0</v>
      </c>
      <c r="M415" s="485">
        <v>0</v>
      </c>
      <c r="N415" s="485">
        <v>0</v>
      </c>
      <c r="O415" s="485">
        <v>0</v>
      </c>
      <c r="P415" s="485">
        <v>0</v>
      </c>
    </row>
    <row r="416" spans="1:16" ht="17" thickBot="1">
      <c r="A416" s="255" t="s">
        <v>239</v>
      </c>
      <c r="B416" s="23" t="s">
        <v>111</v>
      </c>
      <c r="C416" s="30" t="s">
        <v>50</v>
      </c>
      <c r="D416" s="54" t="s">
        <v>115</v>
      </c>
      <c r="E416" s="485">
        <v>0</v>
      </c>
      <c r="F416" s="485">
        <v>0</v>
      </c>
      <c r="G416" s="485">
        <v>0</v>
      </c>
      <c r="H416" s="485">
        <v>0</v>
      </c>
      <c r="I416" s="485">
        <v>0</v>
      </c>
      <c r="J416" s="485">
        <v>0</v>
      </c>
      <c r="K416" s="485">
        <v>0</v>
      </c>
      <c r="L416" s="485">
        <v>0</v>
      </c>
      <c r="M416" s="485">
        <v>0</v>
      </c>
      <c r="N416" s="485">
        <v>0</v>
      </c>
      <c r="O416" s="485">
        <v>0</v>
      </c>
      <c r="P416" s="485">
        <v>0</v>
      </c>
    </row>
    <row r="417" spans="1:16" ht="17" thickBot="1">
      <c r="A417" s="255" t="s">
        <v>239</v>
      </c>
      <c r="B417" s="23" t="s">
        <v>119</v>
      </c>
      <c r="C417" s="30" t="s">
        <v>48</v>
      </c>
      <c r="D417" s="24" t="s">
        <v>33</v>
      </c>
      <c r="E417" s="485">
        <v>3</v>
      </c>
      <c r="F417" s="485">
        <v>4</v>
      </c>
      <c r="G417" s="485">
        <v>10</v>
      </c>
      <c r="H417" s="485">
        <v>21</v>
      </c>
      <c r="I417" s="485">
        <v>0</v>
      </c>
      <c r="J417" s="485">
        <v>20</v>
      </c>
      <c r="K417" s="485">
        <v>11</v>
      </c>
      <c r="L417" s="485">
        <v>11</v>
      </c>
      <c r="M417" s="485">
        <v>12</v>
      </c>
      <c r="N417" s="485">
        <v>14</v>
      </c>
      <c r="O417" s="485">
        <v>7</v>
      </c>
      <c r="P417" s="485">
        <v>13</v>
      </c>
    </row>
    <row r="418" spans="1:16" ht="17" thickBot="1">
      <c r="A418" s="255" t="s">
        <v>239</v>
      </c>
      <c r="B418" s="23" t="s">
        <v>119</v>
      </c>
      <c r="C418" s="30" t="s">
        <v>48</v>
      </c>
      <c r="D418" s="24" t="s">
        <v>56</v>
      </c>
      <c r="E418" s="485">
        <v>0</v>
      </c>
      <c r="F418" s="485">
        <v>0</v>
      </c>
      <c r="G418" s="485">
        <v>0</v>
      </c>
      <c r="H418" s="485">
        <v>0</v>
      </c>
      <c r="I418" s="485">
        <v>0</v>
      </c>
      <c r="J418" s="485">
        <v>0</v>
      </c>
      <c r="K418" s="485">
        <v>0</v>
      </c>
      <c r="L418" s="485">
        <v>0</v>
      </c>
      <c r="M418" s="485">
        <v>0</v>
      </c>
      <c r="N418" s="485">
        <v>0</v>
      </c>
      <c r="O418" s="485">
        <v>0</v>
      </c>
      <c r="P418" s="485">
        <v>0</v>
      </c>
    </row>
    <row r="419" spans="1:16" ht="17" thickBot="1">
      <c r="A419" s="255" t="s">
        <v>239</v>
      </c>
      <c r="B419" s="23" t="s">
        <v>119</v>
      </c>
      <c r="C419" s="30" t="s">
        <v>48</v>
      </c>
      <c r="D419" s="54" t="s">
        <v>30</v>
      </c>
      <c r="E419" s="485">
        <v>0</v>
      </c>
      <c r="F419" s="485">
        <v>1</v>
      </c>
      <c r="G419" s="485">
        <v>0</v>
      </c>
      <c r="H419" s="485">
        <v>0</v>
      </c>
      <c r="I419" s="485">
        <v>0</v>
      </c>
      <c r="J419" s="485">
        <v>0</v>
      </c>
      <c r="K419" s="485">
        <v>0</v>
      </c>
      <c r="L419" s="485">
        <v>0</v>
      </c>
      <c r="M419" s="485">
        <v>1</v>
      </c>
      <c r="N419" s="485">
        <v>0</v>
      </c>
      <c r="O419" s="485">
        <v>0</v>
      </c>
      <c r="P419" s="485">
        <v>0</v>
      </c>
    </row>
    <row r="420" spans="1:16" ht="17" thickBot="1">
      <c r="A420" s="255" t="s">
        <v>239</v>
      </c>
      <c r="B420" s="23" t="s">
        <v>119</v>
      </c>
      <c r="C420" s="30" t="s">
        <v>48</v>
      </c>
      <c r="D420" s="53" t="s">
        <v>123</v>
      </c>
      <c r="E420" s="485"/>
      <c r="F420" s="485"/>
      <c r="G420" s="485"/>
      <c r="H420" s="485"/>
      <c r="I420" s="485"/>
      <c r="J420" s="485"/>
      <c r="K420" s="485"/>
      <c r="L420" s="485"/>
      <c r="M420" s="485"/>
      <c r="N420" s="485"/>
      <c r="O420" s="485"/>
      <c r="P420" s="485"/>
    </row>
    <row r="421" spans="1:16" ht="17" thickBot="1">
      <c r="A421" s="255" t="s">
        <v>239</v>
      </c>
      <c r="B421" s="23" t="s">
        <v>119</v>
      </c>
      <c r="C421" s="30" t="s">
        <v>48</v>
      </c>
      <c r="D421" s="53" t="s">
        <v>113</v>
      </c>
      <c r="E421" s="485">
        <v>0</v>
      </c>
      <c r="F421" s="485">
        <v>0</v>
      </c>
      <c r="G421" s="485">
        <v>0</v>
      </c>
      <c r="H421" s="485">
        <v>0</v>
      </c>
      <c r="I421" s="485">
        <v>0</v>
      </c>
      <c r="J421" s="485">
        <v>0</v>
      </c>
      <c r="K421" s="485">
        <v>0</v>
      </c>
      <c r="L421" s="485">
        <v>0</v>
      </c>
      <c r="M421" s="485">
        <v>0</v>
      </c>
      <c r="N421" s="485">
        <v>0</v>
      </c>
      <c r="O421" s="485">
        <v>0</v>
      </c>
      <c r="P421" s="485">
        <v>1103</v>
      </c>
    </row>
    <row r="422" spans="1:16" ht="17" thickBot="1">
      <c r="A422" s="255" t="s">
        <v>239</v>
      </c>
      <c r="B422" s="23" t="s">
        <v>119</v>
      </c>
      <c r="C422" s="30" t="s">
        <v>48</v>
      </c>
      <c r="D422" s="53" t="s">
        <v>114</v>
      </c>
      <c r="E422" s="485">
        <v>0</v>
      </c>
      <c r="F422" s="485">
        <v>0</v>
      </c>
      <c r="G422" s="485">
        <v>0</v>
      </c>
      <c r="H422" s="485">
        <v>0</v>
      </c>
      <c r="I422" s="485">
        <v>0</v>
      </c>
      <c r="J422" s="485">
        <v>0</v>
      </c>
      <c r="K422" s="485">
        <v>0</v>
      </c>
      <c r="L422" s="485">
        <v>0</v>
      </c>
      <c r="M422" s="485">
        <v>0</v>
      </c>
      <c r="N422" s="485">
        <v>0</v>
      </c>
      <c r="O422" s="485">
        <v>0</v>
      </c>
      <c r="P422" s="485">
        <v>0</v>
      </c>
    </row>
    <row r="423" spans="1:16" ht="17" thickBot="1">
      <c r="A423" s="255" t="s">
        <v>239</v>
      </c>
      <c r="B423" s="23" t="s">
        <v>119</v>
      </c>
      <c r="C423" s="30" t="s">
        <v>49</v>
      </c>
      <c r="D423" s="53" t="s">
        <v>105</v>
      </c>
      <c r="E423" s="485">
        <v>0</v>
      </c>
      <c r="F423" s="485">
        <v>0</v>
      </c>
      <c r="G423" s="485">
        <v>0</v>
      </c>
      <c r="H423" s="485">
        <v>0</v>
      </c>
      <c r="I423" s="485">
        <v>0</v>
      </c>
      <c r="J423" s="485">
        <v>0</v>
      </c>
      <c r="K423" s="485">
        <v>0</v>
      </c>
      <c r="L423" s="485">
        <v>0</v>
      </c>
      <c r="M423" s="485">
        <v>0</v>
      </c>
      <c r="N423" s="485">
        <v>0</v>
      </c>
      <c r="O423" s="485">
        <v>0</v>
      </c>
      <c r="P423" s="485">
        <v>2</v>
      </c>
    </row>
    <row r="424" spans="1:16" ht="17" thickBot="1">
      <c r="A424" s="255" t="s">
        <v>239</v>
      </c>
      <c r="B424" s="23" t="s">
        <v>119</v>
      </c>
      <c r="C424" s="30" t="s">
        <v>49</v>
      </c>
      <c r="D424" s="53" t="s">
        <v>120</v>
      </c>
      <c r="E424" s="485">
        <v>0</v>
      </c>
      <c r="F424" s="485">
        <v>0</v>
      </c>
      <c r="G424" s="485">
        <v>0</v>
      </c>
      <c r="H424" s="485">
        <v>0</v>
      </c>
      <c r="I424" s="485">
        <v>0</v>
      </c>
      <c r="J424" s="485">
        <v>0</v>
      </c>
      <c r="K424" s="485">
        <v>0</v>
      </c>
      <c r="L424" s="485">
        <v>0</v>
      </c>
      <c r="M424" s="485">
        <v>0</v>
      </c>
      <c r="N424" s="485">
        <v>0</v>
      </c>
      <c r="O424" s="485">
        <v>0</v>
      </c>
      <c r="P424" s="485">
        <v>82</v>
      </c>
    </row>
    <row r="425" spans="1:16" ht="17" thickBot="1">
      <c r="A425" s="255" t="s">
        <v>239</v>
      </c>
      <c r="B425" s="23" t="s">
        <v>119</v>
      </c>
      <c r="C425" s="30" t="s">
        <v>50</v>
      </c>
      <c r="D425" s="24" t="s">
        <v>29</v>
      </c>
      <c r="E425" s="485">
        <v>0</v>
      </c>
      <c r="F425" s="485">
        <v>0</v>
      </c>
      <c r="G425" s="485">
        <v>0</v>
      </c>
      <c r="H425" s="485">
        <v>0</v>
      </c>
      <c r="I425" s="485">
        <v>0</v>
      </c>
      <c r="J425" s="485">
        <v>0</v>
      </c>
      <c r="K425" s="485">
        <v>0</v>
      </c>
      <c r="L425" s="485">
        <v>0</v>
      </c>
      <c r="M425" s="485">
        <v>0</v>
      </c>
      <c r="N425" s="485">
        <v>0</v>
      </c>
      <c r="O425" s="485">
        <v>0</v>
      </c>
      <c r="P425" s="485">
        <v>0</v>
      </c>
    </row>
    <row r="426" spans="1:16" ht="17" thickBot="1">
      <c r="A426" s="255" t="s">
        <v>239</v>
      </c>
      <c r="B426" s="23" t="s">
        <v>119</v>
      </c>
      <c r="C426" s="30" t="s">
        <v>50</v>
      </c>
      <c r="D426" s="24" t="s">
        <v>51</v>
      </c>
      <c r="E426" s="485">
        <v>0</v>
      </c>
      <c r="F426" s="485">
        <v>0</v>
      </c>
      <c r="G426" s="485">
        <v>0</v>
      </c>
      <c r="H426" s="485">
        <v>0</v>
      </c>
      <c r="I426" s="485">
        <v>0</v>
      </c>
      <c r="J426" s="485">
        <v>4</v>
      </c>
      <c r="K426" s="485">
        <v>2</v>
      </c>
      <c r="L426" s="485">
        <v>0</v>
      </c>
      <c r="M426" s="485">
        <v>0</v>
      </c>
      <c r="N426" s="485">
        <v>0</v>
      </c>
      <c r="O426" s="485">
        <v>0</v>
      </c>
      <c r="P426" s="485">
        <v>0</v>
      </c>
    </row>
    <row r="427" spans="1:16" ht="17" thickBot="1">
      <c r="A427" s="255" t="s">
        <v>239</v>
      </c>
      <c r="B427" s="23" t="s">
        <v>119</v>
      </c>
      <c r="C427" s="30" t="s">
        <v>50</v>
      </c>
      <c r="D427" s="26" t="s">
        <v>20</v>
      </c>
      <c r="E427" s="485">
        <v>0</v>
      </c>
      <c r="F427" s="485">
        <v>0</v>
      </c>
      <c r="G427" s="485">
        <v>0</v>
      </c>
      <c r="H427" s="485">
        <v>0</v>
      </c>
      <c r="I427" s="485">
        <v>0</v>
      </c>
      <c r="J427" s="485">
        <v>0</v>
      </c>
      <c r="K427" s="485">
        <v>0</v>
      </c>
      <c r="L427" s="485">
        <v>0</v>
      </c>
      <c r="M427" s="485">
        <v>0</v>
      </c>
      <c r="N427" s="485">
        <v>0</v>
      </c>
      <c r="O427" s="485">
        <v>0</v>
      </c>
      <c r="P427" s="485">
        <v>0</v>
      </c>
    </row>
    <row r="428" spans="1:16" ht="17" thickBot="1">
      <c r="A428" s="255" t="s">
        <v>239</v>
      </c>
      <c r="B428" s="23" t="s">
        <v>119</v>
      </c>
      <c r="C428" s="30" t="s">
        <v>50</v>
      </c>
      <c r="D428" s="26" t="s">
        <v>13</v>
      </c>
      <c r="E428" s="485">
        <v>0</v>
      </c>
      <c r="F428" s="485">
        <v>0</v>
      </c>
      <c r="G428" s="485">
        <v>0</v>
      </c>
      <c r="H428" s="485">
        <v>0</v>
      </c>
      <c r="I428" s="485">
        <v>0</v>
      </c>
      <c r="J428" s="485">
        <v>0</v>
      </c>
      <c r="K428" s="485">
        <v>0</v>
      </c>
      <c r="L428" s="485">
        <v>0</v>
      </c>
      <c r="M428" s="485">
        <v>0</v>
      </c>
      <c r="N428" s="485">
        <v>0</v>
      </c>
      <c r="O428" s="485">
        <v>0</v>
      </c>
      <c r="P428" s="485">
        <v>0</v>
      </c>
    </row>
    <row r="429" spans="1:16" ht="17" thickBot="1">
      <c r="A429" s="255" t="s">
        <v>239</v>
      </c>
      <c r="B429" s="23" t="s">
        <v>119</v>
      </c>
      <c r="C429" s="30" t="s">
        <v>50</v>
      </c>
      <c r="D429" s="27" t="s">
        <v>47</v>
      </c>
      <c r="E429" s="485">
        <v>0</v>
      </c>
      <c r="F429" s="485">
        <v>0</v>
      </c>
      <c r="G429" s="485">
        <v>0</v>
      </c>
      <c r="H429" s="485">
        <v>0</v>
      </c>
      <c r="I429" s="485">
        <v>0</v>
      </c>
      <c r="J429" s="485">
        <v>0</v>
      </c>
      <c r="K429" s="485">
        <v>0</v>
      </c>
      <c r="L429" s="485">
        <v>0</v>
      </c>
      <c r="M429" s="485">
        <v>0</v>
      </c>
      <c r="N429" s="485">
        <v>0</v>
      </c>
      <c r="O429" s="485">
        <v>0</v>
      </c>
      <c r="P429" s="485">
        <v>0</v>
      </c>
    </row>
    <row r="430" spans="1:16" ht="17" thickBot="1">
      <c r="A430" s="255" t="s">
        <v>239</v>
      </c>
      <c r="B430" s="23" t="s">
        <v>119</v>
      </c>
      <c r="C430" s="30" t="s">
        <v>50</v>
      </c>
      <c r="D430" s="53" t="s">
        <v>30</v>
      </c>
      <c r="E430" s="485">
        <v>0</v>
      </c>
      <c r="F430" s="485">
        <v>0</v>
      </c>
      <c r="G430" s="485">
        <v>0</v>
      </c>
      <c r="H430" s="485">
        <v>0</v>
      </c>
      <c r="I430" s="485">
        <v>0</v>
      </c>
      <c r="J430" s="485">
        <v>0</v>
      </c>
      <c r="K430" s="485">
        <v>0</v>
      </c>
      <c r="L430" s="485">
        <v>0</v>
      </c>
      <c r="M430" s="485">
        <v>0</v>
      </c>
      <c r="N430" s="485">
        <v>0</v>
      </c>
      <c r="O430" s="485">
        <v>0</v>
      </c>
      <c r="P430" s="485">
        <v>0</v>
      </c>
    </row>
    <row r="431" spans="1:16" ht="17" thickBot="1">
      <c r="A431" s="255" t="s">
        <v>239</v>
      </c>
      <c r="B431" s="23" t="s">
        <v>119</v>
      </c>
      <c r="C431" s="30" t="s">
        <v>50</v>
      </c>
      <c r="D431" s="53" t="s">
        <v>108</v>
      </c>
      <c r="E431" s="485">
        <v>0</v>
      </c>
      <c r="F431" s="485">
        <v>0</v>
      </c>
      <c r="G431" s="485">
        <v>0</v>
      </c>
      <c r="H431" s="485">
        <v>0</v>
      </c>
      <c r="I431" s="485">
        <v>0</v>
      </c>
      <c r="J431" s="485">
        <v>0</v>
      </c>
      <c r="K431" s="485">
        <v>0</v>
      </c>
      <c r="L431" s="485">
        <v>0</v>
      </c>
      <c r="M431" s="485">
        <v>0</v>
      </c>
      <c r="N431" s="485">
        <v>0</v>
      </c>
      <c r="O431" s="485">
        <v>0</v>
      </c>
      <c r="P431" s="485">
        <v>0</v>
      </c>
    </row>
    <row r="432" spans="1:16" ht="17" thickBot="1">
      <c r="A432" s="255" t="s">
        <v>239</v>
      </c>
      <c r="B432" s="23" t="s">
        <v>119</v>
      </c>
      <c r="C432" s="30" t="s">
        <v>50</v>
      </c>
      <c r="D432" s="24" t="s">
        <v>56</v>
      </c>
      <c r="E432" s="485">
        <v>0</v>
      </c>
      <c r="F432" s="485">
        <v>0</v>
      </c>
      <c r="G432" s="485">
        <v>0</v>
      </c>
      <c r="H432" s="485">
        <v>0</v>
      </c>
      <c r="I432" s="485">
        <v>0</v>
      </c>
      <c r="J432" s="485">
        <v>0</v>
      </c>
      <c r="K432" s="485">
        <v>0</v>
      </c>
      <c r="L432" s="485">
        <v>0</v>
      </c>
      <c r="M432" s="485">
        <v>0</v>
      </c>
      <c r="N432" s="485">
        <v>0</v>
      </c>
      <c r="O432" s="485">
        <v>0</v>
      </c>
      <c r="P432" s="485">
        <v>0</v>
      </c>
    </row>
    <row r="433" spans="1:16" ht="17" thickBot="1">
      <c r="A433" s="255" t="s">
        <v>239</v>
      </c>
      <c r="B433" s="23" t="s">
        <v>119</v>
      </c>
      <c r="C433" s="30" t="s">
        <v>50</v>
      </c>
      <c r="D433" s="54" t="s">
        <v>89</v>
      </c>
      <c r="E433" s="485">
        <v>0</v>
      </c>
      <c r="F433" s="485">
        <v>0</v>
      </c>
      <c r="G433" s="485">
        <v>0</v>
      </c>
      <c r="H433" s="485">
        <v>0</v>
      </c>
      <c r="I433" s="485">
        <v>0</v>
      </c>
      <c r="J433" s="485">
        <v>0</v>
      </c>
      <c r="K433" s="485">
        <v>0</v>
      </c>
      <c r="L433" s="485">
        <v>0</v>
      </c>
      <c r="M433" s="485">
        <v>0</v>
      </c>
      <c r="N433" s="485">
        <v>0</v>
      </c>
      <c r="O433" s="485">
        <v>0</v>
      </c>
      <c r="P433" s="485">
        <v>0</v>
      </c>
    </row>
    <row r="434" spans="1:16" ht="17" thickBot="1">
      <c r="A434" s="255" t="s">
        <v>239</v>
      </c>
      <c r="B434" s="23" t="s">
        <v>119</v>
      </c>
      <c r="C434" s="30" t="s">
        <v>50</v>
      </c>
      <c r="D434" s="24" t="s">
        <v>83</v>
      </c>
      <c r="E434" s="485">
        <v>0</v>
      </c>
      <c r="F434" s="485">
        <v>0</v>
      </c>
      <c r="G434" s="485">
        <v>0</v>
      </c>
      <c r="H434" s="485">
        <v>0</v>
      </c>
      <c r="I434" s="485">
        <v>0</v>
      </c>
      <c r="J434" s="485">
        <v>0</v>
      </c>
      <c r="K434" s="485">
        <v>0</v>
      </c>
      <c r="L434" s="485">
        <v>0</v>
      </c>
      <c r="M434" s="485">
        <v>0</v>
      </c>
      <c r="N434" s="485">
        <v>0</v>
      </c>
      <c r="O434" s="485">
        <v>0</v>
      </c>
      <c r="P434" s="485">
        <v>0</v>
      </c>
    </row>
    <row r="435" spans="1:16" ht="17" thickBot="1">
      <c r="A435" s="255" t="s">
        <v>239</v>
      </c>
      <c r="B435" s="23" t="s">
        <v>119</v>
      </c>
      <c r="C435" s="30" t="s">
        <v>50</v>
      </c>
      <c r="D435" s="54" t="s">
        <v>115</v>
      </c>
      <c r="E435" s="485">
        <v>0</v>
      </c>
      <c r="F435" s="485">
        <v>0</v>
      </c>
      <c r="G435" s="485">
        <v>0</v>
      </c>
      <c r="H435" s="485">
        <v>0</v>
      </c>
      <c r="I435" s="485">
        <v>0</v>
      </c>
      <c r="J435" s="485">
        <v>0</v>
      </c>
      <c r="K435" s="485">
        <v>0</v>
      </c>
      <c r="L435" s="485">
        <v>0</v>
      </c>
      <c r="M435" s="485">
        <v>0</v>
      </c>
      <c r="N435" s="485">
        <v>0</v>
      </c>
      <c r="O435" s="485">
        <v>0</v>
      </c>
      <c r="P435" s="485">
        <v>0</v>
      </c>
    </row>
    <row r="436" spans="1:16" ht="17" thickBot="1">
      <c r="A436" s="255" t="s">
        <v>239</v>
      </c>
      <c r="B436" s="23" t="s">
        <v>119</v>
      </c>
      <c r="C436" s="30" t="s">
        <v>50</v>
      </c>
      <c r="D436" s="24" t="s">
        <v>113</v>
      </c>
      <c r="E436" s="485">
        <v>0</v>
      </c>
      <c r="F436" s="485">
        <v>0</v>
      </c>
      <c r="G436" s="485">
        <v>0</v>
      </c>
      <c r="H436" s="485">
        <v>0</v>
      </c>
      <c r="I436" s="485">
        <v>0</v>
      </c>
      <c r="J436" s="485">
        <v>0</v>
      </c>
      <c r="K436" s="485">
        <v>0</v>
      </c>
      <c r="L436" s="485">
        <v>0</v>
      </c>
      <c r="M436" s="485">
        <v>0</v>
      </c>
      <c r="N436" s="485">
        <v>0</v>
      </c>
      <c r="O436" s="485">
        <v>0</v>
      </c>
      <c r="P436" s="485">
        <v>1855</v>
      </c>
    </row>
    <row r="437" spans="1:16" ht="17" thickBot="1">
      <c r="A437" s="255" t="s">
        <v>239</v>
      </c>
      <c r="B437" s="23" t="s">
        <v>119</v>
      </c>
      <c r="C437" s="30" t="s">
        <v>50</v>
      </c>
      <c r="D437" s="54" t="s">
        <v>124</v>
      </c>
      <c r="E437" s="485">
        <v>0</v>
      </c>
      <c r="F437" s="485">
        <v>0</v>
      </c>
      <c r="G437" s="485">
        <v>0</v>
      </c>
      <c r="H437" s="485">
        <v>0</v>
      </c>
      <c r="I437" s="485">
        <v>0</v>
      </c>
      <c r="J437" s="485">
        <v>0</v>
      </c>
      <c r="K437" s="485">
        <v>0</v>
      </c>
      <c r="L437" s="485">
        <v>0</v>
      </c>
      <c r="M437" s="485">
        <v>0</v>
      </c>
      <c r="N437" s="485">
        <v>0</v>
      </c>
      <c r="O437" s="485">
        <v>0</v>
      </c>
      <c r="P437" s="485">
        <v>0</v>
      </c>
    </row>
    <row r="438" spans="1:16" ht="17" thickBot="1">
      <c r="A438" s="255" t="s">
        <v>239</v>
      </c>
      <c r="B438" s="23" t="s">
        <v>152</v>
      </c>
      <c r="C438" s="30" t="s">
        <v>129</v>
      </c>
      <c r="D438" s="24" t="s">
        <v>29</v>
      </c>
      <c r="E438" s="485">
        <v>3</v>
      </c>
      <c r="F438" s="485">
        <v>2</v>
      </c>
      <c r="G438" s="485">
        <v>2</v>
      </c>
      <c r="H438" s="485">
        <v>3</v>
      </c>
      <c r="I438" s="485">
        <v>7</v>
      </c>
      <c r="J438" s="485">
        <v>2</v>
      </c>
      <c r="K438" s="485">
        <v>9</v>
      </c>
      <c r="L438" s="485">
        <v>15</v>
      </c>
      <c r="M438" s="485">
        <v>15</v>
      </c>
      <c r="N438" s="485">
        <v>16</v>
      </c>
      <c r="O438" s="485">
        <v>8</v>
      </c>
      <c r="P438" s="485">
        <v>7</v>
      </c>
    </row>
    <row r="439" spans="1:16" ht="17" thickBot="1">
      <c r="A439" s="255" t="s">
        <v>239</v>
      </c>
      <c r="B439" s="23" t="s">
        <v>152</v>
      </c>
      <c r="C439" s="30" t="s">
        <v>129</v>
      </c>
      <c r="D439" s="24" t="s">
        <v>33</v>
      </c>
      <c r="E439" s="485">
        <v>5</v>
      </c>
      <c r="F439" s="485">
        <v>8</v>
      </c>
      <c r="G439" s="485">
        <v>5</v>
      </c>
      <c r="H439" s="485">
        <v>9</v>
      </c>
      <c r="I439" s="485">
        <v>10</v>
      </c>
      <c r="J439" s="485">
        <v>5</v>
      </c>
      <c r="K439" s="485">
        <v>8</v>
      </c>
      <c r="L439" s="485">
        <v>4</v>
      </c>
      <c r="M439" s="485">
        <v>19</v>
      </c>
      <c r="N439" s="485">
        <v>3</v>
      </c>
      <c r="O439" s="485">
        <v>7</v>
      </c>
      <c r="P439" s="485">
        <v>3</v>
      </c>
    </row>
    <row r="440" spans="1:16" ht="17" thickBot="1">
      <c r="A440" s="255" t="s">
        <v>239</v>
      </c>
      <c r="B440" s="23" t="s">
        <v>152</v>
      </c>
      <c r="C440" s="30" t="s">
        <v>129</v>
      </c>
      <c r="D440" s="24" t="s">
        <v>56</v>
      </c>
      <c r="E440" s="485">
        <v>0</v>
      </c>
      <c r="F440" s="485">
        <v>30</v>
      </c>
      <c r="G440" s="485">
        <v>0</v>
      </c>
      <c r="H440" s="485">
        <v>0</v>
      </c>
      <c r="I440" s="485">
        <v>0</v>
      </c>
      <c r="J440" s="485">
        <v>0</v>
      </c>
      <c r="K440" s="485">
        <v>0</v>
      </c>
      <c r="L440" s="485">
        <v>0</v>
      </c>
      <c r="M440" s="485">
        <v>0</v>
      </c>
      <c r="N440" s="485">
        <v>52</v>
      </c>
      <c r="O440" s="485">
        <v>0</v>
      </c>
      <c r="P440" s="485">
        <v>0</v>
      </c>
    </row>
    <row r="441" spans="1:16" ht="17" thickBot="1">
      <c r="A441" s="255" t="s">
        <v>239</v>
      </c>
      <c r="B441" s="23" t="s">
        <v>152</v>
      </c>
      <c r="C441" s="30" t="s">
        <v>129</v>
      </c>
      <c r="D441" s="54" t="s">
        <v>30</v>
      </c>
      <c r="E441" s="485">
        <v>0</v>
      </c>
      <c r="F441" s="485">
        <v>1</v>
      </c>
      <c r="G441" s="485">
        <v>0</v>
      </c>
      <c r="H441" s="485">
        <v>0</v>
      </c>
      <c r="I441" s="485">
        <v>0</v>
      </c>
      <c r="J441" s="485">
        <v>0</v>
      </c>
      <c r="K441" s="485">
        <v>0</v>
      </c>
      <c r="L441" s="485">
        <v>0</v>
      </c>
      <c r="M441" s="485">
        <v>0</v>
      </c>
      <c r="N441" s="485">
        <v>1</v>
      </c>
      <c r="O441" s="485">
        <v>0</v>
      </c>
      <c r="P441" s="485">
        <v>0</v>
      </c>
    </row>
    <row r="442" spans="1:16" ht="17" thickBot="1">
      <c r="A442" s="255" t="s">
        <v>239</v>
      </c>
      <c r="B442" s="23" t="s">
        <v>152</v>
      </c>
      <c r="C442" s="30" t="s">
        <v>129</v>
      </c>
      <c r="D442" s="53" t="s">
        <v>146</v>
      </c>
      <c r="E442" s="485">
        <v>0</v>
      </c>
      <c r="F442" s="485">
        <v>0</v>
      </c>
      <c r="G442" s="485">
        <v>0</v>
      </c>
      <c r="H442" s="485">
        <v>0</v>
      </c>
      <c r="I442" s="485">
        <v>0</v>
      </c>
      <c r="J442" s="485">
        <v>0</v>
      </c>
      <c r="K442" s="485">
        <v>0</v>
      </c>
      <c r="L442" s="485">
        <v>0</v>
      </c>
      <c r="M442" s="485">
        <v>0</v>
      </c>
      <c r="N442" s="485">
        <v>0</v>
      </c>
      <c r="O442" s="485">
        <v>0</v>
      </c>
      <c r="P442" s="485">
        <v>0</v>
      </c>
    </row>
    <row r="443" spans="1:16" ht="17" thickBot="1">
      <c r="A443" s="255" t="s">
        <v>239</v>
      </c>
      <c r="B443" s="23" t="s">
        <v>152</v>
      </c>
      <c r="C443" s="30" t="s">
        <v>129</v>
      </c>
      <c r="D443" s="53" t="s">
        <v>145</v>
      </c>
      <c r="E443" s="485">
        <v>0</v>
      </c>
      <c r="F443" s="485">
        <v>1</v>
      </c>
      <c r="G443" s="485">
        <v>4</v>
      </c>
      <c r="H443" s="485">
        <v>1</v>
      </c>
      <c r="I443" s="485">
        <v>4</v>
      </c>
      <c r="J443" s="485">
        <v>0</v>
      </c>
      <c r="K443" s="485">
        <v>0</v>
      </c>
      <c r="L443" s="485">
        <v>0</v>
      </c>
      <c r="M443" s="485">
        <v>0</v>
      </c>
      <c r="N443" s="485">
        <v>0</v>
      </c>
      <c r="O443" s="485">
        <v>0</v>
      </c>
      <c r="P443" s="485">
        <v>0</v>
      </c>
    </row>
    <row r="444" spans="1:16" ht="17" thickBot="1">
      <c r="A444" s="255" t="s">
        <v>239</v>
      </c>
      <c r="B444" s="23" t="s">
        <v>152</v>
      </c>
      <c r="C444" s="30" t="s">
        <v>130</v>
      </c>
      <c r="D444" s="53" t="s">
        <v>113</v>
      </c>
      <c r="E444" s="485">
        <v>332</v>
      </c>
      <c r="F444" s="485">
        <v>0</v>
      </c>
      <c r="G444" s="485">
        <v>0</v>
      </c>
      <c r="H444" s="485">
        <v>0</v>
      </c>
      <c r="I444" s="485">
        <v>0</v>
      </c>
      <c r="J444" s="485">
        <v>0</v>
      </c>
      <c r="K444" s="485">
        <v>0</v>
      </c>
      <c r="L444" s="485">
        <v>0</v>
      </c>
      <c r="M444" s="485">
        <v>0</v>
      </c>
      <c r="N444" s="485">
        <v>0</v>
      </c>
      <c r="O444" s="485">
        <v>0</v>
      </c>
      <c r="P444" s="485">
        <v>0</v>
      </c>
    </row>
    <row r="445" spans="1:16" ht="17" thickBot="1">
      <c r="A445" s="255" t="s">
        <v>239</v>
      </c>
      <c r="B445" s="23" t="s">
        <v>152</v>
      </c>
      <c r="C445" s="30" t="s">
        <v>130</v>
      </c>
      <c r="D445" s="53" t="s">
        <v>114</v>
      </c>
      <c r="E445" s="485">
        <v>0</v>
      </c>
      <c r="F445" s="485">
        <v>0</v>
      </c>
      <c r="G445" s="485">
        <v>0</v>
      </c>
      <c r="H445" s="485">
        <v>0</v>
      </c>
      <c r="I445" s="485">
        <v>0</v>
      </c>
      <c r="J445" s="485">
        <v>0</v>
      </c>
      <c r="K445" s="485">
        <v>8</v>
      </c>
      <c r="L445" s="485">
        <v>5</v>
      </c>
      <c r="M445" s="485">
        <v>0</v>
      </c>
      <c r="N445" s="485">
        <v>0</v>
      </c>
      <c r="O445" s="485">
        <v>3</v>
      </c>
      <c r="P445" s="485">
        <v>16</v>
      </c>
    </row>
    <row r="446" spans="1:16" ht="17" thickBot="1">
      <c r="A446" s="255" t="s">
        <v>239</v>
      </c>
      <c r="B446" s="23" t="s">
        <v>152</v>
      </c>
      <c r="C446" s="30" t="s">
        <v>130</v>
      </c>
      <c r="D446" s="53" t="s">
        <v>133</v>
      </c>
      <c r="E446" s="485">
        <v>1</v>
      </c>
      <c r="F446" s="485">
        <v>1</v>
      </c>
      <c r="G446" s="485">
        <v>0</v>
      </c>
      <c r="H446" s="485">
        <v>0</v>
      </c>
      <c r="I446" s="485">
        <v>3</v>
      </c>
      <c r="J446" s="485">
        <v>1</v>
      </c>
      <c r="K446" s="485">
        <v>0</v>
      </c>
      <c r="L446" s="485">
        <v>5</v>
      </c>
      <c r="M446" s="485">
        <v>1</v>
      </c>
      <c r="N446" s="485">
        <v>2</v>
      </c>
      <c r="O446" s="485">
        <v>0</v>
      </c>
      <c r="P446" s="485">
        <v>3</v>
      </c>
    </row>
    <row r="447" spans="1:16" ht="17" thickBot="1">
      <c r="A447" s="255" t="s">
        <v>239</v>
      </c>
      <c r="B447" s="23" t="s">
        <v>152</v>
      </c>
      <c r="C447" s="30" t="s">
        <v>130</v>
      </c>
      <c r="D447" s="53" t="s">
        <v>163</v>
      </c>
      <c r="E447" s="485">
        <v>0</v>
      </c>
      <c r="F447" s="485">
        <v>0</v>
      </c>
      <c r="G447" s="485">
        <v>0</v>
      </c>
      <c r="H447" s="485">
        <v>0</v>
      </c>
      <c r="I447" s="485">
        <v>0</v>
      </c>
      <c r="J447" s="485">
        <v>0</v>
      </c>
      <c r="K447" s="485">
        <v>0</v>
      </c>
      <c r="L447" s="485">
        <v>0</v>
      </c>
      <c r="M447" s="485">
        <v>0</v>
      </c>
      <c r="N447" s="485">
        <v>0</v>
      </c>
      <c r="O447" s="485">
        <v>0</v>
      </c>
      <c r="P447" s="485">
        <v>0</v>
      </c>
    </row>
    <row r="448" spans="1:16" ht="17" thickBot="1">
      <c r="A448" s="255" t="s">
        <v>239</v>
      </c>
      <c r="B448" s="23" t="s">
        <v>152</v>
      </c>
      <c r="C448" s="30" t="s">
        <v>131</v>
      </c>
      <c r="D448" s="53" t="s">
        <v>105</v>
      </c>
      <c r="E448" s="103"/>
      <c r="F448" s="103"/>
      <c r="G448" s="103"/>
      <c r="H448" s="103"/>
      <c r="I448" s="103"/>
      <c r="J448" s="103"/>
      <c r="K448" s="103"/>
      <c r="L448" s="103"/>
      <c r="M448" s="103"/>
      <c r="N448" s="103"/>
      <c r="O448" s="103"/>
      <c r="P448" s="103"/>
    </row>
    <row r="449" spans="1:16" ht="17" thickBot="1">
      <c r="A449" s="255" t="s">
        <v>239</v>
      </c>
      <c r="B449" s="23" t="s">
        <v>152</v>
      </c>
      <c r="C449" s="30" t="s">
        <v>131</v>
      </c>
      <c r="D449" s="53" t="s">
        <v>120</v>
      </c>
      <c r="E449" s="103"/>
      <c r="F449" s="103"/>
      <c r="G449" s="103"/>
      <c r="H449" s="103"/>
      <c r="I449" s="103"/>
      <c r="J449" s="103"/>
      <c r="K449" s="103"/>
      <c r="L449" s="103"/>
      <c r="M449" s="103"/>
      <c r="N449" s="103"/>
      <c r="O449" s="103"/>
      <c r="P449" s="103"/>
    </row>
    <row r="450" spans="1:16" ht="17" thickBot="1">
      <c r="A450" s="255" t="s">
        <v>239</v>
      </c>
      <c r="B450" s="23" t="s">
        <v>152</v>
      </c>
      <c r="C450" s="30" t="s">
        <v>134</v>
      </c>
      <c r="D450" s="24" t="s">
        <v>29</v>
      </c>
      <c r="E450" s="485">
        <v>0</v>
      </c>
      <c r="F450" s="485">
        <v>0</v>
      </c>
      <c r="G450" s="485">
        <v>0</v>
      </c>
      <c r="H450" s="485">
        <v>0</v>
      </c>
      <c r="I450" s="485">
        <v>200</v>
      </c>
      <c r="J450" s="485">
        <v>0</v>
      </c>
      <c r="K450" s="485">
        <v>0</v>
      </c>
      <c r="L450" s="485">
        <v>0</v>
      </c>
      <c r="M450" s="485">
        <v>0</v>
      </c>
      <c r="N450" s="485">
        <v>0</v>
      </c>
      <c r="O450" s="485">
        <v>0</v>
      </c>
      <c r="P450" s="485">
        <v>0</v>
      </c>
    </row>
    <row r="451" spans="1:16" ht="17" thickBot="1">
      <c r="A451" s="255" t="s">
        <v>239</v>
      </c>
      <c r="B451" s="23" t="s">
        <v>152</v>
      </c>
      <c r="C451" s="30" t="s">
        <v>134</v>
      </c>
      <c r="D451" s="24" t="s">
        <v>51</v>
      </c>
      <c r="E451" s="485">
        <v>0</v>
      </c>
      <c r="F451" s="485">
        <v>0</v>
      </c>
      <c r="G451" s="485">
        <v>0</v>
      </c>
      <c r="H451" s="485">
        <v>0</v>
      </c>
      <c r="I451" s="485">
        <v>0</v>
      </c>
      <c r="J451" s="485">
        <v>0</v>
      </c>
      <c r="K451" s="485">
        <v>0</v>
      </c>
      <c r="L451" s="485">
        <v>0</v>
      </c>
      <c r="M451" s="485">
        <v>0</v>
      </c>
      <c r="N451" s="485">
        <v>0</v>
      </c>
      <c r="O451" s="485">
        <v>0</v>
      </c>
      <c r="P451" s="485">
        <v>0</v>
      </c>
    </row>
    <row r="452" spans="1:16" ht="17" thickBot="1">
      <c r="A452" s="255" t="s">
        <v>239</v>
      </c>
      <c r="B452" s="23" t="s">
        <v>152</v>
      </c>
      <c r="C452" s="30" t="s">
        <v>134</v>
      </c>
      <c r="D452" s="26" t="s">
        <v>140</v>
      </c>
      <c r="E452" s="485">
        <v>0</v>
      </c>
      <c r="F452" s="485">
        <v>0</v>
      </c>
      <c r="G452" s="485">
        <v>0</v>
      </c>
      <c r="H452" s="485">
        <v>0</v>
      </c>
      <c r="I452" s="485">
        <v>0</v>
      </c>
      <c r="J452" s="485">
        <v>0</v>
      </c>
      <c r="K452" s="485">
        <v>0</v>
      </c>
      <c r="L452" s="485">
        <v>0</v>
      </c>
      <c r="M452" s="485">
        <v>0</v>
      </c>
      <c r="N452" s="485">
        <v>0</v>
      </c>
      <c r="O452" s="485">
        <v>0</v>
      </c>
      <c r="P452" s="485">
        <v>0</v>
      </c>
    </row>
    <row r="453" spans="1:16" ht="17" thickBot="1">
      <c r="A453" s="255" t="s">
        <v>239</v>
      </c>
      <c r="B453" s="23" t="s">
        <v>152</v>
      </c>
      <c r="C453" s="30" t="s">
        <v>134</v>
      </c>
      <c r="D453" s="26" t="s">
        <v>13</v>
      </c>
      <c r="E453" s="485"/>
      <c r="F453" s="485"/>
      <c r="G453" s="485"/>
      <c r="H453" s="485"/>
      <c r="I453" s="485"/>
      <c r="J453" s="485"/>
      <c r="K453" s="485"/>
      <c r="L453" s="485"/>
      <c r="M453" s="485"/>
      <c r="N453" s="485"/>
      <c r="O453" s="485"/>
      <c r="P453" s="485"/>
    </row>
    <row r="454" spans="1:16" ht="17" thickBot="1">
      <c r="A454" s="255" t="s">
        <v>239</v>
      </c>
      <c r="B454" s="23" t="s">
        <v>152</v>
      </c>
      <c r="C454" s="30" t="s">
        <v>134</v>
      </c>
      <c r="D454" s="27" t="s">
        <v>47</v>
      </c>
      <c r="E454" s="485"/>
      <c r="F454" s="485"/>
      <c r="G454" s="485"/>
      <c r="H454" s="485"/>
      <c r="I454" s="485"/>
      <c r="J454" s="485"/>
      <c r="K454" s="485"/>
      <c r="L454" s="485"/>
      <c r="M454" s="485"/>
      <c r="N454" s="485"/>
      <c r="O454" s="485"/>
      <c r="P454" s="485"/>
    </row>
    <row r="455" spans="1:16" ht="17" thickBot="1">
      <c r="A455" s="255" t="s">
        <v>239</v>
      </c>
      <c r="B455" s="23" t="s">
        <v>152</v>
      </c>
      <c r="C455" s="30" t="s">
        <v>134</v>
      </c>
      <c r="D455" s="53" t="s">
        <v>30</v>
      </c>
      <c r="E455" s="485">
        <v>3</v>
      </c>
      <c r="F455" s="485">
        <v>0</v>
      </c>
      <c r="G455" s="485">
        <v>0</v>
      </c>
      <c r="H455" s="485">
        <v>0</v>
      </c>
      <c r="I455" s="485">
        <v>0</v>
      </c>
      <c r="J455" s="485">
        <v>0</v>
      </c>
      <c r="K455" s="485">
        <v>8</v>
      </c>
      <c r="L455" s="485">
        <v>3</v>
      </c>
      <c r="M455" s="485">
        <v>2</v>
      </c>
      <c r="N455" s="485">
        <v>0</v>
      </c>
      <c r="O455" s="485">
        <v>4</v>
      </c>
      <c r="P455" s="485">
        <v>3</v>
      </c>
    </row>
    <row r="456" spans="1:16" ht="17" thickBot="1">
      <c r="A456" s="255" t="s">
        <v>239</v>
      </c>
      <c r="B456" s="23" t="s">
        <v>152</v>
      </c>
      <c r="C456" s="30" t="s">
        <v>134</v>
      </c>
      <c r="D456" s="53" t="s">
        <v>108</v>
      </c>
      <c r="E456" s="485"/>
      <c r="F456" s="485"/>
      <c r="G456" s="485"/>
      <c r="H456" s="485"/>
      <c r="I456" s="485"/>
      <c r="J456" s="485"/>
      <c r="K456" s="485"/>
      <c r="L456" s="485"/>
      <c r="M456" s="485"/>
      <c r="N456" s="485"/>
      <c r="O456" s="485"/>
      <c r="P456" s="485"/>
    </row>
    <row r="457" spans="1:16" ht="17" thickBot="1">
      <c r="A457" s="255" t="s">
        <v>239</v>
      </c>
      <c r="B457" s="23" t="s">
        <v>152</v>
      </c>
      <c r="C457" s="30" t="s">
        <v>134</v>
      </c>
      <c r="D457" s="24" t="s">
        <v>56</v>
      </c>
      <c r="E457" s="485">
        <v>1488</v>
      </c>
      <c r="F457" s="485">
        <v>0</v>
      </c>
      <c r="G457" s="485">
        <v>0</v>
      </c>
      <c r="H457" s="485">
        <v>0</v>
      </c>
      <c r="I457" s="485">
        <v>0</v>
      </c>
      <c r="J457" s="485">
        <v>0</v>
      </c>
      <c r="K457" s="485">
        <v>0</v>
      </c>
      <c r="L457" s="485">
        <v>0</v>
      </c>
      <c r="M457" s="485">
        <v>0</v>
      </c>
      <c r="N457" s="485">
        <v>0</v>
      </c>
      <c r="O457" s="485">
        <v>0</v>
      </c>
      <c r="P457" s="485">
        <v>1563</v>
      </c>
    </row>
    <row r="458" spans="1:16" ht="17" thickBot="1">
      <c r="A458" s="255" t="s">
        <v>239</v>
      </c>
      <c r="B458" s="23" t="s">
        <v>152</v>
      </c>
      <c r="C458" s="30" t="s">
        <v>134</v>
      </c>
      <c r="D458" s="54" t="s">
        <v>89</v>
      </c>
      <c r="E458" s="485">
        <v>0</v>
      </c>
      <c r="F458" s="485">
        <v>0</v>
      </c>
      <c r="G458" s="485">
        <v>0</v>
      </c>
      <c r="H458" s="485">
        <v>0</v>
      </c>
      <c r="I458" s="485">
        <v>0</v>
      </c>
      <c r="J458" s="485">
        <v>0</v>
      </c>
      <c r="K458" s="485">
        <v>0</v>
      </c>
      <c r="L458" s="485">
        <v>0</v>
      </c>
      <c r="M458" s="485">
        <v>0</v>
      </c>
      <c r="N458" s="485">
        <v>0</v>
      </c>
      <c r="O458" s="485">
        <v>0</v>
      </c>
      <c r="P458" s="485">
        <v>0</v>
      </c>
    </row>
    <row r="459" spans="1:16" ht="17" thickBot="1">
      <c r="A459" s="255" t="s">
        <v>239</v>
      </c>
      <c r="B459" s="23" t="s">
        <v>152</v>
      </c>
      <c r="C459" s="30" t="s">
        <v>134</v>
      </c>
      <c r="D459" s="24" t="s">
        <v>83</v>
      </c>
      <c r="E459" s="485"/>
      <c r="F459" s="485"/>
      <c r="G459" s="485"/>
      <c r="H459" s="485"/>
      <c r="I459" s="485"/>
      <c r="J459" s="485"/>
      <c r="K459" s="485"/>
      <c r="L459" s="485"/>
      <c r="M459" s="485"/>
      <c r="N459" s="485"/>
      <c r="O459" s="485"/>
      <c r="P459" s="485"/>
    </row>
    <row r="460" spans="1:16" ht="17" thickBot="1">
      <c r="A460" s="255" t="s">
        <v>239</v>
      </c>
      <c r="B460" s="23" t="s">
        <v>152</v>
      </c>
      <c r="C460" s="30" t="s">
        <v>134</v>
      </c>
      <c r="D460" s="54" t="s">
        <v>124</v>
      </c>
      <c r="E460" s="485">
        <v>0</v>
      </c>
      <c r="F460" s="485">
        <v>0</v>
      </c>
      <c r="G460" s="485">
        <v>0</v>
      </c>
      <c r="H460" s="485">
        <v>0</v>
      </c>
      <c r="I460" s="485">
        <v>0</v>
      </c>
      <c r="J460" s="485">
        <v>0</v>
      </c>
      <c r="K460" s="485">
        <v>0</v>
      </c>
      <c r="L460" s="485">
        <v>0</v>
      </c>
      <c r="M460" s="485">
        <v>0</v>
      </c>
      <c r="N460" s="485">
        <v>0</v>
      </c>
      <c r="O460" s="485">
        <v>0</v>
      </c>
      <c r="P460" s="485">
        <v>0</v>
      </c>
    </row>
    <row r="461" spans="1:16" ht="17" thickBot="1">
      <c r="A461" s="255" t="s">
        <v>239</v>
      </c>
      <c r="B461" s="23" t="s">
        <v>152</v>
      </c>
      <c r="C461" s="30" t="s">
        <v>134</v>
      </c>
      <c r="D461" s="54" t="s">
        <v>127</v>
      </c>
      <c r="E461" s="485">
        <v>0</v>
      </c>
      <c r="F461" s="485">
        <v>0</v>
      </c>
      <c r="G461" s="485">
        <v>0</v>
      </c>
      <c r="H461" s="485">
        <v>0</v>
      </c>
      <c r="I461" s="485">
        <v>0</v>
      </c>
      <c r="J461" s="485">
        <v>0</v>
      </c>
      <c r="K461" s="485">
        <v>0</v>
      </c>
      <c r="L461" s="485">
        <v>0</v>
      </c>
      <c r="M461" s="485">
        <v>0</v>
      </c>
      <c r="N461" s="485">
        <v>0</v>
      </c>
      <c r="O461" s="485">
        <v>0</v>
      </c>
      <c r="P461" s="485">
        <v>0</v>
      </c>
    </row>
    <row r="462" spans="1:16" ht="17" thickBot="1">
      <c r="A462" s="255" t="s">
        <v>239</v>
      </c>
      <c r="B462" s="23" t="s">
        <v>152</v>
      </c>
      <c r="C462" s="30" t="s">
        <v>134</v>
      </c>
      <c r="D462" s="54" t="s">
        <v>128</v>
      </c>
      <c r="E462" s="485">
        <v>0</v>
      </c>
      <c r="F462" s="485">
        <v>0</v>
      </c>
      <c r="G462" s="485">
        <v>0</v>
      </c>
      <c r="H462" s="485">
        <v>0</v>
      </c>
      <c r="I462" s="485">
        <v>0</v>
      </c>
      <c r="J462" s="485">
        <v>0</v>
      </c>
      <c r="K462" s="485">
        <v>0</v>
      </c>
      <c r="L462" s="485">
        <v>0</v>
      </c>
      <c r="M462" s="485">
        <v>0</v>
      </c>
      <c r="N462" s="485">
        <v>0</v>
      </c>
      <c r="O462" s="485">
        <v>0</v>
      </c>
      <c r="P462" s="485">
        <v>0</v>
      </c>
    </row>
    <row r="463" spans="1:16" ht="17" thickBot="1">
      <c r="A463" s="255" t="s">
        <v>239</v>
      </c>
      <c r="B463" s="23" t="s">
        <v>152</v>
      </c>
      <c r="C463" s="30" t="s">
        <v>134</v>
      </c>
      <c r="D463" s="54" t="s">
        <v>146</v>
      </c>
      <c r="E463" s="485">
        <v>3</v>
      </c>
      <c r="F463" s="485">
        <v>0</v>
      </c>
      <c r="G463" s="485">
        <v>0</v>
      </c>
      <c r="H463" s="485">
        <v>0</v>
      </c>
      <c r="I463" s="485">
        <v>0</v>
      </c>
      <c r="J463" s="485">
        <v>0</v>
      </c>
      <c r="K463" s="485">
        <v>0</v>
      </c>
      <c r="L463" s="485">
        <v>0</v>
      </c>
      <c r="M463" s="485">
        <v>0</v>
      </c>
      <c r="N463" s="485">
        <v>0</v>
      </c>
      <c r="O463" s="485">
        <v>0</v>
      </c>
      <c r="P463" s="485">
        <v>0</v>
      </c>
    </row>
    <row r="464" spans="1:16" ht="17" thickBot="1">
      <c r="A464" s="255" t="s">
        <v>239</v>
      </c>
      <c r="B464" s="23" t="s">
        <v>152</v>
      </c>
      <c r="C464" s="30" t="s">
        <v>132</v>
      </c>
      <c r="D464" s="54" t="s">
        <v>115</v>
      </c>
      <c r="E464" s="103"/>
      <c r="F464" s="103"/>
      <c r="G464" s="103"/>
      <c r="H464" s="103"/>
      <c r="I464" s="103"/>
      <c r="J464" s="103"/>
      <c r="K464" s="103"/>
      <c r="L464" s="103"/>
      <c r="M464" s="103"/>
      <c r="N464" s="103"/>
      <c r="O464" s="103"/>
      <c r="P464" s="103"/>
    </row>
    <row r="465" spans="1:16" ht="17" thickBot="1">
      <c r="A465" s="255" t="s">
        <v>239</v>
      </c>
      <c r="B465" s="23" t="s">
        <v>152</v>
      </c>
      <c r="C465" s="30" t="s">
        <v>132</v>
      </c>
      <c r="D465" s="24" t="s">
        <v>113</v>
      </c>
      <c r="E465" s="485">
        <v>0</v>
      </c>
      <c r="F465" s="485">
        <v>0</v>
      </c>
      <c r="G465" s="485">
        <v>0</v>
      </c>
      <c r="H465" s="485">
        <v>0</v>
      </c>
      <c r="I465" s="485">
        <v>0</v>
      </c>
      <c r="J465" s="485">
        <v>0</v>
      </c>
      <c r="K465" s="485">
        <v>0</v>
      </c>
      <c r="L465" s="485">
        <v>0</v>
      </c>
      <c r="M465" s="485">
        <v>0</v>
      </c>
      <c r="N465" s="485">
        <v>0</v>
      </c>
      <c r="O465" s="485">
        <v>0</v>
      </c>
      <c r="P465" s="485">
        <v>0</v>
      </c>
    </row>
    <row r="466" spans="1:16" ht="17" thickBot="1">
      <c r="A466" s="255" t="s">
        <v>239</v>
      </c>
      <c r="B466" s="23" t="s">
        <v>160</v>
      </c>
      <c r="C466" s="30" t="s">
        <v>129</v>
      </c>
      <c r="D466" s="24" t="s">
        <v>29</v>
      </c>
      <c r="E466" s="485">
        <v>19</v>
      </c>
      <c r="F466" s="485">
        <v>16</v>
      </c>
      <c r="G466" s="485">
        <v>22</v>
      </c>
      <c r="H466" s="485">
        <v>89</v>
      </c>
      <c r="I466" s="485">
        <v>16</v>
      </c>
      <c r="J466" s="485">
        <v>11</v>
      </c>
      <c r="K466" s="485">
        <v>1</v>
      </c>
      <c r="L466" s="485">
        <v>3</v>
      </c>
      <c r="M466" s="485">
        <v>6</v>
      </c>
      <c r="N466" s="485">
        <v>0</v>
      </c>
      <c r="O466" s="485">
        <v>0</v>
      </c>
      <c r="P466" s="485">
        <v>0</v>
      </c>
    </row>
    <row r="467" spans="1:16" ht="17" thickBot="1">
      <c r="A467" s="255" t="s">
        <v>239</v>
      </c>
      <c r="B467" s="23" t="s">
        <v>160</v>
      </c>
      <c r="C467" s="30" t="s">
        <v>129</v>
      </c>
      <c r="D467" s="24" t="s">
        <v>33</v>
      </c>
      <c r="E467" s="485">
        <v>9</v>
      </c>
      <c r="F467" s="485">
        <v>1</v>
      </c>
      <c r="G467" s="485">
        <v>5</v>
      </c>
      <c r="H467" s="485">
        <v>7</v>
      </c>
      <c r="I467" s="485">
        <v>1</v>
      </c>
      <c r="J467" s="485">
        <v>2</v>
      </c>
      <c r="K467" s="485">
        <v>1</v>
      </c>
      <c r="L467" s="485">
        <v>10</v>
      </c>
      <c r="M467" s="485">
        <v>9</v>
      </c>
      <c r="N467" s="485">
        <v>4</v>
      </c>
      <c r="O467" s="485">
        <v>4</v>
      </c>
      <c r="P467" s="485">
        <v>23</v>
      </c>
    </row>
    <row r="468" spans="1:16" ht="17" thickBot="1">
      <c r="A468" s="255" t="s">
        <v>239</v>
      </c>
      <c r="B468" s="23" t="s">
        <v>160</v>
      </c>
      <c r="C468" s="30" t="s">
        <v>129</v>
      </c>
      <c r="D468" s="24" t="s">
        <v>56</v>
      </c>
      <c r="E468" s="485">
        <v>0</v>
      </c>
      <c r="F468" s="485">
        <v>19</v>
      </c>
      <c r="G468" s="485">
        <v>27</v>
      </c>
      <c r="H468" s="485">
        <v>56</v>
      </c>
      <c r="I468" s="485">
        <v>0</v>
      </c>
      <c r="J468" s="485">
        <v>0</v>
      </c>
      <c r="K468" s="485">
        <v>0</v>
      </c>
      <c r="L468" s="485">
        <v>0</v>
      </c>
      <c r="M468" s="485">
        <v>0</v>
      </c>
      <c r="N468" s="485">
        <v>0</v>
      </c>
      <c r="O468" s="485">
        <v>0</v>
      </c>
      <c r="P468" s="485">
        <v>0</v>
      </c>
    </row>
    <row r="469" spans="1:16" ht="17" thickBot="1">
      <c r="A469" s="255" t="s">
        <v>239</v>
      </c>
      <c r="B469" s="23" t="s">
        <v>160</v>
      </c>
      <c r="C469" s="30" t="s">
        <v>129</v>
      </c>
      <c r="D469" s="54" t="s">
        <v>30</v>
      </c>
      <c r="E469" s="485">
        <v>1</v>
      </c>
      <c r="F469" s="485">
        <v>2</v>
      </c>
      <c r="G469" s="485">
        <v>0</v>
      </c>
      <c r="H469" s="485">
        <v>2</v>
      </c>
      <c r="I469" s="485">
        <v>1</v>
      </c>
      <c r="J469" s="485">
        <v>0</v>
      </c>
      <c r="K469" s="485">
        <v>1</v>
      </c>
      <c r="L469" s="485">
        <v>1</v>
      </c>
      <c r="M469" s="485">
        <v>1</v>
      </c>
      <c r="N469" s="485">
        <v>0</v>
      </c>
      <c r="O469" s="485">
        <v>0</v>
      </c>
      <c r="P469" s="485">
        <v>3</v>
      </c>
    </row>
    <row r="470" spans="1:16" ht="17" thickBot="1">
      <c r="A470" s="255" t="s">
        <v>239</v>
      </c>
      <c r="B470" s="23" t="s">
        <v>160</v>
      </c>
      <c r="C470" s="30" t="s">
        <v>129</v>
      </c>
      <c r="D470" s="53" t="s">
        <v>146</v>
      </c>
      <c r="E470" s="485">
        <v>0</v>
      </c>
      <c r="F470" s="485">
        <v>0</v>
      </c>
      <c r="G470" s="485">
        <v>3</v>
      </c>
      <c r="H470" s="485">
        <v>1</v>
      </c>
      <c r="I470" s="485">
        <v>1</v>
      </c>
      <c r="J470" s="485">
        <v>5</v>
      </c>
      <c r="K470" s="485">
        <v>10</v>
      </c>
      <c r="L470" s="485">
        <v>3</v>
      </c>
      <c r="M470" s="485">
        <v>2</v>
      </c>
      <c r="N470" s="485">
        <v>0</v>
      </c>
      <c r="O470" s="485">
        <v>0</v>
      </c>
      <c r="P470" s="485">
        <v>0</v>
      </c>
    </row>
    <row r="471" spans="1:16" ht="17" thickBot="1">
      <c r="A471" s="255" t="s">
        <v>239</v>
      </c>
      <c r="B471" s="23" t="s">
        <v>160</v>
      </c>
      <c r="C471" s="30" t="s">
        <v>129</v>
      </c>
      <c r="D471" s="53" t="s">
        <v>145</v>
      </c>
      <c r="E471" s="485">
        <v>0</v>
      </c>
      <c r="F471" s="485">
        <v>0</v>
      </c>
      <c r="G471" s="485">
        <v>1</v>
      </c>
      <c r="H471" s="485">
        <v>3</v>
      </c>
      <c r="I471" s="485">
        <v>2</v>
      </c>
      <c r="J471" s="485">
        <v>0</v>
      </c>
      <c r="K471" s="485">
        <v>0</v>
      </c>
      <c r="L471" s="485">
        <v>0</v>
      </c>
      <c r="M471" s="485">
        <v>4</v>
      </c>
      <c r="N471" s="485">
        <v>4</v>
      </c>
      <c r="O471" s="485">
        <v>2</v>
      </c>
      <c r="P471" s="485">
        <v>0</v>
      </c>
    </row>
    <row r="472" spans="1:16" ht="17" thickBot="1">
      <c r="A472" s="255" t="s">
        <v>239</v>
      </c>
      <c r="B472" s="23" t="s">
        <v>160</v>
      </c>
      <c r="C472" s="30" t="s">
        <v>129</v>
      </c>
      <c r="D472" s="53" t="s">
        <v>164</v>
      </c>
      <c r="E472" s="485">
        <v>0</v>
      </c>
      <c r="F472" s="485">
        <v>0</v>
      </c>
      <c r="G472" s="485">
        <v>0</v>
      </c>
      <c r="H472" s="485">
        <v>0</v>
      </c>
      <c r="I472" s="485">
        <v>0</v>
      </c>
      <c r="J472" s="485">
        <v>0</v>
      </c>
      <c r="K472" s="485">
        <v>0</v>
      </c>
      <c r="L472" s="485">
        <v>0</v>
      </c>
      <c r="M472" s="485">
        <v>0</v>
      </c>
      <c r="N472" s="485">
        <v>0</v>
      </c>
      <c r="O472" s="485">
        <v>0</v>
      </c>
      <c r="P472" s="485">
        <v>0</v>
      </c>
    </row>
    <row r="473" spans="1:16" ht="17" thickBot="1">
      <c r="A473" s="255" t="s">
        <v>239</v>
      </c>
      <c r="B473" s="23" t="s">
        <v>160</v>
      </c>
      <c r="C473" s="30" t="s">
        <v>130</v>
      </c>
      <c r="D473" s="53" t="s">
        <v>113</v>
      </c>
      <c r="E473" s="485">
        <v>0</v>
      </c>
      <c r="F473" s="485">
        <v>0</v>
      </c>
      <c r="G473" s="485">
        <v>0</v>
      </c>
      <c r="H473" s="485">
        <v>0</v>
      </c>
      <c r="I473" s="485">
        <v>0</v>
      </c>
      <c r="J473" s="485">
        <v>0</v>
      </c>
      <c r="K473" s="485">
        <v>0</v>
      </c>
      <c r="L473" s="485">
        <v>0</v>
      </c>
      <c r="M473" s="485">
        <v>0</v>
      </c>
      <c r="N473" s="485">
        <v>0</v>
      </c>
      <c r="O473" s="485">
        <v>0</v>
      </c>
      <c r="P473" s="485">
        <v>108</v>
      </c>
    </row>
    <row r="474" spans="1:16" ht="17" thickBot="1">
      <c r="A474" s="255" t="s">
        <v>239</v>
      </c>
      <c r="B474" s="23" t="s">
        <v>160</v>
      </c>
      <c r="C474" s="30" t="s">
        <v>130</v>
      </c>
      <c r="D474" s="53" t="s">
        <v>114</v>
      </c>
      <c r="E474" s="485">
        <v>8</v>
      </c>
      <c r="F474" s="485">
        <v>4</v>
      </c>
      <c r="G474" s="485">
        <v>4</v>
      </c>
      <c r="H474" s="485">
        <v>0</v>
      </c>
      <c r="I474" s="485">
        <v>0</v>
      </c>
      <c r="J474" s="485">
        <v>5</v>
      </c>
      <c r="K474" s="485">
        <v>9</v>
      </c>
      <c r="L474" s="485">
        <v>2</v>
      </c>
      <c r="M474" s="485">
        <v>2</v>
      </c>
      <c r="N474" s="485">
        <v>3</v>
      </c>
      <c r="O474" s="485">
        <v>1</v>
      </c>
      <c r="P474" s="485">
        <v>0</v>
      </c>
    </row>
    <row r="475" spans="1:16" ht="17" thickBot="1">
      <c r="A475" s="255" t="s">
        <v>239</v>
      </c>
      <c r="B475" s="23" t="s">
        <v>160</v>
      </c>
      <c r="C475" s="30" t="s">
        <v>130</v>
      </c>
      <c r="D475" s="53" t="s">
        <v>133</v>
      </c>
      <c r="E475" s="485">
        <v>2</v>
      </c>
      <c r="F475" s="485">
        <v>0</v>
      </c>
      <c r="G475" s="485">
        <v>1</v>
      </c>
      <c r="H475" s="485">
        <v>0</v>
      </c>
      <c r="I475" s="485">
        <v>0</v>
      </c>
      <c r="J475" s="485">
        <v>0</v>
      </c>
      <c r="K475" s="485">
        <v>0</v>
      </c>
      <c r="L475" s="485">
        <v>0</v>
      </c>
      <c r="M475" s="485">
        <v>0</v>
      </c>
      <c r="N475" s="485">
        <v>0</v>
      </c>
      <c r="O475" s="485">
        <v>0</v>
      </c>
      <c r="P475" s="485">
        <v>0</v>
      </c>
    </row>
    <row r="476" spans="1:16" ht="17" thickBot="1">
      <c r="A476" s="255" t="s">
        <v>239</v>
      </c>
      <c r="B476" s="23" t="s">
        <v>160</v>
      </c>
      <c r="C476" s="30" t="s">
        <v>130</v>
      </c>
      <c r="D476" s="53" t="s">
        <v>163</v>
      </c>
      <c r="E476" s="485">
        <v>0</v>
      </c>
      <c r="F476" s="485">
        <v>0</v>
      </c>
      <c r="G476" s="485">
        <v>0</v>
      </c>
      <c r="H476" s="485">
        <v>0</v>
      </c>
      <c r="I476" s="485">
        <v>0</v>
      </c>
      <c r="J476" s="485">
        <v>0</v>
      </c>
      <c r="K476" s="485">
        <v>0</v>
      </c>
      <c r="L476" s="485">
        <v>0</v>
      </c>
      <c r="M476" s="485">
        <v>0</v>
      </c>
      <c r="N476" s="485">
        <v>0</v>
      </c>
      <c r="O476" s="485">
        <v>0</v>
      </c>
      <c r="P476" s="485">
        <v>0</v>
      </c>
    </row>
    <row r="477" spans="1:16" ht="17" thickBot="1">
      <c r="A477" s="255" t="s">
        <v>239</v>
      </c>
      <c r="B477" s="23" t="s">
        <v>160</v>
      </c>
      <c r="C477" s="30" t="s">
        <v>134</v>
      </c>
      <c r="D477" s="24" t="s">
        <v>29</v>
      </c>
      <c r="E477" s="485">
        <v>0</v>
      </c>
      <c r="F477" s="485">
        <v>0</v>
      </c>
      <c r="G477" s="485">
        <v>0</v>
      </c>
      <c r="H477" s="485">
        <v>0</v>
      </c>
      <c r="I477" s="485">
        <v>0</v>
      </c>
      <c r="J477" s="485">
        <v>160</v>
      </c>
      <c r="K477" s="485">
        <v>5</v>
      </c>
      <c r="L477" s="485">
        <v>0</v>
      </c>
      <c r="M477" s="485">
        <v>0</v>
      </c>
      <c r="N477" s="485">
        <f>45+43</f>
        <v>88</v>
      </c>
      <c r="O477" s="485">
        <v>0</v>
      </c>
      <c r="P477" s="485">
        <v>0</v>
      </c>
    </row>
    <row r="478" spans="1:16" ht="17" thickBot="1">
      <c r="A478" s="255" t="s">
        <v>239</v>
      </c>
      <c r="B478" s="23" t="s">
        <v>160</v>
      </c>
      <c r="C478" s="30" t="s">
        <v>134</v>
      </c>
      <c r="D478" s="54" t="s">
        <v>161</v>
      </c>
      <c r="E478" s="485">
        <v>0</v>
      </c>
      <c r="F478" s="485">
        <v>0</v>
      </c>
      <c r="G478" s="485">
        <v>0</v>
      </c>
      <c r="H478" s="485">
        <v>0</v>
      </c>
      <c r="I478" s="485">
        <v>0</v>
      </c>
      <c r="J478" s="485">
        <v>0</v>
      </c>
      <c r="K478" s="485">
        <v>0</v>
      </c>
      <c r="L478" s="485">
        <v>0</v>
      </c>
      <c r="M478" s="485">
        <v>0</v>
      </c>
      <c r="N478" s="485">
        <v>0</v>
      </c>
      <c r="O478" s="485">
        <v>0</v>
      </c>
      <c r="P478" s="485">
        <v>0</v>
      </c>
    </row>
    <row r="479" spans="1:16" ht="17" thickBot="1">
      <c r="A479" s="255" t="s">
        <v>239</v>
      </c>
      <c r="B479" s="23" t="s">
        <v>160</v>
      </c>
      <c r="C479" s="30" t="s">
        <v>134</v>
      </c>
      <c r="D479" s="26" t="s">
        <v>140</v>
      </c>
      <c r="E479" s="485">
        <v>0</v>
      </c>
      <c r="F479" s="485">
        <v>0</v>
      </c>
      <c r="G479" s="485">
        <v>0</v>
      </c>
      <c r="H479" s="485">
        <v>0</v>
      </c>
      <c r="I479" s="485">
        <v>0</v>
      </c>
      <c r="J479" s="485">
        <v>0</v>
      </c>
      <c r="K479" s="485">
        <v>0</v>
      </c>
      <c r="L479" s="485">
        <v>0</v>
      </c>
      <c r="M479" s="485">
        <v>0</v>
      </c>
      <c r="N479" s="485">
        <v>0</v>
      </c>
      <c r="O479" s="485">
        <v>0</v>
      </c>
      <c r="P479" s="485">
        <v>0</v>
      </c>
    </row>
    <row r="480" spans="1:16" ht="17" thickBot="1">
      <c r="A480" s="255" t="s">
        <v>239</v>
      </c>
      <c r="B480" s="23" t="s">
        <v>160</v>
      </c>
      <c r="C480" s="30" t="s">
        <v>134</v>
      </c>
      <c r="D480" s="53" t="s">
        <v>30</v>
      </c>
      <c r="E480" s="485">
        <v>0</v>
      </c>
      <c r="F480" s="485">
        <v>2</v>
      </c>
      <c r="G480" s="485">
        <v>14</v>
      </c>
      <c r="H480" s="485">
        <v>1</v>
      </c>
      <c r="I480" s="485">
        <v>5</v>
      </c>
      <c r="J480" s="485">
        <v>3</v>
      </c>
      <c r="K480" s="485">
        <v>0</v>
      </c>
      <c r="L480" s="485">
        <v>1</v>
      </c>
      <c r="M480" s="485">
        <v>2</v>
      </c>
      <c r="N480" s="485">
        <v>0</v>
      </c>
      <c r="O480" s="485">
        <v>1</v>
      </c>
      <c r="P480" s="485">
        <v>0</v>
      </c>
    </row>
    <row r="481" spans="1:16" ht="17" thickBot="1">
      <c r="A481" s="255" t="s">
        <v>239</v>
      </c>
      <c r="B481" s="23" t="s">
        <v>160</v>
      </c>
      <c r="C481" s="30" t="s">
        <v>134</v>
      </c>
      <c r="D481" s="24" t="s">
        <v>56</v>
      </c>
      <c r="E481" s="485">
        <v>0</v>
      </c>
      <c r="F481" s="485">
        <v>0</v>
      </c>
      <c r="G481" s="485">
        <v>5350</v>
      </c>
      <c r="H481" s="485">
        <v>0</v>
      </c>
      <c r="I481" s="485">
        <v>0</v>
      </c>
      <c r="J481" s="485">
        <v>0</v>
      </c>
      <c r="K481" s="485">
        <v>0</v>
      </c>
      <c r="L481" s="485">
        <v>0</v>
      </c>
      <c r="M481" s="485">
        <v>0</v>
      </c>
      <c r="N481" s="485">
        <v>0</v>
      </c>
      <c r="O481" s="485">
        <v>0</v>
      </c>
      <c r="P481" s="485">
        <v>0</v>
      </c>
    </row>
    <row r="482" spans="1:16" ht="17" thickBot="1">
      <c r="A482" s="255" t="s">
        <v>239</v>
      </c>
      <c r="B482" s="23" t="s">
        <v>160</v>
      </c>
      <c r="C482" s="30" t="s">
        <v>134</v>
      </c>
      <c r="D482" s="54" t="s">
        <v>89</v>
      </c>
      <c r="E482" s="485">
        <v>0</v>
      </c>
      <c r="F482" s="485">
        <v>0</v>
      </c>
      <c r="G482" s="485">
        <v>0</v>
      </c>
      <c r="H482" s="485">
        <v>0</v>
      </c>
      <c r="I482" s="485">
        <v>0</v>
      </c>
      <c r="J482" s="485">
        <v>0</v>
      </c>
      <c r="K482" s="485">
        <v>0</v>
      </c>
      <c r="L482" s="485">
        <v>0</v>
      </c>
      <c r="M482" s="485">
        <v>0</v>
      </c>
      <c r="N482" s="485">
        <v>0</v>
      </c>
      <c r="O482" s="485">
        <v>0</v>
      </c>
      <c r="P482" s="485">
        <v>0</v>
      </c>
    </row>
    <row r="483" spans="1:16" ht="17" thickBot="1">
      <c r="A483" s="255" t="s">
        <v>239</v>
      </c>
      <c r="B483" s="23" t="s">
        <v>160</v>
      </c>
      <c r="C483" s="30" t="s">
        <v>134</v>
      </c>
      <c r="D483" s="54" t="s">
        <v>124</v>
      </c>
      <c r="E483" s="485">
        <v>0</v>
      </c>
      <c r="F483" s="485">
        <v>0</v>
      </c>
      <c r="G483" s="485">
        <v>0</v>
      </c>
      <c r="H483" s="485">
        <v>0</v>
      </c>
      <c r="I483" s="485">
        <v>0</v>
      </c>
      <c r="J483" s="485">
        <v>0</v>
      </c>
      <c r="K483" s="485">
        <v>0</v>
      </c>
      <c r="L483" s="485">
        <v>0</v>
      </c>
      <c r="M483" s="485">
        <v>0</v>
      </c>
      <c r="N483" s="485">
        <v>0</v>
      </c>
      <c r="O483" s="485">
        <v>0</v>
      </c>
      <c r="P483" s="485">
        <v>0</v>
      </c>
    </row>
    <row r="484" spans="1:16" ht="17" thickBot="1">
      <c r="A484" s="255" t="s">
        <v>239</v>
      </c>
      <c r="B484" s="23" t="s">
        <v>160</v>
      </c>
      <c r="C484" s="30" t="s">
        <v>134</v>
      </c>
      <c r="D484" s="54" t="s">
        <v>127</v>
      </c>
      <c r="E484" s="485">
        <v>0</v>
      </c>
      <c r="F484" s="485">
        <v>0</v>
      </c>
      <c r="G484" s="485">
        <v>0</v>
      </c>
      <c r="H484" s="485">
        <v>0</v>
      </c>
      <c r="I484" s="485">
        <v>0</v>
      </c>
      <c r="J484" s="485">
        <v>0</v>
      </c>
      <c r="K484" s="485">
        <v>0</v>
      </c>
      <c r="L484" s="485">
        <v>0</v>
      </c>
      <c r="M484" s="485">
        <v>0</v>
      </c>
      <c r="N484" s="485">
        <v>0</v>
      </c>
      <c r="O484" s="485">
        <v>0</v>
      </c>
      <c r="P484" s="485">
        <v>0</v>
      </c>
    </row>
    <row r="485" spans="1:16" ht="17" thickBot="1">
      <c r="A485" s="255" t="s">
        <v>239</v>
      </c>
      <c r="B485" s="23" t="s">
        <v>160</v>
      </c>
      <c r="C485" s="30" t="s">
        <v>134</v>
      </c>
      <c r="D485" s="54" t="s">
        <v>128</v>
      </c>
      <c r="E485" s="485">
        <v>0</v>
      </c>
      <c r="F485" s="485">
        <v>0</v>
      </c>
      <c r="G485" s="485">
        <v>0</v>
      </c>
      <c r="H485" s="485">
        <v>0</v>
      </c>
      <c r="I485" s="485">
        <v>0</v>
      </c>
      <c r="J485" s="485">
        <v>0</v>
      </c>
      <c r="K485" s="485">
        <v>0</v>
      </c>
      <c r="L485" s="485">
        <v>0</v>
      </c>
      <c r="M485" s="485">
        <v>0</v>
      </c>
      <c r="N485" s="485">
        <v>0</v>
      </c>
      <c r="O485" s="485">
        <v>0</v>
      </c>
      <c r="P485" s="485">
        <v>0</v>
      </c>
    </row>
    <row r="486" spans="1:16" ht="17" thickBot="1">
      <c r="A486" s="255" t="s">
        <v>239</v>
      </c>
      <c r="B486" s="23" t="s">
        <v>160</v>
      </c>
      <c r="C486" s="30" t="s">
        <v>134</v>
      </c>
      <c r="D486" s="54" t="s">
        <v>146</v>
      </c>
      <c r="E486" s="485">
        <v>0</v>
      </c>
      <c r="F486" s="485">
        <v>1</v>
      </c>
      <c r="G486" s="485">
        <v>0</v>
      </c>
      <c r="H486" s="485">
        <v>0</v>
      </c>
      <c r="I486" s="485">
        <v>0</v>
      </c>
      <c r="J486" s="485">
        <v>3</v>
      </c>
      <c r="K486" s="485">
        <v>2</v>
      </c>
      <c r="L486" s="485">
        <v>0</v>
      </c>
      <c r="M486" s="485">
        <v>3</v>
      </c>
      <c r="N486" s="485">
        <v>2</v>
      </c>
      <c r="O486" s="485">
        <v>0</v>
      </c>
      <c r="P486" s="485">
        <v>0</v>
      </c>
    </row>
    <row r="487" spans="1:16" ht="17" thickBot="1">
      <c r="A487" s="255" t="s">
        <v>239</v>
      </c>
      <c r="B487" s="23" t="s">
        <v>160</v>
      </c>
      <c r="C487" s="30" t="s">
        <v>134</v>
      </c>
      <c r="D487" s="53" t="s">
        <v>164</v>
      </c>
      <c r="E487" s="485">
        <v>0</v>
      </c>
      <c r="F487" s="485">
        <v>0</v>
      </c>
      <c r="G487" s="485">
        <v>0</v>
      </c>
      <c r="H487" s="485">
        <v>0</v>
      </c>
      <c r="I487" s="485">
        <v>0</v>
      </c>
      <c r="J487" s="485">
        <v>0</v>
      </c>
      <c r="K487" s="485">
        <v>0</v>
      </c>
      <c r="L487" s="485">
        <v>0</v>
      </c>
      <c r="M487" s="485">
        <v>0</v>
      </c>
      <c r="N487" s="485">
        <v>0</v>
      </c>
      <c r="O487" s="485">
        <v>0</v>
      </c>
      <c r="P487" s="485">
        <v>0</v>
      </c>
    </row>
    <row r="488" spans="1:16" ht="17" thickBot="1">
      <c r="A488" s="255" t="s">
        <v>239</v>
      </c>
      <c r="B488" s="23" t="s">
        <v>160</v>
      </c>
      <c r="C488" s="30" t="s">
        <v>134</v>
      </c>
      <c r="D488" s="54" t="s">
        <v>165</v>
      </c>
      <c r="E488" s="485">
        <v>0</v>
      </c>
      <c r="F488" s="485">
        <v>0</v>
      </c>
      <c r="G488" s="485">
        <v>0</v>
      </c>
      <c r="H488" s="485">
        <v>0</v>
      </c>
      <c r="I488" s="485">
        <v>0</v>
      </c>
      <c r="J488" s="485">
        <v>0</v>
      </c>
      <c r="K488" s="485">
        <v>0</v>
      </c>
      <c r="L488" s="485">
        <v>0</v>
      </c>
      <c r="M488" s="485">
        <v>0</v>
      </c>
      <c r="N488" s="485">
        <v>0</v>
      </c>
      <c r="O488" s="485">
        <v>2206</v>
      </c>
      <c r="P488" s="485">
        <v>0</v>
      </c>
    </row>
    <row r="489" spans="1:16" ht="17" thickBot="1">
      <c r="A489" s="255" t="s">
        <v>239</v>
      </c>
      <c r="B489" s="23" t="s">
        <v>160</v>
      </c>
      <c r="C489" s="30" t="s">
        <v>132</v>
      </c>
      <c r="D489" s="24" t="s">
        <v>113</v>
      </c>
      <c r="E489" s="485">
        <v>0</v>
      </c>
      <c r="F489" s="485">
        <v>0</v>
      </c>
      <c r="G489" s="485">
        <v>0</v>
      </c>
      <c r="H489" s="485">
        <v>0</v>
      </c>
      <c r="I489" s="485">
        <v>0</v>
      </c>
      <c r="J489" s="485">
        <v>0</v>
      </c>
      <c r="K489" s="485">
        <v>0</v>
      </c>
      <c r="L489" s="485">
        <v>0</v>
      </c>
      <c r="M489" s="485">
        <v>0</v>
      </c>
      <c r="N489" s="485">
        <v>0</v>
      </c>
      <c r="O489" s="485">
        <v>0</v>
      </c>
      <c r="P489" s="485">
        <v>0</v>
      </c>
    </row>
    <row r="490" spans="1:16" ht="17" thickBot="1">
      <c r="A490" s="255" t="s">
        <v>239</v>
      </c>
      <c r="B490" s="23" t="s">
        <v>181</v>
      </c>
      <c r="C490" s="30" t="s">
        <v>129</v>
      </c>
      <c r="D490" s="24" t="s">
        <v>29</v>
      </c>
      <c r="E490" s="485">
        <v>0</v>
      </c>
      <c r="F490" s="485">
        <v>0</v>
      </c>
      <c r="G490" s="485">
        <v>4</v>
      </c>
      <c r="H490" s="485">
        <v>3</v>
      </c>
      <c r="I490" s="485">
        <v>27</v>
      </c>
      <c r="J490" s="485">
        <v>0</v>
      </c>
      <c r="K490" s="485">
        <v>0</v>
      </c>
      <c r="L490" s="485">
        <v>0</v>
      </c>
      <c r="M490" s="485">
        <v>3</v>
      </c>
      <c r="N490" s="485">
        <v>3</v>
      </c>
      <c r="O490" s="485">
        <v>0</v>
      </c>
      <c r="P490" s="485">
        <v>0</v>
      </c>
    </row>
    <row r="491" spans="1:16" ht="17" thickBot="1">
      <c r="A491" s="255" t="s">
        <v>239</v>
      </c>
      <c r="B491" s="23" t="s">
        <v>181</v>
      </c>
      <c r="C491" s="30" t="s">
        <v>129</v>
      </c>
      <c r="D491" s="24" t="s">
        <v>33</v>
      </c>
      <c r="E491" s="485">
        <v>10</v>
      </c>
      <c r="F491" s="485">
        <v>1</v>
      </c>
      <c r="G491" s="485">
        <v>10</v>
      </c>
      <c r="H491" s="485">
        <v>8</v>
      </c>
      <c r="I491" s="485">
        <v>3</v>
      </c>
      <c r="J491" s="485">
        <v>2</v>
      </c>
      <c r="K491" s="485">
        <v>3</v>
      </c>
      <c r="L491" s="485">
        <v>16</v>
      </c>
      <c r="M491" s="485">
        <v>10</v>
      </c>
      <c r="N491" s="485">
        <v>5</v>
      </c>
      <c r="O491" s="485">
        <v>3</v>
      </c>
      <c r="P491" s="485">
        <v>6</v>
      </c>
    </row>
    <row r="492" spans="1:16" ht="17" thickBot="1">
      <c r="A492" s="255" t="s">
        <v>239</v>
      </c>
      <c r="B492" s="23" t="s">
        <v>181</v>
      </c>
      <c r="C492" s="30" t="s">
        <v>129</v>
      </c>
      <c r="D492" s="24" t="s">
        <v>56</v>
      </c>
      <c r="E492" s="485">
        <v>0</v>
      </c>
      <c r="F492" s="485">
        <v>0</v>
      </c>
      <c r="G492" s="485">
        <v>0</v>
      </c>
      <c r="H492" s="485">
        <v>0</v>
      </c>
      <c r="I492" s="485">
        <v>0</v>
      </c>
      <c r="J492" s="485">
        <v>0</v>
      </c>
      <c r="K492" s="485">
        <v>0</v>
      </c>
      <c r="L492" s="485">
        <v>0</v>
      </c>
      <c r="M492" s="485">
        <v>0</v>
      </c>
      <c r="N492" s="485">
        <v>0</v>
      </c>
      <c r="O492" s="485">
        <v>0</v>
      </c>
      <c r="P492" s="485">
        <v>0</v>
      </c>
    </row>
    <row r="493" spans="1:16" ht="17" thickBot="1">
      <c r="A493" s="255" t="s">
        <v>239</v>
      </c>
      <c r="B493" s="23" t="s">
        <v>181</v>
      </c>
      <c r="C493" s="30" t="s">
        <v>129</v>
      </c>
      <c r="D493" s="54" t="s">
        <v>30</v>
      </c>
      <c r="E493" s="485">
        <v>5</v>
      </c>
      <c r="F493" s="485">
        <v>4</v>
      </c>
      <c r="G493" s="485">
        <v>2</v>
      </c>
      <c r="H493" s="485">
        <v>1</v>
      </c>
      <c r="I493" s="485">
        <v>0</v>
      </c>
      <c r="J493" s="485">
        <v>1</v>
      </c>
      <c r="K493" s="485">
        <v>0</v>
      </c>
      <c r="L493" s="485">
        <v>1</v>
      </c>
      <c r="M493" s="485">
        <v>2</v>
      </c>
      <c r="N493" s="485">
        <v>1</v>
      </c>
      <c r="O493" s="485">
        <v>4</v>
      </c>
      <c r="P493" s="485">
        <v>1</v>
      </c>
    </row>
    <row r="494" spans="1:16" ht="17" thickBot="1">
      <c r="A494" s="255" t="s">
        <v>239</v>
      </c>
      <c r="B494" s="23" t="s">
        <v>181</v>
      </c>
      <c r="C494" s="30" t="s">
        <v>129</v>
      </c>
      <c r="D494" s="53" t="s">
        <v>146</v>
      </c>
      <c r="E494" s="485">
        <v>0</v>
      </c>
      <c r="F494" s="485">
        <v>0</v>
      </c>
      <c r="G494" s="485">
        <v>0</v>
      </c>
      <c r="H494" s="485">
        <v>0</v>
      </c>
      <c r="I494" s="485">
        <v>1</v>
      </c>
      <c r="J494" s="485">
        <v>0</v>
      </c>
      <c r="K494" s="485">
        <v>2</v>
      </c>
      <c r="L494" s="485">
        <v>4</v>
      </c>
      <c r="M494" s="485">
        <v>5</v>
      </c>
      <c r="N494" s="485">
        <v>3</v>
      </c>
      <c r="O494" s="485">
        <v>0</v>
      </c>
      <c r="P494" s="485">
        <v>0</v>
      </c>
    </row>
    <row r="495" spans="1:16" ht="17" thickBot="1">
      <c r="A495" s="255" t="s">
        <v>239</v>
      </c>
      <c r="B495" s="23" t="s">
        <v>181</v>
      </c>
      <c r="C495" s="30" t="s">
        <v>129</v>
      </c>
      <c r="D495" s="53" t="s">
        <v>145</v>
      </c>
      <c r="E495" s="485">
        <v>1</v>
      </c>
      <c r="F495" s="485">
        <v>0</v>
      </c>
      <c r="G495" s="485">
        <v>0</v>
      </c>
      <c r="H495" s="485">
        <v>0</v>
      </c>
      <c r="I495" s="485">
        <v>6</v>
      </c>
      <c r="J495" s="485">
        <v>0</v>
      </c>
      <c r="K495" s="485">
        <v>0</v>
      </c>
      <c r="L495" s="485">
        <v>0</v>
      </c>
      <c r="M495" s="485">
        <v>0</v>
      </c>
      <c r="N495" s="485">
        <v>0</v>
      </c>
      <c r="O495" s="485">
        <v>0</v>
      </c>
      <c r="P495" s="485">
        <v>0</v>
      </c>
    </row>
    <row r="496" spans="1:16" ht="17" thickBot="1">
      <c r="A496" s="255" t="s">
        <v>239</v>
      </c>
      <c r="B496" s="23" t="s">
        <v>181</v>
      </c>
      <c r="C496" s="30" t="s">
        <v>129</v>
      </c>
      <c r="D496" s="53" t="s">
        <v>187</v>
      </c>
      <c r="E496" s="485">
        <v>0</v>
      </c>
      <c r="F496" s="485">
        <v>0</v>
      </c>
      <c r="G496" s="485">
        <v>0</v>
      </c>
      <c r="H496" s="485">
        <v>0</v>
      </c>
      <c r="I496" s="485">
        <v>0</v>
      </c>
      <c r="J496" s="485">
        <v>0</v>
      </c>
      <c r="K496" s="485">
        <v>0</v>
      </c>
      <c r="L496" s="485">
        <v>0</v>
      </c>
      <c r="M496" s="485">
        <v>0</v>
      </c>
      <c r="N496" s="485">
        <v>0</v>
      </c>
      <c r="O496" s="485">
        <v>0</v>
      </c>
      <c r="P496" s="485">
        <v>0</v>
      </c>
    </row>
    <row r="497" spans="1:16" ht="17" thickBot="1">
      <c r="A497" s="255" t="s">
        <v>239</v>
      </c>
      <c r="B497" s="23" t="s">
        <v>181</v>
      </c>
      <c r="C497" s="30" t="s">
        <v>129</v>
      </c>
      <c r="D497" s="53" t="s">
        <v>164</v>
      </c>
      <c r="E497" s="485">
        <v>0</v>
      </c>
      <c r="F497" s="485">
        <v>0</v>
      </c>
      <c r="G497" s="485">
        <v>0</v>
      </c>
      <c r="H497" s="485">
        <v>0</v>
      </c>
      <c r="I497" s="485">
        <v>0</v>
      </c>
      <c r="J497" s="485">
        <v>0</v>
      </c>
      <c r="K497" s="485">
        <v>0</v>
      </c>
      <c r="L497" s="485">
        <v>0</v>
      </c>
      <c r="M497" s="485">
        <v>0</v>
      </c>
      <c r="N497" s="485">
        <v>0</v>
      </c>
      <c r="O497" s="485">
        <v>0</v>
      </c>
      <c r="P497" s="485">
        <v>0</v>
      </c>
    </row>
    <row r="498" spans="1:16" ht="17" thickBot="1">
      <c r="A498" s="255" t="s">
        <v>239</v>
      </c>
      <c r="B498" s="23" t="s">
        <v>181</v>
      </c>
      <c r="C498" s="30" t="s">
        <v>130</v>
      </c>
      <c r="D498" s="53" t="s">
        <v>113</v>
      </c>
      <c r="E498" s="485">
        <v>0</v>
      </c>
      <c r="F498" s="485">
        <v>0</v>
      </c>
      <c r="G498" s="485">
        <v>25</v>
      </c>
      <c r="H498" s="485">
        <v>0</v>
      </c>
      <c r="I498" s="485">
        <v>0</v>
      </c>
      <c r="J498" s="485">
        <v>0</v>
      </c>
      <c r="K498" s="485">
        <v>0</v>
      </c>
      <c r="L498" s="485">
        <v>0</v>
      </c>
      <c r="M498" s="485">
        <v>0</v>
      </c>
      <c r="N498" s="485">
        <v>100</v>
      </c>
      <c r="O498" s="485">
        <v>50</v>
      </c>
      <c r="P498" s="485">
        <v>25</v>
      </c>
    </row>
    <row r="499" spans="1:16" ht="17" thickBot="1">
      <c r="A499" s="255" t="s">
        <v>239</v>
      </c>
      <c r="B499" s="23" t="s">
        <v>181</v>
      </c>
      <c r="C499" s="30" t="s">
        <v>130</v>
      </c>
      <c r="D499" s="53" t="s">
        <v>114</v>
      </c>
      <c r="E499" s="485">
        <v>0</v>
      </c>
      <c r="F499" s="485">
        <v>0</v>
      </c>
      <c r="G499" s="485">
        <v>0</v>
      </c>
      <c r="H499" s="485">
        <v>0</v>
      </c>
      <c r="I499" s="485">
        <v>0</v>
      </c>
      <c r="J499" s="485">
        <v>0</v>
      </c>
      <c r="K499" s="485">
        <v>0</v>
      </c>
      <c r="L499" s="485">
        <v>0</v>
      </c>
      <c r="M499" s="485">
        <v>0</v>
      </c>
      <c r="N499" s="485">
        <v>0</v>
      </c>
      <c r="O499" s="485">
        <v>1</v>
      </c>
      <c r="P499" s="485">
        <v>0</v>
      </c>
    </row>
    <row r="500" spans="1:16" ht="17" thickBot="1">
      <c r="A500" s="255" t="s">
        <v>239</v>
      </c>
      <c r="B500" s="23" t="s">
        <v>181</v>
      </c>
      <c r="C500" s="30" t="s">
        <v>130</v>
      </c>
      <c r="D500" s="53" t="s">
        <v>189</v>
      </c>
      <c r="E500" s="485">
        <v>0</v>
      </c>
      <c r="F500" s="485">
        <v>0</v>
      </c>
      <c r="G500" s="485">
        <v>0</v>
      </c>
      <c r="H500" s="485">
        <v>0</v>
      </c>
      <c r="I500" s="485">
        <v>0</v>
      </c>
      <c r="J500" s="485">
        <v>0</v>
      </c>
      <c r="K500" s="485">
        <v>0</v>
      </c>
      <c r="L500" s="485">
        <v>0</v>
      </c>
      <c r="M500" s="485">
        <v>0</v>
      </c>
      <c r="N500" s="485">
        <v>0</v>
      </c>
      <c r="O500" s="485">
        <v>0</v>
      </c>
      <c r="P500" s="485">
        <v>0</v>
      </c>
    </row>
    <row r="501" spans="1:16" ht="17" thickBot="1">
      <c r="A501" s="255" t="s">
        <v>239</v>
      </c>
      <c r="B501" s="23" t="s">
        <v>181</v>
      </c>
      <c r="C501" s="30" t="s">
        <v>130</v>
      </c>
      <c r="D501" s="53" t="s">
        <v>163</v>
      </c>
      <c r="E501" s="485">
        <v>0</v>
      </c>
      <c r="F501" s="485">
        <v>0</v>
      </c>
      <c r="G501" s="485">
        <v>0</v>
      </c>
      <c r="H501" s="485">
        <v>0</v>
      </c>
      <c r="I501" s="485">
        <v>0</v>
      </c>
      <c r="J501" s="485">
        <v>0</v>
      </c>
      <c r="K501" s="485">
        <v>0</v>
      </c>
      <c r="L501" s="485">
        <v>0</v>
      </c>
      <c r="M501" s="485">
        <v>0</v>
      </c>
      <c r="N501" s="485">
        <v>0</v>
      </c>
      <c r="O501" s="485">
        <v>0</v>
      </c>
      <c r="P501" s="485">
        <v>0</v>
      </c>
    </row>
    <row r="502" spans="1:16" ht="17" thickBot="1">
      <c r="A502" s="255" t="s">
        <v>239</v>
      </c>
      <c r="B502" s="23" t="s">
        <v>181</v>
      </c>
      <c r="C502" s="30" t="s">
        <v>134</v>
      </c>
      <c r="D502" s="24" t="s">
        <v>29</v>
      </c>
      <c r="E502" s="485">
        <v>0</v>
      </c>
      <c r="F502" s="485">
        <v>0</v>
      </c>
      <c r="G502" s="485">
        <v>105</v>
      </c>
      <c r="H502" s="485">
        <v>0</v>
      </c>
      <c r="I502" s="485">
        <v>0</v>
      </c>
      <c r="J502" s="485">
        <v>0</v>
      </c>
      <c r="K502" s="485">
        <v>0</v>
      </c>
      <c r="L502" s="485">
        <v>5</v>
      </c>
      <c r="M502" s="485">
        <v>0</v>
      </c>
      <c r="N502" s="485">
        <v>0</v>
      </c>
      <c r="O502" s="485">
        <v>0</v>
      </c>
      <c r="P502" s="485">
        <v>0</v>
      </c>
    </row>
    <row r="503" spans="1:16" ht="17" thickBot="1">
      <c r="A503" s="255" t="s">
        <v>239</v>
      </c>
      <c r="B503" s="23" t="s">
        <v>181</v>
      </c>
      <c r="C503" s="30" t="s">
        <v>134</v>
      </c>
      <c r="D503" s="54" t="s">
        <v>161</v>
      </c>
      <c r="E503" s="485">
        <v>0</v>
      </c>
      <c r="F503" s="485">
        <v>0</v>
      </c>
      <c r="G503" s="485">
        <v>0</v>
      </c>
      <c r="H503" s="485">
        <v>0</v>
      </c>
      <c r="I503" s="485">
        <v>0</v>
      </c>
      <c r="J503" s="485">
        <v>0</v>
      </c>
      <c r="K503" s="485">
        <v>0</v>
      </c>
      <c r="L503" s="485">
        <v>0</v>
      </c>
      <c r="M503" s="485">
        <v>0</v>
      </c>
      <c r="N503" s="485">
        <v>0</v>
      </c>
      <c r="O503" s="485">
        <v>0</v>
      </c>
      <c r="P503" s="485">
        <v>0</v>
      </c>
    </row>
    <row r="504" spans="1:16" ht="17" thickBot="1">
      <c r="A504" s="255" t="s">
        <v>239</v>
      </c>
      <c r="B504" s="23" t="s">
        <v>181</v>
      </c>
      <c r="C504" s="30" t="s">
        <v>134</v>
      </c>
      <c r="D504" s="26" t="s">
        <v>140</v>
      </c>
      <c r="E504" s="485">
        <v>0</v>
      </c>
      <c r="F504" s="485">
        <v>0</v>
      </c>
      <c r="G504" s="485">
        <v>0</v>
      </c>
      <c r="H504" s="485">
        <v>0</v>
      </c>
      <c r="I504" s="485">
        <v>0</v>
      </c>
      <c r="J504" s="485">
        <v>0</v>
      </c>
      <c r="K504" s="485">
        <v>0</v>
      </c>
      <c r="L504" s="485">
        <v>0</v>
      </c>
      <c r="M504" s="485">
        <v>0</v>
      </c>
      <c r="N504" s="485">
        <v>0</v>
      </c>
      <c r="O504" s="485">
        <v>0</v>
      </c>
      <c r="P504" s="485">
        <v>0</v>
      </c>
    </row>
    <row r="505" spans="1:16" ht="17" thickBot="1">
      <c r="A505" s="255" t="s">
        <v>239</v>
      </c>
      <c r="B505" s="23" t="s">
        <v>181</v>
      </c>
      <c r="C505" s="30" t="s">
        <v>134</v>
      </c>
      <c r="D505" s="53" t="s">
        <v>30</v>
      </c>
      <c r="E505" s="485">
        <v>0</v>
      </c>
      <c r="F505" s="485">
        <v>0</v>
      </c>
      <c r="G505" s="485">
        <v>0</v>
      </c>
      <c r="H505" s="485">
        <v>0</v>
      </c>
      <c r="I505" s="485">
        <v>0</v>
      </c>
      <c r="J505" s="485">
        <v>0</v>
      </c>
      <c r="K505" s="485">
        <v>0</v>
      </c>
      <c r="L505" s="485">
        <v>0</v>
      </c>
      <c r="M505" s="485">
        <v>0</v>
      </c>
      <c r="N505" s="485">
        <v>0</v>
      </c>
      <c r="O505" s="485">
        <v>0</v>
      </c>
      <c r="P505" s="485">
        <v>0</v>
      </c>
    </row>
    <row r="506" spans="1:16" ht="17" thickBot="1">
      <c r="A506" s="255" t="s">
        <v>239</v>
      </c>
      <c r="B506" s="23" t="s">
        <v>181</v>
      </c>
      <c r="C506" s="30" t="s">
        <v>134</v>
      </c>
      <c r="D506" s="24" t="s">
        <v>56</v>
      </c>
      <c r="E506" s="485">
        <v>0</v>
      </c>
      <c r="F506" s="485">
        <v>0</v>
      </c>
      <c r="G506" s="485">
        <v>0</v>
      </c>
      <c r="H506" s="485">
        <v>0</v>
      </c>
      <c r="I506" s="485">
        <v>0</v>
      </c>
      <c r="J506" s="485">
        <v>0</v>
      </c>
      <c r="K506" s="485">
        <v>0</v>
      </c>
      <c r="L506" s="485">
        <v>0</v>
      </c>
      <c r="M506" s="485">
        <v>0</v>
      </c>
      <c r="N506" s="485">
        <v>0</v>
      </c>
      <c r="O506" s="485">
        <v>0</v>
      </c>
      <c r="P506" s="485">
        <v>0</v>
      </c>
    </row>
    <row r="507" spans="1:16" ht="17" thickBot="1">
      <c r="A507" s="255" t="s">
        <v>239</v>
      </c>
      <c r="B507" s="23" t="s">
        <v>181</v>
      </c>
      <c r="C507" s="30" t="s">
        <v>134</v>
      </c>
      <c r="D507" s="54" t="s">
        <v>89</v>
      </c>
      <c r="E507" s="485">
        <v>0</v>
      </c>
      <c r="F507" s="485">
        <v>0</v>
      </c>
      <c r="G507" s="485">
        <v>0</v>
      </c>
      <c r="H507" s="485">
        <v>0</v>
      </c>
      <c r="I507" s="485">
        <v>0</v>
      </c>
      <c r="J507" s="485">
        <v>0</v>
      </c>
      <c r="K507" s="485">
        <v>0</v>
      </c>
      <c r="L507" s="485">
        <v>0</v>
      </c>
      <c r="M507" s="485">
        <v>0</v>
      </c>
      <c r="N507" s="485">
        <v>0</v>
      </c>
      <c r="O507" s="485">
        <v>0</v>
      </c>
      <c r="P507" s="485">
        <v>0</v>
      </c>
    </row>
    <row r="508" spans="1:16" ht="17" thickBot="1">
      <c r="A508" s="255" t="s">
        <v>239</v>
      </c>
      <c r="B508" s="23" t="s">
        <v>181</v>
      </c>
      <c r="C508" s="30" t="s">
        <v>134</v>
      </c>
      <c r="D508" s="54" t="s">
        <v>124</v>
      </c>
      <c r="E508" s="485">
        <v>0</v>
      </c>
      <c r="F508" s="485">
        <v>0</v>
      </c>
      <c r="G508" s="485">
        <v>0</v>
      </c>
      <c r="H508" s="485">
        <v>0</v>
      </c>
      <c r="I508" s="485">
        <v>0</v>
      </c>
      <c r="J508" s="485">
        <v>0</v>
      </c>
      <c r="K508" s="485">
        <v>0</v>
      </c>
      <c r="L508" s="485">
        <v>0</v>
      </c>
      <c r="M508" s="485">
        <v>0</v>
      </c>
      <c r="N508" s="485">
        <v>0</v>
      </c>
      <c r="O508" s="485">
        <v>0</v>
      </c>
      <c r="P508" s="485">
        <v>0</v>
      </c>
    </row>
    <row r="509" spans="1:16" ht="17" thickBot="1">
      <c r="A509" s="255" t="s">
        <v>239</v>
      </c>
      <c r="B509" s="23" t="s">
        <v>181</v>
      </c>
      <c r="C509" s="30" t="s">
        <v>134</v>
      </c>
      <c r="D509" s="54" t="s">
        <v>127</v>
      </c>
      <c r="E509" s="485">
        <v>0</v>
      </c>
      <c r="F509" s="485">
        <v>0</v>
      </c>
      <c r="G509" s="485">
        <v>0</v>
      </c>
      <c r="H509" s="485">
        <v>0</v>
      </c>
      <c r="I509" s="485">
        <v>0</v>
      </c>
      <c r="J509" s="485">
        <v>0</v>
      </c>
      <c r="K509" s="485">
        <v>0</v>
      </c>
      <c r="L509" s="485">
        <v>0</v>
      </c>
      <c r="M509" s="485">
        <v>0</v>
      </c>
      <c r="N509" s="485">
        <v>0</v>
      </c>
      <c r="O509" s="485">
        <v>0</v>
      </c>
      <c r="P509" s="485">
        <v>0</v>
      </c>
    </row>
    <row r="510" spans="1:16" ht="17" thickBot="1">
      <c r="A510" s="255" t="s">
        <v>239</v>
      </c>
      <c r="B510" s="23" t="s">
        <v>181</v>
      </c>
      <c r="C510" s="30" t="s">
        <v>134</v>
      </c>
      <c r="D510" s="54" t="s">
        <v>128</v>
      </c>
      <c r="E510" s="485">
        <v>0</v>
      </c>
      <c r="F510" s="485">
        <v>0</v>
      </c>
      <c r="G510" s="485">
        <v>0</v>
      </c>
      <c r="H510" s="485">
        <v>0</v>
      </c>
      <c r="I510" s="485">
        <v>0</v>
      </c>
      <c r="J510" s="485">
        <v>0</v>
      </c>
      <c r="K510" s="485">
        <v>0</v>
      </c>
      <c r="L510" s="485">
        <v>0</v>
      </c>
      <c r="M510" s="485">
        <v>0</v>
      </c>
      <c r="N510" s="485">
        <v>0</v>
      </c>
      <c r="O510" s="485">
        <v>0</v>
      </c>
      <c r="P510" s="485">
        <v>0</v>
      </c>
    </row>
    <row r="511" spans="1:16" ht="17" thickBot="1">
      <c r="A511" s="255" t="s">
        <v>239</v>
      </c>
      <c r="B511" s="23" t="s">
        <v>181</v>
      </c>
      <c r="C511" s="30" t="s">
        <v>134</v>
      </c>
      <c r="D511" s="54" t="s">
        <v>146</v>
      </c>
      <c r="E511" s="485">
        <v>0</v>
      </c>
      <c r="F511" s="485">
        <v>0</v>
      </c>
      <c r="G511" s="485">
        <v>0</v>
      </c>
      <c r="H511" s="485">
        <v>3</v>
      </c>
      <c r="I511" s="485">
        <v>1</v>
      </c>
      <c r="J511" s="485">
        <v>0</v>
      </c>
      <c r="K511" s="485">
        <v>0</v>
      </c>
      <c r="L511" s="485">
        <v>0</v>
      </c>
      <c r="M511" s="485">
        <v>0</v>
      </c>
      <c r="N511" s="485">
        <v>0</v>
      </c>
      <c r="O511" s="485">
        <v>0</v>
      </c>
      <c r="P511" s="485">
        <v>0</v>
      </c>
    </row>
    <row r="512" spans="1:16" ht="17" thickBot="1">
      <c r="A512" s="255" t="s">
        <v>239</v>
      </c>
      <c r="B512" s="23" t="s">
        <v>181</v>
      </c>
      <c r="C512" s="30" t="s">
        <v>134</v>
      </c>
      <c r="D512" s="53" t="s">
        <v>164</v>
      </c>
      <c r="E512" s="485">
        <v>0</v>
      </c>
      <c r="F512" s="485">
        <v>0</v>
      </c>
      <c r="G512" s="485">
        <v>0</v>
      </c>
      <c r="H512" s="485">
        <v>0</v>
      </c>
      <c r="I512" s="485">
        <v>0</v>
      </c>
      <c r="J512" s="485">
        <v>0</v>
      </c>
      <c r="K512" s="485">
        <v>0</v>
      </c>
      <c r="L512" s="485">
        <v>0</v>
      </c>
      <c r="M512" s="485">
        <v>0</v>
      </c>
      <c r="N512" s="485">
        <v>0</v>
      </c>
      <c r="O512" s="485">
        <v>0</v>
      </c>
      <c r="P512" s="485">
        <v>0</v>
      </c>
    </row>
    <row r="513" spans="1:16" ht="17" thickBot="1">
      <c r="A513" s="255" t="s">
        <v>239</v>
      </c>
      <c r="B513" s="23" t="s">
        <v>181</v>
      </c>
      <c r="C513" s="30" t="s">
        <v>134</v>
      </c>
      <c r="D513" s="54" t="s">
        <v>165</v>
      </c>
      <c r="E513" s="485">
        <v>0</v>
      </c>
      <c r="F513" s="485">
        <v>0</v>
      </c>
      <c r="G513" s="485">
        <v>0</v>
      </c>
      <c r="H513" s="485">
        <v>0</v>
      </c>
      <c r="I513" s="485">
        <v>0</v>
      </c>
      <c r="J513" s="485">
        <v>0</v>
      </c>
      <c r="K513" s="485">
        <v>0</v>
      </c>
      <c r="L513" s="485">
        <v>0</v>
      </c>
      <c r="M513" s="485">
        <v>0</v>
      </c>
      <c r="N513" s="485">
        <v>0</v>
      </c>
      <c r="O513" s="485">
        <v>0</v>
      </c>
      <c r="P513" s="485">
        <v>0</v>
      </c>
    </row>
    <row r="514" spans="1:16" ht="17" thickBot="1">
      <c r="A514" s="255" t="s">
        <v>239</v>
      </c>
      <c r="B514" s="23" t="s">
        <v>181</v>
      </c>
      <c r="C514" s="30" t="s">
        <v>132</v>
      </c>
      <c r="D514" s="24" t="s">
        <v>113</v>
      </c>
      <c r="E514" s="485">
        <v>0</v>
      </c>
      <c r="F514" s="485">
        <v>0</v>
      </c>
      <c r="G514" s="485">
        <v>0</v>
      </c>
      <c r="H514" s="485">
        <v>0</v>
      </c>
      <c r="I514" s="485">
        <v>0</v>
      </c>
      <c r="J514" s="485">
        <v>0</v>
      </c>
      <c r="K514" s="485">
        <v>0</v>
      </c>
      <c r="L514" s="485">
        <v>0</v>
      </c>
      <c r="M514" s="485">
        <v>0</v>
      </c>
      <c r="N514" s="485">
        <v>0</v>
      </c>
      <c r="O514" s="485">
        <v>0</v>
      </c>
      <c r="P514" s="485">
        <v>0</v>
      </c>
    </row>
    <row r="515" spans="1:16" ht="17" thickBot="1">
      <c r="A515" s="255" t="s">
        <v>239</v>
      </c>
      <c r="B515" s="23" t="s">
        <v>193</v>
      </c>
      <c r="C515" s="30" t="s">
        <v>129</v>
      </c>
      <c r="D515" s="24" t="s">
        <v>29</v>
      </c>
      <c r="E515" s="485">
        <v>1</v>
      </c>
      <c r="F515" s="485">
        <v>0</v>
      </c>
      <c r="G515" s="485">
        <v>0</v>
      </c>
      <c r="H515" s="485">
        <v>0</v>
      </c>
      <c r="I515" s="485">
        <v>3</v>
      </c>
      <c r="J515" s="485">
        <v>2</v>
      </c>
      <c r="K515" s="485">
        <v>0</v>
      </c>
      <c r="L515" s="485">
        <v>1</v>
      </c>
      <c r="M515" s="485">
        <v>0</v>
      </c>
      <c r="N515" s="485">
        <v>0</v>
      </c>
      <c r="O515" s="485">
        <v>0</v>
      </c>
      <c r="P515" s="485">
        <v>0</v>
      </c>
    </row>
    <row r="516" spans="1:16" ht="17" thickBot="1">
      <c r="A516" s="255" t="s">
        <v>239</v>
      </c>
      <c r="B516" s="23" t="s">
        <v>193</v>
      </c>
      <c r="C516" s="30" t="s">
        <v>129</v>
      </c>
      <c r="D516" s="24" t="s">
        <v>33</v>
      </c>
      <c r="E516" s="485">
        <v>10</v>
      </c>
      <c r="F516" s="485">
        <v>6</v>
      </c>
      <c r="G516" s="485">
        <v>3</v>
      </c>
      <c r="H516" s="485">
        <v>5</v>
      </c>
      <c r="I516" s="485">
        <v>6</v>
      </c>
      <c r="J516" s="485">
        <v>5</v>
      </c>
      <c r="K516" s="485">
        <v>5</v>
      </c>
      <c r="L516" s="485">
        <v>9</v>
      </c>
      <c r="M516" s="485">
        <v>10</v>
      </c>
      <c r="N516" s="485">
        <v>0</v>
      </c>
      <c r="O516" s="485">
        <v>0</v>
      </c>
      <c r="P516" s="485">
        <v>8</v>
      </c>
    </row>
    <row r="517" spans="1:16" ht="17" thickBot="1">
      <c r="A517" s="255" t="s">
        <v>239</v>
      </c>
      <c r="B517" s="23" t="s">
        <v>193</v>
      </c>
      <c r="C517" s="30" t="s">
        <v>129</v>
      </c>
      <c r="D517" s="24" t="s">
        <v>56</v>
      </c>
      <c r="E517" s="485">
        <v>30</v>
      </c>
      <c r="F517" s="485">
        <v>0</v>
      </c>
      <c r="G517" s="485">
        <v>0</v>
      </c>
      <c r="H517" s="485">
        <v>0</v>
      </c>
      <c r="I517" s="485">
        <v>0</v>
      </c>
      <c r="J517" s="485">
        <v>0</v>
      </c>
      <c r="K517" s="485">
        <v>0</v>
      </c>
      <c r="L517" s="485">
        <v>0</v>
      </c>
      <c r="M517" s="485">
        <v>0</v>
      </c>
      <c r="N517" s="485">
        <v>0</v>
      </c>
      <c r="O517" s="485">
        <v>0</v>
      </c>
      <c r="P517" s="485">
        <v>0</v>
      </c>
    </row>
    <row r="518" spans="1:16" ht="17" thickBot="1">
      <c r="A518" s="255" t="s">
        <v>239</v>
      </c>
      <c r="B518" s="23" t="s">
        <v>193</v>
      </c>
      <c r="C518" s="30" t="s">
        <v>129</v>
      </c>
      <c r="D518" s="54" t="s">
        <v>30</v>
      </c>
      <c r="E518" s="485">
        <v>7</v>
      </c>
      <c r="F518" s="485">
        <v>0</v>
      </c>
      <c r="G518" s="485">
        <v>2</v>
      </c>
      <c r="H518" s="485">
        <v>0</v>
      </c>
      <c r="I518" s="485">
        <v>3</v>
      </c>
      <c r="J518" s="485">
        <v>0</v>
      </c>
      <c r="K518" s="485">
        <v>1</v>
      </c>
      <c r="L518" s="485">
        <v>1</v>
      </c>
      <c r="M518" s="485">
        <v>0</v>
      </c>
      <c r="N518" s="485">
        <v>0</v>
      </c>
      <c r="O518" s="485">
        <v>0</v>
      </c>
      <c r="P518" s="485">
        <v>10</v>
      </c>
    </row>
    <row r="519" spans="1:16" ht="17" thickBot="1">
      <c r="A519" s="255" t="s">
        <v>239</v>
      </c>
      <c r="B519" s="23" t="s">
        <v>193</v>
      </c>
      <c r="C519" s="30" t="s">
        <v>129</v>
      </c>
      <c r="D519" s="53" t="s">
        <v>146</v>
      </c>
      <c r="E519" s="485">
        <v>0</v>
      </c>
      <c r="F519" s="485">
        <v>0</v>
      </c>
      <c r="G519" s="485">
        <v>0</v>
      </c>
      <c r="H519" s="485">
        <v>0</v>
      </c>
      <c r="I519" s="485">
        <v>0</v>
      </c>
      <c r="J519" s="485">
        <v>0</v>
      </c>
      <c r="K519" s="485">
        <v>0</v>
      </c>
      <c r="L519" s="485">
        <v>0</v>
      </c>
      <c r="M519" s="485">
        <v>0</v>
      </c>
      <c r="N519" s="485">
        <v>0</v>
      </c>
      <c r="O519" s="485">
        <v>0</v>
      </c>
      <c r="P519" s="485">
        <v>0</v>
      </c>
    </row>
    <row r="520" spans="1:16" ht="17" thickBot="1">
      <c r="A520" s="255" t="s">
        <v>239</v>
      </c>
      <c r="B520" s="23" t="s">
        <v>193</v>
      </c>
      <c r="C520" s="30" t="s">
        <v>129</v>
      </c>
      <c r="D520" s="53" t="s">
        <v>145</v>
      </c>
      <c r="E520" s="485">
        <v>2</v>
      </c>
      <c r="F520" s="485">
        <v>0</v>
      </c>
      <c r="G520" s="485">
        <v>0</v>
      </c>
      <c r="H520" s="485">
        <v>0</v>
      </c>
      <c r="I520" s="485">
        <v>0</v>
      </c>
      <c r="J520" s="485">
        <v>0</v>
      </c>
      <c r="K520" s="485">
        <v>0</v>
      </c>
      <c r="L520" s="485">
        <v>0</v>
      </c>
      <c r="M520" s="485">
        <v>0</v>
      </c>
      <c r="N520" s="485">
        <v>0</v>
      </c>
      <c r="O520" s="485">
        <v>0</v>
      </c>
      <c r="P520" s="485">
        <v>0</v>
      </c>
    </row>
    <row r="521" spans="1:16" ht="17" thickBot="1">
      <c r="A521" s="255" t="s">
        <v>239</v>
      </c>
      <c r="B521" s="23" t="s">
        <v>193</v>
      </c>
      <c r="C521" s="30" t="s">
        <v>129</v>
      </c>
      <c r="D521" s="53" t="s">
        <v>187</v>
      </c>
      <c r="E521" s="485">
        <v>0</v>
      </c>
      <c r="F521" s="485">
        <v>0</v>
      </c>
      <c r="G521" s="485">
        <v>0</v>
      </c>
      <c r="H521" s="485">
        <v>0</v>
      </c>
      <c r="I521" s="485">
        <v>0</v>
      </c>
      <c r="J521" s="485">
        <v>0</v>
      </c>
      <c r="K521" s="485">
        <v>0</v>
      </c>
      <c r="L521" s="485">
        <v>0</v>
      </c>
      <c r="M521" s="485">
        <v>0</v>
      </c>
      <c r="N521" s="485">
        <v>0</v>
      </c>
      <c r="O521" s="485">
        <v>0</v>
      </c>
      <c r="P521" s="485">
        <v>0</v>
      </c>
    </row>
    <row r="522" spans="1:16" ht="17" thickBot="1">
      <c r="A522" s="255" t="s">
        <v>239</v>
      </c>
      <c r="B522" s="23" t="s">
        <v>193</v>
      </c>
      <c r="C522" s="30" t="s">
        <v>129</v>
      </c>
      <c r="D522" s="53" t="s">
        <v>164</v>
      </c>
      <c r="E522" s="485">
        <v>0</v>
      </c>
      <c r="F522" s="485">
        <v>0</v>
      </c>
      <c r="G522" s="485">
        <v>0</v>
      </c>
      <c r="H522" s="485">
        <v>0</v>
      </c>
      <c r="I522" s="485">
        <v>0</v>
      </c>
      <c r="J522" s="485">
        <v>0</v>
      </c>
      <c r="K522" s="485">
        <v>0</v>
      </c>
      <c r="L522" s="485">
        <v>0</v>
      </c>
      <c r="M522" s="485">
        <v>0</v>
      </c>
      <c r="N522" s="485">
        <v>0</v>
      </c>
      <c r="O522" s="485">
        <v>0</v>
      </c>
      <c r="P522" s="485">
        <v>0</v>
      </c>
    </row>
    <row r="523" spans="1:16" ht="17" thickBot="1">
      <c r="A523" s="255" t="s">
        <v>239</v>
      </c>
      <c r="B523" s="23" t="s">
        <v>193</v>
      </c>
      <c r="C523" s="30" t="s">
        <v>130</v>
      </c>
      <c r="D523" s="53" t="s">
        <v>113</v>
      </c>
      <c r="E523" s="485">
        <v>0</v>
      </c>
      <c r="F523" s="485">
        <v>8</v>
      </c>
      <c r="G523" s="485">
        <v>0</v>
      </c>
      <c r="H523" s="485">
        <v>50</v>
      </c>
      <c r="I523" s="485">
        <v>0</v>
      </c>
      <c r="J523" s="485">
        <v>0</v>
      </c>
      <c r="K523" s="485">
        <v>0</v>
      </c>
      <c r="L523" s="485">
        <v>0</v>
      </c>
      <c r="M523" s="485">
        <v>0</v>
      </c>
      <c r="N523" s="485">
        <v>43</v>
      </c>
      <c r="O523" s="485">
        <v>0</v>
      </c>
      <c r="P523" s="485">
        <v>50</v>
      </c>
    </row>
    <row r="524" spans="1:16" ht="17" thickBot="1">
      <c r="A524" s="255" t="s">
        <v>239</v>
      </c>
      <c r="B524" s="23" t="s">
        <v>193</v>
      </c>
      <c r="C524" s="30" t="s">
        <v>130</v>
      </c>
      <c r="D524" s="53" t="s">
        <v>114</v>
      </c>
      <c r="E524" s="485">
        <v>0</v>
      </c>
      <c r="F524" s="485">
        <v>0</v>
      </c>
      <c r="G524" s="485">
        <v>0</v>
      </c>
      <c r="H524" s="485">
        <v>0</v>
      </c>
      <c r="I524" s="485">
        <v>0</v>
      </c>
      <c r="J524" s="485">
        <v>0</v>
      </c>
      <c r="K524" s="485">
        <v>0</v>
      </c>
      <c r="L524" s="485">
        <v>0</v>
      </c>
      <c r="M524" s="485">
        <v>0</v>
      </c>
      <c r="N524" s="485">
        <v>0</v>
      </c>
      <c r="O524" s="485">
        <v>2</v>
      </c>
      <c r="P524" s="485">
        <v>0</v>
      </c>
    </row>
    <row r="525" spans="1:16" ht="17" thickBot="1">
      <c r="A525" s="255" t="s">
        <v>239</v>
      </c>
      <c r="B525" s="23" t="s">
        <v>193</v>
      </c>
      <c r="C525" s="30" t="s">
        <v>130</v>
      </c>
      <c r="D525" s="53" t="s">
        <v>189</v>
      </c>
      <c r="E525" s="485">
        <v>2</v>
      </c>
      <c r="F525" s="485">
        <v>1</v>
      </c>
      <c r="G525" s="485">
        <v>0</v>
      </c>
      <c r="H525" s="485">
        <v>0</v>
      </c>
      <c r="I525" s="485">
        <v>1</v>
      </c>
      <c r="J525" s="485">
        <v>0</v>
      </c>
      <c r="K525" s="485">
        <v>0</v>
      </c>
      <c r="L525" s="485">
        <v>0</v>
      </c>
      <c r="M525" s="485">
        <v>0</v>
      </c>
      <c r="N525" s="485">
        <v>0</v>
      </c>
      <c r="O525" s="485">
        <v>0</v>
      </c>
      <c r="P525" s="485">
        <v>0</v>
      </c>
    </row>
    <row r="526" spans="1:16" ht="17" thickBot="1">
      <c r="A526" s="255" t="s">
        <v>239</v>
      </c>
      <c r="B526" s="23" t="s">
        <v>193</v>
      </c>
      <c r="C526" s="30" t="s">
        <v>130</v>
      </c>
      <c r="D526" s="53" t="s">
        <v>163</v>
      </c>
      <c r="E526" s="485">
        <v>0</v>
      </c>
      <c r="F526" s="485">
        <v>0</v>
      </c>
      <c r="G526" s="485">
        <v>0</v>
      </c>
      <c r="H526" s="485">
        <v>0</v>
      </c>
      <c r="I526" s="485">
        <v>1</v>
      </c>
      <c r="J526" s="485">
        <v>0</v>
      </c>
      <c r="K526" s="485">
        <v>0</v>
      </c>
      <c r="L526" s="485">
        <v>0</v>
      </c>
      <c r="M526" s="485">
        <v>6</v>
      </c>
      <c r="N526" s="485">
        <v>0</v>
      </c>
      <c r="O526" s="485">
        <v>0</v>
      </c>
      <c r="P526" s="485">
        <v>0</v>
      </c>
    </row>
    <row r="527" spans="1:16" ht="17" thickBot="1">
      <c r="A527" s="255" t="s">
        <v>239</v>
      </c>
      <c r="B527" s="23" t="s">
        <v>193</v>
      </c>
      <c r="C527" s="30" t="s">
        <v>134</v>
      </c>
      <c r="D527" s="24" t="s">
        <v>29</v>
      </c>
      <c r="E527" s="485">
        <v>0</v>
      </c>
      <c r="F527" s="485">
        <v>0</v>
      </c>
      <c r="G527" s="485">
        <v>0</v>
      </c>
      <c r="H527" s="485">
        <v>0</v>
      </c>
      <c r="I527" s="485">
        <v>0</v>
      </c>
      <c r="J527" s="485">
        <v>0</v>
      </c>
      <c r="K527" s="485">
        <v>1</v>
      </c>
      <c r="L527" s="485">
        <v>0</v>
      </c>
      <c r="M527" s="485">
        <v>0</v>
      </c>
      <c r="N527" s="485">
        <v>0</v>
      </c>
      <c r="O527" s="485">
        <v>0</v>
      </c>
      <c r="P527" s="485">
        <v>79</v>
      </c>
    </row>
    <row r="528" spans="1:16" ht="17" thickBot="1">
      <c r="A528" s="255" t="s">
        <v>239</v>
      </c>
      <c r="B528" s="23" t="s">
        <v>193</v>
      </c>
      <c r="C528" s="30" t="s">
        <v>134</v>
      </c>
      <c r="D528" s="54" t="s">
        <v>161</v>
      </c>
      <c r="E528" s="485">
        <v>0</v>
      </c>
      <c r="F528" s="485">
        <v>0</v>
      </c>
      <c r="G528" s="485">
        <v>0</v>
      </c>
      <c r="H528" s="485">
        <v>0</v>
      </c>
      <c r="I528" s="485">
        <v>0</v>
      </c>
      <c r="J528" s="485">
        <v>0</v>
      </c>
      <c r="K528" s="485">
        <v>0</v>
      </c>
      <c r="L528" s="485">
        <v>0</v>
      </c>
      <c r="M528" s="485">
        <v>0</v>
      </c>
      <c r="N528" s="485">
        <v>0</v>
      </c>
      <c r="O528" s="485">
        <v>0</v>
      </c>
      <c r="P528" s="485">
        <v>0</v>
      </c>
    </row>
    <row r="529" spans="1:16" ht="17" thickBot="1">
      <c r="A529" s="255" t="s">
        <v>239</v>
      </c>
      <c r="B529" s="23" t="s">
        <v>193</v>
      </c>
      <c r="C529" s="30" t="s">
        <v>134</v>
      </c>
      <c r="D529" s="26" t="s">
        <v>140</v>
      </c>
      <c r="E529" s="485">
        <v>0</v>
      </c>
      <c r="F529" s="485">
        <v>0</v>
      </c>
      <c r="G529" s="485">
        <v>0</v>
      </c>
      <c r="H529" s="485">
        <v>0</v>
      </c>
      <c r="I529" s="485">
        <v>0</v>
      </c>
      <c r="J529" s="485">
        <v>0</v>
      </c>
      <c r="K529" s="485">
        <v>0</v>
      </c>
      <c r="L529" s="485">
        <v>0</v>
      </c>
      <c r="M529" s="485">
        <v>0</v>
      </c>
      <c r="N529" s="485">
        <v>0</v>
      </c>
      <c r="O529" s="485">
        <v>0</v>
      </c>
      <c r="P529" s="485">
        <v>0</v>
      </c>
    </row>
    <row r="530" spans="1:16" ht="17" thickBot="1">
      <c r="A530" s="255" t="s">
        <v>239</v>
      </c>
      <c r="B530" s="23" t="s">
        <v>193</v>
      </c>
      <c r="C530" s="30" t="s">
        <v>134</v>
      </c>
      <c r="D530" s="53" t="s">
        <v>30</v>
      </c>
      <c r="E530" s="485">
        <v>0</v>
      </c>
      <c r="F530" s="485">
        <v>0</v>
      </c>
      <c r="G530" s="485">
        <v>0</v>
      </c>
      <c r="H530" s="485">
        <v>0</v>
      </c>
      <c r="I530" s="485">
        <v>0</v>
      </c>
      <c r="J530" s="485">
        <v>0</v>
      </c>
      <c r="K530" s="485">
        <v>0</v>
      </c>
      <c r="L530" s="485">
        <v>0</v>
      </c>
      <c r="M530" s="485">
        <v>0</v>
      </c>
      <c r="N530" s="485">
        <v>0</v>
      </c>
      <c r="O530" s="485">
        <v>2</v>
      </c>
      <c r="P530" s="485">
        <v>0</v>
      </c>
    </row>
    <row r="531" spans="1:16" ht="17" thickBot="1">
      <c r="A531" s="255" t="s">
        <v>239</v>
      </c>
      <c r="B531" s="23" t="s">
        <v>193</v>
      </c>
      <c r="C531" s="30" t="s">
        <v>134</v>
      </c>
      <c r="D531" s="24" t="s">
        <v>56</v>
      </c>
      <c r="E531" s="485">
        <v>0</v>
      </c>
      <c r="F531" s="485">
        <v>0</v>
      </c>
      <c r="G531" s="485">
        <v>0</v>
      </c>
      <c r="H531" s="485">
        <v>0</v>
      </c>
      <c r="I531" s="485">
        <v>0</v>
      </c>
      <c r="J531" s="485">
        <v>0</v>
      </c>
      <c r="K531" s="485">
        <v>0</v>
      </c>
      <c r="L531" s="485">
        <v>0</v>
      </c>
      <c r="M531" s="485">
        <v>0</v>
      </c>
      <c r="N531" s="485">
        <v>0</v>
      </c>
      <c r="O531" s="485">
        <v>0</v>
      </c>
      <c r="P531" s="485">
        <v>0</v>
      </c>
    </row>
    <row r="532" spans="1:16" ht="17" thickBot="1">
      <c r="A532" s="255" t="s">
        <v>239</v>
      </c>
      <c r="B532" s="23" t="s">
        <v>193</v>
      </c>
      <c r="C532" s="30" t="s">
        <v>134</v>
      </c>
      <c r="D532" s="54" t="s">
        <v>89</v>
      </c>
      <c r="E532" s="485">
        <v>0</v>
      </c>
      <c r="F532" s="485">
        <v>0</v>
      </c>
      <c r="G532" s="485">
        <v>0</v>
      </c>
      <c r="H532" s="485">
        <v>0</v>
      </c>
      <c r="I532" s="485">
        <v>0</v>
      </c>
      <c r="J532" s="485">
        <v>0</v>
      </c>
      <c r="K532" s="485">
        <v>0</v>
      </c>
      <c r="L532" s="485">
        <v>0</v>
      </c>
      <c r="M532" s="485">
        <v>0</v>
      </c>
      <c r="N532" s="485">
        <v>0</v>
      </c>
      <c r="O532" s="485">
        <v>0</v>
      </c>
      <c r="P532" s="485">
        <v>0</v>
      </c>
    </row>
    <row r="533" spans="1:16" ht="17" thickBot="1">
      <c r="A533" s="255" t="s">
        <v>239</v>
      </c>
      <c r="B533" s="23" t="s">
        <v>193</v>
      </c>
      <c r="C533" s="30" t="s">
        <v>134</v>
      </c>
      <c r="D533" s="54" t="s">
        <v>124</v>
      </c>
      <c r="E533" s="485">
        <v>0</v>
      </c>
      <c r="F533" s="485">
        <v>0</v>
      </c>
      <c r="G533" s="485">
        <v>0</v>
      </c>
      <c r="H533" s="485">
        <v>0</v>
      </c>
      <c r="I533" s="485">
        <v>0</v>
      </c>
      <c r="J533" s="485">
        <v>0</v>
      </c>
      <c r="K533" s="485">
        <v>0</v>
      </c>
      <c r="L533" s="485">
        <v>0</v>
      </c>
      <c r="M533" s="485">
        <v>0</v>
      </c>
      <c r="N533" s="485">
        <v>0</v>
      </c>
      <c r="O533" s="485">
        <v>0</v>
      </c>
      <c r="P533" s="485">
        <v>0</v>
      </c>
    </row>
    <row r="534" spans="1:16" ht="17" thickBot="1">
      <c r="A534" s="255" t="s">
        <v>239</v>
      </c>
      <c r="B534" s="23" t="s">
        <v>193</v>
      </c>
      <c r="C534" s="30" t="s">
        <v>134</v>
      </c>
      <c r="D534" s="54" t="s">
        <v>127</v>
      </c>
      <c r="E534" s="485">
        <v>0</v>
      </c>
      <c r="F534" s="485">
        <v>0</v>
      </c>
      <c r="G534" s="485">
        <v>0</v>
      </c>
      <c r="H534" s="485">
        <v>0</v>
      </c>
      <c r="I534" s="485">
        <v>0</v>
      </c>
      <c r="J534" s="485">
        <v>0</v>
      </c>
      <c r="K534" s="485">
        <v>0</v>
      </c>
      <c r="L534" s="485">
        <v>0</v>
      </c>
      <c r="M534" s="485">
        <v>0</v>
      </c>
      <c r="N534" s="485">
        <v>0</v>
      </c>
      <c r="O534" s="485">
        <v>0</v>
      </c>
      <c r="P534" s="485">
        <v>0</v>
      </c>
    </row>
    <row r="535" spans="1:16" ht="17" thickBot="1">
      <c r="A535" s="255" t="s">
        <v>239</v>
      </c>
      <c r="B535" s="23" t="s">
        <v>193</v>
      </c>
      <c r="C535" s="30" t="s">
        <v>134</v>
      </c>
      <c r="D535" s="54" t="s">
        <v>128</v>
      </c>
      <c r="E535" s="485">
        <v>0</v>
      </c>
      <c r="F535" s="485">
        <v>0</v>
      </c>
      <c r="G535" s="485">
        <v>0</v>
      </c>
      <c r="H535" s="485">
        <v>0</v>
      </c>
      <c r="I535" s="485">
        <v>0</v>
      </c>
      <c r="J535" s="485">
        <v>0</v>
      </c>
      <c r="K535" s="485">
        <v>0</v>
      </c>
      <c r="L535" s="485">
        <v>0</v>
      </c>
      <c r="M535" s="485">
        <v>0</v>
      </c>
      <c r="N535" s="485">
        <v>0</v>
      </c>
      <c r="O535" s="485">
        <v>0</v>
      </c>
      <c r="P535" s="485">
        <v>0</v>
      </c>
    </row>
    <row r="536" spans="1:16" ht="17" thickBot="1">
      <c r="A536" s="255" t="s">
        <v>239</v>
      </c>
      <c r="B536" s="23" t="s">
        <v>193</v>
      </c>
      <c r="C536" s="30" t="s">
        <v>134</v>
      </c>
      <c r="D536" s="54" t="s">
        <v>146</v>
      </c>
      <c r="E536" s="485">
        <v>0</v>
      </c>
      <c r="F536" s="485">
        <v>0</v>
      </c>
      <c r="G536" s="485">
        <v>0</v>
      </c>
      <c r="H536" s="485">
        <v>0</v>
      </c>
      <c r="I536" s="485">
        <v>0</v>
      </c>
      <c r="J536" s="485">
        <v>0</v>
      </c>
      <c r="K536" s="485">
        <v>0</v>
      </c>
      <c r="L536" s="485">
        <v>0</v>
      </c>
      <c r="M536" s="485">
        <v>0</v>
      </c>
      <c r="N536" s="485">
        <v>0</v>
      </c>
      <c r="O536" s="485">
        <v>0</v>
      </c>
      <c r="P536" s="485">
        <v>0</v>
      </c>
    </row>
    <row r="537" spans="1:16" ht="17" thickBot="1">
      <c r="A537" s="255" t="s">
        <v>239</v>
      </c>
      <c r="B537" s="23" t="s">
        <v>193</v>
      </c>
      <c r="C537" s="30" t="s">
        <v>134</v>
      </c>
      <c r="D537" s="53" t="s">
        <v>164</v>
      </c>
      <c r="E537" s="485">
        <v>0</v>
      </c>
      <c r="F537" s="485">
        <v>0</v>
      </c>
      <c r="G537" s="485">
        <v>0</v>
      </c>
      <c r="H537" s="485">
        <v>0</v>
      </c>
      <c r="I537" s="485">
        <v>0</v>
      </c>
      <c r="J537" s="485">
        <v>0</v>
      </c>
      <c r="K537" s="485">
        <v>0</v>
      </c>
      <c r="L537" s="485">
        <v>0</v>
      </c>
      <c r="M537" s="485">
        <v>0</v>
      </c>
      <c r="N537" s="485">
        <v>0</v>
      </c>
      <c r="O537" s="485">
        <v>0</v>
      </c>
      <c r="P537" s="485">
        <v>0</v>
      </c>
    </row>
    <row r="538" spans="1:16" ht="17" thickBot="1">
      <c r="A538" s="255" t="s">
        <v>239</v>
      </c>
      <c r="B538" s="23" t="s">
        <v>193</v>
      </c>
      <c r="C538" s="30" t="s">
        <v>134</v>
      </c>
      <c r="D538" s="54" t="s">
        <v>165</v>
      </c>
      <c r="E538" s="485">
        <v>0</v>
      </c>
      <c r="F538" s="485">
        <v>0</v>
      </c>
      <c r="G538" s="485">
        <v>0</v>
      </c>
      <c r="H538" s="485">
        <v>0</v>
      </c>
      <c r="I538" s="485">
        <v>0</v>
      </c>
      <c r="J538" s="485">
        <v>0</v>
      </c>
      <c r="K538" s="485">
        <v>0</v>
      </c>
      <c r="L538" s="485">
        <v>0</v>
      </c>
      <c r="M538" s="485">
        <v>0</v>
      </c>
      <c r="N538" s="485">
        <v>0</v>
      </c>
      <c r="O538" s="485">
        <v>0</v>
      </c>
      <c r="P538" s="485">
        <v>0</v>
      </c>
    </row>
    <row r="539" spans="1:16" ht="17" thickBot="1">
      <c r="A539" s="255" t="s">
        <v>239</v>
      </c>
      <c r="B539" s="23" t="s">
        <v>193</v>
      </c>
      <c r="C539" s="30" t="s">
        <v>132</v>
      </c>
      <c r="D539" s="24" t="s">
        <v>113</v>
      </c>
      <c r="E539" s="485">
        <v>0</v>
      </c>
      <c r="F539" s="485">
        <v>0</v>
      </c>
      <c r="G539" s="485">
        <v>0</v>
      </c>
      <c r="H539" s="485">
        <v>0</v>
      </c>
      <c r="I539" s="485">
        <v>0</v>
      </c>
      <c r="J539" s="485">
        <v>0</v>
      </c>
      <c r="K539" s="485">
        <v>0</v>
      </c>
      <c r="L539" s="485">
        <v>0</v>
      </c>
      <c r="M539" s="485">
        <v>0</v>
      </c>
      <c r="N539" s="485">
        <v>0</v>
      </c>
      <c r="O539" s="485">
        <v>0</v>
      </c>
      <c r="P539" s="485">
        <v>0</v>
      </c>
    </row>
    <row r="540" spans="1:16" ht="17" thickBot="1">
      <c r="A540" s="255" t="s">
        <v>239</v>
      </c>
      <c r="B540" s="23" t="s">
        <v>207</v>
      </c>
      <c r="C540" s="30" t="s">
        <v>129</v>
      </c>
      <c r="D540" s="24" t="s">
        <v>29</v>
      </c>
      <c r="E540" s="485">
        <v>0</v>
      </c>
      <c r="F540" s="485">
        <v>0</v>
      </c>
      <c r="G540" s="485">
        <v>1</v>
      </c>
      <c r="H540" s="485">
        <v>2</v>
      </c>
      <c r="I540" s="485">
        <v>5</v>
      </c>
      <c r="J540" s="485">
        <v>0</v>
      </c>
      <c r="K540" s="485">
        <v>0</v>
      </c>
      <c r="L540" s="485">
        <v>2</v>
      </c>
      <c r="M540" s="485">
        <v>0</v>
      </c>
      <c r="N540" s="485">
        <v>1</v>
      </c>
      <c r="O540" s="485">
        <v>0</v>
      </c>
      <c r="P540" s="485">
        <v>9</v>
      </c>
    </row>
    <row r="541" spans="1:16" ht="17" thickBot="1">
      <c r="A541" s="255" t="s">
        <v>239</v>
      </c>
      <c r="B541" s="23" t="s">
        <v>207</v>
      </c>
      <c r="C541" s="30" t="s">
        <v>129</v>
      </c>
      <c r="D541" s="24" t="s">
        <v>33</v>
      </c>
      <c r="E541" s="485">
        <v>4</v>
      </c>
      <c r="F541" s="485">
        <v>5</v>
      </c>
      <c r="G541" s="485">
        <v>13</v>
      </c>
      <c r="H541" s="485">
        <v>0</v>
      </c>
      <c r="I541" s="485">
        <v>7</v>
      </c>
      <c r="J541" s="485">
        <v>2</v>
      </c>
      <c r="K541" s="485">
        <v>4</v>
      </c>
      <c r="L541" s="485">
        <v>4</v>
      </c>
      <c r="M541" s="485">
        <v>4</v>
      </c>
      <c r="N541" s="485">
        <v>2</v>
      </c>
      <c r="O541" s="485">
        <v>8</v>
      </c>
      <c r="P541" s="485">
        <v>10</v>
      </c>
    </row>
    <row r="542" spans="1:16" ht="17" thickBot="1">
      <c r="A542" s="255" t="s">
        <v>239</v>
      </c>
      <c r="B542" s="23" t="s">
        <v>207</v>
      </c>
      <c r="C542" s="30" t="s">
        <v>129</v>
      </c>
      <c r="D542" s="24" t="s">
        <v>56</v>
      </c>
      <c r="E542" s="485">
        <v>0</v>
      </c>
      <c r="F542" s="485">
        <v>0</v>
      </c>
      <c r="G542" s="485">
        <v>0</v>
      </c>
      <c r="H542" s="485">
        <v>0</v>
      </c>
      <c r="I542" s="485">
        <v>0</v>
      </c>
      <c r="J542" s="485">
        <v>0</v>
      </c>
      <c r="K542" s="485">
        <v>0</v>
      </c>
      <c r="L542" s="485">
        <v>0</v>
      </c>
      <c r="M542" s="485">
        <v>0</v>
      </c>
      <c r="N542" s="485">
        <v>0</v>
      </c>
      <c r="O542" s="485">
        <v>0</v>
      </c>
      <c r="P542" s="485">
        <v>0</v>
      </c>
    </row>
    <row r="543" spans="1:16" ht="17" thickBot="1">
      <c r="A543" s="255" t="s">
        <v>239</v>
      </c>
      <c r="B543" s="23" t="s">
        <v>207</v>
      </c>
      <c r="C543" s="30" t="s">
        <v>129</v>
      </c>
      <c r="D543" s="54" t="s">
        <v>30</v>
      </c>
      <c r="E543" s="485">
        <v>3</v>
      </c>
      <c r="F543" s="485">
        <v>3</v>
      </c>
      <c r="G543" s="485">
        <v>0</v>
      </c>
      <c r="H543" s="485">
        <v>3</v>
      </c>
      <c r="I543" s="485">
        <v>0</v>
      </c>
      <c r="J543" s="485">
        <v>3</v>
      </c>
      <c r="K543" s="485">
        <v>4</v>
      </c>
      <c r="L543" s="485">
        <v>1</v>
      </c>
      <c r="M543" s="485">
        <v>1</v>
      </c>
      <c r="N543" s="485">
        <v>2</v>
      </c>
      <c r="O543" s="485">
        <v>2</v>
      </c>
      <c r="P543" s="485">
        <v>4</v>
      </c>
    </row>
    <row r="544" spans="1:16" ht="17" thickBot="1">
      <c r="A544" s="255" t="s">
        <v>239</v>
      </c>
      <c r="B544" s="23" t="s">
        <v>207</v>
      </c>
      <c r="C544" s="30" t="s">
        <v>129</v>
      </c>
      <c r="D544" s="53" t="s">
        <v>146</v>
      </c>
      <c r="E544" s="485">
        <v>0</v>
      </c>
      <c r="F544" s="485">
        <v>0</v>
      </c>
      <c r="G544" s="485">
        <v>0</v>
      </c>
      <c r="H544" s="485">
        <v>0</v>
      </c>
      <c r="I544" s="485">
        <v>0</v>
      </c>
      <c r="J544" s="485">
        <v>0</v>
      </c>
      <c r="K544" s="485">
        <v>0</v>
      </c>
      <c r="L544" s="485">
        <v>0</v>
      </c>
      <c r="M544" s="485">
        <v>1</v>
      </c>
      <c r="N544" s="485">
        <v>1</v>
      </c>
      <c r="O544" s="485">
        <v>0</v>
      </c>
      <c r="P544" s="485">
        <v>1</v>
      </c>
    </row>
    <row r="545" spans="1:16" ht="17" thickBot="1">
      <c r="A545" s="255" t="s">
        <v>239</v>
      </c>
      <c r="B545" s="23" t="s">
        <v>207</v>
      </c>
      <c r="C545" s="30" t="s">
        <v>129</v>
      </c>
      <c r="D545" s="53" t="s">
        <v>145</v>
      </c>
      <c r="E545" s="485">
        <v>0</v>
      </c>
      <c r="F545" s="485">
        <v>0</v>
      </c>
      <c r="G545" s="485">
        <v>0</v>
      </c>
      <c r="H545" s="485">
        <v>0</v>
      </c>
      <c r="I545" s="485">
        <v>0</v>
      </c>
      <c r="J545" s="485">
        <v>0</v>
      </c>
      <c r="K545" s="485">
        <v>0</v>
      </c>
      <c r="L545" s="485">
        <v>1</v>
      </c>
      <c r="M545" s="485">
        <v>0</v>
      </c>
      <c r="N545" s="485">
        <v>0</v>
      </c>
      <c r="O545" s="485">
        <v>0</v>
      </c>
      <c r="P545" s="485">
        <v>0</v>
      </c>
    </row>
    <row r="546" spans="1:16" ht="17" thickBot="1">
      <c r="A546" s="255" t="s">
        <v>239</v>
      </c>
      <c r="B546" s="23" t="s">
        <v>207</v>
      </c>
      <c r="C546" s="30" t="s">
        <v>129</v>
      </c>
      <c r="D546" s="53" t="s">
        <v>187</v>
      </c>
      <c r="E546" s="485">
        <v>0</v>
      </c>
      <c r="F546" s="485">
        <v>0</v>
      </c>
      <c r="G546" s="485">
        <v>0</v>
      </c>
      <c r="H546" s="485">
        <v>0</v>
      </c>
      <c r="I546" s="485">
        <v>0</v>
      </c>
      <c r="J546" s="485">
        <v>0</v>
      </c>
      <c r="K546" s="485">
        <v>0</v>
      </c>
      <c r="L546" s="485">
        <v>0</v>
      </c>
      <c r="M546" s="485">
        <v>0</v>
      </c>
      <c r="N546" s="485">
        <v>0</v>
      </c>
      <c r="O546" s="485">
        <v>0</v>
      </c>
      <c r="P546" s="485">
        <v>0</v>
      </c>
    </row>
    <row r="547" spans="1:16" ht="17" thickBot="1">
      <c r="A547" s="255" t="s">
        <v>239</v>
      </c>
      <c r="B547" s="23" t="s">
        <v>207</v>
      </c>
      <c r="C547" s="30" t="s">
        <v>129</v>
      </c>
      <c r="D547" s="53" t="s">
        <v>164</v>
      </c>
      <c r="E547" s="485">
        <v>0</v>
      </c>
      <c r="F547" s="485">
        <v>0</v>
      </c>
      <c r="G547" s="485">
        <v>0</v>
      </c>
      <c r="H547" s="485">
        <v>0</v>
      </c>
      <c r="I547" s="485">
        <v>0</v>
      </c>
      <c r="J547" s="485">
        <v>0</v>
      </c>
      <c r="K547" s="485">
        <v>0</v>
      </c>
      <c r="L547" s="485">
        <v>0</v>
      </c>
      <c r="M547" s="485">
        <v>0</v>
      </c>
      <c r="N547" s="485">
        <v>0</v>
      </c>
      <c r="O547" s="485">
        <v>0</v>
      </c>
      <c r="P547" s="485">
        <v>0</v>
      </c>
    </row>
    <row r="548" spans="1:16" ht="17" thickBot="1">
      <c r="A548" s="255" t="s">
        <v>239</v>
      </c>
      <c r="B548" s="23" t="s">
        <v>207</v>
      </c>
      <c r="C548" s="30" t="s">
        <v>130</v>
      </c>
      <c r="D548" s="53" t="s">
        <v>208</v>
      </c>
      <c r="E548" s="485">
        <v>0</v>
      </c>
      <c r="F548" s="485">
        <v>0</v>
      </c>
      <c r="G548" s="485">
        <v>0</v>
      </c>
      <c r="H548" s="485">
        <v>0</v>
      </c>
      <c r="I548" s="485">
        <v>0</v>
      </c>
      <c r="J548" s="485">
        <v>0</v>
      </c>
      <c r="K548" s="485">
        <v>0</v>
      </c>
      <c r="L548" s="485">
        <v>0</v>
      </c>
      <c r="M548" s="485">
        <v>0</v>
      </c>
      <c r="N548" s="485">
        <v>1</v>
      </c>
      <c r="O548" s="485">
        <v>0</v>
      </c>
      <c r="P548" s="485">
        <v>0</v>
      </c>
    </row>
    <row r="549" spans="1:16" ht="17" thickBot="1">
      <c r="A549" s="255" t="s">
        <v>239</v>
      </c>
      <c r="B549" s="23" t="s">
        <v>207</v>
      </c>
      <c r="C549" s="30" t="s">
        <v>130</v>
      </c>
      <c r="D549" s="53" t="s">
        <v>114</v>
      </c>
      <c r="E549" s="485">
        <v>0</v>
      </c>
      <c r="F549" s="520">
        <v>0</v>
      </c>
      <c r="G549" s="485">
        <v>0</v>
      </c>
      <c r="H549" s="485">
        <v>0</v>
      </c>
      <c r="I549" s="485">
        <v>0</v>
      </c>
      <c r="J549" s="485">
        <v>0</v>
      </c>
      <c r="K549" s="485">
        <v>0</v>
      </c>
      <c r="L549" s="485">
        <v>0</v>
      </c>
      <c r="M549" s="485">
        <v>0</v>
      </c>
      <c r="N549" s="485">
        <v>0</v>
      </c>
      <c r="O549" s="485">
        <v>0</v>
      </c>
      <c r="P549" s="485">
        <v>0</v>
      </c>
    </row>
    <row r="550" spans="1:16" ht="17" thickBot="1">
      <c r="A550" s="255" t="s">
        <v>239</v>
      </c>
      <c r="B550" s="23" t="s">
        <v>207</v>
      </c>
      <c r="C550" s="30" t="s">
        <v>130</v>
      </c>
      <c r="D550" s="53" t="s">
        <v>189</v>
      </c>
      <c r="E550" s="485">
        <v>0</v>
      </c>
      <c r="F550" s="485">
        <v>0</v>
      </c>
      <c r="G550" s="485">
        <v>1</v>
      </c>
      <c r="H550" s="485">
        <v>0</v>
      </c>
      <c r="I550" s="485">
        <v>0</v>
      </c>
      <c r="J550" s="485">
        <v>0</v>
      </c>
      <c r="K550" s="485">
        <v>0</v>
      </c>
      <c r="L550" s="485">
        <v>0</v>
      </c>
      <c r="M550" s="485">
        <v>0</v>
      </c>
      <c r="N550" s="485">
        <v>1</v>
      </c>
      <c r="O550" s="485">
        <v>0</v>
      </c>
      <c r="P550" s="485">
        <v>0</v>
      </c>
    </row>
    <row r="551" spans="1:16" ht="17" thickBot="1">
      <c r="A551" s="255" t="s">
        <v>239</v>
      </c>
      <c r="B551" s="23" t="s">
        <v>207</v>
      </c>
      <c r="C551" s="30" t="s">
        <v>130</v>
      </c>
      <c r="D551" s="53" t="s">
        <v>163</v>
      </c>
      <c r="E551" s="485">
        <v>0</v>
      </c>
      <c r="F551" s="485">
        <v>0</v>
      </c>
      <c r="G551" s="485">
        <v>0</v>
      </c>
      <c r="H551" s="485">
        <v>0</v>
      </c>
      <c r="I551" s="485">
        <v>0</v>
      </c>
      <c r="J551" s="485">
        <v>0</v>
      </c>
      <c r="K551" s="485">
        <v>0</v>
      </c>
      <c r="L551" s="485">
        <v>0</v>
      </c>
      <c r="M551" s="485">
        <v>0</v>
      </c>
      <c r="N551" s="485">
        <v>0</v>
      </c>
      <c r="O551" s="485">
        <v>0</v>
      </c>
      <c r="P551" s="485">
        <v>0</v>
      </c>
    </row>
    <row r="552" spans="1:16" ht="17" thickBot="1">
      <c r="A552" s="255" t="s">
        <v>239</v>
      </c>
      <c r="B552" s="23" t="s">
        <v>207</v>
      </c>
      <c r="C552" s="30" t="s">
        <v>134</v>
      </c>
      <c r="D552" s="24" t="s">
        <v>29</v>
      </c>
      <c r="E552" s="485">
        <v>0</v>
      </c>
      <c r="F552" s="485">
        <v>0</v>
      </c>
      <c r="G552" s="485">
        <v>0</v>
      </c>
      <c r="H552" s="485">
        <v>0</v>
      </c>
      <c r="I552" s="485">
        <v>0</v>
      </c>
      <c r="J552" s="485">
        <v>0</v>
      </c>
      <c r="K552" s="485">
        <v>0</v>
      </c>
      <c r="L552" s="485">
        <v>0</v>
      </c>
      <c r="M552" s="485">
        <v>0</v>
      </c>
      <c r="N552" s="485">
        <v>0</v>
      </c>
      <c r="O552" s="485">
        <v>0</v>
      </c>
      <c r="P552" s="485">
        <v>0</v>
      </c>
    </row>
    <row r="553" spans="1:16" ht="17" thickBot="1">
      <c r="A553" s="255" t="s">
        <v>239</v>
      </c>
      <c r="B553" s="23" t="s">
        <v>207</v>
      </c>
      <c r="C553" s="30" t="s">
        <v>134</v>
      </c>
      <c r="D553" s="54" t="s">
        <v>161</v>
      </c>
      <c r="E553" s="485">
        <v>0</v>
      </c>
      <c r="F553" s="485">
        <v>0</v>
      </c>
      <c r="G553" s="485">
        <v>0</v>
      </c>
      <c r="H553" s="485">
        <v>0</v>
      </c>
      <c r="I553" s="485">
        <v>0</v>
      </c>
      <c r="J553" s="485">
        <v>0</v>
      </c>
      <c r="K553" s="485">
        <v>0</v>
      </c>
      <c r="L553" s="485">
        <v>0</v>
      </c>
      <c r="M553" s="485">
        <v>0</v>
      </c>
      <c r="N553" s="485">
        <v>0</v>
      </c>
      <c r="O553" s="485">
        <v>0</v>
      </c>
      <c r="P553" s="485">
        <v>0</v>
      </c>
    </row>
    <row r="554" spans="1:16" ht="17" thickBot="1">
      <c r="A554" s="255" t="s">
        <v>239</v>
      </c>
      <c r="B554" s="23" t="s">
        <v>207</v>
      </c>
      <c r="C554" s="30" t="s">
        <v>134</v>
      </c>
      <c r="D554" s="26" t="s">
        <v>140</v>
      </c>
      <c r="E554" s="485">
        <v>0</v>
      </c>
      <c r="F554" s="485">
        <v>0</v>
      </c>
      <c r="G554" s="485">
        <v>0</v>
      </c>
      <c r="H554" s="485">
        <v>0</v>
      </c>
      <c r="I554" s="485">
        <v>0</v>
      </c>
      <c r="J554" s="485">
        <v>0</v>
      </c>
      <c r="K554" s="485">
        <v>0</v>
      </c>
      <c r="L554" s="485">
        <v>0</v>
      </c>
      <c r="M554" s="485">
        <v>0</v>
      </c>
      <c r="N554" s="485">
        <v>0</v>
      </c>
      <c r="O554" s="485">
        <v>0</v>
      </c>
      <c r="P554" s="485">
        <v>0</v>
      </c>
    </row>
    <row r="555" spans="1:16" ht="17" thickBot="1">
      <c r="A555" s="255" t="s">
        <v>239</v>
      </c>
      <c r="B555" s="23" t="s">
        <v>207</v>
      </c>
      <c r="C555" s="30" t="s">
        <v>134</v>
      </c>
      <c r="D555" s="53" t="s">
        <v>30</v>
      </c>
      <c r="E555" s="485">
        <v>0</v>
      </c>
      <c r="F555" s="485">
        <v>0</v>
      </c>
      <c r="G555" s="485">
        <v>0</v>
      </c>
      <c r="H555" s="485">
        <v>0</v>
      </c>
      <c r="I555" s="485">
        <v>0</v>
      </c>
      <c r="J555" s="485">
        <v>0</v>
      </c>
      <c r="K555" s="485">
        <v>3</v>
      </c>
      <c r="L555" s="485">
        <v>0</v>
      </c>
      <c r="M555" s="485">
        <v>1</v>
      </c>
      <c r="N555" s="485">
        <v>0</v>
      </c>
      <c r="O555" s="485">
        <v>0</v>
      </c>
      <c r="P555" s="485">
        <v>0</v>
      </c>
    </row>
    <row r="556" spans="1:16" ht="17" thickBot="1">
      <c r="A556" s="255" t="s">
        <v>239</v>
      </c>
      <c r="B556" s="23" t="s">
        <v>207</v>
      </c>
      <c r="C556" s="30" t="s">
        <v>134</v>
      </c>
      <c r="D556" s="24" t="s">
        <v>56</v>
      </c>
      <c r="E556" s="485">
        <v>0</v>
      </c>
      <c r="F556" s="485">
        <v>0</v>
      </c>
      <c r="G556" s="485">
        <v>0</v>
      </c>
      <c r="H556" s="485">
        <v>0</v>
      </c>
      <c r="I556" s="485">
        <v>0</v>
      </c>
      <c r="J556" s="485">
        <v>0</v>
      </c>
      <c r="K556" s="485">
        <v>0</v>
      </c>
      <c r="L556" s="485">
        <v>0</v>
      </c>
      <c r="M556" s="485">
        <v>0</v>
      </c>
      <c r="N556" s="485">
        <v>0</v>
      </c>
      <c r="O556" s="485">
        <v>0</v>
      </c>
      <c r="P556" s="485">
        <v>0</v>
      </c>
    </row>
    <row r="557" spans="1:16" ht="17" thickBot="1">
      <c r="A557" s="255" t="s">
        <v>239</v>
      </c>
      <c r="B557" s="23" t="s">
        <v>207</v>
      </c>
      <c r="C557" s="30" t="s">
        <v>134</v>
      </c>
      <c r="D557" s="54" t="s">
        <v>89</v>
      </c>
      <c r="E557" s="485">
        <v>0</v>
      </c>
      <c r="F557" s="485">
        <v>0</v>
      </c>
      <c r="G557" s="485">
        <v>0</v>
      </c>
      <c r="H557" s="485">
        <v>0</v>
      </c>
      <c r="I557" s="485">
        <v>0</v>
      </c>
      <c r="J557" s="485">
        <v>0</v>
      </c>
      <c r="K557" s="485">
        <v>0</v>
      </c>
      <c r="L557" s="485">
        <v>0</v>
      </c>
      <c r="M557" s="485">
        <v>0</v>
      </c>
      <c r="N557" s="485">
        <v>0</v>
      </c>
      <c r="O557" s="485">
        <v>0</v>
      </c>
      <c r="P557" s="485">
        <v>0</v>
      </c>
    </row>
    <row r="558" spans="1:16" ht="17" thickBot="1">
      <c r="A558" s="255" t="s">
        <v>239</v>
      </c>
      <c r="B558" s="23" t="s">
        <v>207</v>
      </c>
      <c r="C558" s="30" t="s">
        <v>134</v>
      </c>
      <c r="D558" s="54" t="s">
        <v>124</v>
      </c>
      <c r="E558" s="485">
        <v>0</v>
      </c>
      <c r="F558" s="485">
        <v>0</v>
      </c>
      <c r="G558" s="485">
        <v>0</v>
      </c>
      <c r="H558" s="485">
        <v>0</v>
      </c>
      <c r="I558" s="485">
        <v>0</v>
      </c>
      <c r="J558" s="485">
        <v>0</v>
      </c>
      <c r="K558" s="485">
        <v>0</v>
      </c>
      <c r="L558" s="485">
        <v>0</v>
      </c>
      <c r="M558" s="485">
        <v>0</v>
      </c>
      <c r="N558" s="485">
        <v>0</v>
      </c>
      <c r="O558" s="485">
        <v>0</v>
      </c>
      <c r="P558" s="485">
        <v>0</v>
      </c>
    </row>
    <row r="559" spans="1:16" ht="17" thickBot="1">
      <c r="A559" s="255" t="s">
        <v>239</v>
      </c>
      <c r="B559" s="23" t="s">
        <v>207</v>
      </c>
      <c r="C559" s="30" t="s">
        <v>134</v>
      </c>
      <c r="D559" s="54" t="s">
        <v>127</v>
      </c>
      <c r="E559" s="485">
        <v>0</v>
      </c>
      <c r="F559" s="485">
        <v>0</v>
      </c>
      <c r="G559" s="485">
        <v>0</v>
      </c>
      <c r="H559" s="485">
        <v>0</v>
      </c>
      <c r="I559" s="485">
        <v>0</v>
      </c>
      <c r="J559" s="485">
        <v>0</v>
      </c>
      <c r="K559" s="485">
        <v>0</v>
      </c>
      <c r="L559" s="485">
        <v>0</v>
      </c>
      <c r="M559" s="485">
        <v>0</v>
      </c>
      <c r="N559" s="485">
        <v>0</v>
      </c>
      <c r="O559" s="485">
        <v>0</v>
      </c>
      <c r="P559" s="485">
        <v>0</v>
      </c>
    </row>
    <row r="560" spans="1:16" ht="17" thickBot="1">
      <c r="A560" s="255" t="s">
        <v>239</v>
      </c>
      <c r="B560" s="23" t="s">
        <v>207</v>
      </c>
      <c r="C560" s="30" t="s">
        <v>134</v>
      </c>
      <c r="D560" s="54" t="s">
        <v>128</v>
      </c>
      <c r="E560" s="485">
        <v>0</v>
      </c>
      <c r="F560" s="485">
        <v>0</v>
      </c>
      <c r="G560" s="485">
        <v>0</v>
      </c>
      <c r="H560" s="485">
        <v>0</v>
      </c>
      <c r="I560" s="485">
        <v>0</v>
      </c>
      <c r="J560" s="485">
        <v>0</v>
      </c>
      <c r="K560" s="485">
        <v>0</v>
      </c>
      <c r="L560" s="485">
        <v>0</v>
      </c>
      <c r="M560" s="485">
        <v>0</v>
      </c>
      <c r="N560" s="485">
        <v>0</v>
      </c>
      <c r="O560" s="485">
        <v>0</v>
      </c>
      <c r="P560" s="485">
        <v>0</v>
      </c>
    </row>
    <row r="561" spans="1:16" ht="17" thickBot="1">
      <c r="A561" s="255" t="s">
        <v>239</v>
      </c>
      <c r="B561" s="23" t="s">
        <v>207</v>
      </c>
      <c r="C561" s="30" t="s">
        <v>134</v>
      </c>
      <c r="D561" s="54" t="s">
        <v>146</v>
      </c>
      <c r="E561" s="485">
        <v>0</v>
      </c>
      <c r="F561" s="485">
        <v>0</v>
      </c>
      <c r="G561" s="485">
        <v>0</v>
      </c>
      <c r="H561" s="485">
        <v>0</v>
      </c>
      <c r="I561" s="485">
        <v>0</v>
      </c>
      <c r="J561" s="485">
        <v>0</v>
      </c>
      <c r="K561" s="485">
        <v>0</v>
      </c>
      <c r="L561" s="485">
        <v>0</v>
      </c>
      <c r="M561" s="485">
        <v>0</v>
      </c>
      <c r="N561" s="485">
        <v>0</v>
      </c>
      <c r="O561" s="485">
        <v>0</v>
      </c>
      <c r="P561" s="485">
        <v>0</v>
      </c>
    </row>
    <row r="562" spans="1:16" ht="17" thickBot="1">
      <c r="A562" s="255" t="s">
        <v>239</v>
      </c>
      <c r="B562" s="23" t="s">
        <v>207</v>
      </c>
      <c r="C562" s="30" t="s">
        <v>134</v>
      </c>
      <c r="D562" s="53" t="s">
        <v>164</v>
      </c>
      <c r="E562" s="485">
        <v>0</v>
      </c>
      <c r="F562" s="485">
        <v>0</v>
      </c>
      <c r="G562" s="485">
        <v>0</v>
      </c>
      <c r="H562" s="485">
        <v>0</v>
      </c>
      <c r="I562" s="485">
        <v>0</v>
      </c>
      <c r="J562" s="485">
        <v>0</v>
      </c>
      <c r="K562" s="485">
        <v>0</v>
      </c>
      <c r="L562" s="485">
        <v>0</v>
      </c>
      <c r="M562" s="485">
        <v>0</v>
      </c>
      <c r="N562" s="485">
        <v>0</v>
      </c>
      <c r="O562" s="485">
        <v>0</v>
      </c>
      <c r="P562" s="485">
        <v>0</v>
      </c>
    </row>
    <row r="563" spans="1:16" ht="17" thickBot="1">
      <c r="A563" s="255" t="s">
        <v>239</v>
      </c>
      <c r="B563" s="23" t="s">
        <v>207</v>
      </c>
      <c r="C563" s="30" t="s">
        <v>134</v>
      </c>
      <c r="D563" s="54" t="s">
        <v>165</v>
      </c>
      <c r="E563" s="485">
        <v>0</v>
      </c>
      <c r="F563" s="485">
        <v>0</v>
      </c>
      <c r="G563" s="485">
        <v>0</v>
      </c>
      <c r="H563" s="485">
        <v>0</v>
      </c>
      <c r="I563" s="485">
        <v>0</v>
      </c>
      <c r="J563" s="485">
        <v>0</v>
      </c>
      <c r="K563" s="485">
        <v>0</v>
      </c>
      <c r="L563" s="485">
        <v>0</v>
      </c>
      <c r="M563" s="485">
        <v>0</v>
      </c>
      <c r="N563" s="485">
        <v>0</v>
      </c>
      <c r="O563" s="485">
        <v>0</v>
      </c>
      <c r="P563" s="485">
        <v>0</v>
      </c>
    </row>
    <row r="564" spans="1:16" ht="17" thickBot="1">
      <c r="A564" s="255" t="s">
        <v>239</v>
      </c>
      <c r="B564" s="23" t="s">
        <v>217</v>
      </c>
      <c r="C564" s="30" t="s">
        <v>129</v>
      </c>
      <c r="D564" s="24" t="s">
        <v>29</v>
      </c>
      <c r="E564" s="485">
        <v>0</v>
      </c>
      <c r="F564" s="485">
        <v>2</v>
      </c>
      <c r="G564" s="485">
        <v>5</v>
      </c>
      <c r="H564" s="485"/>
      <c r="I564" s="485"/>
      <c r="J564" s="485"/>
      <c r="K564" s="485"/>
      <c r="L564" s="485"/>
      <c r="M564" s="485"/>
      <c r="N564" s="485"/>
      <c r="O564" s="485"/>
      <c r="P564" s="485"/>
    </row>
    <row r="565" spans="1:16" ht="17" thickBot="1">
      <c r="A565" s="255" t="s">
        <v>239</v>
      </c>
      <c r="B565" s="23" t="s">
        <v>217</v>
      </c>
      <c r="C565" s="30" t="s">
        <v>129</v>
      </c>
      <c r="D565" s="24" t="s">
        <v>33</v>
      </c>
      <c r="E565" s="485">
        <v>2</v>
      </c>
      <c r="F565" s="485">
        <v>4</v>
      </c>
      <c r="G565" s="485">
        <v>4</v>
      </c>
      <c r="H565" s="485">
        <v>1</v>
      </c>
      <c r="I565" s="485">
        <v>5</v>
      </c>
      <c r="J565" s="485">
        <v>3</v>
      </c>
      <c r="K565" s="485">
        <v>4</v>
      </c>
      <c r="L565" s="485">
        <v>8</v>
      </c>
      <c r="M565" s="485">
        <v>9</v>
      </c>
      <c r="N565" s="485">
        <v>3</v>
      </c>
      <c r="O565" s="485">
        <v>7</v>
      </c>
      <c r="P565" s="485">
        <v>2</v>
      </c>
    </row>
    <row r="566" spans="1:16" ht="17" thickBot="1">
      <c r="A566" s="255" t="s">
        <v>239</v>
      </c>
      <c r="B566" s="23" t="s">
        <v>217</v>
      </c>
      <c r="C566" s="30" t="s">
        <v>129</v>
      </c>
      <c r="D566" s="24" t="s">
        <v>56</v>
      </c>
      <c r="E566" s="485"/>
      <c r="F566" s="485"/>
      <c r="G566" s="485"/>
      <c r="H566" s="485"/>
      <c r="I566" s="485"/>
      <c r="J566" s="485"/>
      <c r="K566" s="485"/>
      <c r="L566" s="485"/>
      <c r="M566" s="485"/>
      <c r="N566" s="485"/>
      <c r="O566" s="485"/>
      <c r="P566" s="485"/>
    </row>
    <row r="567" spans="1:16" ht="17" thickBot="1">
      <c r="A567" s="255" t="s">
        <v>239</v>
      </c>
      <c r="B567" s="23" t="s">
        <v>217</v>
      </c>
      <c r="C567" s="30" t="s">
        <v>129</v>
      </c>
      <c r="D567" s="54" t="s">
        <v>30</v>
      </c>
      <c r="E567" s="485">
        <v>3</v>
      </c>
      <c r="F567" s="485">
        <v>11</v>
      </c>
      <c r="G567" s="485">
        <v>4</v>
      </c>
      <c r="H567" s="485">
        <v>3</v>
      </c>
      <c r="I567" s="485"/>
      <c r="J567" s="485">
        <v>3</v>
      </c>
      <c r="K567" s="485">
        <v>4</v>
      </c>
      <c r="L567" s="485">
        <v>4</v>
      </c>
      <c r="M567" s="485">
        <v>1</v>
      </c>
      <c r="N567" s="485">
        <v>1</v>
      </c>
      <c r="O567" s="485">
        <v>3</v>
      </c>
      <c r="P567" s="485">
        <v>3</v>
      </c>
    </row>
    <row r="568" spans="1:16" ht="17" thickBot="1">
      <c r="A568" s="255" t="s">
        <v>239</v>
      </c>
      <c r="B568" s="23" t="s">
        <v>217</v>
      </c>
      <c r="C568" s="30" t="s">
        <v>129</v>
      </c>
      <c r="D568" s="53" t="s">
        <v>146</v>
      </c>
      <c r="E568" s="485"/>
      <c r="F568" s="485"/>
      <c r="G568" s="485"/>
      <c r="H568" s="485">
        <v>1</v>
      </c>
      <c r="I568" s="485">
        <v>2</v>
      </c>
      <c r="J568" s="485"/>
      <c r="K568" s="485">
        <v>2</v>
      </c>
      <c r="L568" s="485"/>
      <c r="M568" s="485"/>
      <c r="N568" s="485"/>
      <c r="O568" s="485"/>
      <c r="P568" s="485"/>
    </row>
    <row r="569" spans="1:16" ht="17" thickBot="1">
      <c r="A569" s="255" t="s">
        <v>239</v>
      </c>
      <c r="B569" s="23" t="s">
        <v>217</v>
      </c>
      <c r="C569" s="30" t="s">
        <v>129</v>
      </c>
      <c r="D569" s="53" t="s">
        <v>145</v>
      </c>
      <c r="E569" s="485"/>
      <c r="F569" s="485"/>
      <c r="G569" s="485"/>
      <c r="H569" s="485"/>
      <c r="I569" s="485"/>
      <c r="J569" s="485"/>
      <c r="K569" s="485"/>
      <c r="L569" s="485"/>
      <c r="M569" s="485"/>
      <c r="N569" s="485"/>
      <c r="O569" s="485"/>
      <c r="P569" s="485"/>
    </row>
    <row r="570" spans="1:16" ht="17" thickBot="1">
      <c r="A570" s="255" t="s">
        <v>239</v>
      </c>
      <c r="B570" s="23" t="s">
        <v>217</v>
      </c>
      <c r="C570" s="30" t="s">
        <v>129</v>
      </c>
      <c r="D570" s="53" t="s">
        <v>187</v>
      </c>
      <c r="E570" s="485"/>
      <c r="F570" s="485"/>
      <c r="G570" s="485"/>
      <c r="H570" s="485"/>
      <c r="I570" s="485"/>
      <c r="J570" s="485"/>
      <c r="K570" s="485"/>
      <c r="L570" s="485"/>
      <c r="M570" s="485"/>
      <c r="N570" s="485"/>
      <c r="O570" s="485"/>
      <c r="P570" s="485"/>
    </row>
    <row r="571" spans="1:16" ht="17" thickBot="1">
      <c r="A571" s="255" t="s">
        <v>239</v>
      </c>
      <c r="B571" s="23" t="s">
        <v>217</v>
      </c>
      <c r="C571" s="30" t="s">
        <v>129</v>
      </c>
      <c r="D571" s="53" t="s">
        <v>164</v>
      </c>
      <c r="E571" s="485"/>
      <c r="F571" s="485"/>
      <c r="G571" s="485"/>
      <c r="H571" s="485"/>
      <c r="I571" s="485"/>
      <c r="J571" s="485"/>
      <c r="K571" s="485"/>
      <c r="L571" s="485"/>
      <c r="M571" s="485"/>
      <c r="N571" s="485"/>
      <c r="O571" s="485"/>
      <c r="P571" s="485"/>
    </row>
    <row r="572" spans="1:16" ht="17" thickBot="1">
      <c r="A572" s="255" t="s">
        <v>239</v>
      </c>
      <c r="B572" s="23" t="s">
        <v>217</v>
      </c>
      <c r="C572" s="30" t="s">
        <v>130</v>
      </c>
      <c r="D572" s="53" t="s">
        <v>208</v>
      </c>
      <c r="E572" s="485">
        <v>0</v>
      </c>
      <c r="F572" s="485">
        <v>1</v>
      </c>
      <c r="G572" s="485"/>
      <c r="H572" s="485"/>
      <c r="I572" s="485"/>
      <c r="J572" s="485"/>
      <c r="K572" s="485"/>
      <c r="L572" s="485"/>
      <c r="M572" s="485">
        <v>1</v>
      </c>
      <c r="N572" s="485"/>
      <c r="O572" s="485">
        <v>0</v>
      </c>
      <c r="P572" s="485">
        <v>3</v>
      </c>
    </row>
    <row r="573" spans="1:16" ht="17" thickBot="1">
      <c r="A573" s="255" t="s">
        <v>239</v>
      </c>
      <c r="B573" s="23" t="s">
        <v>217</v>
      </c>
      <c r="C573" s="30" t="s">
        <v>130</v>
      </c>
      <c r="D573" s="53" t="s">
        <v>114</v>
      </c>
      <c r="E573" s="485">
        <v>0</v>
      </c>
      <c r="F573" s="520">
        <v>0</v>
      </c>
      <c r="G573" s="485">
        <v>0</v>
      </c>
      <c r="H573" s="485">
        <v>0</v>
      </c>
      <c r="I573" s="485">
        <v>0</v>
      </c>
      <c r="J573" s="485">
        <v>0</v>
      </c>
      <c r="K573" s="485">
        <v>0</v>
      </c>
      <c r="L573" s="485">
        <v>0</v>
      </c>
      <c r="M573" s="485">
        <v>0</v>
      </c>
      <c r="N573" s="485">
        <v>0</v>
      </c>
      <c r="O573" s="485">
        <v>0</v>
      </c>
      <c r="P573" s="485">
        <v>1</v>
      </c>
    </row>
    <row r="574" spans="1:16" ht="17" thickBot="1">
      <c r="A574" s="255" t="s">
        <v>239</v>
      </c>
      <c r="B574" s="23" t="s">
        <v>217</v>
      </c>
      <c r="C574" s="30" t="s">
        <v>130</v>
      </c>
      <c r="D574" s="53" t="s">
        <v>189</v>
      </c>
      <c r="E574" s="485">
        <v>0</v>
      </c>
      <c r="F574" s="485">
        <v>1</v>
      </c>
      <c r="G574" s="485">
        <v>0</v>
      </c>
      <c r="H574" s="485">
        <v>0</v>
      </c>
      <c r="I574" s="485">
        <v>0</v>
      </c>
      <c r="J574" s="485">
        <v>0</v>
      </c>
      <c r="K574" s="485">
        <v>0</v>
      </c>
      <c r="L574" s="485">
        <v>2</v>
      </c>
      <c r="M574" s="485">
        <v>0</v>
      </c>
      <c r="N574" s="485">
        <v>0</v>
      </c>
      <c r="O574" s="485">
        <v>0</v>
      </c>
      <c r="P574" s="485">
        <v>1</v>
      </c>
    </row>
    <row r="575" spans="1:16" ht="17" thickBot="1">
      <c r="A575" s="255" t="s">
        <v>239</v>
      </c>
      <c r="B575" s="23" t="s">
        <v>217</v>
      </c>
      <c r="C575" s="30" t="s">
        <v>130</v>
      </c>
      <c r="D575" s="53" t="s">
        <v>163</v>
      </c>
      <c r="E575" s="485">
        <v>0</v>
      </c>
      <c r="F575" s="485">
        <v>0</v>
      </c>
      <c r="G575" s="485">
        <v>0</v>
      </c>
      <c r="H575" s="485">
        <v>0</v>
      </c>
      <c r="I575" s="485">
        <v>1</v>
      </c>
      <c r="J575" s="485">
        <v>1</v>
      </c>
      <c r="K575" s="485">
        <v>0</v>
      </c>
      <c r="L575" s="485">
        <v>0</v>
      </c>
      <c r="M575" s="485">
        <v>0</v>
      </c>
      <c r="N575" s="485">
        <v>0</v>
      </c>
      <c r="O575" s="485">
        <v>0</v>
      </c>
      <c r="P575" s="485">
        <v>0</v>
      </c>
    </row>
    <row r="576" spans="1:16" ht="17" thickBot="1">
      <c r="A576" s="255" t="s">
        <v>239</v>
      </c>
      <c r="B576" s="23" t="s">
        <v>217</v>
      </c>
      <c r="C576" s="30" t="s">
        <v>130</v>
      </c>
      <c r="D576" s="53" t="s">
        <v>227</v>
      </c>
      <c r="E576" s="485"/>
      <c r="F576" s="485"/>
      <c r="G576" s="485"/>
      <c r="H576" s="485"/>
      <c r="I576" s="485"/>
      <c r="J576" s="485"/>
      <c r="K576" s="485"/>
      <c r="L576" s="485"/>
      <c r="M576" s="485"/>
      <c r="N576" s="485"/>
      <c r="O576" s="485"/>
      <c r="P576" s="485"/>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FFC000"/>
    <pageSetUpPr fitToPage="1"/>
  </sheetPr>
  <dimension ref="A1:N458"/>
  <sheetViews>
    <sheetView zoomScaleNormal="100" workbookViewId="0">
      <selection activeCell="H26" sqref="H26"/>
    </sheetView>
  </sheetViews>
  <sheetFormatPr baseColWidth="10" defaultColWidth="8.83203125" defaultRowHeight="13"/>
  <cols>
    <col min="1" max="1" width="48.5" bestFit="1" customWidth="1"/>
    <col min="4" max="4" width="10" bestFit="1" customWidth="1"/>
    <col min="6" max="6" width="9.6640625" customWidth="1"/>
    <col min="7" max="7" width="9.5" bestFit="1" customWidth="1"/>
    <col min="9" max="10" width="10.1640625" bestFit="1" customWidth="1"/>
    <col min="11" max="11" width="11.1640625" bestFit="1" customWidth="1"/>
  </cols>
  <sheetData>
    <row r="1" spans="1:14">
      <c r="A1" s="75"/>
    </row>
    <row r="3" spans="1:14" ht="14" thickBot="1">
      <c r="B3" s="35" t="s">
        <v>35</v>
      </c>
      <c r="C3" s="35" t="s">
        <v>36</v>
      </c>
      <c r="D3" s="35" t="s">
        <v>37</v>
      </c>
      <c r="E3" s="35" t="s">
        <v>38</v>
      </c>
      <c r="F3" s="35" t="s">
        <v>39</v>
      </c>
      <c r="G3" s="35" t="s">
        <v>40</v>
      </c>
      <c r="H3" s="35" t="s">
        <v>41</v>
      </c>
      <c r="I3" s="35" t="s">
        <v>42</v>
      </c>
      <c r="J3" s="35" t="s">
        <v>43</v>
      </c>
      <c r="K3" s="35" t="s">
        <v>44</v>
      </c>
      <c r="L3" s="35" t="s">
        <v>45</v>
      </c>
      <c r="M3" s="35" t="s">
        <v>46</v>
      </c>
      <c r="N3" s="35" t="s">
        <v>10</v>
      </c>
    </row>
    <row r="4" spans="1:14" ht="17" thickBot="1">
      <c r="A4" s="23" t="s">
        <v>34</v>
      </c>
      <c r="B4" s="16"/>
      <c r="C4" s="16"/>
      <c r="D4" s="15"/>
      <c r="E4" s="15"/>
      <c r="F4" s="17"/>
      <c r="G4" s="17"/>
      <c r="H4" s="15"/>
      <c r="I4" s="15"/>
      <c r="J4" s="15"/>
      <c r="K4" s="15"/>
      <c r="L4" s="16"/>
      <c r="M4" s="16"/>
      <c r="N4" s="18"/>
    </row>
    <row r="5" spans="1:14" ht="14" thickBot="1">
      <c r="A5" s="30" t="s">
        <v>48</v>
      </c>
      <c r="B5" s="31"/>
      <c r="C5" s="31"/>
      <c r="D5" s="31"/>
      <c r="E5" s="31"/>
      <c r="F5" s="31"/>
      <c r="G5" s="31"/>
      <c r="H5" s="31"/>
      <c r="I5" s="31"/>
      <c r="J5" s="31"/>
      <c r="K5" s="31"/>
      <c r="L5" s="31"/>
      <c r="M5" s="31"/>
      <c r="N5" s="32"/>
    </row>
    <row r="6" spans="1:14">
      <c r="A6" s="24" t="s">
        <v>28</v>
      </c>
      <c r="B6" s="485">
        <v>0</v>
      </c>
      <c r="C6" s="485">
        <v>0</v>
      </c>
      <c r="D6" s="485">
        <v>0</v>
      </c>
      <c r="E6" s="485">
        <v>1</v>
      </c>
      <c r="F6" s="485">
        <v>2</v>
      </c>
      <c r="G6" s="485">
        <v>0</v>
      </c>
      <c r="H6" s="485">
        <v>0</v>
      </c>
      <c r="I6" s="485">
        <v>0</v>
      </c>
      <c r="J6" s="485">
        <v>0</v>
      </c>
      <c r="K6" s="485">
        <v>3</v>
      </c>
      <c r="L6" s="485">
        <v>0</v>
      </c>
      <c r="M6" s="485">
        <v>0</v>
      </c>
      <c r="N6" s="19">
        <f t="shared" ref="N6:N26" si="0">SUM(B6:M6)</f>
        <v>6</v>
      </c>
    </row>
    <row r="7" spans="1:14">
      <c r="A7" s="24" t="s">
        <v>29</v>
      </c>
      <c r="B7" s="485">
        <v>0</v>
      </c>
      <c r="C7" s="485">
        <v>0</v>
      </c>
      <c r="D7" s="485">
        <v>0</v>
      </c>
      <c r="E7" s="485">
        <v>1</v>
      </c>
      <c r="F7" s="485">
        <v>1</v>
      </c>
      <c r="G7" s="485">
        <v>0</v>
      </c>
      <c r="H7" s="485">
        <v>0</v>
      </c>
      <c r="I7" s="485">
        <v>0</v>
      </c>
      <c r="J7" s="485">
        <v>1</v>
      </c>
      <c r="K7" s="485">
        <v>2</v>
      </c>
      <c r="L7" s="485">
        <v>2</v>
      </c>
      <c r="M7" s="485">
        <v>2</v>
      </c>
      <c r="N7" s="19">
        <f t="shared" si="0"/>
        <v>9</v>
      </c>
    </row>
    <row r="8" spans="1:14">
      <c r="A8" s="24" t="s">
        <v>33</v>
      </c>
      <c r="B8" s="485">
        <v>4</v>
      </c>
      <c r="C8" s="485">
        <v>0</v>
      </c>
      <c r="D8" s="485">
        <v>28</v>
      </c>
      <c r="E8" s="485">
        <v>17</v>
      </c>
      <c r="F8" s="485">
        <v>17</v>
      </c>
      <c r="G8" s="485">
        <v>8</v>
      </c>
      <c r="H8" s="485">
        <v>25</v>
      </c>
      <c r="I8" s="485">
        <v>12</v>
      </c>
      <c r="J8" s="485">
        <v>12</v>
      </c>
      <c r="K8" s="485">
        <v>15</v>
      </c>
      <c r="L8" s="485">
        <v>9</v>
      </c>
      <c r="M8" s="485">
        <v>21</v>
      </c>
      <c r="N8" s="19">
        <f t="shared" si="0"/>
        <v>168</v>
      </c>
    </row>
    <row r="9" spans="1:14">
      <c r="A9" s="24" t="s">
        <v>56</v>
      </c>
      <c r="B9" s="485">
        <v>0</v>
      </c>
      <c r="C9" s="485">
        <v>0</v>
      </c>
      <c r="D9" s="485">
        <v>23</v>
      </c>
      <c r="E9" s="485">
        <v>22</v>
      </c>
      <c r="F9" s="485">
        <v>0</v>
      </c>
      <c r="G9" s="485">
        <v>20</v>
      </c>
      <c r="H9" s="485">
        <v>0</v>
      </c>
      <c r="I9" s="485">
        <v>0</v>
      </c>
      <c r="J9" s="485">
        <v>0</v>
      </c>
      <c r="K9" s="485">
        <v>45</v>
      </c>
      <c r="L9" s="485">
        <v>0</v>
      </c>
      <c r="M9" s="485">
        <v>0</v>
      </c>
      <c r="N9" s="19">
        <f t="shared" si="0"/>
        <v>110</v>
      </c>
    </row>
    <row r="10" spans="1:14">
      <c r="A10" s="24" t="s">
        <v>52</v>
      </c>
      <c r="B10" s="485">
        <v>0</v>
      </c>
      <c r="C10" s="485">
        <v>0</v>
      </c>
      <c r="D10" s="485">
        <v>0</v>
      </c>
      <c r="E10" s="485">
        <v>0</v>
      </c>
      <c r="F10" s="485">
        <v>0</v>
      </c>
      <c r="G10" s="485">
        <v>0</v>
      </c>
      <c r="H10" s="485">
        <v>0</v>
      </c>
      <c r="I10" s="485">
        <v>0</v>
      </c>
      <c r="J10" s="485">
        <v>0</v>
      </c>
      <c r="K10" s="485">
        <v>1</v>
      </c>
      <c r="L10" s="485">
        <v>0</v>
      </c>
      <c r="M10" s="485">
        <v>0</v>
      </c>
      <c r="N10" s="19">
        <f>SUM(B10:M10)</f>
        <v>1</v>
      </c>
    </row>
    <row r="11" spans="1:14">
      <c r="A11" s="25" t="s">
        <v>79</v>
      </c>
      <c r="B11" s="485">
        <v>0</v>
      </c>
      <c r="C11" s="485">
        <v>0</v>
      </c>
      <c r="D11" s="485">
        <v>0</v>
      </c>
      <c r="E11" s="485">
        <v>0</v>
      </c>
      <c r="F11" s="485">
        <v>0</v>
      </c>
      <c r="G11" s="485">
        <v>0</v>
      </c>
      <c r="H11" s="485">
        <v>0</v>
      </c>
      <c r="I11" s="485">
        <v>0</v>
      </c>
      <c r="J11" s="485">
        <v>0</v>
      </c>
      <c r="K11" s="485">
        <v>0</v>
      </c>
      <c r="L11" s="485">
        <v>1</v>
      </c>
      <c r="M11" s="485">
        <v>2</v>
      </c>
      <c r="N11" s="19">
        <f>SUM(B11:M11)</f>
        <v>3</v>
      </c>
    </row>
    <row r="12" spans="1:14" ht="14" thickBot="1">
      <c r="A12" s="25" t="s">
        <v>75</v>
      </c>
      <c r="B12" s="485">
        <v>0</v>
      </c>
      <c r="C12" s="485">
        <v>0</v>
      </c>
      <c r="D12" s="485">
        <v>0</v>
      </c>
      <c r="E12" s="485">
        <v>0</v>
      </c>
      <c r="F12" s="485">
        <v>0</v>
      </c>
      <c r="G12" s="485">
        <v>0</v>
      </c>
      <c r="H12" s="485">
        <v>0</v>
      </c>
      <c r="I12" s="485">
        <v>2</v>
      </c>
      <c r="J12" s="485">
        <v>0</v>
      </c>
      <c r="K12" s="485">
        <v>0</v>
      </c>
      <c r="L12" s="485">
        <v>1</v>
      </c>
      <c r="M12" s="485">
        <v>2</v>
      </c>
      <c r="N12" s="19">
        <f>SUM(B12:M12)</f>
        <v>5</v>
      </c>
    </row>
    <row r="13" spans="1:14" ht="14" thickBot="1">
      <c r="A13" s="40" t="s">
        <v>60</v>
      </c>
      <c r="B13" s="42">
        <f t="shared" ref="B13:I13" si="1">SUM(B6:B12)</f>
        <v>4</v>
      </c>
      <c r="C13" s="42">
        <f t="shared" si="1"/>
        <v>0</v>
      </c>
      <c r="D13" s="42">
        <f t="shared" si="1"/>
        <v>51</v>
      </c>
      <c r="E13" s="42">
        <f t="shared" si="1"/>
        <v>41</v>
      </c>
      <c r="F13" s="42">
        <f t="shared" si="1"/>
        <v>20</v>
      </c>
      <c r="G13" s="42">
        <f t="shared" si="1"/>
        <v>28</v>
      </c>
      <c r="H13" s="42">
        <f t="shared" si="1"/>
        <v>25</v>
      </c>
      <c r="I13" s="42">
        <f t="shared" si="1"/>
        <v>14</v>
      </c>
      <c r="J13" s="42">
        <f>SUM(J6:J12)</f>
        <v>13</v>
      </c>
      <c r="K13" s="42">
        <f>SUM(K6:K12)</f>
        <v>66</v>
      </c>
      <c r="L13" s="42">
        <f>SUM(L6:L12)</f>
        <v>13</v>
      </c>
      <c r="M13" s="42">
        <f>SUM(M6:M12)</f>
        <v>27</v>
      </c>
      <c r="N13" s="41">
        <f>SUM(N6:N12)</f>
        <v>302</v>
      </c>
    </row>
    <row r="14" spans="1:14" ht="14" thickBot="1">
      <c r="A14" s="30" t="s">
        <v>49</v>
      </c>
      <c r="B14" s="31"/>
      <c r="C14" s="31"/>
      <c r="D14" s="31"/>
      <c r="E14" s="31"/>
      <c r="F14" s="31"/>
      <c r="G14" s="31"/>
      <c r="H14" s="31"/>
      <c r="I14" s="31"/>
      <c r="J14" s="31"/>
      <c r="K14" s="31"/>
      <c r="L14" s="31"/>
      <c r="M14" s="31"/>
      <c r="N14" s="32"/>
    </row>
    <row r="15" spans="1:14" ht="14" thickBot="1">
      <c r="A15" s="25" t="s">
        <v>49</v>
      </c>
      <c r="B15" s="485">
        <v>30</v>
      </c>
      <c r="C15" s="485">
        <v>212</v>
      </c>
      <c r="D15" s="485">
        <v>33</v>
      </c>
      <c r="E15" s="485">
        <v>34</v>
      </c>
      <c r="F15" s="485">
        <v>126</v>
      </c>
      <c r="G15" s="485">
        <v>0</v>
      </c>
      <c r="H15" s="485">
        <v>155</v>
      </c>
      <c r="I15" s="485">
        <v>0</v>
      </c>
      <c r="J15" s="485">
        <v>0</v>
      </c>
      <c r="K15" s="485">
        <v>38</v>
      </c>
      <c r="L15" s="485">
        <v>23</v>
      </c>
      <c r="M15" s="485">
        <v>57</v>
      </c>
      <c r="N15" s="19">
        <f>SUM(B15:M15)</f>
        <v>708</v>
      </c>
    </row>
    <row r="16" spans="1:14" ht="14" thickBot="1">
      <c r="A16" s="40" t="s">
        <v>60</v>
      </c>
      <c r="B16" s="42">
        <f>SUM(B15)</f>
        <v>30</v>
      </c>
      <c r="C16" s="42">
        <f>SUM(C15)</f>
        <v>212</v>
      </c>
      <c r="D16" s="42">
        <f t="shared" ref="D16:N16" si="2">SUM(D15)</f>
        <v>33</v>
      </c>
      <c r="E16" s="42">
        <f t="shared" si="2"/>
        <v>34</v>
      </c>
      <c r="F16" s="42">
        <f t="shared" si="2"/>
        <v>126</v>
      </c>
      <c r="G16" s="42">
        <f t="shared" si="2"/>
        <v>0</v>
      </c>
      <c r="H16" s="42">
        <f t="shared" si="2"/>
        <v>155</v>
      </c>
      <c r="I16" s="42">
        <f t="shared" si="2"/>
        <v>0</v>
      </c>
      <c r="J16" s="42">
        <f t="shared" si="2"/>
        <v>0</v>
      </c>
      <c r="K16" s="42">
        <f t="shared" si="2"/>
        <v>38</v>
      </c>
      <c r="L16" s="42">
        <f t="shared" si="2"/>
        <v>23</v>
      </c>
      <c r="M16" s="42">
        <f t="shared" si="2"/>
        <v>57</v>
      </c>
      <c r="N16" s="41">
        <f t="shared" si="2"/>
        <v>708</v>
      </c>
    </row>
    <row r="17" spans="1:14" ht="14" thickBot="1">
      <c r="A17" s="30" t="s">
        <v>50</v>
      </c>
      <c r="B17" s="31"/>
      <c r="C17" s="31"/>
      <c r="D17" s="31"/>
      <c r="E17" s="31"/>
      <c r="F17" s="31"/>
      <c r="G17" s="31"/>
      <c r="H17" s="31"/>
      <c r="I17" s="31"/>
      <c r="J17" s="31"/>
      <c r="K17" s="31"/>
      <c r="L17" s="31"/>
      <c r="M17" s="31"/>
      <c r="N17" s="32"/>
    </row>
    <row r="18" spans="1:14">
      <c r="A18" s="26" t="s">
        <v>26</v>
      </c>
      <c r="B18" s="485">
        <v>0</v>
      </c>
      <c r="C18" s="485">
        <v>0</v>
      </c>
      <c r="D18" s="485">
        <v>0</v>
      </c>
      <c r="E18" s="485">
        <v>0</v>
      </c>
      <c r="F18" s="485">
        <v>0</v>
      </c>
      <c r="G18" s="485">
        <v>0</v>
      </c>
      <c r="H18" s="485">
        <v>0</v>
      </c>
      <c r="I18" s="485">
        <v>0</v>
      </c>
      <c r="J18" s="485">
        <v>0</v>
      </c>
      <c r="K18" s="485">
        <v>0</v>
      </c>
      <c r="L18" s="485">
        <v>0</v>
      </c>
      <c r="M18" s="485">
        <v>0</v>
      </c>
      <c r="N18" s="19">
        <f t="shared" si="0"/>
        <v>0</v>
      </c>
    </row>
    <row r="19" spans="1:14">
      <c r="A19" s="26" t="s">
        <v>25</v>
      </c>
      <c r="B19" s="485">
        <v>0</v>
      </c>
      <c r="C19" s="485">
        <v>8</v>
      </c>
      <c r="D19" s="485">
        <v>0</v>
      </c>
      <c r="E19" s="485">
        <v>0</v>
      </c>
      <c r="F19" s="485">
        <v>0</v>
      </c>
      <c r="G19" s="485">
        <v>0</v>
      </c>
      <c r="H19" s="485">
        <v>0</v>
      </c>
      <c r="I19" s="485">
        <v>0</v>
      </c>
      <c r="J19" s="485">
        <v>0</v>
      </c>
      <c r="K19" s="485">
        <v>0</v>
      </c>
      <c r="L19" s="485">
        <v>0</v>
      </c>
      <c r="M19" s="485">
        <v>0</v>
      </c>
      <c r="N19" s="19">
        <f t="shared" si="0"/>
        <v>8</v>
      </c>
    </row>
    <row r="20" spans="1:14">
      <c r="A20" s="24" t="s">
        <v>29</v>
      </c>
      <c r="B20" s="485">
        <v>0</v>
      </c>
      <c r="C20" s="485">
        <v>456</v>
      </c>
      <c r="D20" s="485">
        <v>191</v>
      </c>
      <c r="E20" s="485">
        <v>66</v>
      </c>
      <c r="F20" s="485">
        <v>0</v>
      </c>
      <c r="G20" s="485">
        <v>46</v>
      </c>
      <c r="H20" s="485">
        <v>0</v>
      </c>
      <c r="I20" s="485">
        <v>0</v>
      </c>
      <c r="J20" s="485">
        <v>0</v>
      </c>
      <c r="K20" s="485">
        <v>169</v>
      </c>
      <c r="L20" s="485">
        <v>212</v>
      </c>
      <c r="M20" s="485">
        <v>0</v>
      </c>
      <c r="N20" s="19">
        <f t="shared" si="0"/>
        <v>1140</v>
      </c>
    </row>
    <row r="21" spans="1:14">
      <c r="A21" s="24" t="s">
        <v>51</v>
      </c>
      <c r="B21" s="485">
        <v>97</v>
      </c>
      <c r="C21" s="485">
        <v>0</v>
      </c>
      <c r="D21" s="485">
        <v>0</v>
      </c>
      <c r="E21" s="485">
        <v>0</v>
      </c>
      <c r="F21" s="485">
        <v>78</v>
      </c>
      <c r="G21" s="485">
        <v>0</v>
      </c>
      <c r="H21" s="485">
        <v>60</v>
      </c>
      <c r="I21" s="485">
        <v>8</v>
      </c>
      <c r="J21" s="485">
        <v>12</v>
      </c>
      <c r="K21" s="485">
        <v>0</v>
      </c>
      <c r="L21" s="485">
        <v>3</v>
      </c>
      <c r="M21" s="485">
        <v>4</v>
      </c>
      <c r="N21" s="19">
        <f t="shared" si="0"/>
        <v>262</v>
      </c>
    </row>
    <row r="22" spans="1:14">
      <c r="A22" s="26" t="s">
        <v>20</v>
      </c>
      <c r="B22" s="485">
        <v>0</v>
      </c>
      <c r="C22" s="485">
        <v>0</v>
      </c>
      <c r="D22" s="485">
        <v>0</v>
      </c>
      <c r="E22" s="485">
        <v>0</v>
      </c>
      <c r="F22" s="485">
        <v>0</v>
      </c>
      <c r="G22" s="485">
        <v>9</v>
      </c>
      <c r="H22" s="485">
        <v>0</v>
      </c>
      <c r="I22" s="485">
        <v>0</v>
      </c>
      <c r="J22" s="485">
        <v>0</v>
      </c>
      <c r="K22" s="485">
        <v>0</v>
      </c>
      <c r="L22" s="485">
        <v>0</v>
      </c>
      <c r="M22" s="485">
        <v>0</v>
      </c>
      <c r="N22" s="19">
        <f t="shared" si="0"/>
        <v>9</v>
      </c>
    </row>
    <row r="23" spans="1:14">
      <c r="A23" s="26" t="s">
        <v>140</v>
      </c>
      <c r="B23" s="485">
        <v>2</v>
      </c>
      <c r="C23" s="485">
        <v>0</v>
      </c>
      <c r="D23" s="485">
        <v>0</v>
      </c>
      <c r="E23" s="485">
        <v>1</v>
      </c>
      <c r="F23" s="485">
        <v>0</v>
      </c>
      <c r="G23" s="485">
        <v>0</v>
      </c>
      <c r="H23" s="485">
        <v>0</v>
      </c>
      <c r="I23" s="485">
        <v>0</v>
      </c>
      <c r="J23" s="485">
        <v>0</v>
      </c>
      <c r="K23" s="485">
        <v>0</v>
      </c>
      <c r="L23" s="485">
        <v>0</v>
      </c>
      <c r="M23" s="485">
        <v>2</v>
      </c>
      <c r="N23" s="19">
        <f t="shared" si="0"/>
        <v>5</v>
      </c>
    </row>
    <row r="24" spans="1:14">
      <c r="A24" s="27" t="s">
        <v>47</v>
      </c>
      <c r="B24" s="485">
        <v>0</v>
      </c>
      <c r="C24" s="485">
        <v>0</v>
      </c>
      <c r="D24" s="485">
        <v>0</v>
      </c>
      <c r="E24" s="485">
        <v>0</v>
      </c>
      <c r="F24" s="485">
        <v>0</v>
      </c>
      <c r="G24" s="485">
        <v>0</v>
      </c>
      <c r="H24" s="485">
        <v>0</v>
      </c>
      <c r="I24" s="485">
        <v>0</v>
      </c>
      <c r="J24" s="485">
        <v>0</v>
      </c>
      <c r="K24" s="485">
        <v>1</v>
      </c>
      <c r="L24" s="485">
        <v>0</v>
      </c>
      <c r="M24" s="485">
        <v>0</v>
      </c>
      <c r="N24" s="19">
        <f t="shared" si="0"/>
        <v>1</v>
      </c>
    </row>
    <row r="25" spans="1:14">
      <c r="A25" s="25" t="s">
        <v>52</v>
      </c>
      <c r="B25" s="485">
        <v>0</v>
      </c>
      <c r="C25" s="485">
        <v>0</v>
      </c>
      <c r="D25" s="485">
        <v>0</v>
      </c>
      <c r="E25" s="485">
        <v>0</v>
      </c>
      <c r="F25" s="485">
        <v>0</v>
      </c>
      <c r="G25" s="485">
        <v>0</v>
      </c>
      <c r="H25" s="485">
        <v>0</v>
      </c>
      <c r="I25" s="485">
        <v>0</v>
      </c>
      <c r="J25" s="485">
        <v>0</v>
      </c>
      <c r="K25" s="485">
        <v>0</v>
      </c>
      <c r="L25" s="485">
        <v>1</v>
      </c>
      <c r="M25" s="485">
        <v>1</v>
      </c>
      <c r="N25" s="19">
        <f t="shared" si="0"/>
        <v>2</v>
      </c>
    </row>
    <row r="26" spans="1:14">
      <c r="A26" s="25" t="s">
        <v>53</v>
      </c>
      <c r="B26" s="485">
        <v>0</v>
      </c>
      <c r="C26" s="485">
        <v>0</v>
      </c>
      <c r="D26" s="485">
        <v>0</v>
      </c>
      <c r="E26" s="485">
        <v>0</v>
      </c>
      <c r="F26" s="485">
        <v>0</v>
      </c>
      <c r="G26" s="485">
        <v>0</v>
      </c>
      <c r="H26" s="485">
        <v>0</v>
      </c>
      <c r="I26" s="485">
        <v>0</v>
      </c>
      <c r="J26" s="485">
        <v>0</v>
      </c>
      <c r="K26" s="485">
        <v>0</v>
      </c>
      <c r="L26" s="485">
        <v>0</v>
      </c>
      <c r="M26" s="485">
        <v>0</v>
      </c>
      <c r="N26" s="19">
        <f t="shared" si="0"/>
        <v>0</v>
      </c>
    </row>
    <row r="27" spans="1:14" ht="14" thickBot="1">
      <c r="A27" s="24" t="s">
        <v>56</v>
      </c>
      <c r="B27" s="485">
        <v>0</v>
      </c>
      <c r="C27" s="485">
        <v>0</v>
      </c>
      <c r="D27" s="485">
        <v>0</v>
      </c>
      <c r="E27" s="485">
        <v>0</v>
      </c>
      <c r="F27" s="485">
        <v>0</v>
      </c>
      <c r="G27" s="485">
        <v>0</v>
      </c>
      <c r="H27" s="485">
        <v>0</v>
      </c>
      <c r="I27" s="485">
        <v>0</v>
      </c>
      <c r="J27" s="485">
        <v>0</v>
      </c>
      <c r="K27" s="485">
        <v>0</v>
      </c>
      <c r="L27" s="485">
        <v>0</v>
      </c>
      <c r="M27" s="485">
        <v>0</v>
      </c>
      <c r="N27" s="19">
        <f>SUM(B27:M27)</f>
        <v>0</v>
      </c>
    </row>
    <row r="28" spans="1:14" ht="14" thickBot="1">
      <c r="A28" s="40" t="s">
        <v>60</v>
      </c>
      <c r="B28" s="42">
        <f>SUM(B18:B27)</f>
        <v>99</v>
      </c>
      <c r="C28" s="42">
        <f t="shared" ref="C28:N28" si="3">SUM(C18:C27)</f>
        <v>464</v>
      </c>
      <c r="D28" s="42">
        <f t="shared" si="3"/>
        <v>191</v>
      </c>
      <c r="E28" s="42">
        <f t="shared" si="3"/>
        <v>67</v>
      </c>
      <c r="F28" s="42">
        <f t="shared" si="3"/>
        <v>78</v>
      </c>
      <c r="G28" s="42">
        <f t="shared" si="3"/>
        <v>55</v>
      </c>
      <c r="H28" s="42">
        <f t="shared" si="3"/>
        <v>60</v>
      </c>
      <c r="I28" s="42">
        <f t="shared" si="3"/>
        <v>8</v>
      </c>
      <c r="J28" s="42">
        <f t="shared" si="3"/>
        <v>12</v>
      </c>
      <c r="K28" s="42">
        <f t="shared" si="3"/>
        <v>170</v>
      </c>
      <c r="L28" s="42">
        <f t="shared" si="3"/>
        <v>216</v>
      </c>
      <c r="M28" s="42">
        <f t="shared" si="3"/>
        <v>7</v>
      </c>
      <c r="N28" s="41">
        <f t="shared" si="3"/>
        <v>1427</v>
      </c>
    </row>
    <row r="29" spans="1:14" ht="14" thickBot="1">
      <c r="A29" s="30" t="s">
        <v>54</v>
      </c>
      <c r="B29" s="33"/>
      <c r="C29" s="33"/>
      <c r="D29" s="33"/>
      <c r="E29" s="33"/>
      <c r="F29" s="33"/>
      <c r="G29" s="33"/>
      <c r="H29" s="33"/>
      <c r="I29" s="33"/>
      <c r="J29" s="33"/>
      <c r="K29" s="33"/>
      <c r="L29" s="33"/>
      <c r="M29" s="33"/>
      <c r="N29" s="34"/>
    </row>
    <row r="30" spans="1:14">
      <c r="A30" s="28" t="s">
        <v>29</v>
      </c>
      <c r="B30" s="486">
        <v>0</v>
      </c>
      <c r="C30" s="486">
        <v>0</v>
      </c>
      <c r="D30" s="486">
        <v>0</v>
      </c>
      <c r="E30" s="486">
        <v>0</v>
      </c>
      <c r="F30" s="486">
        <v>0</v>
      </c>
      <c r="G30" s="486">
        <v>0</v>
      </c>
      <c r="H30" s="486">
        <v>0</v>
      </c>
      <c r="I30" s="486">
        <v>0</v>
      </c>
      <c r="J30" s="486">
        <v>0</v>
      </c>
      <c r="K30" s="486">
        <v>0</v>
      </c>
      <c r="L30" s="486">
        <v>0</v>
      </c>
      <c r="M30" s="486">
        <v>0</v>
      </c>
      <c r="N30" s="20">
        <f>SUM(B30:M30)</f>
        <v>0</v>
      </c>
    </row>
    <row r="31" spans="1:14">
      <c r="A31" s="26" t="s">
        <v>51</v>
      </c>
      <c r="B31" s="485">
        <v>0</v>
      </c>
      <c r="C31" s="485">
        <v>0</v>
      </c>
      <c r="D31" s="485">
        <v>0</v>
      </c>
      <c r="E31" s="485">
        <v>0</v>
      </c>
      <c r="F31" s="485">
        <v>0</v>
      </c>
      <c r="G31" s="485">
        <v>0</v>
      </c>
      <c r="H31" s="485">
        <v>0</v>
      </c>
      <c r="I31" s="485">
        <v>5</v>
      </c>
      <c r="J31" s="485">
        <v>0</v>
      </c>
      <c r="K31" s="485">
        <v>0</v>
      </c>
      <c r="L31" s="485">
        <v>0</v>
      </c>
      <c r="M31" s="485">
        <v>0</v>
      </c>
      <c r="N31" s="21">
        <f>SUM(B31:M31)</f>
        <v>5</v>
      </c>
    </row>
    <row r="32" spans="1:14">
      <c r="A32" s="26" t="s">
        <v>15</v>
      </c>
      <c r="B32" s="485">
        <v>0</v>
      </c>
      <c r="C32" s="485">
        <v>0</v>
      </c>
      <c r="D32" s="485">
        <v>0</v>
      </c>
      <c r="E32" s="485">
        <v>0</v>
      </c>
      <c r="F32" s="485">
        <v>0</v>
      </c>
      <c r="G32" s="485">
        <v>0</v>
      </c>
      <c r="H32" s="485">
        <v>0</v>
      </c>
      <c r="I32" s="485">
        <v>0</v>
      </c>
      <c r="J32" s="485">
        <v>0</v>
      </c>
      <c r="K32" s="485">
        <v>0</v>
      </c>
      <c r="L32" s="487">
        <v>7</v>
      </c>
      <c r="M32" s="485">
        <v>0</v>
      </c>
      <c r="N32" s="21">
        <f>SUM(B32:M32)</f>
        <v>7</v>
      </c>
    </row>
    <row r="33" spans="1:14">
      <c r="A33" s="26" t="s">
        <v>30</v>
      </c>
      <c r="B33" s="485">
        <v>0</v>
      </c>
      <c r="C33" s="485">
        <v>0</v>
      </c>
      <c r="D33" s="485">
        <v>0</v>
      </c>
      <c r="E33" s="485">
        <v>0</v>
      </c>
      <c r="F33" s="485">
        <v>0</v>
      </c>
      <c r="G33" s="485">
        <v>0</v>
      </c>
      <c r="H33" s="485">
        <v>0</v>
      </c>
      <c r="I33" s="485">
        <v>0</v>
      </c>
      <c r="J33" s="485">
        <v>0</v>
      </c>
      <c r="K33" s="485">
        <v>0</v>
      </c>
      <c r="L33" s="485">
        <v>0</v>
      </c>
      <c r="M33" s="485">
        <v>0</v>
      </c>
      <c r="N33" s="21">
        <f>SUM(B33:M33)</f>
        <v>0</v>
      </c>
    </row>
    <row r="34" spans="1:14" ht="14" thickBot="1">
      <c r="A34" s="29" t="s">
        <v>55</v>
      </c>
      <c r="B34" s="490">
        <v>0</v>
      </c>
      <c r="C34" s="490">
        <v>0</v>
      </c>
      <c r="D34" s="490">
        <v>0</v>
      </c>
      <c r="E34" s="490">
        <v>0</v>
      </c>
      <c r="F34" s="490">
        <v>0</v>
      </c>
      <c r="G34" s="490">
        <v>0</v>
      </c>
      <c r="H34" s="490">
        <v>0</v>
      </c>
      <c r="I34" s="490">
        <v>0</v>
      </c>
      <c r="J34" s="490">
        <v>0</v>
      </c>
      <c r="K34" s="490">
        <v>0</v>
      </c>
      <c r="L34" s="490">
        <v>0</v>
      </c>
      <c r="M34" s="490">
        <v>0</v>
      </c>
      <c r="N34" s="22">
        <f>SUM(B34:M34)</f>
        <v>0</v>
      </c>
    </row>
    <row r="35" spans="1:14" ht="14" thickBot="1">
      <c r="A35" s="40" t="s">
        <v>60</v>
      </c>
      <c r="B35" s="42">
        <f>SUM(B30:B34)</f>
        <v>0</v>
      </c>
      <c r="C35" s="42">
        <f t="shared" ref="C35:N35" si="4">SUM(C30:C34)</f>
        <v>0</v>
      </c>
      <c r="D35" s="42">
        <f t="shared" si="4"/>
        <v>0</v>
      </c>
      <c r="E35" s="42">
        <f t="shared" si="4"/>
        <v>0</v>
      </c>
      <c r="F35" s="42">
        <f t="shared" si="4"/>
        <v>0</v>
      </c>
      <c r="G35" s="42">
        <f t="shared" si="4"/>
        <v>0</v>
      </c>
      <c r="H35" s="42">
        <f t="shared" si="4"/>
        <v>0</v>
      </c>
      <c r="I35" s="42">
        <f t="shared" si="4"/>
        <v>5</v>
      </c>
      <c r="J35" s="42">
        <f t="shared" si="4"/>
        <v>0</v>
      </c>
      <c r="K35" s="42">
        <f t="shared" si="4"/>
        <v>0</v>
      </c>
      <c r="L35" s="42">
        <f t="shared" si="4"/>
        <v>7</v>
      </c>
      <c r="M35" s="42">
        <f t="shared" si="4"/>
        <v>0</v>
      </c>
      <c r="N35" s="41">
        <f t="shared" si="4"/>
        <v>12</v>
      </c>
    </row>
    <row r="38" spans="1:14" ht="14" thickBot="1">
      <c r="B38" s="35" t="s">
        <v>35</v>
      </c>
      <c r="C38" s="35" t="s">
        <v>36</v>
      </c>
      <c r="D38" s="35" t="s">
        <v>37</v>
      </c>
      <c r="E38" s="35" t="s">
        <v>38</v>
      </c>
      <c r="F38" s="35" t="s">
        <v>39</v>
      </c>
      <c r="G38" s="35" t="s">
        <v>40</v>
      </c>
      <c r="H38" s="35" t="s">
        <v>41</v>
      </c>
      <c r="I38" s="35" t="s">
        <v>42</v>
      </c>
      <c r="J38" s="35" t="s">
        <v>43</v>
      </c>
      <c r="K38" s="35" t="s">
        <v>44</v>
      </c>
      <c r="L38" s="35" t="s">
        <v>45</v>
      </c>
      <c r="M38" s="35" t="s">
        <v>46</v>
      </c>
      <c r="N38" s="35" t="s">
        <v>10</v>
      </c>
    </row>
    <row r="39" spans="1:14" ht="17" thickBot="1">
      <c r="A39" s="23" t="s">
        <v>80</v>
      </c>
      <c r="B39" s="16"/>
      <c r="C39" s="16"/>
      <c r="D39" s="15"/>
      <c r="E39" s="15"/>
      <c r="F39" s="17"/>
      <c r="G39" s="17"/>
      <c r="H39" s="15"/>
      <c r="I39" s="15"/>
      <c r="J39" s="15"/>
      <c r="K39" s="15"/>
      <c r="L39" s="16"/>
      <c r="M39" s="16"/>
      <c r="N39" s="18"/>
    </row>
    <row r="40" spans="1:14" ht="14" thickBot="1">
      <c r="A40" s="30" t="s">
        <v>48</v>
      </c>
      <c r="B40" s="31"/>
      <c r="C40" s="31"/>
      <c r="D40" s="31"/>
      <c r="E40" s="31"/>
      <c r="F40" s="31"/>
      <c r="G40" s="31"/>
      <c r="H40" s="31"/>
      <c r="I40" s="31"/>
      <c r="J40" s="31"/>
      <c r="K40" s="31"/>
      <c r="L40" s="31"/>
      <c r="M40" s="31"/>
      <c r="N40" s="32"/>
    </row>
    <row r="41" spans="1:14">
      <c r="A41" s="24" t="s">
        <v>28</v>
      </c>
      <c r="B41" s="485">
        <v>0</v>
      </c>
      <c r="C41" s="485">
        <v>1</v>
      </c>
      <c r="D41" s="485">
        <v>0</v>
      </c>
      <c r="E41" s="485">
        <v>0</v>
      </c>
      <c r="F41" s="485">
        <v>0</v>
      </c>
      <c r="G41" s="485">
        <v>0</v>
      </c>
      <c r="H41" s="485">
        <v>0</v>
      </c>
      <c r="I41" s="485">
        <v>0</v>
      </c>
      <c r="J41" s="485">
        <v>0</v>
      </c>
      <c r="K41" s="485">
        <v>0</v>
      </c>
      <c r="L41" s="485">
        <v>0</v>
      </c>
      <c r="M41" s="485">
        <v>0</v>
      </c>
      <c r="N41" s="19">
        <f>SUM(B41:M41)</f>
        <v>1</v>
      </c>
    </row>
    <row r="42" spans="1:14">
      <c r="A42" s="24" t="s">
        <v>29</v>
      </c>
      <c r="B42" s="485">
        <v>0</v>
      </c>
      <c r="C42" s="485">
        <v>0</v>
      </c>
      <c r="D42" s="485">
        <v>1</v>
      </c>
      <c r="E42" s="485">
        <v>5</v>
      </c>
      <c r="F42" s="485">
        <v>1</v>
      </c>
      <c r="G42" s="485">
        <v>91</v>
      </c>
      <c r="H42" s="485">
        <v>3</v>
      </c>
      <c r="I42" s="485">
        <v>8</v>
      </c>
      <c r="J42" s="485">
        <v>2</v>
      </c>
      <c r="K42" s="485">
        <v>3</v>
      </c>
      <c r="L42" s="485">
        <v>11</v>
      </c>
      <c r="M42" s="485">
        <v>11</v>
      </c>
      <c r="N42" s="19">
        <f>SUM(B42:M42)</f>
        <v>136</v>
      </c>
    </row>
    <row r="43" spans="1:14">
      <c r="A43" s="24" t="s">
        <v>33</v>
      </c>
      <c r="B43" s="485">
        <v>0</v>
      </c>
      <c r="C43" s="485">
        <v>0</v>
      </c>
      <c r="D43" s="485">
        <v>13</v>
      </c>
      <c r="E43" s="485">
        <v>18</v>
      </c>
      <c r="F43" s="485">
        <v>3</v>
      </c>
      <c r="G43" s="485">
        <v>26</v>
      </c>
      <c r="H43" s="485">
        <v>4</v>
      </c>
      <c r="I43" s="485">
        <v>4</v>
      </c>
      <c r="J43" s="485">
        <v>19</v>
      </c>
      <c r="K43" s="485">
        <v>13</v>
      </c>
      <c r="L43" s="485">
        <v>17</v>
      </c>
      <c r="M43" s="485">
        <v>23</v>
      </c>
      <c r="N43" s="19">
        <f>SUM(B43:M43)</f>
        <v>140</v>
      </c>
    </row>
    <row r="44" spans="1:14">
      <c r="A44" s="24" t="s">
        <v>56</v>
      </c>
      <c r="B44" s="485">
        <v>0</v>
      </c>
      <c r="C44" s="485">
        <v>0</v>
      </c>
      <c r="D44" s="485">
        <v>20</v>
      </c>
      <c r="E44" s="485">
        <v>23</v>
      </c>
      <c r="F44" s="485">
        <v>0</v>
      </c>
      <c r="G44" s="485">
        <v>0</v>
      </c>
      <c r="H44" s="485">
        <v>0</v>
      </c>
      <c r="I44" s="485">
        <v>0</v>
      </c>
      <c r="J44" s="485">
        <v>11</v>
      </c>
      <c r="K44" s="485">
        <v>0</v>
      </c>
      <c r="L44" s="485">
        <v>0</v>
      </c>
      <c r="M44" s="485">
        <v>0</v>
      </c>
      <c r="N44" s="19">
        <f>SUM(B44:M44)</f>
        <v>54</v>
      </c>
    </row>
    <row r="45" spans="1:14">
      <c r="A45" s="24" t="s">
        <v>52</v>
      </c>
      <c r="B45" s="485">
        <v>0</v>
      </c>
      <c r="C45" s="485">
        <v>0</v>
      </c>
      <c r="D45" s="485">
        <v>0</v>
      </c>
      <c r="E45" s="485">
        <v>1</v>
      </c>
      <c r="F45" s="485">
        <v>0</v>
      </c>
      <c r="G45" s="485">
        <v>0</v>
      </c>
      <c r="H45" s="485">
        <v>0</v>
      </c>
      <c r="I45" s="485">
        <v>0</v>
      </c>
      <c r="J45" s="485">
        <v>0</v>
      </c>
      <c r="K45" s="485">
        <v>0</v>
      </c>
      <c r="L45" s="485">
        <v>0</v>
      </c>
      <c r="M45" s="485">
        <v>0</v>
      </c>
      <c r="N45" s="19">
        <f>SUM(B45:M45)</f>
        <v>1</v>
      </c>
    </row>
    <row r="46" spans="1:14">
      <c r="A46" s="25" t="s">
        <v>84</v>
      </c>
      <c r="B46" s="485">
        <v>0</v>
      </c>
      <c r="C46" s="485">
        <v>0</v>
      </c>
      <c r="D46" s="485">
        <v>0</v>
      </c>
      <c r="E46" s="485">
        <v>0</v>
      </c>
      <c r="F46" s="485">
        <v>0</v>
      </c>
      <c r="G46" s="485">
        <v>0</v>
      </c>
      <c r="H46" s="485">
        <v>0</v>
      </c>
      <c r="I46" s="485">
        <v>0</v>
      </c>
      <c r="J46" s="485">
        <v>0</v>
      </c>
      <c r="K46" s="485">
        <v>0</v>
      </c>
      <c r="L46" s="485">
        <v>0</v>
      </c>
      <c r="M46" s="485">
        <v>0</v>
      </c>
      <c r="N46" s="19">
        <v>11</v>
      </c>
    </row>
    <row r="47" spans="1:14" ht="14" thickBot="1">
      <c r="A47" s="25" t="s">
        <v>85</v>
      </c>
      <c r="B47" s="485">
        <v>0</v>
      </c>
      <c r="C47" s="485">
        <v>0</v>
      </c>
      <c r="D47" s="485">
        <v>0</v>
      </c>
      <c r="E47" s="485">
        <v>0</v>
      </c>
      <c r="F47" s="485">
        <v>0</v>
      </c>
      <c r="G47" s="485">
        <v>0</v>
      </c>
      <c r="H47" s="485">
        <v>0</v>
      </c>
      <c r="I47" s="485">
        <v>0</v>
      </c>
      <c r="J47" s="485">
        <v>0</v>
      </c>
      <c r="K47" s="485">
        <v>0</v>
      </c>
      <c r="L47" s="485">
        <v>0</v>
      </c>
      <c r="M47" s="485">
        <v>0</v>
      </c>
      <c r="N47" s="19">
        <v>15</v>
      </c>
    </row>
    <row r="48" spans="1:14" ht="14" thickBot="1">
      <c r="A48" s="40" t="s">
        <v>60</v>
      </c>
      <c r="B48" s="42">
        <f t="shared" ref="B48:K48" si="5">SUM(B41:B47)</f>
        <v>0</v>
      </c>
      <c r="C48" s="42">
        <f t="shared" si="5"/>
        <v>1</v>
      </c>
      <c r="D48" s="42">
        <f t="shared" si="5"/>
        <v>34</v>
      </c>
      <c r="E48" s="42">
        <f t="shared" si="5"/>
        <v>47</v>
      </c>
      <c r="F48" s="42">
        <f t="shared" si="5"/>
        <v>4</v>
      </c>
      <c r="G48" s="42">
        <f t="shared" si="5"/>
        <v>117</v>
      </c>
      <c r="H48" s="42">
        <f t="shared" si="5"/>
        <v>7</v>
      </c>
      <c r="I48" s="42">
        <f t="shared" si="5"/>
        <v>12</v>
      </c>
      <c r="J48" s="42">
        <f t="shared" si="5"/>
        <v>32</v>
      </c>
      <c r="K48" s="42">
        <f t="shared" si="5"/>
        <v>16</v>
      </c>
      <c r="L48" s="42">
        <f>SUM(L41:L47)</f>
        <v>28</v>
      </c>
      <c r="M48" s="42">
        <f>SUM(M41:M47)</f>
        <v>34</v>
      </c>
      <c r="N48" s="41">
        <f>SUM(N41:N47)</f>
        <v>358</v>
      </c>
    </row>
    <row r="49" spans="1:14" ht="14" thickBot="1">
      <c r="A49" s="30" t="s">
        <v>49</v>
      </c>
      <c r="B49" s="31"/>
      <c r="C49" s="31"/>
      <c r="D49" s="31"/>
      <c r="E49" s="31"/>
      <c r="F49" s="31"/>
      <c r="G49" s="31"/>
      <c r="H49" s="31"/>
      <c r="I49" s="31"/>
      <c r="J49" s="31"/>
      <c r="K49" s="31"/>
      <c r="L49" s="31"/>
      <c r="M49" s="31"/>
      <c r="N49" s="32"/>
    </row>
    <row r="50" spans="1:14" ht="14" thickBot="1">
      <c r="A50" s="25" t="s">
        <v>49</v>
      </c>
      <c r="B50" s="485">
        <v>0</v>
      </c>
      <c r="C50" s="485">
        <v>128</v>
      </c>
      <c r="D50" s="485">
        <v>92</v>
      </c>
      <c r="E50" s="485">
        <v>61</v>
      </c>
      <c r="F50" s="485">
        <v>391</v>
      </c>
      <c r="G50" s="485">
        <v>85</v>
      </c>
      <c r="H50" s="485">
        <v>0</v>
      </c>
      <c r="I50" s="485">
        <v>0</v>
      </c>
      <c r="J50" s="485">
        <v>0</v>
      </c>
      <c r="K50" s="485">
        <v>0</v>
      </c>
      <c r="L50" s="485">
        <v>0</v>
      </c>
      <c r="M50" s="485">
        <v>0</v>
      </c>
      <c r="N50" s="19">
        <f>SUM(B50:M50)</f>
        <v>757</v>
      </c>
    </row>
    <row r="51" spans="1:14" ht="14" thickBot="1">
      <c r="A51" s="131" t="s">
        <v>60</v>
      </c>
      <c r="B51" s="142">
        <f t="shared" ref="B51:L51" si="6">SUM(B50)</f>
        <v>0</v>
      </c>
      <c r="C51" s="143">
        <f t="shared" si="6"/>
        <v>128</v>
      </c>
      <c r="D51" s="143">
        <f t="shared" si="6"/>
        <v>92</v>
      </c>
      <c r="E51" s="143">
        <f t="shared" si="6"/>
        <v>61</v>
      </c>
      <c r="F51" s="143">
        <f t="shared" si="6"/>
        <v>391</v>
      </c>
      <c r="G51" s="143">
        <f t="shared" si="6"/>
        <v>85</v>
      </c>
      <c r="H51" s="143">
        <f t="shared" si="6"/>
        <v>0</v>
      </c>
      <c r="I51" s="143">
        <f t="shared" si="6"/>
        <v>0</v>
      </c>
      <c r="J51" s="143">
        <f t="shared" si="6"/>
        <v>0</v>
      </c>
      <c r="K51" s="143">
        <f t="shared" si="6"/>
        <v>0</v>
      </c>
      <c r="L51" s="143">
        <f t="shared" si="6"/>
        <v>0</v>
      </c>
      <c r="M51" s="140">
        <f>SUM(M50)</f>
        <v>0</v>
      </c>
      <c r="N51" s="140">
        <f>SUM(N50)</f>
        <v>757</v>
      </c>
    </row>
    <row r="52" spans="1:14" ht="14" thickBot="1">
      <c r="A52" s="30" t="s">
        <v>50</v>
      </c>
      <c r="B52" s="141"/>
      <c r="C52" s="141"/>
      <c r="D52" s="141"/>
      <c r="E52" s="141"/>
      <c r="F52" s="141"/>
      <c r="G52" s="141"/>
      <c r="H52" s="141"/>
      <c r="I52" s="141"/>
      <c r="J52" s="141"/>
      <c r="K52" s="141"/>
      <c r="L52" s="141"/>
      <c r="M52" s="141"/>
      <c r="N52" s="32"/>
    </row>
    <row r="53" spans="1:14">
      <c r="A53" s="26" t="s">
        <v>26</v>
      </c>
      <c r="B53" s="485">
        <v>0</v>
      </c>
      <c r="C53" s="485">
        <v>0</v>
      </c>
      <c r="D53" s="485">
        <v>0</v>
      </c>
      <c r="E53" s="485">
        <v>0</v>
      </c>
      <c r="F53" s="485">
        <v>0</v>
      </c>
      <c r="G53" s="485">
        <v>0</v>
      </c>
      <c r="H53" s="485">
        <v>0</v>
      </c>
      <c r="I53" s="485">
        <v>0</v>
      </c>
      <c r="J53" s="485">
        <v>0</v>
      </c>
      <c r="K53" s="485">
        <v>0</v>
      </c>
      <c r="L53" s="485">
        <v>0</v>
      </c>
      <c r="M53" s="485">
        <v>0</v>
      </c>
      <c r="N53" s="19">
        <f t="shared" ref="N53:N61" si="7">SUM(B53:M53)</f>
        <v>0</v>
      </c>
    </row>
    <row r="54" spans="1:14">
      <c r="A54" s="26" t="s">
        <v>25</v>
      </c>
      <c r="B54" s="485">
        <v>0</v>
      </c>
      <c r="C54" s="485">
        <v>0</v>
      </c>
      <c r="D54" s="485">
        <v>0</v>
      </c>
      <c r="E54" s="485">
        <v>0</v>
      </c>
      <c r="F54" s="485">
        <v>0</v>
      </c>
      <c r="G54" s="485">
        <v>0</v>
      </c>
      <c r="H54" s="485">
        <v>0</v>
      </c>
      <c r="I54" s="485">
        <v>0</v>
      </c>
      <c r="J54" s="485">
        <v>0</v>
      </c>
      <c r="K54" s="485">
        <v>0</v>
      </c>
      <c r="L54" s="485">
        <v>0</v>
      </c>
      <c r="M54" s="485">
        <v>0</v>
      </c>
      <c r="N54" s="19">
        <f t="shared" si="7"/>
        <v>0</v>
      </c>
    </row>
    <row r="55" spans="1:14">
      <c r="A55" s="24" t="s">
        <v>29</v>
      </c>
      <c r="B55" s="485">
        <v>0</v>
      </c>
      <c r="C55" s="485">
        <v>0</v>
      </c>
      <c r="D55" s="485">
        <v>0</v>
      </c>
      <c r="E55" s="485">
        <v>0</v>
      </c>
      <c r="F55" s="485">
        <v>3</v>
      </c>
      <c r="G55" s="485">
        <v>90</v>
      </c>
      <c r="H55" s="485">
        <v>0</v>
      </c>
      <c r="I55" s="485">
        <v>1</v>
      </c>
      <c r="J55" s="485">
        <v>62</v>
      </c>
      <c r="K55" s="485">
        <v>0</v>
      </c>
      <c r="L55" s="485">
        <v>10</v>
      </c>
      <c r="M55" s="485">
        <v>100</v>
      </c>
      <c r="N55" s="19">
        <f t="shared" si="7"/>
        <v>266</v>
      </c>
    </row>
    <row r="56" spans="1:14">
      <c r="A56" s="24" t="s">
        <v>51</v>
      </c>
      <c r="B56" s="485">
        <v>0</v>
      </c>
      <c r="C56" s="485">
        <v>6</v>
      </c>
      <c r="D56" s="485">
        <v>4</v>
      </c>
      <c r="E56" s="485">
        <v>0</v>
      </c>
      <c r="F56" s="485">
        <v>0</v>
      </c>
      <c r="G56" s="485">
        <v>13</v>
      </c>
      <c r="H56" s="485">
        <v>0</v>
      </c>
      <c r="I56" s="485">
        <v>0</v>
      </c>
      <c r="J56" s="485">
        <v>38</v>
      </c>
      <c r="K56" s="485">
        <v>4</v>
      </c>
      <c r="L56" s="485">
        <v>0</v>
      </c>
      <c r="M56" s="485">
        <v>2</v>
      </c>
      <c r="N56" s="19">
        <f t="shared" si="7"/>
        <v>67</v>
      </c>
    </row>
    <row r="57" spans="1:14">
      <c r="A57" s="26" t="s">
        <v>20</v>
      </c>
      <c r="B57" s="485">
        <v>0</v>
      </c>
      <c r="C57" s="485">
        <v>0</v>
      </c>
      <c r="D57" s="485">
        <v>0</v>
      </c>
      <c r="E57" s="485">
        <v>0</v>
      </c>
      <c r="F57" s="485">
        <v>0</v>
      </c>
      <c r="G57" s="485">
        <v>0</v>
      </c>
      <c r="H57" s="485">
        <v>0</v>
      </c>
      <c r="I57" s="485">
        <v>0</v>
      </c>
      <c r="J57" s="485">
        <v>0</v>
      </c>
      <c r="K57" s="485">
        <v>0</v>
      </c>
      <c r="L57" s="485">
        <v>0</v>
      </c>
      <c r="M57" s="485">
        <v>0</v>
      </c>
      <c r="N57" s="19">
        <f t="shared" si="7"/>
        <v>0</v>
      </c>
    </row>
    <row r="58" spans="1:14">
      <c r="A58" s="26" t="s">
        <v>13</v>
      </c>
      <c r="B58" s="485">
        <v>0</v>
      </c>
      <c r="C58" s="485">
        <v>0</v>
      </c>
      <c r="D58" s="485">
        <v>0</v>
      </c>
      <c r="E58" s="485">
        <v>0</v>
      </c>
      <c r="F58" s="485">
        <v>0</v>
      </c>
      <c r="G58" s="485">
        <v>1</v>
      </c>
      <c r="H58" s="485">
        <v>0</v>
      </c>
      <c r="I58" s="485">
        <v>0</v>
      </c>
      <c r="J58" s="485">
        <v>0</v>
      </c>
      <c r="K58" s="485">
        <v>0</v>
      </c>
      <c r="L58" s="485">
        <v>1</v>
      </c>
      <c r="M58" s="485">
        <v>0</v>
      </c>
      <c r="N58" s="19">
        <f t="shared" si="7"/>
        <v>2</v>
      </c>
    </row>
    <row r="59" spans="1:14">
      <c r="A59" s="27" t="s">
        <v>47</v>
      </c>
      <c r="B59" s="485">
        <v>0</v>
      </c>
      <c r="C59" s="485">
        <v>1</v>
      </c>
      <c r="D59" s="485">
        <v>0</v>
      </c>
      <c r="E59" s="485">
        <v>0</v>
      </c>
      <c r="F59" s="485">
        <v>0</v>
      </c>
      <c r="G59" s="485">
        <v>0</v>
      </c>
      <c r="H59" s="485">
        <v>0</v>
      </c>
      <c r="I59" s="485">
        <v>0</v>
      </c>
      <c r="J59" s="485">
        <v>0</v>
      </c>
      <c r="K59" s="485">
        <v>0</v>
      </c>
      <c r="L59" s="485">
        <v>0</v>
      </c>
      <c r="M59" s="485">
        <v>0</v>
      </c>
      <c r="N59" s="19">
        <f t="shared" si="7"/>
        <v>1</v>
      </c>
    </row>
    <row r="60" spans="1:14">
      <c r="A60" s="25" t="s">
        <v>52</v>
      </c>
      <c r="B60" s="485">
        <v>0</v>
      </c>
      <c r="C60" s="485">
        <v>0</v>
      </c>
      <c r="D60" s="485">
        <v>0</v>
      </c>
      <c r="E60" s="485">
        <v>0</v>
      </c>
      <c r="F60" s="485">
        <v>1</v>
      </c>
      <c r="G60" s="485">
        <v>29</v>
      </c>
      <c r="H60" s="485">
        <v>0</v>
      </c>
      <c r="I60" s="485">
        <v>0</v>
      </c>
      <c r="J60" s="485">
        <v>0</v>
      </c>
      <c r="K60" s="485">
        <v>0</v>
      </c>
      <c r="L60" s="485">
        <v>9</v>
      </c>
      <c r="M60" s="485">
        <v>0</v>
      </c>
      <c r="N60" s="19">
        <f t="shared" si="7"/>
        <v>39</v>
      </c>
    </row>
    <row r="61" spans="1:14">
      <c r="A61" s="25" t="s">
        <v>53</v>
      </c>
      <c r="B61" s="485">
        <v>0</v>
      </c>
      <c r="C61" s="485">
        <v>0</v>
      </c>
      <c r="D61" s="485">
        <v>0</v>
      </c>
      <c r="E61" s="485">
        <v>0</v>
      </c>
      <c r="F61" s="485">
        <v>0</v>
      </c>
      <c r="G61" s="485">
        <v>0</v>
      </c>
      <c r="H61" s="485">
        <v>0</v>
      </c>
      <c r="I61" s="485">
        <v>0</v>
      </c>
      <c r="J61" s="485">
        <v>0</v>
      </c>
      <c r="K61" s="485">
        <v>0</v>
      </c>
      <c r="L61" s="485">
        <v>0</v>
      </c>
      <c r="M61" s="485">
        <v>0</v>
      </c>
      <c r="N61" s="19">
        <f t="shared" si="7"/>
        <v>0</v>
      </c>
    </row>
    <row r="62" spans="1:14">
      <c r="A62" s="24" t="s">
        <v>56</v>
      </c>
      <c r="B62" s="485">
        <v>0</v>
      </c>
      <c r="C62" s="485">
        <v>0</v>
      </c>
      <c r="D62" s="485">
        <v>0</v>
      </c>
      <c r="E62" s="485">
        <v>0</v>
      </c>
      <c r="F62" s="485">
        <v>43</v>
      </c>
      <c r="G62" s="485">
        <v>0</v>
      </c>
      <c r="H62" s="485">
        <v>0</v>
      </c>
      <c r="I62" s="485">
        <v>0</v>
      </c>
      <c r="J62" s="485">
        <v>0</v>
      </c>
      <c r="K62" s="485">
        <v>0</v>
      </c>
      <c r="L62" s="485">
        <v>0</v>
      </c>
      <c r="M62" s="485">
        <v>0</v>
      </c>
      <c r="N62" s="19">
        <f>SUM(B62:M62)</f>
        <v>43</v>
      </c>
    </row>
    <row r="63" spans="1:14">
      <c r="A63" s="54" t="s">
        <v>89</v>
      </c>
      <c r="B63" s="485">
        <v>0</v>
      </c>
      <c r="C63" s="485">
        <v>0</v>
      </c>
      <c r="D63" s="485">
        <v>0</v>
      </c>
      <c r="E63" s="485">
        <v>0</v>
      </c>
      <c r="F63" s="485">
        <v>0</v>
      </c>
      <c r="G63" s="485">
        <v>0</v>
      </c>
      <c r="H63" s="485">
        <v>0</v>
      </c>
      <c r="I63" s="485">
        <v>0</v>
      </c>
      <c r="J63" s="485">
        <v>0</v>
      </c>
      <c r="K63" s="485">
        <v>0</v>
      </c>
      <c r="L63" s="485">
        <v>0</v>
      </c>
      <c r="M63" s="485">
        <v>0</v>
      </c>
      <c r="N63" s="19">
        <f>SUM(B63:M63)</f>
        <v>0</v>
      </c>
    </row>
    <row r="64" spans="1:14" ht="14" thickBot="1">
      <c r="A64" s="24" t="s">
        <v>83</v>
      </c>
      <c r="B64" s="485">
        <v>0</v>
      </c>
      <c r="C64" s="485">
        <v>0</v>
      </c>
      <c r="D64" s="485">
        <v>3</v>
      </c>
      <c r="E64" s="485">
        <v>0</v>
      </c>
      <c r="F64" s="485">
        <v>0</v>
      </c>
      <c r="G64" s="485">
        <v>0</v>
      </c>
      <c r="H64" s="485">
        <v>0</v>
      </c>
      <c r="I64" s="485">
        <v>0</v>
      </c>
      <c r="J64" s="485">
        <v>0</v>
      </c>
      <c r="K64" s="485">
        <v>0</v>
      </c>
      <c r="L64" s="485">
        <v>0</v>
      </c>
      <c r="M64" s="485">
        <v>0</v>
      </c>
      <c r="N64" s="19">
        <f>SUM(B64:M64)</f>
        <v>3</v>
      </c>
    </row>
    <row r="65" spans="1:14" ht="14" thickBot="1">
      <c r="A65" s="40" t="s">
        <v>60</v>
      </c>
      <c r="B65" s="42">
        <f t="shared" ref="B65:K65" si="8">SUM(B53:B64)</f>
        <v>0</v>
      </c>
      <c r="C65" s="42">
        <f t="shared" si="8"/>
        <v>7</v>
      </c>
      <c r="D65" s="42">
        <f t="shared" si="8"/>
        <v>7</v>
      </c>
      <c r="E65" s="42">
        <f t="shared" si="8"/>
        <v>0</v>
      </c>
      <c r="F65" s="42">
        <f t="shared" si="8"/>
        <v>47</v>
      </c>
      <c r="G65" s="42">
        <f t="shared" si="8"/>
        <v>133</v>
      </c>
      <c r="H65" s="42">
        <f t="shared" si="8"/>
        <v>0</v>
      </c>
      <c r="I65" s="42">
        <f t="shared" si="8"/>
        <v>1</v>
      </c>
      <c r="J65" s="42">
        <f t="shared" si="8"/>
        <v>100</v>
      </c>
      <c r="K65" s="42">
        <f t="shared" si="8"/>
        <v>4</v>
      </c>
      <c r="L65" s="42">
        <f>SUM(L53:L64)</f>
        <v>20</v>
      </c>
      <c r="M65" s="42">
        <f>SUM(M53:M64)</f>
        <v>102</v>
      </c>
      <c r="N65" s="41">
        <f>SUM(N53:N64)</f>
        <v>421</v>
      </c>
    </row>
    <row r="66" spans="1:14" ht="14" thickBot="1">
      <c r="A66" s="30" t="s">
        <v>54</v>
      </c>
      <c r="B66" s="33"/>
      <c r="C66" s="33"/>
      <c r="D66" s="33"/>
      <c r="E66" s="33"/>
      <c r="F66" s="33"/>
      <c r="G66" s="33"/>
      <c r="H66" s="33"/>
      <c r="I66" s="33"/>
      <c r="J66" s="33"/>
      <c r="K66" s="33"/>
      <c r="L66" s="33"/>
      <c r="M66" s="33"/>
      <c r="N66" s="34"/>
    </row>
    <row r="67" spans="1:14">
      <c r="A67" s="28" t="s">
        <v>29</v>
      </c>
      <c r="B67" s="486">
        <v>0</v>
      </c>
      <c r="C67" s="486">
        <v>0</v>
      </c>
      <c r="D67" s="486">
        <v>0</v>
      </c>
      <c r="E67" s="486">
        <v>0</v>
      </c>
      <c r="F67" s="486">
        <v>0</v>
      </c>
      <c r="G67" s="486">
        <v>0</v>
      </c>
      <c r="H67" s="486">
        <v>0</v>
      </c>
      <c r="I67" s="486">
        <v>0</v>
      </c>
      <c r="J67" s="486">
        <v>0</v>
      </c>
      <c r="K67" s="486">
        <v>0</v>
      </c>
      <c r="L67" s="486">
        <v>0</v>
      </c>
      <c r="M67" s="486">
        <v>0</v>
      </c>
      <c r="N67" s="20">
        <f t="shared" ref="N67:N72" si="9">SUM(B67:M67)</f>
        <v>0</v>
      </c>
    </row>
    <row r="68" spans="1:14">
      <c r="A68" s="26" t="s">
        <v>51</v>
      </c>
      <c r="B68" s="485">
        <v>0</v>
      </c>
      <c r="C68" s="485">
        <v>0</v>
      </c>
      <c r="D68" s="485">
        <v>0</v>
      </c>
      <c r="E68" s="485">
        <v>0</v>
      </c>
      <c r="F68" s="485">
        <v>0</v>
      </c>
      <c r="G68" s="485">
        <v>0</v>
      </c>
      <c r="H68" s="485">
        <v>0</v>
      </c>
      <c r="I68" s="485">
        <v>0</v>
      </c>
      <c r="J68" s="485">
        <v>0</v>
      </c>
      <c r="K68" s="485">
        <v>0</v>
      </c>
      <c r="L68" s="485">
        <v>0</v>
      </c>
      <c r="M68" s="485">
        <v>0</v>
      </c>
      <c r="N68" s="21">
        <f t="shared" si="9"/>
        <v>0</v>
      </c>
    </row>
    <row r="69" spans="1:14">
      <c r="A69" s="26" t="s">
        <v>15</v>
      </c>
      <c r="B69" s="485">
        <v>20</v>
      </c>
      <c r="C69" s="485">
        <v>0</v>
      </c>
      <c r="D69" s="485">
        <v>9</v>
      </c>
      <c r="E69" s="485">
        <v>0</v>
      </c>
      <c r="F69" s="485">
        <v>0</v>
      </c>
      <c r="G69" s="485">
        <v>0</v>
      </c>
      <c r="H69" s="485">
        <v>0</v>
      </c>
      <c r="I69" s="485">
        <v>0</v>
      </c>
      <c r="J69" s="485">
        <v>0</v>
      </c>
      <c r="K69" s="485">
        <v>0</v>
      </c>
      <c r="L69" s="487">
        <v>0</v>
      </c>
      <c r="M69" s="485">
        <v>0</v>
      </c>
      <c r="N69" s="21">
        <f t="shared" si="9"/>
        <v>29</v>
      </c>
    </row>
    <row r="70" spans="1:14">
      <c r="A70" s="26" t="s">
        <v>30</v>
      </c>
      <c r="B70" s="485">
        <v>0</v>
      </c>
      <c r="C70" s="485">
        <v>0</v>
      </c>
      <c r="D70" s="485">
        <v>0</v>
      </c>
      <c r="E70" s="485">
        <v>0</v>
      </c>
      <c r="F70" s="485">
        <v>0</v>
      </c>
      <c r="G70" s="485">
        <v>0</v>
      </c>
      <c r="H70" s="485">
        <v>0</v>
      </c>
      <c r="I70" s="485">
        <v>0</v>
      </c>
      <c r="J70" s="485">
        <v>0</v>
      </c>
      <c r="K70" s="485">
        <v>0</v>
      </c>
      <c r="L70" s="485">
        <v>0</v>
      </c>
      <c r="M70" s="485">
        <v>0</v>
      </c>
      <c r="N70" s="21">
        <f t="shared" si="9"/>
        <v>0</v>
      </c>
    </row>
    <row r="71" spans="1:14">
      <c r="A71" s="24" t="s">
        <v>55</v>
      </c>
      <c r="B71" s="487">
        <v>0</v>
      </c>
      <c r="C71" s="487">
        <v>0</v>
      </c>
      <c r="D71" s="488">
        <v>64</v>
      </c>
      <c r="E71" s="487">
        <v>22</v>
      </c>
      <c r="F71" s="487">
        <v>0</v>
      </c>
      <c r="G71" s="487">
        <v>0</v>
      </c>
      <c r="H71" s="487">
        <v>0</v>
      </c>
      <c r="I71" s="487">
        <v>0</v>
      </c>
      <c r="J71" s="487">
        <v>0</v>
      </c>
      <c r="K71" s="487">
        <v>0</v>
      </c>
      <c r="L71" s="487">
        <v>0</v>
      </c>
      <c r="M71" s="487">
        <v>0</v>
      </c>
      <c r="N71" s="21">
        <f t="shared" si="9"/>
        <v>86</v>
      </c>
    </row>
    <row r="72" spans="1:14" ht="14" thickBot="1">
      <c r="A72" s="38" t="s">
        <v>81</v>
      </c>
      <c r="B72" s="489">
        <v>0</v>
      </c>
      <c r="C72" s="490">
        <v>0</v>
      </c>
      <c r="D72" s="490">
        <v>1</v>
      </c>
      <c r="E72" s="490">
        <v>0</v>
      </c>
      <c r="F72" s="490">
        <v>0</v>
      </c>
      <c r="G72" s="490">
        <v>0</v>
      </c>
      <c r="H72" s="490">
        <v>0</v>
      </c>
      <c r="I72" s="490">
        <v>0</v>
      </c>
      <c r="J72" s="490">
        <v>0</v>
      </c>
      <c r="K72" s="490">
        <v>0</v>
      </c>
      <c r="L72" s="490">
        <v>0</v>
      </c>
      <c r="M72" s="491">
        <v>0</v>
      </c>
      <c r="N72" s="21">
        <f t="shared" si="9"/>
        <v>1</v>
      </c>
    </row>
    <row r="73" spans="1:14" ht="14" thickBot="1">
      <c r="A73" s="320" t="s">
        <v>60</v>
      </c>
      <c r="B73" s="42">
        <f t="shared" ref="B73:L73" si="10">SUM(B67:B72)</f>
        <v>20</v>
      </c>
      <c r="C73" s="42">
        <f t="shared" si="10"/>
        <v>0</v>
      </c>
      <c r="D73" s="42">
        <f t="shared" si="10"/>
        <v>74</v>
      </c>
      <c r="E73" s="42">
        <f t="shared" si="10"/>
        <v>22</v>
      </c>
      <c r="F73" s="42">
        <f t="shared" si="10"/>
        <v>0</v>
      </c>
      <c r="G73" s="42">
        <f t="shared" si="10"/>
        <v>0</v>
      </c>
      <c r="H73" s="42">
        <f t="shared" si="10"/>
        <v>0</v>
      </c>
      <c r="I73" s="42">
        <f t="shared" si="10"/>
        <v>0</v>
      </c>
      <c r="J73" s="42">
        <f t="shared" si="10"/>
        <v>0</v>
      </c>
      <c r="K73" s="42">
        <f t="shared" si="10"/>
        <v>0</v>
      </c>
      <c r="L73" s="42">
        <f t="shared" si="10"/>
        <v>0</v>
      </c>
      <c r="M73" s="42">
        <f>SUM(M67:M72)</f>
        <v>0</v>
      </c>
      <c r="N73" s="41">
        <f>SUM(N67:N72)</f>
        <v>116</v>
      </c>
    </row>
    <row r="74" spans="1:14">
      <c r="A74" s="2"/>
    </row>
    <row r="76" spans="1:14" ht="14" thickBot="1">
      <c r="B76" s="35" t="s">
        <v>35</v>
      </c>
      <c r="C76" s="35" t="s">
        <v>36</v>
      </c>
      <c r="D76" s="35" t="s">
        <v>37</v>
      </c>
      <c r="E76" s="35" t="s">
        <v>38</v>
      </c>
      <c r="F76" s="35" t="s">
        <v>39</v>
      </c>
      <c r="G76" s="35" t="s">
        <v>40</v>
      </c>
      <c r="H76" s="35" t="s">
        <v>41</v>
      </c>
      <c r="I76" s="35" t="s">
        <v>42</v>
      </c>
      <c r="J76" s="35" t="s">
        <v>43</v>
      </c>
      <c r="K76" s="35" t="s">
        <v>44</v>
      </c>
      <c r="L76" s="35" t="s">
        <v>45</v>
      </c>
      <c r="M76" s="35" t="s">
        <v>46</v>
      </c>
      <c r="N76" s="35" t="s">
        <v>10</v>
      </c>
    </row>
    <row r="77" spans="1:14" ht="17" thickBot="1">
      <c r="A77" s="23" t="s">
        <v>101</v>
      </c>
      <c r="B77" s="16"/>
      <c r="C77" s="16"/>
      <c r="D77" s="15"/>
      <c r="E77" s="15"/>
      <c r="F77" s="17"/>
      <c r="G77" s="17"/>
      <c r="H77" s="15"/>
      <c r="I77" s="15"/>
      <c r="J77" s="15"/>
      <c r="K77" s="15"/>
      <c r="L77" s="16"/>
      <c r="M77" s="16"/>
      <c r="N77" s="18"/>
    </row>
    <row r="78" spans="1:14" ht="14" thickBot="1">
      <c r="A78" s="30" t="s">
        <v>48</v>
      </c>
      <c r="B78" s="31"/>
      <c r="C78" s="31"/>
      <c r="D78" s="31"/>
      <c r="E78" s="31"/>
      <c r="F78" s="31"/>
      <c r="G78" s="31"/>
      <c r="H78" s="31"/>
      <c r="I78" s="31"/>
      <c r="J78" s="31"/>
      <c r="K78" s="31"/>
      <c r="L78" s="31"/>
      <c r="M78" s="31"/>
      <c r="N78" s="32"/>
    </row>
    <row r="79" spans="1:14">
      <c r="A79" s="24" t="s">
        <v>28</v>
      </c>
      <c r="B79" s="485">
        <v>0</v>
      </c>
      <c r="C79" s="485">
        <v>0</v>
      </c>
      <c r="D79" s="485">
        <v>0</v>
      </c>
      <c r="E79" s="485">
        <v>0</v>
      </c>
      <c r="F79" s="485">
        <v>0</v>
      </c>
      <c r="G79" s="485">
        <v>0</v>
      </c>
      <c r="H79" s="485">
        <v>0</v>
      </c>
      <c r="I79" s="485">
        <v>0</v>
      </c>
      <c r="J79" s="485">
        <v>0</v>
      </c>
      <c r="K79" s="485">
        <v>0</v>
      </c>
      <c r="L79" s="485">
        <v>0</v>
      </c>
      <c r="M79" s="485">
        <v>0</v>
      </c>
      <c r="N79" s="19">
        <f>SUM(B79:M79)</f>
        <v>0</v>
      </c>
    </row>
    <row r="80" spans="1:14">
      <c r="A80" s="24" t="s">
        <v>29</v>
      </c>
      <c r="B80" s="485">
        <v>2</v>
      </c>
      <c r="C80" s="485">
        <v>0</v>
      </c>
      <c r="D80" s="485">
        <v>0</v>
      </c>
      <c r="E80" s="485">
        <v>0</v>
      </c>
      <c r="F80" s="485">
        <v>0</v>
      </c>
      <c r="G80" s="485">
        <v>11</v>
      </c>
      <c r="H80" s="485">
        <v>0</v>
      </c>
      <c r="I80" s="485">
        <v>6</v>
      </c>
      <c r="J80" s="485">
        <v>9</v>
      </c>
      <c r="K80" s="485">
        <v>3</v>
      </c>
      <c r="L80" s="485">
        <v>5</v>
      </c>
      <c r="M80" s="485">
        <v>0</v>
      </c>
      <c r="N80" s="19">
        <f t="shared" ref="N80:N85" si="11">SUM(B80:M80)</f>
        <v>36</v>
      </c>
    </row>
    <row r="81" spans="1:14">
      <c r="A81" s="24" t="s">
        <v>33</v>
      </c>
      <c r="B81" s="485">
        <v>9</v>
      </c>
      <c r="C81" s="485">
        <v>0</v>
      </c>
      <c r="D81" s="485">
        <v>2</v>
      </c>
      <c r="E81" s="485">
        <v>0</v>
      </c>
      <c r="F81" s="485">
        <v>0</v>
      </c>
      <c r="G81" s="485">
        <v>4</v>
      </c>
      <c r="H81" s="485">
        <v>2</v>
      </c>
      <c r="I81" s="485">
        <v>4</v>
      </c>
      <c r="J81" s="485">
        <v>6</v>
      </c>
      <c r="K81" s="485">
        <v>4</v>
      </c>
      <c r="L81" s="485">
        <v>7</v>
      </c>
      <c r="M81" s="485">
        <v>9</v>
      </c>
      <c r="N81" s="19">
        <f t="shared" si="11"/>
        <v>47</v>
      </c>
    </row>
    <row r="82" spans="1:14">
      <c r="A82" s="24" t="s">
        <v>56</v>
      </c>
      <c r="B82" s="485">
        <v>0</v>
      </c>
      <c r="C82" s="485">
        <v>0</v>
      </c>
      <c r="D82" s="485">
        <v>0</v>
      </c>
      <c r="E82" s="485">
        <v>0</v>
      </c>
      <c r="F82" s="485">
        <v>0</v>
      </c>
      <c r="G82" s="485">
        <v>0</v>
      </c>
      <c r="H82" s="485">
        <v>0</v>
      </c>
      <c r="I82" s="485">
        <v>0</v>
      </c>
      <c r="J82" s="485">
        <v>0</v>
      </c>
      <c r="K82" s="485">
        <v>0</v>
      </c>
      <c r="L82" s="485">
        <v>0</v>
      </c>
      <c r="M82" s="485">
        <v>0</v>
      </c>
      <c r="N82" s="19">
        <f t="shared" si="11"/>
        <v>0</v>
      </c>
    </row>
    <row r="83" spans="1:14">
      <c r="A83" s="54" t="s">
        <v>30</v>
      </c>
      <c r="B83" s="485">
        <v>0</v>
      </c>
      <c r="C83" s="485">
        <v>0</v>
      </c>
      <c r="D83" s="485">
        <v>0</v>
      </c>
      <c r="E83" s="485">
        <v>0</v>
      </c>
      <c r="F83" s="485">
        <v>0</v>
      </c>
      <c r="G83" s="485">
        <v>0</v>
      </c>
      <c r="H83" s="485">
        <v>0</v>
      </c>
      <c r="I83" s="485">
        <v>0</v>
      </c>
      <c r="J83" s="485">
        <v>0</v>
      </c>
      <c r="K83" s="485">
        <v>0</v>
      </c>
      <c r="L83" s="485">
        <v>0</v>
      </c>
      <c r="M83" s="485">
        <v>0</v>
      </c>
      <c r="N83" s="19">
        <f t="shared" si="11"/>
        <v>0</v>
      </c>
    </row>
    <row r="84" spans="1:14">
      <c r="A84" s="53" t="s">
        <v>106</v>
      </c>
      <c r="B84" s="485">
        <v>0</v>
      </c>
      <c r="C84" s="485">
        <v>0</v>
      </c>
      <c r="D84" s="485">
        <v>0</v>
      </c>
      <c r="E84" s="485">
        <v>0</v>
      </c>
      <c r="F84" s="485">
        <v>0</v>
      </c>
      <c r="G84" s="485">
        <v>0</v>
      </c>
      <c r="H84" s="485">
        <v>0</v>
      </c>
      <c r="I84" s="485">
        <v>0</v>
      </c>
      <c r="J84" s="485">
        <v>0</v>
      </c>
      <c r="K84" s="485">
        <v>0</v>
      </c>
      <c r="L84" s="485">
        <v>0</v>
      </c>
      <c r="M84" s="485">
        <v>0</v>
      </c>
      <c r="N84" s="19">
        <f t="shared" si="11"/>
        <v>0</v>
      </c>
    </row>
    <row r="85" spans="1:14" ht="14" thickBot="1">
      <c r="A85" s="53" t="s">
        <v>107</v>
      </c>
      <c r="B85" s="485">
        <v>2</v>
      </c>
      <c r="C85" s="485">
        <v>0</v>
      </c>
      <c r="D85" s="485">
        <v>0</v>
      </c>
      <c r="E85" s="485">
        <v>0</v>
      </c>
      <c r="F85" s="485">
        <v>0</v>
      </c>
      <c r="G85" s="485">
        <v>1</v>
      </c>
      <c r="H85" s="485">
        <v>1</v>
      </c>
      <c r="I85" s="485">
        <v>0</v>
      </c>
      <c r="J85" s="485">
        <v>0</v>
      </c>
      <c r="K85" s="485">
        <v>0</v>
      </c>
      <c r="L85" s="485">
        <v>1</v>
      </c>
      <c r="M85" s="485">
        <v>0</v>
      </c>
      <c r="N85" s="19">
        <f t="shared" si="11"/>
        <v>5</v>
      </c>
    </row>
    <row r="86" spans="1:14" ht="14" thickBot="1">
      <c r="A86" s="40" t="s">
        <v>60</v>
      </c>
      <c r="B86" s="42">
        <f>SUM(B79:B85)</f>
        <v>13</v>
      </c>
      <c r="C86" s="42">
        <f>SUM(C79:C85)</f>
        <v>0</v>
      </c>
      <c r="D86" s="42">
        <f t="shared" ref="D86:M86" si="12">SUM(D79:D85)</f>
        <v>2</v>
      </c>
      <c r="E86" s="42">
        <f t="shared" si="12"/>
        <v>0</v>
      </c>
      <c r="F86" s="42">
        <f t="shared" si="12"/>
        <v>0</v>
      </c>
      <c r="G86" s="42">
        <f t="shared" si="12"/>
        <v>16</v>
      </c>
      <c r="H86" s="42">
        <f t="shared" si="12"/>
        <v>3</v>
      </c>
      <c r="I86" s="42">
        <f t="shared" si="12"/>
        <v>10</v>
      </c>
      <c r="J86" s="42">
        <f t="shared" si="12"/>
        <v>15</v>
      </c>
      <c r="K86" s="42">
        <f t="shared" si="12"/>
        <v>7</v>
      </c>
      <c r="L86" s="42">
        <f t="shared" si="12"/>
        <v>13</v>
      </c>
      <c r="M86" s="42">
        <f t="shared" si="12"/>
        <v>9</v>
      </c>
      <c r="N86" s="41">
        <f>SUM(B86:M86)</f>
        <v>88</v>
      </c>
    </row>
    <row r="87" spans="1:14" ht="14" thickBot="1">
      <c r="A87" s="30" t="s">
        <v>49</v>
      </c>
      <c r="B87" s="31"/>
      <c r="C87" s="31"/>
      <c r="D87" s="31"/>
      <c r="E87" s="31"/>
      <c r="F87" s="31"/>
      <c r="G87" s="31"/>
      <c r="H87" s="31"/>
      <c r="I87" s="31"/>
      <c r="J87" s="31"/>
      <c r="K87" s="31"/>
      <c r="L87" s="31"/>
      <c r="M87" s="31"/>
      <c r="N87" s="32"/>
    </row>
    <row r="88" spans="1:14" ht="14" thickBot="1">
      <c r="A88" s="25" t="s">
        <v>49</v>
      </c>
      <c r="B88" s="485">
        <v>0</v>
      </c>
      <c r="C88" s="485">
        <v>0</v>
      </c>
      <c r="D88" s="485">
        <v>0</v>
      </c>
      <c r="E88" s="485">
        <v>0</v>
      </c>
      <c r="F88" s="485">
        <v>0</v>
      </c>
      <c r="G88" s="485">
        <v>0</v>
      </c>
      <c r="H88" s="485">
        <v>0</v>
      </c>
      <c r="I88" s="485">
        <v>0</v>
      </c>
      <c r="J88" s="485">
        <v>0</v>
      </c>
      <c r="K88" s="485">
        <v>7</v>
      </c>
      <c r="L88" s="485">
        <v>48</v>
      </c>
      <c r="M88" s="485">
        <v>0</v>
      </c>
      <c r="N88" s="19">
        <f>SUM(B88:M88)</f>
        <v>55</v>
      </c>
    </row>
    <row r="89" spans="1:14" ht="14" thickBot="1">
      <c r="A89" s="40" t="s">
        <v>60</v>
      </c>
      <c r="B89" s="42">
        <f>SUM(B88)</f>
        <v>0</v>
      </c>
      <c r="C89" s="42">
        <f t="shared" ref="C89:M89" si="13">SUM(C88)</f>
        <v>0</v>
      </c>
      <c r="D89" s="42">
        <f t="shared" si="13"/>
        <v>0</v>
      </c>
      <c r="E89" s="42">
        <f t="shared" si="13"/>
        <v>0</v>
      </c>
      <c r="F89" s="42">
        <f t="shared" si="13"/>
        <v>0</v>
      </c>
      <c r="G89" s="42">
        <f t="shared" si="13"/>
        <v>0</v>
      </c>
      <c r="H89" s="42">
        <f t="shared" si="13"/>
        <v>0</v>
      </c>
      <c r="I89" s="42">
        <f t="shared" si="13"/>
        <v>0</v>
      </c>
      <c r="J89" s="42">
        <f t="shared" si="13"/>
        <v>0</v>
      </c>
      <c r="K89" s="42">
        <f t="shared" si="13"/>
        <v>7</v>
      </c>
      <c r="L89" s="42">
        <f t="shared" si="13"/>
        <v>48</v>
      </c>
      <c r="M89" s="42">
        <f t="shared" si="13"/>
        <v>0</v>
      </c>
      <c r="N89" s="41">
        <f>SUM(N88)</f>
        <v>55</v>
      </c>
    </row>
    <row r="90" spans="1:14" ht="14" thickBot="1">
      <c r="A90" s="30" t="s">
        <v>50</v>
      </c>
      <c r="B90" s="31"/>
      <c r="C90" s="31"/>
      <c r="D90" s="31"/>
      <c r="E90" s="31"/>
      <c r="F90" s="31"/>
      <c r="G90" s="31"/>
      <c r="H90" s="31"/>
      <c r="I90" s="31"/>
      <c r="J90" s="31"/>
      <c r="K90" s="31"/>
      <c r="L90" s="31"/>
      <c r="M90" s="31"/>
      <c r="N90" s="32"/>
    </row>
    <row r="91" spans="1:14">
      <c r="A91" s="26" t="s">
        <v>26</v>
      </c>
      <c r="B91" s="485">
        <v>0</v>
      </c>
      <c r="C91" s="485">
        <v>0</v>
      </c>
      <c r="D91" s="485">
        <v>0</v>
      </c>
      <c r="E91" s="485">
        <v>0</v>
      </c>
      <c r="F91" s="485">
        <v>0</v>
      </c>
      <c r="G91" s="485">
        <v>0</v>
      </c>
      <c r="H91" s="485">
        <v>0</v>
      </c>
      <c r="I91" s="485">
        <v>0</v>
      </c>
      <c r="J91" s="485">
        <v>0</v>
      </c>
      <c r="K91" s="485">
        <v>0</v>
      </c>
      <c r="L91" s="485">
        <v>0</v>
      </c>
      <c r="M91" s="485">
        <v>0</v>
      </c>
      <c r="N91" s="19">
        <f t="shared" ref="N91:N99" si="14">SUM(B91:M91)</f>
        <v>0</v>
      </c>
    </row>
    <row r="92" spans="1:14">
      <c r="A92" s="26" t="s">
        <v>25</v>
      </c>
      <c r="B92" s="485">
        <v>0</v>
      </c>
      <c r="C92" s="485">
        <v>0</v>
      </c>
      <c r="D92" s="485">
        <v>0</v>
      </c>
      <c r="E92" s="485">
        <v>0</v>
      </c>
      <c r="F92" s="485">
        <v>0</v>
      </c>
      <c r="G92" s="485">
        <v>0</v>
      </c>
      <c r="H92" s="485">
        <v>0</v>
      </c>
      <c r="I92" s="485">
        <v>6</v>
      </c>
      <c r="J92" s="485">
        <v>0</v>
      </c>
      <c r="K92" s="485">
        <v>0</v>
      </c>
      <c r="L92" s="485">
        <v>0</v>
      </c>
      <c r="M92" s="485">
        <v>0</v>
      </c>
      <c r="N92" s="19">
        <f t="shared" si="14"/>
        <v>6</v>
      </c>
    </row>
    <row r="93" spans="1:14">
      <c r="A93" s="24" t="s">
        <v>29</v>
      </c>
      <c r="B93" s="485">
        <v>0</v>
      </c>
      <c r="C93" s="485">
        <v>0</v>
      </c>
      <c r="D93" s="485">
        <v>0</v>
      </c>
      <c r="E93" s="485">
        <v>2</v>
      </c>
      <c r="F93" s="485">
        <v>0</v>
      </c>
      <c r="G93" s="485">
        <v>0</v>
      </c>
      <c r="H93" s="485">
        <v>0</v>
      </c>
      <c r="I93" s="485">
        <v>0</v>
      </c>
      <c r="J93" s="485">
        <v>0</v>
      </c>
      <c r="K93" s="485">
        <v>0</v>
      </c>
      <c r="L93" s="485">
        <v>0</v>
      </c>
      <c r="M93" s="485">
        <v>0</v>
      </c>
      <c r="N93" s="19">
        <f t="shared" si="14"/>
        <v>2</v>
      </c>
    </row>
    <row r="94" spans="1:14">
      <c r="A94" s="24" t="s">
        <v>51</v>
      </c>
      <c r="B94" s="485">
        <v>0</v>
      </c>
      <c r="C94" s="485">
        <v>7</v>
      </c>
      <c r="D94" s="485">
        <v>0</v>
      </c>
      <c r="E94" s="485">
        <v>0</v>
      </c>
      <c r="F94" s="485">
        <v>0</v>
      </c>
      <c r="G94" s="485">
        <v>56</v>
      </c>
      <c r="H94" s="485">
        <v>0</v>
      </c>
      <c r="I94" s="485">
        <v>0</v>
      </c>
      <c r="J94" s="485">
        <v>0</v>
      </c>
      <c r="K94" s="485">
        <v>0</v>
      </c>
      <c r="L94" s="485">
        <v>0</v>
      </c>
      <c r="M94" s="485">
        <v>0</v>
      </c>
      <c r="N94" s="19">
        <f t="shared" si="14"/>
        <v>63</v>
      </c>
    </row>
    <row r="95" spans="1:14">
      <c r="A95" s="26" t="s">
        <v>20</v>
      </c>
      <c r="B95" s="485">
        <v>0</v>
      </c>
      <c r="C95" s="485">
        <v>0</v>
      </c>
      <c r="D95" s="485">
        <v>0</v>
      </c>
      <c r="E95" s="485">
        <v>0</v>
      </c>
      <c r="F95" s="485">
        <v>0</v>
      </c>
      <c r="G95" s="485">
        <v>0</v>
      </c>
      <c r="H95" s="485">
        <v>0</v>
      </c>
      <c r="I95" s="485">
        <v>0</v>
      </c>
      <c r="J95" s="485">
        <v>0</v>
      </c>
      <c r="K95" s="485">
        <v>0</v>
      </c>
      <c r="L95" s="485">
        <v>0</v>
      </c>
      <c r="M95" s="485">
        <v>0</v>
      </c>
      <c r="N95" s="19">
        <f t="shared" si="14"/>
        <v>0</v>
      </c>
    </row>
    <row r="96" spans="1:14">
      <c r="A96" s="26" t="s">
        <v>13</v>
      </c>
      <c r="B96" s="485">
        <v>0</v>
      </c>
      <c r="C96" s="485">
        <v>0</v>
      </c>
      <c r="D96" s="485">
        <v>0</v>
      </c>
      <c r="E96" s="485">
        <v>1</v>
      </c>
      <c r="F96" s="485">
        <v>0</v>
      </c>
      <c r="G96" s="485">
        <v>0</v>
      </c>
      <c r="H96" s="485">
        <v>1</v>
      </c>
      <c r="I96" s="485">
        <v>1</v>
      </c>
      <c r="J96" s="485">
        <v>0</v>
      </c>
      <c r="K96" s="485">
        <v>0</v>
      </c>
      <c r="L96" s="485">
        <v>0</v>
      </c>
      <c r="M96" s="485">
        <v>0</v>
      </c>
      <c r="N96" s="19">
        <f t="shared" si="14"/>
        <v>3</v>
      </c>
    </row>
    <row r="97" spans="1:14">
      <c r="A97" s="27" t="s">
        <v>47</v>
      </c>
      <c r="B97" s="485">
        <v>0</v>
      </c>
      <c r="C97" s="485">
        <v>0</v>
      </c>
      <c r="D97" s="485">
        <v>0</v>
      </c>
      <c r="E97" s="485">
        <v>0</v>
      </c>
      <c r="F97" s="485">
        <v>0</v>
      </c>
      <c r="G97" s="485">
        <v>0</v>
      </c>
      <c r="H97" s="485">
        <v>0</v>
      </c>
      <c r="I97" s="485">
        <v>0</v>
      </c>
      <c r="J97" s="485">
        <v>0</v>
      </c>
      <c r="K97" s="485">
        <v>1</v>
      </c>
      <c r="L97" s="485">
        <v>0</v>
      </c>
      <c r="M97" s="485">
        <v>0</v>
      </c>
      <c r="N97" s="19">
        <f t="shared" si="14"/>
        <v>1</v>
      </c>
    </row>
    <row r="98" spans="1:14">
      <c r="A98" s="53" t="s">
        <v>30</v>
      </c>
      <c r="B98" s="485">
        <v>0</v>
      </c>
      <c r="C98" s="485">
        <v>0</v>
      </c>
      <c r="D98" s="485">
        <v>0</v>
      </c>
      <c r="E98" s="485">
        <v>0</v>
      </c>
      <c r="F98" s="485">
        <v>0</v>
      </c>
      <c r="G98" s="485">
        <v>0</v>
      </c>
      <c r="H98" s="485">
        <v>0</v>
      </c>
      <c r="I98" s="485">
        <v>0</v>
      </c>
      <c r="J98" s="485">
        <v>0</v>
      </c>
      <c r="K98" s="485">
        <v>0</v>
      </c>
      <c r="L98" s="485">
        <v>12</v>
      </c>
      <c r="M98" s="485">
        <v>4</v>
      </c>
      <c r="N98" s="19">
        <f t="shared" si="14"/>
        <v>16</v>
      </c>
    </row>
    <row r="99" spans="1:14">
      <c r="A99" s="53" t="s">
        <v>108</v>
      </c>
      <c r="B99" s="485">
        <v>0</v>
      </c>
      <c r="C99" s="485">
        <v>0</v>
      </c>
      <c r="D99" s="485">
        <v>0</v>
      </c>
      <c r="E99" s="485">
        <v>0</v>
      </c>
      <c r="F99" s="485">
        <v>0</v>
      </c>
      <c r="G99" s="485">
        <v>0</v>
      </c>
      <c r="H99" s="485">
        <v>0</v>
      </c>
      <c r="I99" s="485">
        <v>0</v>
      </c>
      <c r="J99" s="485">
        <v>0</v>
      </c>
      <c r="K99" s="485">
        <v>0</v>
      </c>
      <c r="L99" s="485">
        <v>0</v>
      </c>
      <c r="M99" s="485">
        <v>0</v>
      </c>
      <c r="N99" s="19">
        <f t="shared" si="14"/>
        <v>0</v>
      </c>
    </row>
    <row r="100" spans="1:14">
      <c r="A100" s="24" t="s">
        <v>56</v>
      </c>
      <c r="B100" s="485">
        <v>0</v>
      </c>
      <c r="C100" s="485">
        <v>0</v>
      </c>
      <c r="D100" s="485">
        <v>0</v>
      </c>
      <c r="E100" s="485">
        <v>0</v>
      </c>
      <c r="F100" s="485">
        <v>0</v>
      </c>
      <c r="G100" s="485">
        <v>0</v>
      </c>
      <c r="H100" s="485">
        <v>0</v>
      </c>
      <c r="I100" s="485">
        <v>0</v>
      </c>
      <c r="J100" s="485">
        <v>0</v>
      </c>
      <c r="K100" s="485">
        <v>0</v>
      </c>
      <c r="L100" s="485">
        <v>0</v>
      </c>
      <c r="M100" s="485">
        <v>1377</v>
      </c>
      <c r="N100" s="19">
        <f>SUM(B100:M100)</f>
        <v>1377</v>
      </c>
    </row>
    <row r="101" spans="1:14">
      <c r="A101" s="54" t="s">
        <v>89</v>
      </c>
      <c r="B101" s="485">
        <v>0</v>
      </c>
      <c r="C101" s="485">
        <v>0</v>
      </c>
      <c r="D101" s="485">
        <v>0</v>
      </c>
      <c r="E101" s="485">
        <v>0</v>
      </c>
      <c r="F101" s="485">
        <v>0</v>
      </c>
      <c r="G101" s="485">
        <v>0</v>
      </c>
      <c r="H101" s="485">
        <v>0</v>
      </c>
      <c r="I101" s="485">
        <v>0</v>
      </c>
      <c r="J101" s="485">
        <v>0</v>
      </c>
      <c r="K101" s="485">
        <v>0</v>
      </c>
      <c r="L101" s="485">
        <v>0</v>
      </c>
      <c r="M101" s="485">
        <v>0</v>
      </c>
      <c r="N101" s="19">
        <f>SUM(B101:M101)</f>
        <v>0</v>
      </c>
    </row>
    <row r="102" spans="1:14" ht="14" thickBot="1">
      <c r="A102" s="24" t="s">
        <v>83</v>
      </c>
      <c r="B102" s="485">
        <v>0</v>
      </c>
      <c r="C102" s="485">
        <v>0</v>
      </c>
      <c r="D102" s="485">
        <v>0</v>
      </c>
      <c r="E102" s="485">
        <v>0</v>
      </c>
      <c r="F102" s="485">
        <v>0</v>
      </c>
      <c r="G102" s="485">
        <v>0</v>
      </c>
      <c r="H102" s="485">
        <v>0</v>
      </c>
      <c r="I102" s="485">
        <v>0</v>
      </c>
      <c r="J102" s="485">
        <v>0</v>
      </c>
      <c r="K102" s="485">
        <v>0</v>
      </c>
      <c r="L102" s="485">
        <v>0</v>
      </c>
      <c r="M102" s="485">
        <v>0</v>
      </c>
      <c r="N102" s="19">
        <f>SUM(B102:M102)</f>
        <v>0</v>
      </c>
    </row>
    <row r="103" spans="1:14" ht="14" thickBot="1">
      <c r="A103" s="40" t="s">
        <v>60</v>
      </c>
      <c r="B103" s="42">
        <f>SUM(B91:B102)</f>
        <v>0</v>
      </c>
      <c r="C103" s="42">
        <f t="shared" ref="C103:M103" si="15">SUM(C91:C102)</f>
        <v>7</v>
      </c>
      <c r="D103" s="42">
        <f t="shared" si="15"/>
        <v>0</v>
      </c>
      <c r="E103" s="42">
        <f t="shared" si="15"/>
        <v>3</v>
      </c>
      <c r="F103" s="42">
        <f t="shared" si="15"/>
        <v>0</v>
      </c>
      <c r="G103" s="42">
        <f t="shared" si="15"/>
        <v>56</v>
      </c>
      <c r="H103" s="42">
        <f t="shared" si="15"/>
        <v>1</v>
      </c>
      <c r="I103" s="42">
        <f t="shared" si="15"/>
        <v>7</v>
      </c>
      <c r="J103" s="42">
        <f t="shared" si="15"/>
        <v>0</v>
      </c>
      <c r="K103" s="42">
        <f t="shared" si="15"/>
        <v>1</v>
      </c>
      <c r="L103" s="42">
        <f t="shared" si="15"/>
        <v>12</v>
      </c>
      <c r="M103" s="42">
        <f t="shared" si="15"/>
        <v>1381</v>
      </c>
      <c r="N103" s="41">
        <f>SUM(N91:N102)</f>
        <v>1468</v>
      </c>
    </row>
    <row r="104" spans="1:14" ht="14" thickBot="1">
      <c r="A104" s="30" t="s">
        <v>54</v>
      </c>
      <c r="B104" s="33"/>
      <c r="C104" s="33"/>
      <c r="D104" s="33"/>
      <c r="E104" s="33"/>
      <c r="F104" s="33"/>
      <c r="G104" s="33"/>
      <c r="H104" s="33"/>
      <c r="I104" s="33"/>
      <c r="J104" s="33"/>
      <c r="K104" s="33"/>
      <c r="L104" s="33"/>
      <c r="M104" s="33"/>
      <c r="N104" s="34"/>
    </row>
    <row r="105" spans="1:14">
      <c r="A105" s="28" t="s">
        <v>29</v>
      </c>
      <c r="B105" s="486">
        <v>0</v>
      </c>
      <c r="C105" s="486">
        <v>0</v>
      </c>
      <c r="D105" s="486">
        <v>0</v>
      </c>
      <c r="E105" s="486">
        <v>0</v>
      </c>
      <c r="F105" s="486">
        <v>0</v>
      </c>
      <c r="G105" s="486">
        <v>0</v>
      </c>
      <c r="H105" s="486">
        <v>0</v>
      </c>
      <c r="I105" s="486">
        <v>0</v>
      </c>
      <c r="J105" s="486">
        <v>0</v>
      </c>
      <c r="K105" s="486">
        <v>0</v>
      </c>
      <c r="L105" s="486">
        <v>0</v>
      </c>
      <c r="M105" s="486">
        <v>0</v>
      </c>
      <c r="N105" s="20">
        <f t="shared" ref="N105:N110" si="16">SUM(B105:M105)</f>
        <v>0</v>
      </c>
    </row>
    <row r="106" spans="1:14">
      <c r="A106" s="26" t="s">
        <v>51</v>
      </c>
      <c r="B106" s="485">
        <v>0</v>
      </c>
      <c r="C106" s="485">
        <v>0</v>
      </c>
      <c r="D106" s="485">
        <v>0</v>
      </c>
      <c r="E106" s="485">
        <v>0</v>
      </c>
      <c r="F106" s="485">
        <v>0</v>
      </c>
      <c r="G106" s="485">
        <v>0</v>
      </c>
      <c r="H106" s="485">
        <v>0</v>
      </c>
      <c r="I106" s="485">
        <v>0</v>
      </c>
      <c r="J106" s="485">
        <v>0</v>
      </c>
      <c r="K106" s="485">
        <v>0</v>
      </c>
      <c r="L106" s="485">
        <v>0</v>
      </c>
      <c r="M106" s="485">
        <v>0</v>
      </c>
      <c r="N106" s="21">
        <f t="shared" si="16"/>
        <v>0</v>
      </c>
    </row>
    <row r="107" spans="1:14">
      <c r="A107" s="26" t="s">
        <v>15</v>
      </c>
      <c r="B107" s="485">
        <v>0</v>
      </c>
      <c r="C107" s="485">
        <v>0</v>
      </c>
      <c r="D107" s="485">
        <v>0</v>
      </c>
      <c r="E107" s="485">
        <v>0</v>
      </c>
      <c r="F107" s="485">
        <v>0</v>
      </c>
      <c r="G107" s="485">
        <v>0</v>
      </c>
      <c r="H107" s="485">
        <v>0</v>
      </c>
      <c r="I107" s="485">
        <v>0</v>
      </c>
      <c r="J107" s="485">
        <v>0</v>
      </c>
      <c r="K107" s="485">
        <v>0</v>
      </c>
      <c r="L107" s="487">
        <v>0</v>
      </c>
      <c r="M107" s="485">
        <v>0</v>
      </c>
      <c r="N107" s="21">
        <f t="shared" si="16"/>
        <v>0</v>
      </c>
    </row>
    <row r="108" spans="1:14">
      <c r="A108" s="26" t="s">
        <v>30</v>
      </c>
      <c r="B108" s="485">
        <v>0</v>
      </c>
      <c r="C108" s="485">
        <v>0</v>
      </c>
      <c r="D108" s="485">
        <v>0</v>
      </c>
      <c r="E108" s="485">
        <v>0</v>
      </c>
      <c r="F108" s="485">
        <v>0</v>
      </c>
      <c r="G108" s="485">
        <v>0</v>
      </c>
      <c r="H108" s="485">
        <v>0</v>
      </c>
      <c r="I108" s="485">
        <v>0</v>
      </c>
      <c r="J108" s="485">
        <v>0</v>
      </c>
      <c r="K108" s="485">
        <v>0</v>
      </c>
      <c r="L108" s="485">
        <v>0</v>
      </c>
      <c r="M108" s="485">
        <v>0</v>
      </c>
      <c r="N108" s="21">
        <f t="shared" si="16"/>
        <v>0</v>
      </c>
    </row>
    <row r="109" spans="1:14">
      <c r="A109" s="24" t="s">
        <v>55</v>
      </c>
      <c r="B109" s="487">
        <v>0</v>
      </c>
      <c r="C109" s="487">
        <v>0</v>
      </c>
      <c r="D109" s="488">
        <v>0</v>
      </c>
      <c r="E109" s="487">
        <v>0</v>
      </c>
      <c r="F109" s="487">
        <v>0</v>
      </c>
      <c r="G109" s="487">
        <v>0</v>
      </c>
      <c r="H109" s="487">
        <v>0</v>
      </c>
      <c r="I109" s="487">
        <v>0</v>
      </c>
      <c r="J109" s="487">
        <v>0</v>
      </c>
      <c r="K109" s="487">
        <v>0</v>
      </c>
      <c r="L109" s="487">
        <v>0</v>
      </c>
      <c r="M109" s="487">
        <v>0</v>
      </c>
      <c r="N109" s="21">
        <f t="shared" si="16"/>
        <v>0</v>
      </c>
    </row>
    <row r="110" spans="1:14" ht="14" thickBot="1">
      <c r="A110" s="53" t="s">
        <v>108</v>
      </c>
      <c r="B110" s="489">
        <v>0</v>
      </c>
      <c r="C110" s="490">
        <v>0</v>
      </c>
      <c r="D110" s="490">
        <v>0</v>
      </c>
      <c r="E110" s="490">
        <v>0</v>
      </c>
      <c r="F110" s="490">
        <v>0</v>
      </c>
      <c r="G110" s="490">
        <v>0</v>
      </c>
      <c r="H110" s="490">
        <v>0</v>
      </c>
      <c r="I110" s="490">
        <v>0</v>
      </c>
      <c r="J110" s="490">
        <v>0</v>
      </c>
      <c r="K110" s="490">
        <v>0</v>
      </c>
      <c r="L110" s="490">
        <v>0</v>
      </c>
      <c r="M110" s="491">
        <v>0</v>
      </c>
      <c r="N110" s="21">
        <f t="shared" si="16"/>
        <v>0</v>
      </c>
    </row>
    <row r="111" spans="1:14" ht="14" thickBot="1">
      <c r="A111" s="40" t="s">
        <v>60</v>
      </c>
      <c r="B111" s="42">
        <f>SUM(B105:B110)</f>
        <v>0</v>
      </c>
      <c r="C111" s="42">
        <f>SUM(C105:C110)</f>
        <v>0</v>
      </c>
      <c r="D111" s="42">
        <f>SUM(D105:D110)</f>
        <v>0</v>
      </c>
      <c r="E111" s="42">
        <f t="shared" ref="E111:M111" si="17">SUM(E105:E110)</f>
        <v>0</v>
      </c>
      <c r="F111" s="42">
        <f t="shared" si="17"/>
        <v>0</v>
      </c>
      <c r="G111" s="42">
        <f t="shared" si="17"/>
        <v>0</v>
      </c>
      <c r="H111" s="42">
        <f t="shared" si="17"/>
        <v>0</v>
      </c>
      <c r="I111" s="42">
        <f t="shared" si="17"/>
        <v>0</v>
      </c>
      <c r="J111" s="42">
        <f t="shared" si="17"/>
        <v>0</v>
      </c>
      <c r="K111" s="42">
        <f t="shared" si="17"/>
        <v>0</v>
      </c>
      <c r="L111" s="42">
        <f t="shared" si="17"/>
        <v>0</v>
      </c>
      <c r="M111" s="42">
        <f t="shared" si="17"/>
        <v>0</v>
      </c>
      <c r="N111" s="41">
        <f>SUM(N105:N110)</f>
        <v>0</v>
      </c>
    </row>
    <row r="112" spans="1:14">
      <c r="A112" s="2"/>
    </row>
    <row r="114" spans="1:14" ht="14" thickBot="1">
      <c r="B114" s="35" t="s">
        <v>35</v>
      </c>
      <c r="C114" s="35" t="s">
        <v>36</v>
      </c>
      <c r="D114" s="35" t="s">
        <v>37</v>
      </c>
      <c r="E114" s="35" t="s">
        <v>38</v>
      </c>
      <c r="F114" s="35" t="s">
        <v>39</v>
      </c>
      <c r="G114" s="35" t="s">
        <v>40</v>
      </c>
      <c r="H114" s="35" t="s">
        <v>41</v>
      </c>
      <c r="I114" s="35" t="s">
        <v>42</v>
      </c>
      <c r="J114" s="35" t="s">
        <v>43</v>
      </c>
      <c r="K114" s="35" t="s">
        <v>44</v>
      </c>
      <c r="L114" s="35" t="s">
        <v>45</v>
      </c>
      <c r="M114" s="35" t="s">
        <v>46</v>
      </c>
      <c r="N114" s="35" t="s">
        <v>10</v>
      </c>
    </row>
    <row r="115" spans="1:14" ht="17" thickBot="1">
      <c r="A115" s="23" t="s">
        <v>111</v>
      </c>
      <c r="B115" s="16"/>
      <c r="C115" s="16"/>
      <c r="D115" s="15"/>
      <c r="E115" s="15"/>
      <c r="F115" s="17"/>
      <c r="G115" s="17"/>
      <c r="H115" s="15"/>
      <c r="I115" s="15"/>
      <c r="J115" s="15"/>
      <c r="K115" s="15"/>
      <c r="L115" s="16"/>
      <c r="M115" s="16"/>
      <c r="N115" s="18"/>
    </row>
    <row r="116" spans="1:14" ht="14" thickBot="1">
      <c r="A116" s="30" t="s">
        <v>48</v>
      </c>
      <c r="B116" s="31"/>
      <c r="C116" s="31"/>
      <c r="D116" s="31"/>
      <c r="E116" s="31"/>
      <c r="F116" s="31"/>
      <c r="G116" s="31"/>
      <c r="H116" s="31"/>
      <c r="I116" s="31"/>
      <c r="J116" s="31"/>
      <c r="K116" s="31"/>
      <c r="L116" s="31"/>
      <c r="M116" s="31"/>
      <c r="N116" s="32"/>
    </row>
    <row r="117" spans="1:14">
      <c r="A117" s="24" t="s">
        <v>29</v>
      </c>
      <c r="B117" s="485">
        <v>1</v>
      </c>
      <c r="C117" s="485">
        <v>8</v>
      </c>
      <c r="D117" s="485">
        <v>1</v>
      </c>
      <c r="E117" s="485">
        <v>0</v>
      </c>
      <c r="F117" s="485">
        <v>0</v>
      </c>
      <c r="G117" s="485">
        <v>0</v>
      </c>
      <c r="H117" s="485">
        <v>0</v>
      </c>
      <c r="I117" s="485">
        <v>0</v>
      </c>
      <c r="J117" s="485">
        <v>0</v>
      </c>
      <c r="K117" s="485">
        <v>0</v>
      </c>
      <c r="L117" s="485">
        <v>0</v>
      </c>
      <c r="M117" s="485">
        <v>0</v>
      </c>
      <c r="N117" s="19">
        <f t="shared" ref="N117:N123" si="18">SUM(B117:M117)</f>
        <v>10</v>
      </c>
    </row>
    <row r="118" spans="1:14">
      <c r="A118" s="24" t="s">
        <v>33</v>
      </c>
      <c r="B118" s="485">
        <v>9</v>
      </c>
      <c r="C118" s="485">
        <v>25</v>
      </c>
      <c r="D118" s="485">
        <v>22</v>
      </c>
      <c r="E118" s="485">
        <v>22</v>
      </c>
      <c r="F118" s="485">
        <v>38</v>
      </c>
      <c r="G118" s="485">
        <v>5</v>
      </c>
      <c r="H118" s="485">
        <v>16</v>
      </c>
      <c r="I118" s="485">
        <v>0</v>
      </c>
      <c r="J118" s="485">
        <v>41</v>
      </c>
      <c r="K118" s="485">
        <v>14</v>
      </c>
      <c r="L118" s="485">
        <v>23</v>
      </c>
      <c r="M118" s="485">
        <v>16</v>
      </c>
      <c r="N118" s="19">
        <f t="shared" si="18"/>
        <v>231</v>
      </c>
    </row>
    <row r="119" spans="1:14">
      <c r="A119" s="24" t="s">
        <v>56</v>
      </c>
      <c r="B119" s="485">
        <v>0</v>
      </c>
      <c r="C119" s="485">
        <v>0</v>
      </c>
      <c r="D119" s="485">
        <v>32</v>
      </c>
      <c r="E119" s="485">
        <v>0</v>
      </c>
      <c r="F119" s="485">
        <v>0</v>
      </c>
      <c r="G119" s="485">
        <v>0</v>
      </c>
      <c r="H119" s="485">
        <v>0</v>
      </c>
      <c r="I119" s="485">
        <v>0</v>
      </c>
      <c r="J119" s="485">
        <v>0</v>
      </c>
      <c r="K119" s="485">
        <v>0</v>
      </c>
      <c r="L119" s="485">
        <v>0</v>
      </c>
      <c r="M119" s="485">
        <v>0</v>
      </c>
      <c r="N119" s="19">
        <f t="shared" si="18"/>
        <v>32</v>
      </c>
    </row>
    <row r="120" spans="1:14">
      <c r="A120" s="54" t="s">
        <v>30</v>
      </c>
      <c r="B120" s="485">
        <v>0</v>
      </c>
      <c r="C120" s="485">
        <v>0</v>
      </c>
      <c r="D120" s="485">
        <v>0</v>
      </c>
      <c r="E120" s="485">
        <v>0</v>
      </c>
      <c r="F120" s="485">
        <v>0</v>
      </c>
      <c r="G120" s="485">
        <v>0</v>
      </c>
      <c r="H120" s="485">
        <v>0</v>
      </c>
      <c r="I120" s="485">
        <v>0</v>
      </c>
      <c r="J120" s="485">
        <v>0</v>
      </c>
      <c r="K120" s="485">
        <v>0</v>
      </c>
      <c r="L120" s="485">
        <v>0</v>
      </c>
      <c r="M120" s="485">
        <v>1</v>
      </c>
      <c r="N120" s="19">
        <f t="shared" si="18"/>
        <v>1</v>
      </c>
    </row>
    <row r="121" spans="1:14">
      <c r="A121" s="53" t="s">
        <v>118</v>
      </c>
      <c r="B121" s="485">
        <v>0</v>
      </c>
      <c r="C121" s="485">
        <v>1176</v>
      </c>
      <c r="D121" s="485">
        <v>0</v>
      </c>
      <c r="E121" s="485">
        <v>0</v>
      </c>
      <c r="F121" s="485">
        <v>0</v>
      </c>
      <c r="G121" s="485">
        <v>0</v>
      </c>
      <c r="H121" s="485">
        <v>0</v>
      </c>
      <c r="I121" s="485">
        <v>0</v>
      </c>
      <c r="J121" s="485">
        <v>0</v>
      </c>
      <c r="K121" s="485">
        <v>0</v>
      </c>
      <c r="L121" s="485">
        <v>0</v>
      </c>
      <c r="M121" s="485">
        <v>0</v>
      </c>
      <c r="N121" s="19">
        <f t="shared" si="18"/>
        <v>1176</v>
      </c>
    </row>
    <row r="122" spans="1:14">
      <c r="A122" s="53" t="s">
        <v>113</v>
      </c>
      <c r="B122" s="485">
        <v>0</v>
      </c>
      <c r="C122" s="485">
        <v>0</v>
      </c>
      <c r="D122" s="485">
        <v>0</v>
      </c>
      <c r="E122" s="485">
        <v>0</v>
      </c>
      <c r="F122" s="485">
        <v>0</v>
      </c>
      <c r="G122" s="485">
        <v>0</v>
      </c>
      <c r="H122" s="485">
        <v>0</v>
      </c>
      <c r="I122" s="485">
        <v>0</v>
      </c>
      <c r="J122" s="485">
        <v>0</v>
      </c>
      <c r="K122" s="485">
        <v>83</v>
      </c>
      <c r="L122" s="485">
        <v>0</v>
      </c>
      <c r="M122" s="485">
        <v>0</v>
      </c>
      <c r="N122" s="19">
        <f t="shared" si="18"/>
        <v>83</v>
      </c>
    </row>
    <row r="123" spans="1:14" ht="14" thickBot="1">
      <c r="A123" s="53" t="s">
        <v>114</v>
      </c>
      <c r="B123" s="485">
        <v>0</v>
      </c>
      <c r="C123" s="485">
        <v>0</v>
      </c>
      <c r="D123" s="485">
        <v>0</v>
      </c>
      <c r="E123" s="485">
        <v>0</v>
      </c>
      <c r="F123" s="485">
        <v>0</v>
      </c>
      <c r="G123" s="485">
        <v>0</v>
      </c>
      <c r="H123" s="485">
        <v>0</v>
      </c>
      <c r="I123" s="485">
        <v>0</v>
      </c>
      <c r="J123" s="485">
        <v>0</v>
      </c>
      <c r="K123" s="485">
        <v>52</v>
      </c>
      <c r="L123" s="485">
        <v>0</v>
      </c>
      <c r="M123" s="485">
        <v>0</v>
      </c>
      <c r="N123" s="19">
        <f t="shared" si="18"/>
        <v>52</v>
      </c>
    </row>
    <row r="124" spans="1:14" ht="14" thickBot="1">
      <c r="A124" s="40" t="s">
        <v>60</v>
      </c>
      <c r="B124" s="42">
        <f>SUM(B117:B123)</f>
        <v>10</v>
      </c>
      <c r="C124" s="42">
        <f t="shared" ref="C124:M124" si="19">SUM(C117:C123)</f>
        <v>1209</v>
      </c>
      <c r="D124" s="42">
        <f t="shared" si="19"/>
        <v>55</v>
      </c>
      <c r="E124" s="42">
        <f t="shared" si="19"/>
        <v>22</v>
      </c>
      <c r="F124" s="42">
        <f t="shared" si="19"/>
        <v>38</v>
      </c>
      <c r="G124" s="42">
        <f t="shared" si="19"/>
        <v>5</v>
      </c>
      <c r="H124" s="42">
        <f t="shared" si="19"/>
        <v>16</v>
      </c>
      <c r="I124" s="42">
        <f t="shared" si="19"/>
        <v>0</v>
      </c>
      <c r="J124" s="42">
        <f t="shared" si="19"/>
        <v>41</v>
      </c>
      <c r="K124" s="42">
        <f t="shared" si="19"/>
        <v>149</v>
      </c>
      <c r="L124" s="42">
        <f t="shared" si="19"/>
        <v>23</v>
      </c>
      <c r="M124" s="42">
        <f t="shared" si="19"/>
        <v>17</v>
      </c>
      <c r="N124" s="41">
        <f>SUM(N117:N123)</f>
        <v>1585</v>
      </c>
    </row>
    <row r="125" spans="1:14" ht="14" thickBot="1">
      <c r="A125" s="30" t="s">
        <v>49</v>
      </c>
      <c r="B125" s="31"/>
      <c r="C125" s="31"/>
      <c r="D125" s="31"/>
      <c r="E125" s="31"/>
      <c r="F125" s="31"/>
      <c r="G125" s="31"/>
      <c r="H125" s="31"/>
      <c r="I125" s="31"/>
      <c r="J125" s="31"/>
      <c r="K125" s="31"/>
      <c r="L125" s="31"/>
      <c r="M125" s="31"/>
      <c r="N125" s="32"/>
    </row>
    <row r="126" spans="1:14" ht="14" thickBot="1">
      <c r="A126" s="25" t="s">
        <v>49</v>
      </c>
      <c r="B126" s="485">
        <v>0</v>
      </c>
      <c r="C126" s="485">
        <v>0</v>
      </c>
      <c r="D126" s="485">
        <v>0</v>
      </c>
      <c r="E126" s="485">
        <v>0</v>
      </c>
      <c r="F126" s="485">
        <v>31</v>
      </c>
      <c r="G126" s="485">
        <v>9</v>
      </c>
      <c r="H126" s="485">
        <v>21</v>
      </c>
      <c r="I126" s="485">
        <v>14</v>
      </c>
      <c r="J126" s="485">
        <v>2</v>
      </c>
      <c r="K126" s="485">
        <v>932</v>
      </c>
      <c r="L126" s="485">
        <v>0</v>
      </c>
      <c r="M126" s="485">
        <v>0</v>
      </c>
      <c r="N126" s="19">
        <f>SUM(B126:M126)</f>
        <v>1009</v>
      </c>
    </row>
    <row r="127" spans="1:14" ht="14" thickBot="1">
      <c r="A127" s="40" t="s">
        <v>60</v>
      </c>
      <c r="B127" s="42">
        <f>SUM(B126)</f>
        <v>0</v>
      </c>
      <c r="C127" s="42">
        <f t="shared" ref="C127:M127" si="20">SUM(C126)</f>
        <v>0</v>
      </c>
      <c r="D127" s="42">
        <f t="shared" si="20"/>
        <v>0</v>
      </c>
      <c r="E127" s="42">
        <f t="shared" si="20"/>
        <v>0</v>
      </c>
      <c r="F127" s="42">
        <f t="shared" si="20"/>
        <v>31</v>
      </c>
      <c r="G127" s="42">
        <f t="shared" si="20"/>
        <v>9</v>
      </c>
      <c r="H127" s="42">
        <f t="shared" si="20"/>
        <v>21</v>
      </c>
      <c r="I127" s="42">
        <f t="shared" si="20"/>
        <v>14</v>
      </c>
      <c r="J127" s="42">
        <f t="shared" si="20"/>
        <v>2</v>
      </c>
      <c r="K127" s="42">
        <f t="shared" si="20"/>
        <v>932</v>
      </c>
      <c r="L127" s="42">
        <f t="shared" si="20"/>
        <v>0</v>
      </c>
      <c r="M127" s="42">
        <f t="shared" si="20"/>
        <v>0</v>
      </c>
      <c r="N127" s="41">
        <f>SUM(N126)</f>
        <v>1009</v>
      </c>
    </row>
    <row r="128" spans="1:14" ht="14" thickBot="1">
      <c r="A128" s="30" t="s">
        <v>50</v>
      </c>
      <c r="B128" s="31"/>
      <c r="C128" s="31"/>
      <c r="D128" s="31"/>
      <c r="E128" s="31"/>
      <c r="F128" s="31"/>
      <c r="G128" s="31"/>
      <c r="H128" s="31"/>
      <c r="I128" s="31"/>
      <c r="J128" s="31"/>
      <c r="K128" s="31"/>
      <c r="L128" s="31"/>
      <c r="M128" s="31"/>
      <c r="N128" s="32"/>
    </row>
    <row r="129" spans="1:14">
      <c r="A129" s="24" t="s">
        <v>29</v>
      </c>
      <c r="B129" s="485">
        <v>0</v>
      </c>
      <c r="C129" s="485">
        <v>0</v>
      </c>
      <c r="D129" s="485">
        <v>0</v>
      </c>
      <c r="E129" s="485">
        <v>0</v>
      </c>
      <c r="F129" s="485">
        <v>0</v>
      </c>
      <c r="G129" s="485">
        <v>0</v>
      </c>
      <c r="H129" s="485">
        <v>0</v>
      </c>
      <c r="I129" s="485">
        <v>0</v>
      </c>
      <c r="J129" s="485">
        <v>0</v>
      </c>
      <c r="K129" s="485">
        <v>0</v>
      </c>
      <c r="L129" s="485">
        <v>0</v>
      </c>
      <c r="M129" s="485">
        <v>0</v>
      </c>
      <c r="N129" s="19">
        <f t="shared" ref="N129:N135" si="21">SUM(B129:M129)</f>
        <v>0</v>
      </c>
    </row>
    <row r="130" spans="1:14">
      <c r="A130" s="24" t="s">
        <v>51</v>
      </c>
      <c r="B130" s="485">
        <v>0</v>
      </c>
      <c r="C130" s="485">
        <v>0</v>
      </c>
      <c r="D130" s="485">
        <v>2</v>
      </c>
      <c r="E130" s="485">
        <v>0</v>
      </c>
      <c r="F130" s="485">
        <v>0</v>
      </c>
      <c r="G130" s="485">
        <v>1</v>
      </c>
      <c r="H130" s="485">
        <v>0</v>
      </c>
      <c r="I130" s="485">
        <v>15</v>
      </c>
      <c r="J130" s="485">
        <v>0</v>
      </c>
      <c r="K130" s="485">
        <v>0</v>
      </c>
      <c r="L130" s="485">
        <v>0</v>
      </c>
      <c r="M130" s="485">
        <v>0</v>
      </c>
      <c r="N130" s="19">
        <f t="shared" si="21"/>
        <v>18</v>
      </c>
    </row>
    <row r="131" spans="1:14">
      <c r="A131" s="26" t="s">
        <v>20</v>
      </c>
      <c r="B131" s="485">
        <v>0</v>
      </c>
      <c r="C131" s="485">
        <v>0</v>
      </c>
      <c r="D131" s="485">
        <v>0</v>
      </c>
      <c r="E131" s="485">
        <v>0</v>
      </c>
      <c r="F131" s="485">
        <v>0</v>
      </c>
      <c r="G131" s="485">
        <v>0</v>
      </c>
      <c r="H131" s="485">
        <v>0</v>
      </c>
      <c r="I131" s="485">
        <v>0</v>
      </c>
      <c r="J131" s="485">
        <v>0</v>
      </c>
      <c r="K131" s="485">
        <v>0</v>
      </c>
      <c r="L131" s="485">
        <v>1</v>
      </c>
      <c r="M131" s="485">
        <v>0</v>
      </c>
      <c r="N131" s="19">
        <f t="shared" si="21"/>
        <v>1</v>
      </c>
    </row>
    <row r="132" spans="1:14">
      <c r="A132" s="26" t="s">
        <v>13</v>
      </c>
      <c r="B132" s="485">
        <v>0</v>
      </c>
      <c r="C132" s="485">
        <v>0</v>
      </c>
      <c r="D132" s="485">
        <v>0</v>
      </c>
      <c r="E132" s="485">
        <v>0</v>
      </c>
      <c r="F132" s="485">
        <v>0</v>
      </c>
      <c r="G132" s="485">
        <v>0</v>
      </c>
      <c r="H132" s="485">
        <v>0</v>
      </c>
      <c r="I132" s="485">
        <v>0</v>
      </c>
      <c r="J132" s="485">
        <v>0</v>
      </c>
      <c r="K132" s="485">
        <v>0</v>
      </c>
      <c r="L132" s="485">
        <v>0</v>
      </c>
      <c r="M132" s="485">
        <v>0</v>
      </c>
      <c r="N132" s="19">
        <f t="shared" si="21"/>
        <v>0</v>
      </c>
    </row>
    <row r="133" spans="1:14">
      <c r="A133" s="27" t="s">
        <v>47</v>
      </c>
      <c r="B133" s="485">
        <v>0</v>
      </c>
      <c r="C133" s="485">
        <v>0</v>
      </c>
      <c r="D133" s="485">
        <v>0</v>
      </c>
      <c r="E133" s="485">
        <v>0</v>
      </c>
      <c r="F133" s="485">
        <v>0</v>
      </c>
      <c r="G133" s="485">
        <v>0</v>
      </c>
      <c r="H133" s="485">
        <v>0</v>
      </c>
      <c r="I133" s="485">
        <v>0</v>
      </c>
      <c r="J133" s="485">
        <v>0</v>
      </c>
      <c r="K133" s="485">
        <v>0</v>
      </c>
      <c r="L133" s="485">
        <v>0</v>
      </c>
      <c r="M133" s="485">
        <v>0</v>
      </c>
      <c r="N133" s="19">
        <f t="shared" si="21"/>
        <v>0</v>
      </c>
    </row>
    <row r="134" spans="1:14">
      <c r="A134" s="53" t="s">
        <v>30</v>
      </c>
      <c r="B134" s="485">
        <v>0</v>
      </c>
      <c r="C134" s="485">
        <v>0</v>
      </c>
      <c r="D134" s="485">
        <v>0</v>
      </c>
      <c r="E134" s="485">
        <v>2</v>
      </c>
      <c r="F134" s="485">
        <v>0</v>
      </c>
      <c r="G134" s="485">
        <v>0</v>
      </c>
      <c r="H134" s="485">
        <v>0</v>
      </c>
      <c r="I134" s="485">
        <v>0</v>
      </c>
      <c r="J134" s="485">
        <v>0</v>
      </c>
      <c r="K134" s="485">
        <v>0</v>
      </c>
      <c r="L134" s="485">
        <v>0</v>
      </c>
      <c r="M134" s="485">
        <v>0</v>
      </c>
      <c r="N134" s="19">
        <f t="shared" si="21"/>
        <v>2</v>
      </c>
    </row>
    <row r="135" spans="1:14">
      <c r="A135" s="53" t="s">
        <v>108</v>
      </c>
      <c r="B135" s="485">
        <v>0</v>
      </c>
      <c r="C135" s="485">
        <v>0</v>
      </c>
      <c r="D135" s="485">
        <v>0</v>
      </c>
      <c r="E135" s="485">
        <v>0</v>
      </c>
      <c r="F135" s="485">
        <v>0</v>
      </c>
      <c r="G135" s="485">
        <v>0</v>
      </c>
      <c r="H135" s="485">
        <v>0</v>
      </c>
      <c r="I135" s="485">
        <v>0</v>
      </c>
      <c r="J135" s="485">
        <v>0</v>
      </c>
      <c r="K135" s="485">
        <v>0</v>
      </c>
      <c r="L135" s="485">
        <v>0</v>
      </c>
      <c r="M135" s="485">
        <v>0</v>
      </c>
      <c r="N135" s="19">
        <f t="shared" si="21"/>
        <v>0</v>
      </c>
    </row>
    <row r="136" spans="1:14">
      <c r="A136" s="24" t="s">
        <v>56</v>
      </c>
      <c r="B136" s="485">
        <v>0</v>
      </c>
      <c r="C136" s="485">
        <v>0</v>
      </c>
      <c r="D136" s="485">
        <v>0</v>
      </c>
      <c r="E136" s="485">
        <v>0</v>
      </c>
      <c r="F136" s="485">
        <v>0</v>
      </c>
      <c r="G136" s="485">
        <v>0</v>
      </c>
      <c r="H136" s="485">
        <v>0</v>
      </c>
      <c r="I136" s="485">
        <v>0</v>
      </c>
      <c r="J136" s="485">
        <v>71</v>
      </c>
      <c r="K136" s="485">
        <v>0</v>
      </c>
      <c r="L136" s="485">
        <v>0</v>
      </c>
      <c r="M136" s="485">
        <v>0</v>
      </c>
      <c r="N136" s="19">
        <f>SUM(B136:M136)</f>
        <v>71</v>
      </c>
    </row>
    <row r="137" spans="1:14">
      <c r="A137" s="54" t="s">
        <v>89</v>
      </c>
      <c r="B137" s="485">
        <v>0</v>
      </c>
      <c r="C137" s="485">
        <v>0</v>
      </c>
      <c r="D137" s="485">
        <v>0</v>
      </c>
      <c r="E137" s="485">
        <v>0</v>
      </c>
      <c r="F137" s="485">
        <v>0</v>
      </c>
      <c r="G137" s="485">
        <v>0</v>
      </c>
      <c r="H137" s="485">
        <v>0</v>
      </c>
      <c r="I137" s="485">
        <v>0</v>
      </c>
      <c r="J137" s="485">
        <v>0</v>
      </c>
      <c r="K137" s="485">
        <v>0</v>
      </c>
      <c r="L137" s="485">
        <v>0</v>
      </c>
      <c r="M137" s="485">
        <v>0</v>
      </c>
      <c r="N137" s="19">
        <f>SUM(B137:M137)</f>
        <v>0</v>
      </c>
    </row>
    <row r="138" spans="1:14">
      <c r="A138" s="24" t="s">
        <v>83</v>
      </c>
      <c r="B138" s="485">
        <v>0</v>
      </c>
      <c r="C138" s="485">
        <v>0</v>
      </c>
      <c r="D138" s="485">
        <v>0</v>
      </c>
      <c r="E138" s="485">
        <v>0</v>
      </c>
      <c r="F138" s="485">
        <v>0</v>
      </c>
      <c r="G138" s="485">
        <v>0</v>
      </c>
      <c r="H138" s="485">
        <v>0</v>
      </c>
      <c r="I138" s="485">
        <v>0</v>
      </c>
      <c r="J138" s="485">
        <v>0</v>
      </c>
      <c r="K138" s="485">
        <v>0</v>
      </c>
      <c r="L138" s="485">
        <v>0</v>
      </c>
      <c r="M138" s="485">
        <v>0</v>
      </c>
      <c r="N138" s="19">
        <f>SUM(B138:M138)</f>
        <v>0</v>
      </c>
    </row>
    <row r="139" spans="1:14" ht="14" thickBot="1">
      <c r="A139" s="54" t="s">
        <v>115</v>
      </c>
      <c r="B139" s="485">
        <v>0</v>
      </c>
      <c r="C139" s="485">
        <v>0</v>
      </c>
      <c r="D139" s="485">
        <v>0</v>
      </c>
      <c r="E139" s="485">
        <v>0</v>
      </c>
      <c r="F139" s="485">
        <v>0</v>
      </c>
      <c r="G139" s="485">
        <v>0</v>
      </c>
      <c r="H139" s="485">
        <v>0</v>
      </c>
      <c r="I139" s="485">
        <v>0</v>
      </c>
      <c r="J139" s="485">
        <v>0</v>
      </c>
      <c r="K139" s="485">
        <v>0</v>
      </c>
      <c r="L139" s="485">
        <v>0</v>
      </c>
      <c r="M139" s="485">
        <v>0</v>
      </c>
      <c r="N139" s="19">
        <f>SUM(B139:M139)</f>
        <v>0</v>
      </c>
    </row>
    <row r="140" spans="1:14" ht="14" thickBot="1">
      <c r="A140" s="40" t="s">
        <v>60</v>
      </c>
      <c r="B140" s="42">
        <f>SUM(B129:B139)</f>
        <v>0</v>
      </c>
      <c r="C140" s="42">
        <f t="shared" ref="C140:M140" si="22">SUM(C129:C139)</f>
        <v>0</v>
      </c>
      <c r="D140" s="42">
        <f t="shared" si="22"/>
        <v>2</v>
      </c>
      <c r="E140" s="42">
        <f t="shared" si="22"/>
        <v>2</v>
      </c>
      <c r="F140" s="42">
        <f t="shared" si="22"/>
        <v>0</v>
      </c>
      <c r="G140" s="42">
        <f t="shared" si="22"/>
        <v>1</v>
      </c>
      <c r="H140" s="42">
        <f t="shared" si="22"/>
        <v>0</v>
      </c>
      <c r="I140" s="42">
        <f t="shared" si="22"/>
        <v>15</v>
      </c>
      <c r="J140" s="42">
        <f t="shared" si="22"/>
        <v>71</v>
      </c>
      <c r="K140" s="42">
        <f t="shared" si="22"/>
        <v>0</v>
      </c>
      <c r="L140" s="42">
        <f t="shared" si="22"/>
        <v>1</v>
      </c>
      <c r="M140" s="42">
        <f t="shared" si="22"/>
        <v>0</v>
      </c>
      <c r="N140" s="41">
        <f>SUM(N129:N139)</f>
        <v>92</v>
      </c>
    </row>
    <row r="143" spans="1:14" ht="14" thickBot="1">
      <c r="B143" s="35" t="s">
        <v>35</v>
      </c>
      <c r="C143" s="35" t="s">
        <v>36</v>
      </c>
      <c r="D143" s="35" t="s">
        <v>37</v>
      </c>
      <c r="E143" s="35" t="s">
        <v>38</v>
      </c>
      <c r="F143" s="35" t="s">
        <v>39</v>
      </c>
      <c r="G143" s="35" t="s">
        <v>40</v>
      </c>
      <c r="H143" s="35" t="s">
        <v>41</v>
      </c>
      <c r="I143" s="35" t="s">
        <v>42</v>
      </c>
      <c r="J143" s="35" t="s">
        <v>43</v>
      </c>
      <c r="K143" s="35" t="s">
        <v>44</v>
      </c>
      <c r="L143" s="35" t="s">
        <v>45</v>
      </c>
      <c r="M143" s="35" t="s">
        <v>46</v>
      </c>
      <c r="N143" s="35" t="s">
        <v>10</v>
      </c>
    </row>
    <row r="144" spans="1:14" ht="17" thickBot="1">
      <c r="A144" s="23" t="s">
        <v>119</v>
      </c>
      <c r="B144" s="16"/>
      <c r="C144" s="16"/>
      <c r="D144" s="15"/>
      <c r="E144" s="15"/>
      <c r="F144" s="17"/>
      <c r="G144" s="17"/>
      <c r="H144" s="15"/>
      <c r="I144" s="15"/>
      <c r="J144" s="15"/>
      <c r="K144" s="15"/>
      <c r="L144" s="16"/>
      <c r="M144" s="16"/>
      <c r="N144" s="18"/>
    </row>
    <row r="145" spans="1:14" ht="14" thickBot="1">
      <c r="A145" s="30" t="s">
        <v>48</v>
      </c>
      <c r="B145" s="31"/>
      <c r="C145" s="31"/>
      <c r="D145" s="31"/>
      <c r="E145" s="31"/>
      <c r="F145" s="31"/>
      <c r="G145" s="31"/>
      <c r="H145" s="31"/>
      <c r="I145" s="31"/>
      <c r="J145" s="31"/>
      <c r="K145" s="31"/>
      <c r="L145" s="31"/>
      <c r="M145" s="31"/>
      <c r="N145" s="32"/>
    </row>
    <row r="146" spans="1:14" hidden="1">
      <c r="A146" s="24" t="s">
        <v>29</v>
      </c>
      <c r="B146" s="36"/>
      <c r="C146" s="36"/>
      <c r="D146" s="36"/>
      <c r="E146" s="36"/>
      <c r="F146" s="36"/>
      <c r="G146" s="36"/>
      <c r="H146" s="36"/>
      <c r="I146" s="36"/>
      <c r="J146" s="36"/>
      <c r="K146" s="36"/>
      <c r="L146" s="36"/>
      <c r="M146" s="36"/>
      <c r="N146" s="19">
        <f t="shared" ref="N146:N152" si="23">SUM(B146:M146)</f>
        <v>0</v>
      </c>
    </row>
    <row r="147" spans="1:14">
      <c r="A147" s="24" t="s">
        <v>33</v>
      </c>
      <c r="B147" s="485">
        <v>7</v>
      </c>
      <c r="C147" s="485">
        <v>8</v>
      </c>
      <c r="D147" s="485">
        <v>7</v>
      </c>
      <c r="E147" s="485">
        <v>15</v>
      </c>
      <c r="F147" s="485">
        <v>2</v>
      </c>
      <c r="G147" s="485">
        <v>23</v>
      </c>
      <c r="H147" s="485">
        <v>11</v>
      </c>
      <c r="I147" s="485">
        <v>5</v>
      </c>
      <c r="J147" s="485">
        <v>11</v>
      </c>
      <c r="K147" s="485">
        <v>7</v>
      </c>
      <c r="L147" s="485">
        <v>11</v>
      </c>
      <c r="M147" s="485">
        <v>17</v>
      </c>
      <c r="N147" s="19">
        <f t="shared" si="23"/>
        <v>124</v>
      </c>
    </row>
    <row r="148" spans="1:14">
      <c r="A148" s="24" t="s">
        <v>56</v>
      </c>
      <c r="B148" s="485">
        <v>0</v>
      </c>
      <c r="C148" s="485">
        <v>20</v>
      </c>
      <c r="D148" s="485">
        <v>0</v>
      </c>
      <c r="E148" s="485">
        <v>0</v>
      </c>
      <c r="F148" s="485">
        <v>0</v>
      </c>
      <c r="G148" s="485">
        <v>37</v>
      </c>
      <c r="H148" s="485">
        <v>41</v>
      </c>
      <c r="I148" s="485">
        <v>0</v>
      </c>
      <c r="J148" s="485">
        <v>0</v>
      </c>
      <c r="K148" s="485">
        <v>0</v>
      </c>
      <c r="L148" s="485">
        <v>0</v>
      </c>
      <c r="M148" s="485">
        <v>0</v>
      </c>
      <c r="N148" s="19">
        <f t="shared" si="23"/>
        <v>98</v>
      </c>
    </row>
    <row r="149" spans="1:14">
      <c r="A149" s="54" t="s">
        <v>30</v>
      </c>
      <c r="B149" s="485">
        <v>1</v>
      </c>
      <c r="C149" s="485">
        <v>5</v>
      </c>
      <c r="D149" s="485">
        <v>0</v>
      </c>
      <c r="E149" s="485">
        <v>0</v>
      </c>
      <c r="F149" s="485">
        <v>1</v>
      </c>
      <c r="G149" s="485">
        <v>0</v>
      </c>
      <c r="H149" s="485">
        <v>0</v>
      </c>
      <c r="I149" s="485">
        <v>2</v>
      </c>
      <c r="J149" s="485">
        <v>0</v>
      </c>
      <c r="K149" s="485">
        <v>0</v>
      </c>
      <c r="L149" s="485">
        <v>0</v>
      </c>
      <c r="M149" s="485">
        <v>0</v>
      </c>
      <c r="N149" s="19">
        <f t="shared" si="23"/>
        <v>9</v>
      </c>
    </row>
    <row r="150" spans="1:14" hidden="1">
      <c r="A150" s="53" t="s">
        <v>123</v>
      </c>
      <c r="B150" s="485"/>
      <c r="C150" s="485"/>
      <c r="D150" s="485"/>
      <c r="E150" s="485"/>
      <c r="F150" s="485"/>
      <c r="G150" s="485"/>
      <c r="H150" s="485"/>
      <c r="I150" s="485"/>
      <c r="J150" s="485"/>
      <c r="K150" s="485"/>
      <c r="L150" s="485"/>
      <c r="M150" s="485"/>
      <c r="N150" s="19">
        <f t="shared" si="23"/>
        <v>0</v>
      </c>
    </row>
    <row r="151" spans="1:14">
      <c r="A151" s="53" t="s">
        <v>113</v>
      </c>
      <c r="B151" s="485">
        <v>0</v>
      </c>
      <c r="C151" s="485">
        <v>0</v>
      </c>
      <c r="D151" s="485">
        <v>0</v>
      </c>
      <c r="E151" s="485">
        <v>0</v>
      </c>
      <c r="F151" s="485">
        <v>0</v>
      </c>
      <c r="G151" s="485">
        <v>0</v>
      </c>
      <c r="H151" s="485">
        <v>0</v>
      </c>
      <c r="I151" s="485">
        <v>0</v>
      </c>
      <c r="J151" s="485">
        <v>0</v>
      </c>
      <c r="K151" s="485">
        <v>0</v>
      </c>
      <c r="L151" s="485">
        <v>0</v>
      </c>
      <c r="M151" s="485">
        <v>0</v>
      </c>
      <c r="N151" s="19">
        <v>4178</v>
      </c>
    </row>
    <row r="152" spans="1:14" ht="14" thickBot="1">
      <c r="A152" s="53" t="s">
        <v>114</v>
      </c>
      <c r="B152" s="485">
        <v>0</v>
      </c>
      <c r="C152" s="485">
        <v>0</v>
      </c>
      <c r="D152" s="485">
        <v>0</v>
      </c>
      <c r="E152" s="485">
        <v>0</v>
      </c>
      <c r="F152" s="485">
        <v>0</v>
      </c>
      <c r="G152" s="485">
        <v>0</v>
      </c>
      <c r="H152" s="485">
        <v>0</v>
      </c>
      <c r="I152" s="485">
        <v>0</v>
      </c>
      <c r="J152" s="485">
        <v>0</v>
      </c>
      <c r="K152" s="485">
        <v>0</v>
      </c>
      <c r="L152" s="485">
        <v>0</v>
      </c>
      <c r="M152" s="485">
        <v>0</v>
      </c>
      <c r="N152" s="19">
        <f t="shared" si="23"/>
        <v>0</v>
      </c>
    </row>
    <row r="153" spans="1:14" ht="14" thickBot="1">
      <c r="A153" s="40" t="s">
        <v>60</v>
      </c>
      <c r="B153" s="42">
        <f>SUM(B146:B152)</f>
        <v>8</v>
      </c>
      <c r="C153" s="42">
        <f t="shared" ref="C153:M153" si="24">SUM(C146:C152)</f>
        <v>33</v>
      </c>
      <c r="D153" s="42">
        <f t="shared" si="24"/>
        <v>7</v>
      </c>
      <c r="E153" s="42">
        <f t="shared" si="24"/>
        <v>15</v>
      </c>
      <c r="F153" s="42">
        <f t="shared" si="24"/>
        <v>3</v>
      </c>
      <c r="G153" s="42">
        <f t="shared" si="24"/>
        <v>60</v>
      </c>
      <c r="H153" s="42">
        <f t="shared" si="24"/>
        <v>52</v>
      </c>
      <c r="I153" s="42">
        <f t="shared" si="24"/>
        <v>7</v>
      </c>
      <c r="J153" s="42">
        <f t="shared" si="24"/>
        <v>11</v>
      </c>
      <c r="K153" s="42">
        <f t="shared" si="24"/>
        <v>7</v>
      </c>
      <c r="L153" s="42">
        <f>SUM(L146:L152)</f>
        <v>11</v>
      </c>
      <c r="M153" s="42">
        <f t="shared" si="24"/>
        <v>17</v>
      </c>
      <c r="N153" s="41">
        <f>SUM(N146:N152)</f>
        <v>4409</v>
      </c>
    </row>
    <row r="154" spans="1:14" ht="14" thickBot="1">
      <c r="A154" s="30" t="s">
        <v>49</v>
      </c>
      <c r="B154" s="31"/>
      <c r="C154" s="31"/>
      <c r="D154" s="31"/>
      <c r="E154" s="31"/>
      <c r="F154" s="31"/>
      <c r="G154" s="31"/>
      <c r="H154" s="31"/>
      <c r="I154" s="31"/>
      <c r="J154" s="31"/>
      <c r="K154" s="31"/>
      <c r="L154" s="31"/>
      <c r="M154" s="31"/>
      <c r="N154" s="32"/>
    </row>
    <row r="155" spans="1:14">
      <c r="A155" s="53" t="s">
        <v>105</v>
      </c>
      <c r="B155" s="485">
        <v>0</v>
      </c>
      <c r="C155" s="485">
        <v>0</v>
      </c>
      <c r="D155" s="485">
        <v>0</v>
      </c>
      <c r="E155" s="485">
        <v>0</v>
      </c>
      <c r="F155" s="485">
        <v>0</v>
      </c>
      <c r="G155" s="485">
        <v>0</v>
      </c>
      <c r="H155" s="485">
        <v>0</v>
      </c>
      <c r="I155" s="485">
        <v>0</v>
      </c>
      <c r="J155" s="485">
        <v>0</v>
      </c>
      <c r="K155" s="485">
        <v>0</v>
      </c>
      <c r="L155" s="485">
        <v>0</v>
      </c>
      <c r="M155" s="485">
        <v>0</v>
      </c>
      <c r="N155" s="19">
        <v>64</v>
      </c>
    </row>
    <row r="156" spans="1:14" ht="14" thickBot="1">
      <c r="A156" s="53" t="s">
        <v>120</v>
      </c>
      <c r="B156" s="485">
        <v>0</v>
      </c>
      <c r="C156" s="485">
        <v>0</v>
      </c>
      <c r="D156" s="485">
        <v>0</v>
      </c>
      <c r="E156" s="485">
        <v>0</v>
      </c>
      <c r="F156" s="485">
        <v>0</v>
      </c>
      <c r="G156" s="485">
        <v>0</v>
      </c>
      <c r="H156" s="485">
        <v>0</v>
      </c>
      <c r="I156" s="485">
        <v>0</v>
      </c>
      <c r="J156" s="485">
        <v>0</v>
      </c>
      <c r="K156" s="485">
        <v>0</v>
      </c>
      <c r="L156" s="485">
        <v>0</v>
      </c>
      <c r="M156" s="485">
        <v>0</v>
      </c>
      <c r="N156" s="19">
        <v>370</v>
      </c>
    </row>
    <row r="157" spans="1:14" ht="14" thickBot="1">
      <c r="A157" s="40" t="s">
        <v>60</v>
      </c>
      <c r="B157" s="42">
        <f>SUM(B155)</f>
        <v>0</v>
      </c>
      <c r="C157" s="42">
        <f t="shared" ref="C157:M157" si="25">SUM(C155)</f>
        <v>0</v>
      </c>
      <c r="D157" s="42">
        <f t="shared" si="25"/>
        <v>0</v>
      </c>
      <c r="E157" s="42">
        <f t="shared" si="25"/>
        <v>0</v>
      </c>
      <c r="F157" s="42">
        <f t="shared" si="25"/>
        <v>0</v>
      </c>
      <c r="G157" s="42">
        <f t="shared" si="25"/>
        <v>0</v>
      </c>
      <c r="H157" s="42">
        <f t="shared" si="25"/>
        <v>0</v>
      </c>
      <c r="I157" s="42">
        <f t="shared" si="25"/>
        <v>0</v>
      </c>
      <c r="J157" s="42">
        <f t="shared" si="25"/>
        <v>0</v>
      </c>
      <c r="K157" s="42">
        <f t="shared" si="25"/>
        <v>0</v>
      </c>
      <c r="L157" s="42">
        <f t="shared" si="25"/>
        <v>0</v>
      </c>
      <c r="M157" s="42">
        <f t="shared" si="25"/>
        <v>0</v>
      </c>
      <c r="N157" s="41">
        <f>SUM(N155:N156)</f>
        <v>434</v>
      </c>
    </row>
    <row r="158" spans="1:14" ht="14" thickBot="1">
      <c r="A158" s="30" t="s">
        <v>50</v>
      </c>
      <c r="B158" s="31"/>
      <c r="C158" s="31"/>
      <c r="D158" s="31"/>
      <c r="E158" s="31"/>
      <c r="F158" s="31"/>
      <c r="G158" s="31"/>
      <c r="H158" s="31"/>
      <c r="I158" s="31"/>
      <c r="J158" s="31"/>
      <c r="K158" s="31"/>
      <c r="L158" s="31"/>
      <c r="M158" s="31"/>
      <c r="N158" s="32"/>
    </row>
    <row r="159" spans="1:14">
      <c r="A159" s="24" t="s">
        <v>29</v>
      </c>
      <c r="B159" s="485">
        <v>0</v>
      </c>
      <c r="C159" s="485">
        <v>0</v>
      </c>
      <c r="D159" s="485">
        <v>0</v>
      </c>
      <c r="E159" s="485">
        <v>0</v>
      </c>
      <c r="F159" s="485">
        <v>0</v>
      </c>
      <c r="G159" s="485">
        <v>0</v>
      </c>
      <c r="H159" s="485">
        <v>0</v>
      </c>
      <c r="I159" s="485">
        <v>0</v>
      </c>
      <c r="J159" s="485">
        <v>0</v>
      </c>
      <c r="K159" s="485">
        <v>0</v>
      </c>
      <c r="L159" s="485">
        <v>4</v>
      </c>
      <c r="M159" s="485">
        <v>0</v>
      </c>
      <c r="N159" s="19">
        <f t="shared" ref="N159:N165" si="26">SUM(B159:M159)</f>
        <v>4</v>
      </c>
    </row>
    <row r="160" spans="1:14">
      <c r="A160" s="24" t="s">
        <v>51</v>
      </c>
      <c r="B160" s="485">
        <v>0</v>
      </c>
      <c r="C160" s="485">
        <v>0</v>
      </c>
      <c r="D160" s="485">
        <v>0</v>
      </c>
      <c r="E160" s="485">
        <v>0</v>
      </c>
      <c r="F160" s="485">
        <v>0</v>
      </c>
      <c r="G160" s="485">
        <v>0</v>
      </c>
      <c r="H160" s="485">
        <v>0</v>
      </c>
      <c r="I160" s="485">
        <v>0</v>
      </c>
      <c r="J160" s="485">
        <v>31</v>
      </c>
      <c r="K160" s="485">
        <v>9</v>
      </c>
      <c r="L160" s="485">
        <v>2</v>
      </c>
      <c r="M160" s="485">
        <v>0</v>
      </c>
      <c r="N160" s="19">
        <f t="shared" si="26"/>
        <v>42</v>
      </c>
    </row>
    <row r="161" spans="1:14">
      <c r="A161" s="26" t="s">
        <v>20</v>
      </c>
      <c r="B161" s="485">
        <v>0</v>
      </c>
      <c r="C161" s="485">
        <v>0</v>
      </c>
      <c r="D161" s="485">
        <v>0</v>
      </c>
      <c r="E161" s="485">
        <v>0</v>
      </c>
      <c r="F161" s="485">
        <v>0</v>
      </c>
      <c r="G161" s="485">
        <v>0</v>
      </c>
      <c r="H161" s="485">
        <v>0</v>
      </c>
      <c r="I161" s="485">
        <v>0</v>
      </c>
      <c r="J161" s="485">
        <v>0</v>
      </c>
      <c r="K161" s="485">
        <v>1</v>
      </c>
      <c r="L161" s="485">
        <v>0</v>
      </c>
      <c r="M161" s="485">
        <v>0</v>
      </c>
      <c r="N161" s="19">
        <f t="shared" si="26"/>
        <v>1</v>
      </c>
    </row>
    <row r="162" spans="1:14">
      <c r="A162" s="26" t="s">
        <v>13</v>
      </c>
      <c r="B162" s="485">
        <v>0</v>
      </c>
      <c r="C162" s="485">
        <v>0</v>
      </c>
      <c r="D162" s="485">
        <v>0</v>
      </c>
      <c r="E162" s="485">
        <v>0</v>
      </c>
      <c r="F162" s="485">
        <v>0</v>
      </c>
      <c r="G162" s="485">
        <v>0</v>
      </c>
      <c r="H162" s="485">
        <v>0</v>
      </c>
      <c r="I162" s="485">
        <v>0</v>
      </c>
      <c r="J162" s="485">
        <v>0</v>
      </c>
      <c r="K162" s="485">
        <v>0</v>
      </c>
      <c r="L162" s="485">
        <v>0</v>
      </c>
      <c r="M162" s="485">
        <v>0</v>
      </c>
      <c r="N162" s="19">
        <f t="shared" si="26"/>
        <v>0</v>
      </c>
    </row>
    <row r="163" spans="1:14" hidden="1">
      <c r="A163" s="27" t="s">
        <v>47</v>
      </c>
      <c r="B163" s="485">
        <v>0</v>
      </c>
      <c r="C163" s="485">
        <v>0</v>
      </c>
      <c r="D163" s="485">
        <v>0</v>
      </c>
      <c r="E163" s="485"/>
      <c r="F163" s="485"/>
      <c r="G163" s="485"/>
      <c r="H163" s="485"/>
      <c r="I163" s="485"/>
      <c r="J163" s="485"/>
      <c r="K163" s="485"/>
      <c r="L163" s="485"/>
      <c r="M163" s="485"/>
      <c r="N163" s="19">
        <f t="shared" si="26"/>
        <v>0</v>
      </c>
    </row>
    <row r="164" spans="1:14">
      <c r="A164" s="53" t="s">
        <v>30</v>
      </c>
      <c r="B164" s="485">
        <v>0</v>
      </c>
      <c r="C164" s="485">
        <v>0</v>
      </c>
      <c r="D164" s="485">
        <v>0</v>
      </c>
      <c r="E164" s="485">
        <v>1</v>
      </c>
      <c r="F164" s="485">
        <v>3</v>
      </c>
      <c r="G164" s="485">
        <v>0</v>
      </c>
      <c r="H164" s="485">
        <v>0</v>
      </c>
      <c r="I164" s="485">
        <v>0</v>
      </c>
      <c r="J164" s="485">
        <v>0</v>
      </c>
      <c r="K164" s="485">
        <v>0</v>
      </c>
      <c r="L164" s="485">
        <v>0</v>
      </c>
      <c r="M164" s="485">
        <v>1</v>
      </c>
      <c r="N164" s="19">
        <f t="shared" si="26"/>
        <v>5</v>
      </c>
    </row>
    <row r="165" spans="1:14" hidden="1">
      <c r="A165" s="53" t="s">
        <v>108</v>
      </c>
      <c r="B165" s="485">
        <v>0</v>
      </c>
      <c r="C165" s="485">
        <v>0</v>
      </c>
      <c r="D165" s="485">
        <v>0</v>
      </c>
      <c r="E165" s="485"/>
      <c r="F165" s="485"/>
      <c r="G165" s="485"/>
      <c r="H165" s="485"/>
      <c r="I165" s="485"/>
      <c r="J165" s="485"/>
      <c r="K165" s="485"/>
      <c r="L165" s="485"/>
      <c r="M165" s="485"/>
      <c r="N165" s="19">
        <f t="shared" si="26"/>
        <v>0</v>
      </c>
    </row>
    <row r="166" spans="1:14">
      <c r="A166" s="24" t="s">
        <v>56</v>
      </c>
      <c r="B166" s="485">
        <v>0</v>
      </c>
      <c r="C166" s="485">
        <v>0</v>
      </c>
      <c r="D166" s="485">
        <v>0</v>
      </c>
      <c r="E166" s="485">
        <v>0</v>
      </c>
      <c r="F166" s="485">
        <v>0</v>
      </c>
      <c r="G166" s="485">
        <v>50</v>
      </c>
      <c r="H166" s="485">
        <v>0</v>
      </c>
      <c r="I166" s="485">
        <v>0</v>
      </c>
      <c r="J166" s="485">
        <v>0</v>
      </c>
      <c r="K166" s="485">
        <v>0</v>
      </c>
      <c r="L166" s="485">
        <v>0</v>
      </c>
      <c r="M166" s="485">
        <v>700</v>
      </c>
      <c r="N166" s="19">
        <f>SUM(B166:M166)</f>
        <v>750</v>
      </c>
    </row>
    <row r="167" spans="1:14">
      <c r="A167" s="54" t="s">
        <v>89</v>
      </c>
      <c r="B167" s="485">
        <v>0</v>
      </c>
      <c r="C167" s="485">
        <v>0</v>
      </c>
      <c r="D167" s="485">
        <v>0</v>
      </c>
      <c r="E167" s="485">
        <v>0</v>
      </c>
      <c r="F167" s="485">
        <v>0</v>
      </c>
      <c r="G167" s="485">
        <v>0</v>
      </c>
      <c r="H167" s="485">
        <v>0</v>
      </c>
      <c r="I167" s="485">
        <v>0</v>
      </c>
      <c r="J167" s="485">
        <v>0</v>
      </c>
      <c r="K167" s="485">
        <v>0</v>
      </c>
      <c r="L167" s="485">
        <v>0</v>
      </c>
      <c r="M167" s="485">
        <v>0</v>
      </c>
      <c r="N167" s="19">
        <f>SUM(B167:M167)</f>
        <v>0</v>
      </c>
    </row>
    <row r="168" spans="1:14" hidden="1">
      <c r="A168" s="24" t="s">
        <v>83</v>
      </c>
      <c r="B168" s="485">
        <v>0</v>
      </c>
      <c r="C168" s="485">
        <v>0</v>
      </c>
      <c r="D168" s="485">
        <v>0</v>
      </c>
      <c r="E168" s="485"/>
      <c r="F168" s="485"/>
      <c r="G168" s="485"/>
      <c r="H168" s="485"/>
      <c r="I168" s="485"/>
      <c r="J168" s="485"/>
      <c r="K168" s="485"/>
      <c r="L168" s="485"/>
      <c r="M168" s="485"/>
      <c r="N168" s="19">
        <f>SUM(B168:M168)</f>
        <v>0</v>
      </c>
    </row>
    <row r="169" spans="1:14">
      <c r="A169" s="54" t="s">
        <v>115</v>
      </c>
      <c r="B169" s="485">
        <v>0</v>
      </c>
      <c r="C169" s="485">
        <v>0</v>
      </c>
      <c r="D169" s="485">
        <v>0</v>
      </c>
      <c r="E169" s="485">
        <v>0</v>
      </c>
      <c r="F169" s="485">
        <v>0</v>
      </c>
      <c r="G169" s="485">
        <v>0</v>
      </c>
      <c r="H169" s="485">
        <v>0</v>
      </c>
      <c r="I169" s="485">
        <v>0</v>
      </c>
      <c r="J169" s="485">
        <v>0</v>
      </c>
      <c r="K169" s="485">
        <v>0</v>
      </c>
      <c r="L169" s="485">
        <v>0</v>
      </c>
      <c r="M169" s="485">
        <v>0</v>
      </c>
      <c r="N169" s="19">
        <f>SUM(B169:M169)</f>
        <v>0</v>
      </c>
    </row>
    <row r="170" spans="1:14">
      <c r="A170" s="24" t="s">
        <v>113</v>
      </c>
      <c r="B170" s="485">
        <v>0</v>
      </c>
      <c r="C170" s="485">
        <v>0</v>
      </c>
      <c r="D170" s="485">
        <v>0</v>
      </c>
      <c r="E170" s="485">
        <v>0</v>
      </c>
      <c r="F170" s="485">
        <v>0</v>
      </c>
      <c r="G170" s="485">
        <v>0</v>
      </c>
      <c r="H170" s="485">
        <v>0</v>
      </c>
      <c r="I170" s="485">
        <v>0</v>
      </c>
      <c r="J170" s="485">
        <v>0</v>
      </c>
      <c r="K170" s="485">
        <v>0</v>
      </c>
      <c r="L170" s="485">
        <v>0</v>
      </c>
      <c r="M170" s="485">
        <v>0</v>
      </c>
      <c r="N170" s="19">
        <v>0</v>
      </c>
    </row>
    <row r="171" spans="1:14" ht="14" thickBot="1">
      <c r="A171" s="54" t="s">
        <v>124</v>
      </c>
      <c r="B171" s="485">
        <v>0</v>
      </c>
      <c r="C171" s="485">
        <v>0</v>
      </c>
      <c r="D171" s="485">
        <v>0</v>
      </c>
      <c r="E171" s="485">
        <v>0</v>
      </c>
      <c r="F171" s="485">
        <v>0</v>
      </c>
      <c r="G171" s="485">
        <v>0</v>
      </c>
      <c r="H171" s="485">
        <v>0</v>
      </c>
      <c r="I171" s="485">
        <v>0</v>
      </c>
      <c r="J171" s="485">
        <v>0</v>
      </c>
      <c r="K171" s="485">
        <v>0</v>
      </c>
      <c r="L171" s="485">
        <v>0</v>
      </c>
      <c r="M171" s="485">
        <v>0</v>
      </c>
      <c r="N171" s="19">
        <f>SUM(B171:M171)</f>
        <v>0</v>
      </c>
    </row>
    <row r="172" spans="1:14" ht="14" thickBot="1">
      <c r="A172" s="40" t="s">
        <v>60</v>
      </c>
      <c r="B172" s="42">
        <f>SUM(B159:B171)</f>
        <v>0</v>
      </c>
      <c r="C172" s="42">
        <f t="shared" ref="C172:K172" si="27">SUM(C159:C171)</f>
        <v>0</v>
      </c>
      <c r="D172" s="42">
        <f t="shared" si="27"/>
        <v>0</v>
      </c>
      <c r="E172" s="42">
        <f t="shared" si="27"/>
        <v>1</v>
      </c>
      <c r="F172" s="42">
        <f t="shared" si="27"/>
        <v>3</v>
      </c>
      <c r="G172" s="42">
        <f t="shared" si="27"/>
        <v>50</v>
      </c>
      <c r="H172" s="42">
        <f t="shared" si="27"/>
        <v>0</v>
      </c>
      <c r="I172" s="42">
        <f t="shared" si="27"/>
        <v>0</v>
      </c>
      <c r="J172" s="42">
        <f t="shared" si="27"/>
        <v>31</v>
      </c>
      <c r="K172" s="42">
        <f t="shared" si="27"/>
        <v>10</v>
      </c>
      <c r="L172" s="42">
        <f>SUM(L159:L171)</f>
        <v>6</v>
      </c>
      <c r="M172" s="42">
        <f>SUM(M159:M171)</f>
        <v>701</v>
      </c>
      <c r="N172" s="41">
        <f>SUM(N159:N171)</f>
        <v>802</v>
      </c>
    </row>
    <row r="175" spans="1:14" ht="14" thickBot="1">
      <c r="B175" s="35" t="s">
        <v>35</v>
      </c>
      <c r="C175" s="35" t="s">
        <v>36</v>
      </c>
      <c r="D175" s="35" t="s">
        <v>37</v>
      </c>
      <c r="E175" s="35" t="s">
        <v>38</v>
      </c>
      <c r="F175" s="35" t="s">
        <v>39</v>
      </c>
      <c r="G175" s="35" t="s">
        <v>40</v>
      </c>
      <c r="H175" s="35" t="s">
        <v>41</v>
      </c>
      <c r="I175" s="35" t="s">
        <v>42</v>
      </c>
      <c r="J175" s="35" t="s">
        <v>43</v>
      </c>
      <c r="K175" s="35" t="s">
        <v>44</v>
      </c>
      <c r="L175" s="35" t="s">
        <v>45</v>
      </c>
      <c r="M175" s="35" t="s">
        <v>46</v>
      </c>
      <c r="N175" s="35" t="s">
        <v>10</v>
      </c>
    </row>
    <row r="176" spans="1:14" ht="17" thickBot="1">
      <c r="A176" s="23" t="s">
        <v>126</v>
      </c>
      <c r="B176" s="16"/>
      <c r="C176" s="16"/>
      <c r="D176" s="15"/>
      <c r="E176" s="15"/>
      <c r="F176" s="17"/>
      <c r="G176" s="17"/>
      <c r="H176" s="15"/>
      <c r="I176" s="15"/>
      <c r="J176" s="15"/>
      <c r="K176" s="15"/>
      <c r="L176" s="16"/>
      <c r="M176" s="16"/>
      <c r="N176" s="18"/>
    </row>
    <row r="177" spans="1:14" ht="14" thickBot="1">
      <c r="A177" s="30" t="s">
        <v>129</v>
      </c>
      <c r="B177" s="31"/>
      <c r="C177" s="31"/>
      <c r="D177" s="31"/>
      <c r="E177" s="31"/>
      <c r="F177" s="31"/>
      <c r="G177" s="31"/>
      <c r="H177" s="31"/>
      <c r="I177" s="31"/>
      <c r="J177" s="31"/>
      <c r="K177" s="31"/>
      <c r="L177" s="31"/>
      <c r="M177" s="31"/>
      <c r="N177" s="32"/>
    </row>
    <row r="178" spans="1:14">
      <c r="A178" s="24" t="s">
        <v>29</v>
      </c>
      <c r="B178" s="485">
        <v>0</v>
      </c>
      <c r="C178" s="485">
        <v>0</v>
      </c>
      <c r="D178" s="485">
        <v>0</v>
      </c>
      <c r="E178" s="485">
        <v>0</v>
      </c>
      <c r="F178" s="485">
        <v>0</v>
      </c>
      <c r="G178" s="485">
        <v>0</v>
      </c>
      <c r="H178" s="485">
        <v>0</v>
      </c>
      <c r="I178" s="485">
        <v>0</v>
      </c>
      <c r="J178" s="485">
        <v>0</v>
      </c>
      <c r="K178" s="485">
        <v>0</v>
      </c>
      <c r="L178" s="485">
        <v>0</v>
      </c>
      <c r="M178" s="485">
        <v>0</v>
      </c>
      <c r="N178" s="19">
        <f t="shared" ref="N178:N185" si="28">SUM(B178:M178)</f>
        <v>0</v>
      </c>
    </row>
    <row r="179" spans="1:14">
      <c r="A179" s="24" t="s">
        <v>33</v>
      </c>
      <c r="B179" s="485">
        <v>0</v>
      </c>
      <c r="C179" s="485">
        <v>8</v>
      </c>
      <c r="D179" s="485">
        <v>7</v>
      </c>
      <c r="E179" s="485">
        <v>1</v>
      </c>
      <c r="F179" s="485">
        <v>10</v>
      </c>
      <c r="G179" s="485">
        <v>8</v>
      </c>
      <c r="H179" s="485">
        <v>7</v>
      </c>
      <c r="I179" s="485">
        <v>10</v>
      </c>
      <c r="J179" s="485">
        <v>18</v>
      </c>
      <c r="K179" s="485">
        <v>10</v>
      </c>
      <c r="L179" s="485">
        <v>6</v>
      </c>
      <c r="M179" s="485">
        <v>11</v>
      </c>
      <c r="N179" s="19">
        <f t="shared" si="28"/>
        <v>96</v>
      </c>
    </row>
    <row r="180" spans="1:14">
      <c r="A180" s="24" t="s">
        <v>56</v>
      </c>
      <c r="B180" s="485">
        <v>0</v>
      </c>
      <c r="C180" s="485">
        <v>0</v>
      </c>
      <c r="D180" s="485">
        <v>0</v>
      </c>
      <c r="E180" s="485">
        <v>0</v>
      </c>
      <c r="F180" s="485">
        <v>0</v>
      </c>
      <c r="G180" s="485">
        <v>0</v>
      </c>
      <c r="H180" s="485">
        <v>0</v>
      </c>
      <c r="I180" s="485">
        <v>0</v>
      </c>
      <c r="J180" s="485">
        <v>0</v>
      </c>
      <c r="K180" s="485">
        <v>0</v>
      </c>
      <c r="L180" s="485">
        <v>0</v>
      </c>
      <c r="M180" s="485">
        <v>0</v>
      </c>
      <c r="N180" s="19">
        <f t="shared" si="28"/>
        <v>0</v>
      </c>
    </row>
    <row r="181" spans="1:14" ht="14" thickBot="1">
      <c r="A181" s="54" t="s">
        <v>30</v>
      </c>
      <c r="B181" s="485">
        <v>0</v>
      </c>
      <c r="C181" s="485">
        <v>0</v>
      </c>
      <c r="D181" s="485">
        <v>0</v>
      </c>
      <c r="E181" s="485">
        <v>0</v>
      </c>
      <c r="F181" s="485">
        <v>0</v>
      </c>
      <c r="G181" s="485">
        <v>0</v>
      </c>
      <c r="H181" s="485">
        <v>0</v>
      </c>
      <c r="I181" s="485">
        <v>0</v>
      </c>
      <c r="J181" s="485">
        <v>2</v>
      </c>
      <c r="K181" s="485">
        <v>0</v>
      </c>
      <c r="L181" s="485">
        <v>0</v>
      </c>
      <c r="M181" s="485">
        <v>0</v>
      </c>
      <c r="N181" s="19">
        <f t="shared" si="28"/>
        <v>2</v>
      </c>
    </row>
    <row r="182" spans="1:14" ht="14" hidden="1" thickBot="1">
      <c r="A182" s="53" t="s">
        <v>123</v>
      </c>
      <c r="B182" s="36"/>
      <c r="C182" s="36"/>
      <c r="D182" s="36"/>
      <c r="E182" s="36"/>
      <c r="F182" s="36"/>
      <c r="G182" s="36"/>
      <c r="H182" s="36"/>
      <c r="I182" s="36"/>
      <c r="J182" s="36"/>
      <c r="K182" s="36"/>
      <c r="L182" s="36"/>
      <c r="M182" s="36"/>
      <c r="N182" s="19">
        <f t="shared" si="28"/>
        <v>0</v>
      </c>
    </row>
    <row r="183" spans="1:14" ht="14" thickBot="1">
      <c r="A183" s="30" t="s">
        <v>130</v>
      </c>
      <c r="B183" s="137"/>
      <c r="C183" s="137"/>
      <c r="D183" s="137"/>
      <c r="E183" s="137"/>
      <c r="F183" s="137"/>
      <c r="G183" s="137"/>
      <c r="H183" s="137"/>
      <c r="I183" s="137"/>
      <c r="J183" s="137"/>
      <c r="K183" s="137"/>
      <c r="L183" s="137"/>
      <c r="M183" s="137"/>
      <c r="N183" s="32"/>
    </row>
    <row r="184" spans="1:14">
      <c r="A184" s="53" t="s">
        <v>113</v>
      </c>
      <c r="B184" s="485">
        <v>0</v>
      </c>
      <c r="C184" s="485">
        <v>0</v>
      </c>
      <c r="D184" s="485">
        <v>0</v>
      </c>
      <c r="E184" s="485">
        <v>0</v>
      </c>
      <c r="F184" s="485">
        <v>0</v>
      </c>
      <c r="G184" s="485">
        <v>0</v>
      </c>
      <c r="H184" s="485">
        <v>0</v>
      </c>
      <c r="I184" s="485">
        <v>0</v>
      </c>
      <c r="J184" s="485">
        <v>0</v>
      </c>
      <c r="K184" s="485">
        <v>0</v>
      </c>
      <c r="L184" s="485">
        <v>0</v>
      </c>
      <c r="M184" s="485">
        <v>1508</v>
      </c>
      <c r="N184" s="19">
        <f>SUM(B184:M184)</f>
        <v>1508</v>
      </c>
    </row>
    <row r="185" spans="1:14">
      <c r="A185" s="53" t="s">
        <v>114</v>
      </c>
      <c r="B185" s="485">
        <v>0</v>
      </c>
      <c r="C185" s="485">
        <v>0</v>
      </c>
      <c r="D185" s="485">
        <v>0</v>
      </c>
      <c r="E185" s="485">
        <v>0</v>
      </c>
      <c r="F185" s="485">
        <v>0</v>
      </c>
      <c r="G185" s="485">
        <v>0</v>
      </c>
      <c r="H185" s="485">
        <v>0</v>
      </c>
      <c r="I185" s="485">
        <v>6</v>
      </c>
      <c r="J185" s="485">
        <v>1</v>
      </c>
      <c r="K185" s="485">
        <v>2</v>
      </c>
      <c r="L185" s="485">
        <v>6</v>
      </c>
      <c r="M185" s="485">
        <v>12</v>
      </c>
      <c r="N185" s="19">
        <f t="shared" si="28"/>
        <v>27</v>
      </c>
    </row>
    <row r="186" spans="1:14" ht="14" thickBot="1">
      <c r="A186" s="53" t="s">
        <v>133</v>
      </c>
      <c r="B186" s="485">
        <v>0</v>
      </c>
      <c r="C186" s="485">
        <v>0</v>
      </c>
      <c r="D186" s="485">
        <v>0</v>
      </c>
      <c r="E186" s="485">
        <v>0</v>
      </c>
      <c r="F186" s="485">
        <v>0</v>
      </c>
      <c r="G186" s="485">
        <v>0</v>
      </c>
      <c r="H186" s="485">
        <v>0</v>
      </c>
      <c r="I186" s="485">
        <v>0</v>
      </c>
      <c r="J186" s="485">
        <v>0</v>
      </c>
      <c r="K186" s="485">
        <v>0</v>
      </c>
      <c r="L186" s="485">
        <v>0</v>
      </c>
      <c r="M186" s="485">
        <v>0</v>
      </c>
      <c r="N186" s="19">
        <f>SUM(B186:M186)</f>
        <v>0</v>
      </c>
    </row>
    <row r="187" spans="1:14" ht="14" thickBot="1">
      <c r="A187" s="40" t="s">
        <v>60</v>
      </c>
      <c r="B187" s="42">
        <f t="shared" ref="B187:L187" si="29">SUM(B178:B186)</f>
        <v>0</v>
      </c>
      <c r="C187" s="42">
        <f t="shared" si="29"/>
        <v>8</v>
      </c>
      <c r="D187" s="42">
        <f t="shared" si="29"/>
        <v>7</v>
      </c>
      <c r="E187" s="42">
        <f t="shared" si="29"/>
        <v>1</v>
      </c>
      <c r="F187" s="42">
        <f t="shared" si="29"/>
        <v>10</v>
      </c>
      <c r="G187" s="42">
        <f t="shared" si="29"/>
        <v>8</v>
      </c>
      <c r="H187" s="42">
        <f t="shared" si="29"/>
        <v>7</v>
      </c>
      <c r="I187" s="42">
        <f t="shared" si="29"/>
        <v>16</v>
      </c>
      <c r="J187" s="42">
        <f t="shared" si="29"/>
        <v>21</v>
      </c>
      <c r="K187" s="42">
        <f t="shared" si="29"/>
        <v>12</v>
      </c>
      <c r="L187" s="42">
        <f t="shared" si="29"/>
        <v>12</v>
      </c>
      <c r="M187" s="42">
        <f>SUM(M178:M186)</f>
        <v>1531</v>
      </c>
      <c r="N187" s="41">
        <f>SUM(N178:N186)</f>
        <v>1633</v>
      </c>
    </row>
    <row r="188" spans="1:14" ht="14" thickBot="1">
      <c r="A188" s="30" t="s">
        <v>131</v>
      </c>
      <c r="B188" s="137"/>
      <c r="C188" s="137"/>
      <c r="D188" s="137"/>
      <c r="E188" s="137"/>
      <c r="F188" s="137"/>
      <c r="G188" s="137"/>
      <c r="H188" s="137"/>
      <c r="I188" s="137"/>
      <c r="J188" s="137"/>
      <c r="K188" s="137"/>
      <c r="L188" s="137"/>
      <c r="M188" s="137"/>
      <c r="N188" s="32"/>
    </row>
    <row r="189" spans="1:14">
      <c r="A189" s="53" t="s">
        <v>105</v>
      </c>
      <c r="B189" s="485">
        <v>28</v>
      </c>
      <c r="C189" s="485">
        <v>0</v>
      </c>
      <c r="D189" s="485">
        <v>0</v>
      </c>
      <c r="E189" s="485">
        <v>0</v>
      </c>
      <c r="F189" s="485">
        <v>0</v>
      </c>
      <c r="G189" s="485">
        <v>0</v>
      </c>
      <c r="H189" s="485">
        <v>0</v>
      </c>
      <c r="I189" s="485">
        <v>0</v>
      </c>
      <c r="J189" s="485">
        <v>2</v>
      </c>
      <c r="K189" s="485">
        <v>2</v>
      </c>
      <c r="L189" s="485">
        <v>2</v>
      </c>
      <c r="M189" s="485">
        <v>0</v>
      </c>
      <c r="N189" s="19">
        <f>SUM(B189:M189)</f>
        <v>34</v>
      </c>
    </row>
    <row r="190" spans="1:14" ht="14" thickBot="1">
      <c r="A190" s="53" t="s">
        <v>120</v>
      </c>
      <c r="B190" s="485">
        <v>26</v>
      </c>
      <c r="C190" s="485">
        <v>28</v>
      </c>
      <c r="D190" s="485">
        <v>40</v>
      </c>
      <c r="E190" s="485">
        <v>24</v>
      </c>
      <c r="F190" s="485">
        <v>41</v>
      </c>
      <c r="G190" s="485">
        <v>9</v>
      </c>
      <c r="H190" s="485">
        <v>28</v>
      </c>
      <c r="I190" s="485">
        <v>11</v>
      </c>
      <c r="J190" s="485">
        <v>9</v>
      </c>
      <c r="K190" s="485">
        <v>8</v>
      </c>
      <c r="L190" s="485">
        <v>2</v>
      </c>
      <c r="M190" s="485">
        <v>0</v>
      </c>
      <c r="N190" s="19">
        <f>SUM(B190:M190)</f>
        <v>226</v>
      </c>
    </row>
    <row r="191" spans="1:14" ht="14" thickBot="1">
      <c r="A191" s="40" t="s">
        <v>60</v>
      </c>
      <c r="B191" s="42">
        <f t="shared" ref="B191:L191" si="30">SUM(B189:B190)</f>
        <v>54</v>
      </c>
      <c r="C191" s="42">
        <f t="shared" si="30"/>
        <v>28</v>
      </c>
      <c r="D191" s="42">
        <f t="shared" si="30"/>
        <v>40</v>
      </c>
      <c r="E191" s="42">
        <f t="shared" si="30"/>
        <v>24</v>
      </c>
      <c r="F191" s="42">
        <f t="shared" si="30"/>
        <v>41</v>
      </c>
      <c r="G191" s="42">
        <f t="shared" si="30"/>
        <v>9</v>
      </c>
      <c r="H191" s="42">
        <f t="shared" si="30"/>
        <v>28</v>
      </c>
      <c r="I191" s="42">
        <f t="shared" si="30"/>
        <v>11</v>
      </c>
      <c r="J191" s="42">
        <f t="shared" si="30"/>
        <v>11</v>
      </c>
      <c r="K191" s="42">
        <f t="shared" si="30"/>
        <v>10</v>
      </c>
      <c r="L191" s="42">
        <f t="shared" si="30"/>
        <v>4</v>
      </c>
      <c r="M191" s="42">
        <f>SUM(M189:M190)</f>
        <v>0</v>
      </c>
      <c r="N191" s="41">
        <f>SUM(N189:N190)</f>
        <v>260</v>
      </c>
    </row>
    <row r="192" spans="1:14" ht="14" thickBot="1">
      <c r="A192" s="30" t="s">
        <v>134</v>
      </c>
      <c r="B192" s="31"/>
      <c r="C192" s="31"/>
      <c r="D192" s="31"/>
      <c r="E192" s="31"/>
      <c r="F192" s="31"/>
      <c r="G192" s="31"/>
      <c r="H192" s="31"/>
      <c r="I192" s="31"/>
      <c r="J192" s="31"/>
      <c r="K192" s="31"/>
      <c r="L192" s="31"/>
      <c r="M192" s="31"/>
      <c r="N192" s="32"/>
    </row>
    <row r="193" spans="1:14">
      <c r="A193" s="24" t="s">
        <v>29</v>
      </c>
      <c r="B193" s="485">
        <v>0</v>
      </c>
      <c r="C193" s="485">
        <v>0</v>
      </c>
      <c r="D193" s="485">
        <v>0</v>
      </c>
      <c r="E193" s="485">
        <v>0</v>
      </c>
      <c r="F193" s="485">
        <v>0</v>
      </c>
      <c r="G193" s="485">
        <v>0</v>
      </c>
      <c r="H193" s="485">
        <v>0</v>
      </c>
      <c r="I193" s="485">
        <v>0</v>
      </c>
      <c r="J193" s="485">
        <v>0</v>
      </c>
      <c r="K193" s="485">
        <v>0</v>
      </c>
      <c r="L193" s="485">
        <v>0</v>
      </c>
      <c r="M193" s="485">
        <v>0</v>
      </c>
      <c r="N193" s="19">
        <f t="shared" ref="N193:N199" si="31">SUM(B193:M193)</f>
        <v>0</v>
      </c>
    </row>
    <row r="194" spans="1:14">
      <c r="A194" s="24" t="s">
        <v>51</v>
      </c>
      <c r="B194" s="485">
        <v>0</v>
      </c>
      <c r="C194" s="485">
        <v>0</v>
      </c>
      <c r="D194" s="485">
        <v>0</v>
      </c>
      <c r="E194" s="485">
        <v>0</v>
      </c>
      <c r="F194" s="485">
        <v>0</v>
      </c>
      <c r="G194" s="485">
        <v>0</v>
      </c>
      <c r="H194" s="485">
        <v>0</v>
      </c>
      <c r="I194" s="485">
        <v>0</v>
      </c>
      <c r="J194" s="485">
        <v>0</v>
      </c>
      <c r="K194" s="485">
        <v>0</v>
      </c>
      <c r="L194" s="485">
        <v>0</v>
      </c>
      <c r="M194" s="485">
        <v>0</v>
      </c>
      <c r="N194" s="19">
        <f t="shared" si="31"/>
        <v>0</v>
      </c>
    </row>
    <row r="195" spans="1:14">
      <c r="A195" s="26" t="s">
        <v>140</v>
      </c>
      <c r="B195" s="485">
        <v>2</v>
      </c>
      <c r="C195" s="485">
        <v>0</v>
      </c>
      <c r="D195" s="485">
        <v>2</v>
      </c>
      <c r="E195" s="485">
        <v>0</v>
      </c>
      <c r="F195" s="485">
        <v>0</v>
      </c>
      <c r="G195" s="485">
        <v>0</v>
      </c>
      <c r="H195" s="485">
        <v>0</v>
      </c>
      <c r="I195" s="485">
        <v>0</v>
      </c>
      <c r="J195" s="485">
        <v>0</v>
      </c>
      <c r="K195" s="485">
        <v>0</v>
      </c>
      <c r="L195" s="485">
        <v>0</v>
      </c>
      <c r="M195" s="485">
        <v>0</v>
      </c>
      <c r="N195" s="19">
        <f t="shared" si="31"/>
        <v>4</v>
      </c>
    </row>
    <row r="196" spans="1:14">
      <c r="A196" s="26" t="s">
        <v>13</v>
      </c>
      <c r="B196" s="485">
        <v>0</v>
      </c>
      <c r="C196" s="485">
        <v>0</v>
      </c>
      <c r="D196" s="485">
        <v>0</v>
      </c>
      <c r="E196" s="485">
        <v>0</v>
      </c>
      <c r="F196" s="485">
        <v>0</v>
      </c>
      <c r="G196" s="485">
        <v>0</v>
      </c>
      <c r="H196" s="485">
        <v>0</v>
      </c>
      <c r="I196" s="485">
        <v>0</v>
      </c>
      <c r="J196" s="485">
        <v>0</v>
      </c>
      <c r="K196" s="485">
        <v>0</v>
      </c>
      <c r="L196" s="485">
        <v>0</v>
      </c>
      <c r="M196" s="485">
        <v>0</v>
      </c>
      <c r="N196" s="19">
        <f t="shared" si="31"/>
        <v>0</v>
      </c>
    </row>
    <row r="197" spans="1:14" hidden="1">
      <c r="A197" s="27" t="s">
        <v>47</v>
      </c>
      <c r="B197" s="485"/>
      <c r="C197" s="485">
        <v>0</v>
      </c>
      <c r="D197" s="485"/>
      <c r="E197" s="485"/>
      <c r="F197" s="485"/>
      <c r="G197" s="485"/>
      <c r="H197" s="485"/>
      <c r="I197" s="485"/>
      <c r="J197" s="485"/>
      <c r="K197" s="485"/>
      <c r="L197" s="485">
        <v>0</v>
      </c>
      <c r="M197" s="485">
        <v>0</v>
      </c>
      <c r="N197" s="19">
        <f t="shared" si="31"/>
        <v>0</v>
      </c>
    </row>
    <row r="198" spans="1:14">
      <c r="A198" s="53" t="s">
        <v>30</v>
      </c>
      <c r="B198" s="485">
        <v>1</v>
      </c>
      <c r="C198" s="485">
        <v>0</v>
      </c>
      <c r="D198" s="485">
        <v>1</v>
      </c>
      <c r="E198" s="485">
        <v>0</v>
      </c>
      <c r="F198" s="485">
        <v>0</v>
      </c>
      <c r="G198" s="485">
        <v>0</v>
      </c>
      <c r="H198" s="485">
        <v>0</v>
      </c>
      <c r="I198" s="485">
        <v>0</v>
      </c>
      <c r="J198" s="485">
        <v>0</v>
      </c>
      <c r="K198" s="485">
        <v>0</v>
      </c>
      <c r="L198" s="485">
        <v>0</v>
      </c>
      <c r="M198" s="485">
        <v>0</v>
      </c>
      <c r="N198" s="19">
        <f t="shared" si="31"/>
        <v>2</v>
      </c>
    </row>
    <row r="199" spans="1:14" hidden="1">
      <c r="A199" s="53" t="s">
        <v>108</v>
      </c>
      <c r="B199" s="485"/>
      <c r="C199" s="485">
        <v>0</v>
      </c>
      <c r="D199" s="485"/>
      <c r="E199" s="485"/>
      <c r="F199" s="485">
        <v>0</v>
      </c>
      <c r="G199" s="485"/>
      <c r="H199" s="485"/>
      <c r="I199" s="485"/>
      <c r="J199" s="485"/>
      <c r="K199" s="485"/>
      <c r="L199" s="485">
        <v>0</v>
      </c>
      <c r="M199" s="485">
        <v>0</v>
      </c>
      <c r="N199" s="19">
        <f t="shared" si="31"/>
        <v>0</v>
      </c>
    </row>
    <row r="200" spans="1:14">
      <c r="A200" s="24" t="s">
        <v>56</v>
      </c>
      <c r="B200" s="485">
        <v>4</v>
      </c>
      <c r="C200" s="485">
        <v>0</v>
      </c>
      <c r="D200" s="485">
        <v>1</v>
      </c>
      <c r="E200" s="485">
        <v>1</v>
      </c>
      <c r="F200" s="485">
        <v>0</v>
      </c>
      <c r="G200" s="485">
        <v>0</v>
      </c>
      <c r="H200" s="485">
        <v>0</v>
      </c>
      <c r="I200" s="485">
        <v>0</v>
      </c>
      <c r="J200" s="485">
        <v>0</v>
      </c>
      <c r="K200" s="485">
        <v>0</v>
      </c>
      <c r="L200" s="485">
        <v>0</v>
      </c>
      <c r="M200" s="485">
        <v>0</v>
      </c>
      <c r="N200" s="19">
        <f t="shared" ref="N200:N205" si="32">SUM(B200:M200)</f>
        <v>6</v>
      </c>
    </row>
    <row r="201" spans="1:14">
      <c r="A201" s="54" t="s">
        <v>89</v>
      </c>
      <c r="B201" s="485">
        <v>0</v>
      </c>
      <c r="C201" s="485">
        <v>0</v>
      </c>
      <c r="D201" s="485">
        <v>0</v>
      </c>
      <c r="E201" s="485">
        <v>0</v>
      </c>
      <c r="F201" s="485">
        <v>0</v>
      </c>
      <c r="G201" s="485">
        <v>0</v>
      </c>
      <c r="H201" s="485">
        <v>0</v>
      </c>
      <c r="I201" s="485">
        <v>0</v>
      </c>
      <c r="J201" s="485">
        <v>0</v>
      </c>
      <c r="K201" s="485">
        <v>0</v>
      </c>
      <c r="L201" s="485">
        <v>0</v>
      </c>
      <c r="M201" s="485">
        <v>0</v>
      </c>
      <c r="N201" s="19">
        <f t="shared" si="32"/>
        <v>0</v>
      </c>
    </row>
    <row r="202" spans="1:14" hidden="1">
      <c r="A202" s="24" t="s">
        <v>83</v>
      </c>
      <c r="B202" s="485"/>
      <c r="C202" s="485"/>
      <c r="D202" s="485"/>
      <c r="E202" s="485"/>
      <c r="F202" s="485"/>
      <c r="G202" s="485"/>
      <c r="H202" s="485"/>
      <c r="I202" s="485"/>
      <c r="J202" s="485"/>
      <c r="K202" s="485">
        <v>0</v>
      </c>
      <c r="L202" s="485">
        <v>0</v>
      </c>
      <c r="M202" s="485">
        <v>0</v>
      </c>
      <c r="N202" s="19">
        <f t="shared" si="32"/>
        <v>0</v>
      </c>
    </row>
    <row r="203" spans="1:14">
      <c r="A203" s="54" t="s">
        <v>124</v>
      </c>
      <c r="B203" s="485">
        <v>0</v>
      </c>
      <c r="C203" s="485">
        <v>0</v>
      </c>
      <c r="D203" s="485">
        <v>0</v>
      </c>
      <c r="E203" s="485">
        <v>0</v>
      </c>
      <c r="F203" s="485">
        <v>0</v>
      </c>
      <c r="G203" s="485">
        <v>0</v>
      </c>
      <c r="H203" s="485">
        <v>0</v>
      </c>
      <c r="I203" s="485">
        <v>0</v>
      </c>
      <c r="J203" s="485">
        <v>0</v>
      </c>
      <c r="K203" s="485">
        <v>0</v>
      </c>
      <c r="L203" s="485">
        <v>0</v>
      </c>
      <c r="M203" s="485">
        <v>0</v>
      </c>
      <c r="N203" s="19">
        <f t="shared" si="32"/>
        <v>0</v>
      </c>
    </row>
    <row r="204" spans="1:14">
      <c r="A204" s="54" t="s">
        <v>127</v>
      </c>
      <c r="B204" s="485">
        <v>0</v>
      </c>
      <c r="C204" s="485">
        <v>0</v>
      </c>
      <c r="D204" s="485">
        <v>0</v>
      </c>
      <c r="E204" s="485">
        <v>0</v>
      </c>
      <c r="F204" s="485">
        <v>0</v>
      </c>
      <c r="G204" s="485">
        <v>0</v>
      </c>
      <c r="H204" s="485">
        <v>0</v>
      </c>
      <c r="I204" s="485">
        <v>0</v>
      </c>
      <c r="J204" s="485">
        <v>0</v>
      </c>
      <c r="K204" s="485">
        <v>1</v>
      </c>
      <c r="L204" s="485">
        <v>0</v>
      </c>
      <c r="M204" s="485">
        <v>0</v>
      </c>
      <c r="N204" s="19">
        <f t="shared" si="32"/>
        <v>1</v>
      </c>
    </row>
    <row r="205" spans="1:14" ht="14" thickBot="1">
      <c r="A205" s="54" t="s">
        <v>128</v>
      </c>
      <c r="B205" s="485">
        <v>0</v>
      </c>
      <c r="C205" s="485">
        <v>0</v>
      </c>
      <c r="D205" s="485">
        <v>0</v>
      </c>
      <c r="E205" s="485">
        <v>0</v>
      </c>
      <c r="F205" s="485">
        <v>0</v>
      </c>
      <c r="G205" s="485">
        <v>0</v>
      </c>
      <c r="H205" s="485">
        <v>0</v>
      </c>
      <c r="I205" s="485">
        <v>0</v>
      </c>
      <c r="J205" s="485">
        <v>0</v>
      </c>
      <c r="K205" s="485">
        <v>0</v>
      </c>
      <c r="L205" s="485">
        <v>0</v>
      </c>
      <c r="M205" s="485">
        <v>0</v>
      </c>
      <c r="N205" s="19">
        <f t="shared" si="32"/>
        <v>0</v>
      </c>
    </row>
    <row r="206" spans="1:14" ht="14" thickBot="1">
      <c r="A206" s="30" t="s">
        <v>132</v>
      </c>
      <c r="B206" s="31"/>
      <c r="C206" s="31"/>
      <c r="D206" s="31"/>
      <c r="E206" s="31"/>
      <c r="F206" s="31"/>
      <c r="G206" s="31"/>
      <c r="H206" s="31"/>
      <c r="I206" s="31"/>
      <c r="J206" s="31"/>
      <c r="K206" s="31"/>
      <c r="L206" s="31"/>
      <c r="M206" s="31"/>
      <c r="N206" s="32"/>
    </row>
    <row r="207" spans="1:14">
      <c r="A207" s="54" t="s">
        <v>115</v>
      </c>
      <c r="B207" s="485">
        <v>0</v>
      </c>
      <c r="C207" s="485">
        <v>0</v>
      </c>
      <c r="D207" s="485">
        <v>0</v>
      </c>
      <c r="E207" s="485">
        <v>0</v>
      </c>
      <c r="F207" s="485">
        <v>0</v>
      </c>
      <c r="G207" s="485">
        <v>0</v>
      </c>
      <c r="H207" s="485">
        <v>0</v>
      </c>
      <c r="I207" s="485">
        <v>0</v>
      </c>
      <c r="J207" s="485">
        <v>0</v>
      </c>
      <c r="K207" s="485">
        <v>0</v>
      </c>
      <c r="L207" s="485">
        <v>0</v>
      </c>
      <c r="M207" s="485">
        <v>0</v>
      </c>
      <c r="N207" s="19">
        <f>SUM(B207:M207)</f>
        <v>0</v>
      </c>
    </row>
    <row r="208" spans="1:14" ht="14" thickBot="1">
      <c r="A208" s="24" t="s">
        <v>113</v>
      </c>
      <c r="B208" s="485">
        <v>0</v>
      </c>
      <c r="C208" s="485">
        <v>0</v>
      </c>
      <c r="D208" s="485">
        <v>0</v>
      </c>
      <c r="E208" s="485">
        <v>0</v>
      </c>
      <c r="F208" s="485">
        <v>0</v>
      </c>
      <c r="G208" s="485">
        <v>0</v>
      </c>
      <c r="H208" s="485">
        <v>0</v>
      </c>
      <c r="I208" s="485">
        <v>0</v>
      </c>
      <c r="J208" s="485">
        <v>0</v>
      </c>
      <c r="K208" s="485">
        <v>0</v>
      </c>
      <c r="L208" s="485">
        <v>0</v>
      </c>
      <c r="M208" s="485">
        <v>6700</v>
      </c>
      <c r="N208" s="19">
        <f>SUM(B208:M208)</f>
        <v>6700</v>
      </c>
    </row>
    <row r="209" spans="1:14" ht="14" thickBot="1">
      <c r="A209" s="40" t="s">
        <v>60</v>
      </c>
      <c r="B209" s="42">
        <f t="shared" ref="B209:L209" si="33">SUM(B193:B208)</f>
        <v>7</v>
      </c>
      <c r="C209" s="42">
        <f t="shared" si="33"/>
        <v>0</v>
      </c>
      <c r="D209" s="42">
        <f t="shared" si="33"/>
        <v>4</v>
      </c>
      <c r="E209" s="42">
        <f t="shared" si="33"/>
        <v>1</v>
      </c>
      <c r="F209" s="42">
        <f t="shared" si="33"/>
        <v>0</v>
      </c>
      <c r="G209" s="42">
        <f t="shared" si="33"/>
        <v>0</v>
      </c>
      <c r="H209" s="42">
        <f t="shared" si="33"/>
        <v>0</v>
      </c>
      <c r="I209" s="42">
        <f t="shared" si="33"/>
        <v>0</v>
      </c>
      <c r="J209" s="42">
        <f t="shared" si="33"/>
        <v>0</v>
      </c>
      <c r="K209" s="42">
        <f t="shared" si="33"/>
        <v>1</v>
      </c>
      <c r="L209" s="42">
        <f t="shared" si="33"/>
        <v>0</v>
      </c>
      <c r="M209" s="42">
        <f>SUM(M193:M208)</f>
        <v>6700</v>
      </c>
      <c r="N209" s="41">
        <f>SUM(N193:N208)</f>
        <v>6713</v>
      </c>
    </row>
    <row r="212" spans="1:14" ht="14" thickBot="1">
      <c r="B212" s="35" t="s">
        <v>35</v>
      </c>
      <c r="C212" s="35" t="s">
        <v>36</v>
      </c>
      <c r="D212" s="35" t="s">
        <v>37</v>
      </c>
      <c r="E212" s="35" t="s">
        <v>38</v>
      </c>
      <c r="F212" s="35" t="s">
        <v>39</v>
      </c>
      <c r="G212" s="35" t="s">
        <v>40</v>
      </c>
      <c r="H212" s="35" t="s">
        <v>41</v>
      </c>
      <c r="I212" s="35" t="s">
        <v>42</v>
      </c>
      <c r="J212" s="35" t="s">
        <v>43</v>
      </c>
      <c r="K212" s="35" t="s">
        <v>44</v>
      </c>
      <c r="L212" s="35" t="s">
        <v>45</v>
      </c>
      <c r="M212" s="35" t="s">
        <v>46</v>
      </c>
      <c r="N212" s="35" t="s">
        <v>10</v>
      </c>
    </row>
    <row r="213" spans="1:14" ht="17" thickBot="1">
      <c r="A213" s="23" t="s">
        <v>143</v>
      </c>
      <c r="B213" s="16"/>
      <c r="C213" s="16"/>
      <c r="D213" s="15"/>
      <c r="E213" s="15"/>
      <c r="F213" s="17"/>
      <c r="G213" s="17"/>
      <c r="H213" s="15"/>
      <c r="I213" s="15"/>
      <c r="J213" s="15"/>
      <c r="K213" s="15"/>
      <c r="L213" s="16"/>
      <c r="M213" s="16"/>
      <c r="N213" s="18"/>
    </row>
    <row r="214" spans="1:14" ht="14" thickBot="1">
      <c r="A214" s="30" t="s">
        <v>129</v>
      </c>
      <c r="B214" s="31"/>
      <c r="C214" s="31"/>
      <c r="D214" s="31"/>
      <c r="E214" s="31"/>
      <c r="F214" s="31"/>
      <c r="G214" s="31"/>
      <c r="H214" s="31"/>
      <c r="I214" s="31"/>
      <c r="J214" s="31"/>
      <c r="K214" s="31"/>
      <c r="L214" s="31"/>
      <c r="M214" s="31"/>
      <c r="N214" s="32"/>
    </row>
    <row r="215" spans="1:14">
      <c r="A215" s="24" t="s">
        <v>29</v>
      </c>
      <c r="B215" s="485">
        <v>4</v>
      </c>
      <c r="C215" s="485">
        <v>0</v>
      </c>
      <c r="D215" s="485">
        <v>5</v>
      </c>
      <c r="E215" s="485">
        <v>2</v>
      </c>
      <c r="F215" s="485">
        <v>1</v>
      </c>
      <c r="G215" s="485">
        <v>3</v>
      </c>
      <c r="H215" s="485">
        <v>11</v>
      </c>
      <c r="I215" s="485">
        <v>0</v>
      </c>
      <c r="J215" s="485">
        <v>1</v>
      </c>
      <c r="K215" s="485">
        <v>8</v>
      </c>
      <c r="L215" s="485">
        <v>9</v>
      </c>
      <c r="M215" s="485">
        <v>5</v>
      </c>
      <c r="N215" s="19">
        <f>SUM(B215:M215)</f>
        <v>49</v>
      </c>
    </row>
    <row r="216" spans="1:14">
      <c r="A216" s="24" t="s">
        <v>33</v>
      </c>
      <c r="B216" s="485">
        <v>16</v>
      </c>
      <c r="C216" s="485">
        <v>9</v>
      </c>
      <c r="D216" s="485">
        <v>8</v>
      </c>
      <c r="E216" s="485">
        <v>10</v>
      </c>
      <c r="F216" s="485">
        <v>3</v>
      </c>
      <c r="G216" s="485">
        <v>7</v>
      </c>
      <c r="H216" s="485">
        <v>17</v>
      </c>
      <c r="I216" s="485">
        <v>7</v>
      </c>
      <c r="J216" s="485">
        <v>2</v>
      </c>
      <c r="K216" s="485">
        <v>22</v>
      </c>
      <c r="L216" s="485">
        <v>21</v>
      </c>
      <c r="M216" s="485">
        <v>18</v>
      </c>
      <c r="N216" s="19">
        <f>SUM(B216:M216)</f>
        <v>140</v>
      </c>
    </row>
    <row r="217" spans="1:14">
      <c r="A217" s="24" t="s">
        <v>56</v>
      </c>
      <c r="B217" s="485">
        <v>0</v>
      </c>
      <c r="C217" s="485">
        <v>0</v>
      </c>
      <c r="D217" s="485">
        <v>0</v>
      </c>
      <c r="E217" s="485">
        <v>0</v>
      </c>
      <c r="F217" s="485">
        <v>0</v>
      </c>
      <c r="G217" s="485">
        <v>0</v>
      </c>
      <c r="H217" s="485">
        <v>0</v>
      </c>
      <c r="I217" s="485">
        <v>0</v>
      </c>
      <c r="J217" s="485">
        <v>0</v>
      </c>
      <c r="K217" s="485">
        <v>0</v>
      </c>
      <c r="L217" s="485">
        <v>0</v>
      </c>
      <c r="M217" s="485">
        <v>0</v>
      </c>
      <c r="N217" s="19">
        <f>SUM(B217:M217)</f>
        <v>0</v>
      </c>
    </row>
    <row r="218" spans="1:14">
      <c r="A218" s="54" t="s">
        <v>30</v>
      </c>
      <c r="B218" s="485">
        <v>1</v>
      </c>
      <c r="C218" s="485">
        <v>1</v>
      </c>
      <c r="D218" s="485">
        <v>0</v>
      </c>
      <c r="E218" s="485">
        <v>0</v>
      </c>
      <c r="F218" s="485">
        <v>0</v>
      </c>
      <c r="G218" s="485">
        <v>0</v>
      </c>
      <c r="H218" s="485">
        <v>0</v>
      </c>
      <c r="I218" s="485">
        <v>0</v>
      </c>
      <c r="J218" s="485">
        <v>0</v>
      </c>
      <c r="K218" s="485">
        <v>0</v>
      </c>
      <c r="L218" s="485">
        <v>0</v>
      </c>
      <c r="M218" s="485">
        <v>0</v>
      </c>
      <c r="N218" s="19">
        <f>SUM(B218:M218)</f>
        <v>2</v>
      </c>
    </row>
    <row r="219" spans="1:14" hidden="1">
      <c r="A219" s="53" t="s">
        <v>123</v>
      </c>
      <c r="B219" s="485"/>
      <c r="C219" s="485"/>
      <c r="D219" s="485"/>
      <c r="E219" s="485"/>
      <c r="F219" s="485"/>
      <c r="G219" s="485"/>
      <c r="H219" s="485"/>
      <c r="I219" s="485"/>
      <c r="J219" s="485"/>
      <c r="K219" s="485"/>
      <c r="L219" s="485"/>
      <c r="M219" s="485"/>
      <c r="N219" s="19">
        <f>SUM(B219:M219)</f>
        <v>0</v>
      </c>
    </row>
    <row r="220" spans="1:14" ht="14" thickBot="1">
      <c r="A220" s="53" t="s">
        <v>145</v>
      </c>
      <c r="B220" s="485">
        <v>0</v>
      </c>
      <c r="C220" s="485">
        <v>0</v>
      </c>
      <c r="D220" s="485">
        <v>0</v>
      </c>
      <c r="E220" s="485">
        <v>0</v>
      </c>
      <c r="F220" s="485">
        <v>0</v>
      </c>
      <c r="G220" s="485">
        <v>0</v>
      </c>
      <c r="H220" s="485">
        <v>0</v>
      </c>
      <c r="I220" s="485">
        <v>0</v>
      </c>
      <c r="J220" s="485">
        <v>0</v>
      </c>
      <c r="K220" s="485">
        <v>0</v>
      </c>
      <c r="L220" s="485">
        <v>0</v>
      </c>
      <c r="M220" s="485">
        <v>0</v>
      </c>
      <c r="N220" s="19">
        <f>B220+C220+D220+E220+F220+G220+H220+I220+J220+K220+L220+M220</f>
        <v>0</v>
      </c>
    </row>
    <row r="221" spans="1:14" ht="14" thickBot="1">
      <c r="A221" s="30" t="s">
        <v>130</v>
      </c>
      <c r="B221" s="31"/>
      <c r="C221" s="31"/>
      <c r="D221" s="31"/>
      <c r="E221" s="31"/>
      <c r="F221" s="31"/>
      <c r="G221" s="31"/>
      <c r="H221" s="31"/>
      <c r="I221" s="31"/>
      <c r="J221" s="31"/>
      <c r="K221" s="31"/>
      <c r="L221" s="31"/>
      <c r="M221" s="31"/>
      <c r="N221" s="32"/>
    </row>
    <row r="222" spans="1:14">
      <c r="A222" s="53" t="s">
        <v>113</v>
      </c>
      <c r="B222" s="485">
        <v>1014</v>
      </c>
      <c r="C222" s="485">
        <v>0</v>
      </c>
      <c r="D222" s="485">
        <v>0</v>
      </c>
      <c r="E222" s="485">
        <v>0</v>
      </c>
      <c r="F222" s="485">
        <v>0</v>
      </c>
      <c r="G222" s="485">
        <v>0</v>
      </c>
      <c r="H222" s="485">
        <v>0</v>
      </c>
      <c r="I222" s="485">
        <v>0</v>
      </c>
      <c r="J222" s="485">
        <v>0</v>
      </c>
      <c r="K222" s="485">
        <v>0</v>
      </c>
      <c r="L222" s="485">
        <v>0</v>
      </c>
      <c r="M222" s="485">
        <v>0</v>
      </c>
      <c r="N222" s="19">
        <f>SUM(B222:M222)</f>
        <v>1014</v>
      </c>
    </row>
    <row r="223" spans="1:14">
      <c r="A223" s="53" t="s">
        <v>114</v>
      </c>
      <c r="B223" s="485">
        <v>0</v>
      </c>
      <c r="C223" s="485">
        <v>11</v>
      </c>
      <c r="D223" s="485">
        <v>2</v>
      </c>
      <c r="E223" s="485">
        <v>2</v>
      </c>
      <c r="F223" s="485">
        <v>11</v>
      </c>
      <c r="G223" s="485">
        <v>1</v>
      </c>
      <c r="H223" s="485">
        <v>2</v>
      </c>
      <c r="I223" s="485">
        <v>2</v>
      </c>
      <c r="J223" s="485">
        <v>0</v>
      </c>
      <c r="K223" s="485">
        <v>0</v>
      </c>
      <c r="L223" s="485">
        <v>0</v>
      </c>
      <c r="M223" s="485">
        <v>0</v>
      </c>
      <c r="N223" s="19">
        <f>SUM(B223:M223)</f>
        <v>31</v>
      </c>
    </row>
    <row r="224" spans="1:14" ht="14" thickBot="1">
      <c r="A224" s="53" t="s">
        <v>133</v>
      </c>
      <c r="B224" s="485">
        <v>0</v>
      </c>
      <c r="C224" s="485">
        <v>0</v>
      </c>
      <c r="D224" s="485">
        <v>0</v>
      </c>
      <c r="E224" s="485">
        <v>0</v>
      </c>
      <c r="F224" s="485">
        <v>3</v>
      </c>
      <c r="G224" s="485">
        <v>1</v>
      </c>
      <c r="H224" s="485">
        <v>2</v>
      </c>
      <c r="I224" s="485">
        <v>0</v>
      </c>
      <c r="J224" s="485">
        <v>1</v>
      </c>
      <c r="K224" s="485">
        <v>0</v>
      </c>
      <c r="L224" s="485">
        <v>2</v>
      </c>
      <c r="M224" s="485">
        <v>2</v>
      </c>
      <c r="N224" s="19">
        <f>SUM(B224:M224)</f>
        <v>11</v>
      </c>
    </row>
    <row r="225" spans="1:14" ht="14" thickBot="1">
      <c r="A225" s="40" t="s">
        <v>60</v>
      </c>
      <c r="B225" s="42">
        <f>SUM(B215:B224)</f>
        <v>1035</v>
      </c>
      <c r="C225" s="42">
        <f t="shared" ref="C225:L225" si="34">SUM(C215:C224)</f>
        <v>21</v>
      </c>
      <c r="D225" s="42">
        <f t="shared" si="34"/>
        <v>15</v>
      </c>
      <c r="E225" s="42">
        <f t="shared" si="34"/>
        <v>14</v>
      </c>
      <c r="F225" s="42">
        <f t="shared" si="34"/>
        <v>18</v>
      </c>
      <c r="G225" s="42">
        <f t="shared" si="34"/>
        <v>12</v>
      </c>
      <c r="H225" s="42">
        <f t="shared" si="34"/>
        <v>32</v>
      </c>
      <c r="I225" s="42">
        <f t="shared" si="34"/>
        <v>9</v>
      </c>
      <c r="J225" s="42">
        <f t="shared" si="34"/>
        <v>4</v>
      </c>
      <c r="K225" s="42">
        <f t="shared" si="34"/>
        <v>30</v>
      </c>
      <c r="L225" s="42">
        <f t="shared" si="34"/>
        <v>32</v>
      </c>
      <c r="M225" s="42">
        <f>SUM(M215:M224)</f>
        <v>25</v>
      </c>
      <c r="N225" s="41">
        <f>SUM(N215:N224)</f>
        <v>1247</v>
      </c>
    </row>
    <row r="226" spans="1:14" ht="14" hidden="1" thickBot="1">
      <c r="A226" s="30" t="s">
        <v>131</v>
      </c>
      <c r="B226" s="31"/>
      <c r="C226" s="31"/>
      <c r="D226" s="31"/>
      <c r="E226" s="31"/>
      <c r="F226" s="31"/>
      <c r="G226" s="31"/>
      <c r="H226" s="31"/>
      <c r="I226" s="31"/>
      <c r="J226" s="31"/>
      <c r="K226" s="31"/>
      <c r="L226" s="31"/>
      <c r="M226" s="31"/>
      <c r="N226" s="32"/>
    </row>
    <row r="227" spans="1:14" ht="14" hidden="1" thickBot="1">
      <c r="A227" s="53" t="s">
        <v>105</v>
      </c>
      <c r="B227" s="103"/>
      <c r="C227" s="103"/>
      <c r="D227" s="103"/>
      <c r="E227" s="103"/>
      <c r="F227" s="103"/>
      <c r="G227" s="103"/>
      <c r="H227" s="103"/>
      <c r="I227" s="103"/>
      <c r="J227" s="103"/>
      <c r="K227" s="103"/>
      <c r="L227" s="103"/>
      <c r="M227" s="103"/>
      <c r="N227" s="19">
        <f>SUM(B227:M227)</f>
        <v>0</v>
      </c>
    </row>
    <row r="228" spans="1:14" ht="14" hidden="1" thickBot="1">
      <c r="A228" s="53" t="s">
        <v>120</v>
      </c>
      <c r="B228" s="103"/>
      <c r="C228" s="103"/>
      <c r="D228" s="103"/>
      <c r="E228" s="103"/>
      <c r="F228" s="103"/>
      <c r="G228" s="103"/>
      <c r="H228" s="103"/>
      <c r="I228" s="103"/>
      <c r="J228" s="103"/>
      <c r="K228" s="103"/>
      <c r="L228" s="103"/>
      <c r="M228" s="103"/>
      <c r="N228" s="19">
        <f>SUM(B228:M228)</f>
        <v>0</v>
      </c>
    </row>
    <row r="229" spans="1:14" ht="14" hidden="1" thickBot="1">
      <c r="A229" s="40" t="s">
        <v>60</v>
      </c>
      <c r="B229" s="42">
        <f>SUM(B227:B228)</f>
        <v>0</v>
      </c>
      <c r="C229" s="42">
        <f t="shared" ref="C229:M229" si="35">SUM(C227:C228)</f>
        <v>0</v>
      </c>
      <c r="D229" s="42">
        <f t="shared" si="35"/>
        <v>0</v>
      </c>
      <c r="E229" s="42">
        <f t="shared" si="35"/>
        <v>0</v>
      </c>
      <c r="F229" s="42">
        <f t="shared" si="35"/>
        <v>0</v>
      </c>
      <c r="G229" s="42">
        <f t="shared" si="35"/>
        <v>0</v>
      </c>
      <c r="H229" s="42">
        <f t="shared" si="35"/>
        <v>0</v>
      </c>
      <c r="I229" s="42">
        <f t="shared" si="35"/>
        <v>0</v>
      </c>
      <c r="J229" s="42">
        <f t="shared" si="35"/>
        <v>0</v>
      </c>
      <c r="K229" s="42">
        <f t="shared" si="35"/>
        <v>0</v>
      </c>
      <c r="L229" s="42">
        <f t="shared" si="35"/>
        <v>0</v>
      </c>
      <c r="M229" s="42">
        <f t="shared" si="35"/>
        <v>0</v>
      </c>
      <c r="N229" s="41">
        <f>SUM(N227:N228)</f>
        <v>0</v>
      </c>
    </row>
    <row r="230" spans="1:14" ht="14" thickBot="1">
      <c r="A230" s="30" t="s">
        <v>134</v>
      </c>
      <c r="B230" s="31"/>
      <c r="C230" s="31"/>
      <c r="D230" s="31"/>
      <c r="E230" s="31"/>
      <c r="F230" s="31"/>
      <c r="G230" s="31"/>
      <c r="H230" s="31"/>
      <c r="I230" s="31"/>
      <c r="J230" s="31"/>
      <c r="K230" s="31"/>
      <c r="L230" s="31"/>
      <c r="M230" s="31"/>
      <c r="N230" s="32"/>
    </row>
    <row r="231" spans="1:14">
      <c r="A231" s="24" t="s">
        <v>29</v>
      </c>
      <c r="B231" s="485">
        <v>0</v>
      </c>
      <c r="C231" s="485">
        <v>0</v>
      </c>
      <c r="D231" s="485">
        <v>0</v>
      </c>
      <c r="E231" s="485">
        <v>0</v>
      </c>
      <c r="F231" s="485">
        <v>0</v>
      </c>
      <c r="G231" s="485">
        <v>97</v>
      </c>
      <c r="H231" s="485">
        <v>0</v>
      </c>
      <c r="I231" s="485">
        <v>0</v>
      </c>
      <c r="J231" s="485">
        <v>0</v>
      </c>
      <c r="K231" s="485">
        <v>0</v>
      </c>
      <c r="L231" s="485">
        <v>0</v>
      </c>
      <c r="M231" s="485">
        <v>0</v>
      </c>
      <c r="N231" s="19">
        <f t="shared" ref="N231:N237" si="36">SUM(B231:M231)</f>
        <v>97</v>
      </c>
    </row>
    <row r="232" spans="1:14">
      <c r="A232" s="24" t="s">
        <v>51</v>
      </c>
      <c r="B232" s="485">
        <v>0</v>
      </c>
      <c r="C232" s="485">
        <v>0</v>
      </c>
      <c r="D232" s="485">
        <v>0</v>
      </c>
      <c r="E232" s="485">
        <v>0</v>
      </c>
      <c r="F232" s="485">
        <v>0</v>
      </c>
      <c r="G232" s="485">
        <v>0</v>
      </c>
      <c r="H232" s="485">
        <v>0</v>
      </c>
      <c r="I232" s="485">
        <v>0</v>
      </c>
      <c r="J232" s="485">
        <v>0</v>
      </c>
      <c r="K232" s="485">
        <v>0</v>
      </c>
      <c r="L232" s="485">
        <v>0</v>
      </c>
      <c r="M232" s="485">
        <v>0</v>
      </c>
      <c r="N232" s="19">
        <f t="shared" si="36"/>
        <v>0</v>
      </c>
    </row>
    <row r="233" spans="1:14">
      <c r="A233" s="26" t="s">
        <v>140</v>
      </c>
      <c r="B233" s="485">
        <v>0</v>
      </c>
      <c r="C233" s="485">
        <v>0</v>
      </c>
      <c r="D233" s="485">
        <v>0</v>
      </c>
      <c r="E233" s="485">
        <v>0</v>
      </c>
      <c r="F233" s="485">
        <v>0</v>
      </c>
      <c r="G233" s="485">
        <v>0</v>
      </c>
      <c r="H233" s="485">
        <v>0</v>
      </c>
      <c r="I233" s="485">
        <v>0</v>
      </c>
      <c r="J233" s="485">
        <v>0</v>
      </c>
      <c r="K233" s="485">
        <v>0</v>
      </c>
      <c r="L233" s="485">
        <v>0</v>
      </c>
      <c r="M233" s="485">
        <v>0</v>
      </c>
      <c r="N233" s="19">
        <f t="shared" si="36"/>
        <v>0</v>
      </c>
    </row>
    <row r="234" spans="1:14" hidden="1">
      <c r="A234" s="26" t="s">
        <v>13</v>
      </c>
      <c r="B234" s="485"/>
      <c r="C234" s="485"/>
      <c r="D234" s="485"/>
      <c r="E234" s="485"/>
      <c r="F234" s="485"/>
      <c r="G234" s="485"/>
      <c r="H234" s="485"/>
      <c r="I234" s="485"/>
      <c r="J234" s="485"/>
      <c r="K234" s="485"/>
      <c r="L234" s="485"/>
      <c r="M234" s="485"/>
      <c r="N234" s="19">
        <f t="shared" si="36"/>
        <v>0</v>
      </c>
    </row>
    <row r="235" spans="1:14" hidden="1">
      <c r="A235" s="27" t="s">
        <v>47</v>
      </c>
      <c r="B235" s="485"/>
      <c r="C235" s="485"/>
      <c r="D235" s="485"/>
      <c r="E235" s="485"/>
      <c r="F235" s="485"/>
      <c r="G235" s="485"/>
      <c r="H235" s="485"/>
      <c r="I235" s="485"/>
      <c r="J235" s="485"/>
      <c r="K235" s="485"/>
      <c r="L235" s="485"/>
      <c r="M235" s="485"/>
      <c r="N235" s="19">
        <f t="shared" si="36"/>
        <v>0</v>
      </c>
    </row>
    <row r="236" spans="1:14">
      <c r="A236" s="53" t="s">
        <v>30</v>
      </c>
      <c r="B236" s="485">
        <v>0</v>
      </c>
      <c r="C236" s="485">
        <v>0</v>
      </c>
      <c r="D236" s="485">
        <v>0</v>
      </c>
      <c r="E236" s="485">
        <v>0</v>
      </c>
      <c r="F236" s="485">
        <v>0</v>
      </c>
      <c r="G236" s="485">
        <v>0</v>
      </c>
      <c r="H236" s="485">
        <v>0</v>
      </c>
      <c r="I236" s="485">
        <v>0</v>
      </c>
      <c r="J236" s="485">
        <v>4</v>
      </c>
      <c r="K236" s="485">
        <v>4</v>
      </c>
      <c r="L236" s="485">
        <v>0</v>
      </c>
      <c r="M236" s="485">
        <v>0</v>
      </c>
      <c r="N236" s="19">
        <f t="shared" si="36"/>
        <v>8</v>
      </c>
    </row>
    <row r="237" spans="1:14" hidden="1">
      <c r="A237" s="53" t="s">
        <v>108</v>
      </c>
      <c r="B237" s="485"/>
      <c r="C237" s="485"/>
      <c r="D237" s="485"/>
      <c r="E237" s="485"/>
      <c r="F237" s="485"/>
      <c r="G237" s="485"/>
      <c r="H237" s="485"/>
      <c r="I237" s="485"/>
      <c r="J237" s="485"/>
      <c r="K237" s="485"/>
      <c r="L237" s="485"/>
      <c r="M237" s="485"/>
      <c r="N237" s="19">
        <f t="shared" si="36"/>
        <v>0</v>
      </c>
    </row>
    <row r="238" spans="1:14">
      <c r="A238" s="24" t="s">
        <v>56</v>
      </c>
      <c r="B238" s="485">
        <v>0</v>
      </c>
      <c r="C238" s="485">
        <v>0</v>
      </c>
      <c r="D238" s="485">
        <v>0</v>
      </c>
      <c r="E238" s="485">
        <v>0</v>
      </c>
      <c r="F238" s="485">
        <v>0</v>
      </c>
      <c r="G238" s="485">
        <v>0</v>
      </c>
      <c r="H238" s="485">
        <v>0</v>
      </c>
      <c r="I238" s="485">
        <v>0</v>
      </c>
      <c r="J238" s="485">
        <v>232</v>
      </c>
      <c r="K238" s="485">
        <v>0</v>
      </c>
      <c r="L238" s="485">
        <v>0</v>
      </c>
      <c r="M238" s="485">
        <v>0</v>
      </c>
      <c r="N238" s="19">
        <f t="shared" ref="N238:N244" si="37">SUM(B238:M238)</f>
        <v>232</v>
      </c>
    </row>
    <row r="239" spans="1:14">
      <c r="A239" s="54" t="s">
        <v>89</v>
      </c>
      <c r="B239" s="485">
        <v>0</v>
      </c>
      <c r="C239" s="485">
        <v>0</v>
      </c>
      <c r="D239" s="485">
        <v>0</v>
      </c>
      <c r="E239" s="485">
        <v>0</v>
      </c>
      <c r="F239" s="485">
        <v>0</v>
      </c>
      <c r="G239" s="485">
        <v>0</v>
      </c>
      <c r="H239" s="485">
        <v>0</v>
      </c>
      <c r="I239" s="485">
        <v>0</v>
      </c>
      <c r="J239" s="485">
        <v>0</v>
      </c>
      <c r="K239" s="485">
        <v>0</v>
      </c>
      <c r="L239" s="485">
        <v>0</v>
      </c>
      <c r="M239" s="485">
        <v>0</v>
      </c>
      <c r="N239" s="19">
        <f t="shared" si="37"/>
        <v>0</v>
      </c>
    </row>
    <row r="240" spans="1:14" hidden="1">
      <c r="A240" s="24" t="s">
        <v>83</v>
      </c>
      <c r="B240" s="485"/>
      <c r="C240" s="485"/>
      <c r="D240" s="485"/>
      <c r="E240" s="485"/>
      <c r="F240" s="485"/>
      <c r="G240" s="485"/>
      <c r="H240" s="485"/>
      <c r="I240" s="485"/>
      <c r="J240" s="485"/>
      <c r="K240" s="485"/>
      <c r="L240" s="485"/>
      <c r="M240" s="485"/>
      <c r="N240" s="19">
        <f t="shared" si="37"/>
        <v>0</v>
      </c>
    </row>
    <row r="241" spans="1:14">
      <c r="A241" s="54" t="s">
        <v>124</v>
      </c>
      <c r="B241" s="485">
        <v>0</v>
      </c>
      <c r="C241" s="485">
        <v>0</v>
      </c>
      <c r="D241" s="485">
        <v>0</v>
      </c>
      <c r="E241" s="485">
        <v>0</v>
      </c>
      <c r="F241" s="485">
        <v>0</v>
      </c>
      <c r="G241" s="485">
        <v>0</v>
      </c>
      <c r="H241" s="485">
        <v>0</v>
      </c>
      <c r="I241" s="485">
        <v>0</v>
      </c>
      <c r="J241" s="485">
        <v>0</v>
      </c>
      <c r="K241" s="485">
        <v>0</v>
      </c>
      <c r="L241" s="485">
        <v>0</v>
      </c>
      <c r="M241" s="485">
        <v>0</v>
      </c>
      <c r="N241" s="19">
        <f t="shared" si="37"/>
        <v>0</v>
      </c>
    </row>
    <row r="242" spans="1:14">
      <c r="A242" s="54" t="s">
        <v>127</v>
      </c>
      <c r="B242" s="485">
        <v>0</v>
      </c>
      <c r="C242" s="485">
        <v>0</v>
      </c>
      <c r="D242" s="485">
        <v>0</v>
      </c>
      <c r="E242" s="485">
        <v>0</v>
      </c>
      <c r="F242" s="485">
        <v>0</v>
      </c>
      <c r="G242" s="485">
        <v>0</v>
      </c>
      <c r="H242" s="485">
        <v>0</v>
      </c>
      <c r="I242" s="485">
        <v>0</v>
      </c>
      <c r="J242" s="485">
        <v>0</v>
      </c>
      <c r="K242" s="485">
        <v>0</v>
      </c>
      <c r="L242" s="485">
        <v>0</v>
      </c>
      <c r="M242" s="485">
        <v>0</v>
      </c>
      <c r="N242" s="19">
        <f t="shared" si="37"/>
        <v>0</v>
      </c>
    </row>
    <row r="243" spans="1:14">
      <c r="A243" s="54" t="s">
        <v>128</v>
      </c>
      <c r="B243" s="485">
        <v>0</v>
      </c>
      <c r="C243" s="485">
        <v>0</v>
      </c>
      <c r="D243" s="485">
        <v>0</v>
      </c>
      <c r="E243" s="485">
        <v>0</v>
      </c>
      <c r="F243" s="485">
        <v>0</v>
      </c>
      <c r="G243" s="485">
        <v>0</v>
      </c>
      <c r="H243" s="485">
        <v>0</v>
      </c>
      <c r="I243" s="485">
        <v>0</v>
      </c>
      <c r="J243" s="485">
        <v>0</v>
      </c>
      <c r="K243" s="485">
        <v>0</v>
      </c>
      <c r="L243" s="485">
        <v>0</v>
      </c>
      <c r="M243" s="485">
        <v>0</v>
      </c>
      <c r="N243" s="19">
        <f t="shared" si="37"/>
        <v>0</v>
      </c>
    </row>
    <row r="244" spans="1:14" ht="14" thickBot="1">
      <c r="A244" s="54" t="s">
        <v>146</v>
      </c>
      <c r="B244" s="485">
        <v>0</v>
      </c>
      <c r="C244" s="485">
        <v>0</v>
      </c>
      <c r="D244" s="485">
        <v>0</v>
      </c>
      <c r="E244" s="485">
        <v>0</v>
      </c>
      <c r="F244" s="485">
        <v>0</v>
      </c>
      <c r="G244" s="485">
        <v>0</v>
      </c>
      <c r="H244" s="485">
        <v>0</v>
      </c>
      <c r="I244" s="485">
        <v>0</v>
      </c>
      <c r="J244" s="485">
        <v>0</v>
      </c>
      <c r="K244" s="485">
        <v>0</v>
      </c>
      <c r="L244" s="485">
        <v>0</v>
      </c>
      <c r="M244" s="485">
        <v>0</v>
      </c>
      <c r="N244" s="19">
        <f t="shared" si="37"/>
        <v>0</v>
      </c>
    </row>
    <row r="245" spans="1:14" ht="14" thickBot="1">
      <c r="A245" s="30" t="s">
        <v>132</v>
      </c>
      <c r="B245" s="31"/>
      <c r="C245" s="31"/>
      <c r="D245" s="31"/>
      <c r="E245" s="31"/>
      <c r="F245" s="31"/>
      <c r="G245" s="31"/>
      <c r="H245" s="31"/>
      <c r="I245" s="31"/>
      <c r="J245" s="31"/>
      <c r="K245" s="31"/>
      <c r="L245" s="31"/>
      <c r="M245" s="31"/>
      <c r="N245" s="32"/>
    </row>
    <row r="246" spans="1:14" hidden="1">
      <c r="A246" s="54" t="s">
        <v>115</v>
      </c>
      <c r="B246" s="136"/>
      <c r="C246" s="136"/>
      <c r="D246" s="136"/>
      <c r="E246" s="136"/>
      <c r="F246" s="136"/>
      <c r="G246" s="136"/>
      <c r="H246" s="136"/>
      <c r="I246" s="136"/>
      <c r="J246" s="136"/>
      <c r="K246" s="136"/>
      <c r="L246" s="136"/>
      <c r="M246" s="136"/>
      <c r="N246" s="19">
        <f>SUM(B246:M246)</f>
        <v>0</v>
      </c>
    </row>
    <row r="247" spans="1:14" ht="14" thickBot="1">
      <c r="A247" s="24" t="s">
        <v>113</v>
      </c>
      <c r="B247" s="485">
        <v>1660</v>
      </c>
      <c r="C247" s="485">
        <v>0</v>
      </c>
      <c r="D247" s="485">
        <v>0</v>
      </c>
      <c r="E247" s="485">
        <v>0</v>
      </c>
      <c r="F247" s="485">
        <v>0</v>
      </c>
      <c r="G247" s="485">
        <v>0</v>
      </c>
      <c r="H247" s="485">
        <v>0</v>
      </c>
      <c r="I247" s="485">
        <v>0</v>
      </c>
      <c r="J247" s="485">
        <v>0</v>
      </c>
      <c r="K247" s="485">
        <v>0</v>
      </c>
      <c r="L247" s="485">
        <v>0</v>
      </c>
      <c r="M247" s="485">
        <v>0</v>
      </c>
      <c r="N247" s="19">
        <f>SUM(B247:M247)</f>
        <v>1660</v>
      </c>
    </row>
    <row r="248" spans="1:14" ht="14" thickBot="1">
      <c r="A248" s="40" t="s">
        <v>60</v>
      </c>
      <c r="B248" s="42">
        <f>SUM(B231:B247)</f>
        <v>1660</v>
      </c>
      <c r="C248" s="42">
        <f>SUM(C231:C247)</f>
        <v>0</v>
      </c>
      <c r="D248" s="42">
        <f t="shared" ref="D248:M248" si="38">SUM(D231:D247)</f>
        <v>0</v>
      </c>
      <c r="E248" s="42">
        <f t="shared" si="38"/>
        <v>0</v>
      </c>
      <c r="F248" s="42">
        <f t="shared" si="38"/>
        <v>0</v>
      </c>
      <c r="G248" s="42">
        <f t="shared" si="38"/>
        <v>97</v>
      </c>
      <c r="H248" s="42">
        <f t="shared" si="38"/>
        <v>0</v>
      </c>
      <c r="I248" s="42">
        <f t="shared" si="38"/>
        <v>0</v>
      </c>
      <c r="J248" s="42">
        <f t="shared" si="38"/>
        <v>236</v>
      </c>
      <c r="K248" s="42">
        <f t="shared" si="38"/>
        <v>4</v>
      </c>
      <c r="L248" s="42">
        <f t="shared" si="38"/>
        <v>0</v>
      </c>
      <c r="M248" s="42">
        <f t="shared" si="38"/>
        <v>0</v>
      </c>
      <c r="N248" s="41">
        <f>SUM(N231:N247)</f>
        <v>1997</v>
      </c>
    </row>
    <row r="250" spans="1:14" ht="14" thickBot="1">
      <c r="B250" s="35" t="s">
        <v>35</v>
      </c>
      <c r="C250" s="35" t="s">
        <v>36</v>
      </c>
      <c r="D250" s="35" t="s">
        <v>37</v>
      </c>
      <c r="E250" s="35" t="s">
        <v>38</v>
      </c>
      <c r="F250" s="35" t="s">
        <v>39</v>
      </c>
      <c r="G250" s="35" t="s">
        <v>40</v>
      </c>
      <c r="H250" s="35" t="s">
        <v>41</v>
      </c>
      <c r="I250" s="35" t="s">
        <v>42</v>
      </c>
      <c r="J250" s="35" t="s">
        <v>43</v>
      </c>
      <c r="K250" s="35" t="s">
        <v>44</v>
      </c>
      <c r="L250" s="35" t="s">
        <v>45</v>
      </c>
      <c r="M250" s="35" t="s">
        <v>46</v>
      </c>
      <c r="N250" s="35" t="s">
        <v>10</v>
      </c>
    </row>
    <row r="251" spans="1:14" ht="17" thickBot="1">
      <c r="A251" s="23" t="s">
        <v>152</v>
      </c>
      <c r="B251" s="16"/>
      <c r="C251" s="16"/>
      <c r="D251" s="15"/>
      <c r="E251" s="15"/>
      <c r="F251" s="17"/>
      <c r="G251" s="17"/>
      <c r="H251" s="15"/>
      <c r="I251" s="15"/>
      <c r="J251" s="15"/>
      <c r="K251" s="15"/>
      <c r="L251" s="16"/>
      <c r="M251" s="16"/>
      <c r="N251" s="18"/>
    </row>
    <row r="252" spans="1:14" ht="14" thickBot="1">
      <c r="A252" s="30" t="s">
        <v>129</v>
      </c>
      <c r="B252" s="31"/>
      <c r="C252" s="31"/>
      <c r="D252" s="31"/>
      <c r="E252" s="31"/>
      <c r="F252" s="31"/>
      <c r="G252" s="31"/>
      <c r="H252" s="31"/>
      <c r="I252" s="31"/>
      <c r="J252" s="31"/>
      <c r="K252" s="31"/>
      <c r="L252" s="31"/>
      <c r="M252" s="31"/>
      <c r="N252" s="32"/>
    </row>
    <row r="253" spans="1:14">
      <c r="A253" s="24" t="s">
        <v>29</v>
      </c>
      <c r="B253" s="485">
        <v>8</v>
      </c>
      <c r="C253" s="485">
        <v>12</v>
      </c>
      <c r="D253" s="485">
        <v>16</v>
      </c>
      <c r="E253" s="485">
        <v>17</v>
      </c>
      <c r="F253" s="485">
        <v>13</v>
      </c>
      <c r="G253" s="485">
        <v>8</v>
      </c>
      <c r="H253" s="485">
        <v>9</v>
      </c>
      <c r="I253" s="485">
        <v>15</v>
      </c>
      <c r="J253" s="485">
        <v>14</v>
      </c>
      <c r="K253" s="485">
        <v>13</v>
      </c>
      <c r="L253" s="485">
        <v>14</v>
      </c>
      <c r="M253" s="485">
        <v>15</v>
      </c>
      <c r="N253" s="19">
        <f t="shared" ref="N253:N258" si="39">SUM(B253:M253)</f>
        <v>154</v>
      </c>
    </row>
    <row r="254" spans="1:14">
      <c r="A254" s="24" t="s">
        <v>33</v>
      </c>
      <c r="B254" s="485">
        <v>9</v>
      </c>
      <c r="C254" s="485">
        <v>10</v>
      </c>
      <c r="D254" s="485">
        <v>9</v>
      </c>
      <c r="E254" s="485">
        <v>8</v>
      </c>
      <c r="F254" s="485">
        <v>3</v>
      </c>
      <c r="G254" s="485">
        <v>6</v>
      </c>
      <c r="H254" s="485">
        <v>4</v>
      </c>
      <c r="I254" s="485">
        <v>7</v>
      </c>
      <c r="J254" s="485">
        <v>15</v>
      </c>
      <c r="K254" s="485">
        <v>4</v>
      </c>
      <c r="L254" s="485">
        <v>8</v>
      </c>
      <c r="M254" s="485">
        <v>3</v>
      </c>
      <c r="N254" s="19">
        <f t="shared" si="39"/>
        <v>86</v>
      </c>
    </row>
    <row r="255" spans="1:14">
      <c r="A255" s="24" t="s">
        <v>56</v>
      </c>
      <c r="B255" s="485">
        <v>0</v>
      </c>
      <c r="C255" s="485">
        <v>0</v>
      </c>
      <c r="D255" s="485">
        <v>0</v>
      </c>
      <c r="E255" s="485">
        <v>0</v>
      </c>
      <c r="F255" s="485">
        <v>0</v>
      </c>
      <c r="G255" s="485">
        <v>0</v>
      </c>
      <c r="H255" s="485">
        <v>0</v>
      </c>
      <c r="I255" s="485">
        <v>0</v>
      </c>
      <c r="J255" s="485">
        <v>33</v>
      </c>
      <c r="K255" s="485">
        <v>0</v>
      </c>
      <c r="L255" s="485">
        <v>0</v>
      </c>
      <c r="M255" s="485">
        <v>0</v>
      </c>
      <c r="N255" s="19">
        <f t="shared" si="39"/>
        <v>33</v>
      </c>
    </row>
    <row r="256" spans="1:14">
      <c r="A256" s="54" t="s">
        <v>30</v>
      </c>
      <c r="B256" s="485">
        <v>0</v>
      </c>
      <c r="C256" s="485">
        <v>0</v>
      </c>
      <c r="D256" s="485">
        <v>0</v>
      </c>
      <c r="E256" s="485">
        <v>1</v>
      </c>
      <c r="F256" s="485">
        <v>0</v>
      </c>
      <c r="G256" s="485">
        <v>0</v>
      </c>
      <c r="H256" s="485">
        <v>1</v>
      </c>
      <c r="I256" s="485">
        <v>0</v>
      </c>
      <c r="J256" s="485">
        <v>1</v>
      </c>
      <c r="K256" s="485">
        <v>0</v>
      </c>
      <c r="L256" s="485">
        <v>1</v>
      </c>
      <c r="M256" s="485">
        <v>1</v>
      </c>
      <c r="N256" s="19">
        <f t="shared" si="39"/>
        <v>5</v>
      </c>
    </row>
    <row r="257" spans="1:14">
      <c r="A257" s="53" t="s">
        <v>146</v>
      </c>
      <c r="B257" s="485">
        <v>0</v>
      </c>
      <c r="C257" s="485">
        <v>0</v>
      </c>
      <c r="D257" s="485">
        <v>0</v>
      </c>
      <c r="E257" s="485">
        <v>0</v>
      </c>
      <c r="F257" s="485">
        <v>0</v>
      </c>
      <c r="G257" s="485">
        <v>0</v>
      </c>
      <c r="H257" s="485">
        <v>0</v>
      </c>
      <c r="I257" s="485">
        <v>0</v>
      </c>
      <c r="J257" s="485">
        <v>0</v>
      </c>
      <c r="K257" s="485">
        <v>0</v>
      </c>
      <c r="L257" s="485">
        <v>0</v>
      </c>
      <c r="M257" s="485">
        <v>0</v>
      </c>
      <c r="N257" s="19">
        <f t="shared" si="39"/>
        <v>0</v>
      </c>
    </row>
    <row r="258" spans="1:14" ht="14" thickBot="1">
      <c r="A258" s="53" t="s">
        <v>145</v>
      </c>
      <c r="B258" s="485">
        <v>0</v>
      </c>
      <c r="C258" s="485">
        <v>0</v>
      </c>
      <c r="D258" s="485">
        <v>0</v>
      </c>
      <c r="E258" s="485">
        <v>0</v>
      </c>
      <c r="F258" s="485">
        <v>0</v>
      </c>
      <c r="G258" s="485">
        <v>0</v>
      </c>
      <c r="H258" s="485">
        <v>0</v>
      </c>
      <c r="I258" s="485">
        <v>0</v>
      </c>
      <c r="J258" s="485">
        <v>5</v>
      </c>
      <c r="K258" s="485">
        <v>0</v>
      </c>
      <c r="L258" s="485">
        <v>0</v>
      </c>
      <c r="M258" s="485">
        <v>1</v>
      </c>
      <c r="N258" s="19">
        <f t="shared" si="39"/>
        <v>6</v>
      </c>
    </row>
    <row r="259" spans="1:14" ht="14" thickBot="1">
      <c r="A259" s="30" t="s">
        <v>130</v>
      </c>
      <c r="B259" s="31"/>
      <c r="C259" s="31"/>
      <c r="D259" s="31"/>
      <c r="E259" s="31"/>
      <c r="F259" s="31"/>
      <c r="G259" s="31"/>
      <c r="H259" s="31"/>
      <c r="I259" s="31"/>
      <c r="J259" s="31"/>
      <c r="K259" s="31"/>
      <c r="L259" s="31"/>
      <c r="M259" s="31"/>
      <c r="N259" s="32"/>
    </row>
    <row r="260" spans="1:14">
      <c r="A260" s="53" t="s">
        <v>113</v>
      </c>
      <c r="B260" s="485">
        <v>1261</v>
      </c>
      <c r="C260" s="485"/>
      <c r="D260" s="485"/>
      <c r="E260" s="485"/>
      <c r="F260" s="485"/>
      <c r="G260" s="485"/>
      <c r="H260" s="485"/>
      <c r="I260" s="485"/>
      <c r="J260" s="485"/>
      <c r="K260" s="485"/>
      <c r="L260" s="485"/>
      <c r="M260" s="485"/>
      <c r="N260" s="19">
        <f>SUM(B260:M260)</f>
        <v>1261</v>
      </c>
    </row>
    <row r="261" spans="1:14">
      <c r="A261" s="53" t="s">
        <v>114</v>
      </c>
      <c r="B261" s="485">
        <v>7</v>
      </c>
      <c r="C261" s="485">
        <v>1</v>
      </c>
      <c r="D261" s="485">
        <v>1</v>
      </c>
      <c r="E261" s="485">
        <v>2</v>
      </c>
      <c r="F261" s="485">
        <v>1</v>
      </c>
      <c r="G261" s="485">
        <v>2</v>
      </c>
      <c r="H261" s="485">
        <v>0</v>
      </c>
      <c r="I261" s="485">
        <v>0</v>
      </c>
      <c r="J261" s="485">
        <v>0</v>
      </c>
      <c r="K261" s="485">
        <v>0</v>
      </c>
      <c r="L261" s="485">
        <v>0</v>
      </c>
      <c r="M261" s="485">
        <v>0</v>
      </c>
      <c r="N261" s="19">
        <f>SUM(B261:M261)</f>
        <v>14</v>
      </c>
    </row>
    <row r="262" spans="1:14">
      <c r="A262" s="53" t="s">
        <v>133</v>
      </c>
      <c r="B262" s="485">
        <v>1</v>
      </c>
      <c r="C262" s="485">
        <v>1</v>
      </c>
      <c r="D262" s="485">
        <v>2</v>
      </c>
      <c r="E262" s="485">
        <v>2</v>
      </c>
      <c r="F262" s="485">
        <v>6</v>
      </c>
      <c r="G262" s="485">
        <v>4</v>
      </c>
      <c r="H262" s="485">
        <v>1</v>
      </c>
      <c r="I262" s="485">
        <v>2</v>
      </c>
      <c r="J262" s="485">
        <v>1</v>
      </c>
      <c r="K262" s="485">
        <v>0</v>
      </c>
      <c r="L262" s="485">
        <v>6</v>
      </c>
      <c r="M262" s="485">
        <v>4</v>
      </c>
      <c r="N262" s="19">
        <f>SUM(B262:M262)</f>
        <v>30</v>
      </c>
    </row>
    <row r="263" spans="1:14" ht="14" thickBot="1">
      <c r="A263" s="53" t="s">
        <v>163</v>
      </c>
      <c r="B263" s="485"/>
      <c r="C263" s="485"/>
      <c r="D263" s="485"/>
      <c r="E263" s="485"/>
      <c r="F263" s="485"/>
      <c r="G263" s="485"/>
      <c r="H263" s="485"/>
      <c r="I263" s="485"/>
      <c r="J263" s="485"/>
      <c r="K263" s="485"/>
      <c r="L263" s="485"/>
      <c r="M263" s="485"/>
      <c r="N263" s="19">
        <f>SUM(B263:M263)</f>
        <v>0</v>
      </c>
    </row>
    <row r="264" spans="1:14" ht="14" thickBot="1">
      <c r="A264" s="131" t="s">
        <v>60</v>
      </c>
      <c r="B264" s="142">
        <f t="shared" ref="B264:N264" si="40">SUM(B253:B263)</f>
        <v>1286</v>
      </c>
      <c r="C264" s="143">
        <f t="shared" si="40"/>
        <v>24</v>
      </c>
      <c r="D264" s="143">
        <f t="shared" si="40"/>
        <v>28</v>
      </c>
      <c r="E264" s="143">
        <f t="shared" si="40"/>
        <v>30</v>
      </c>
      <c r="F264" s="143">
        <f t="shared" si="40"/>
        <v>23</v>
      </c>
      <c r="G264" s="143">
        <f t="shared" si="40"/>
        <v>20</v>
      </c>
      <c r="H264" s="143">
        <f t="shared" si="40"/>
        <v>15</v>
      </c>
      <c r="I264" s="143">
        <f t="shared" si="40"/>
        <v>24</v>
      </c>
      <c r="J264" s="143">
        <f t="shared" si="40"/>
        <v>69</v>
      </c>
      <c r="K264" s="143">
        <f t="shared" si="40"/>
        <v>17</v>
      </c>
      <c r="L264" s="143">
        <f t="shared" si="40"/>
        <v>29</v>
      </c>
      <c r="M264" s="140">
        <f t="shared" si="40"/>
        <v>24</v>
      </c>
      <c r="N264" s="140">
        <f t="shared" si="40"/>
        <v>1589</v>
      </c>
    </row>
    <row r="265" spans="1:14" ht="14" hidden="1" thickBot="1">
      <c r="A265" s="30" t="s">
        <v>131</v>
      </c>
      <c r="B265" s="141"/>
      <c r="C265" s="141"/>
      <c r="D265" s="141"/>
      <c r="E265" s="141"/>
      <c r="F265" s="141"/>
      <c r="G265" s="141"/>
      <c r="H265" s="141"/>
      <c r="I265" s="141"/>
      <c r="J265" s="141"/>
      <c r="K265" s="141"/>
      <c r="L265" s="141"/>
      <c r="M265" s="141"/>
      <c r="N265" s="32"/>
    </row>
    <row r="266" spans="1:14" ht="14" hidden="1" thickBot="1">
      <c r="A266" s="53" t="s">
        <v>105</v>
      </c>
      <c r="B266" s="103"/>
      <c r="C266" s="103"/>
      <c r="D266" s="103"/>
      <c r="E266" s="103"/>
      <c r="F266" s="103"/>
      <c r="G266" s="103"/>
      <c r="H266" s="103"/>
      <c r="I266" s="103"/>
      <c r="J266" s="103"/>
      <c r="K266" s="103"/>
      <c r="L266" s="103"/>
      <c r="M266" s="103"/>
      <c r="N266" s="19"/>
    </row>
    <row r="267" spans="1:14" ht="14" hidden="1" thickBot="1">
      <c r="A267" s="53" t="s">
        <v>120</v>
      </c>
      <c r="B267" s="103"/>
      <c r="C267" s="103"/>
      <c r="D267" s="103"/>
      <c r="E267" s="103"/>
      <c r="F267" s="103"/>
      <c r="G267" s="103"/>
      <c r="H267" s="103"/>
      <c r="I267" s="103"/>
      <c r="J267" s="103"/>
      <c r="K267" s="103"/>
      <c r="L267" s="103"/>
      <c r="M267" s="103"/>
      <c r="N267" s="19"/>
    </row>
    <row r="268" spans="1:14" ht="14" hidden="1" thickBot="1">
      <c r="A268" s="40" t="s">
        <v>60</v>
      </c>
      <c r="B268" s="42"/>
      <c r="C268" s="42"/>
      <c r="D268" s="42"/>
      <c r="E268" s="42"/>
      <c r="F268" s="42"/>
      <c r="G268" s="42"/>
      <c r="H268" s="42"/>
      <c r="I268" s="42"/>
      <c r="J268" s="42"/>
      <c r="K268" s="42"/>
      <c r="L268" s="42"/>
      <c r="M268" s="42"/>
      <c r="N268" s="41"/>
    </row>
    <row r="269" spans="1:14" ht="14" thickBot="1">
      <c r="A269" s="30" t="s">
        <v>134</v>
      </c>
      <c r="B269" s="31"/>
      <c r="C269" s="31"/>
      <c r="D269" s="31"/>
      <c r="E269" s="31"/>
      <c r="F269" s="31"/>
      <c r="G269" s="31"/>
      <c r="H269" s="31"/>
      <c r="I269" s="31"/>
      <c r="J269" s="31"/>
      <c r="K269" s="31"/>
      <c r="L269" s="31"/>
      <c r="M269" s="31"/>
      <c r="N269" s="32"/>
    </row>
    <row r="270" spans="1:14">
      <c r="A270" s="24" t="s">
        <v>29</v>
      </c>
      <c r="B270" s="485">
        <v>5</v>
      </c>
      <c r="C270" s="485">
        <v>0</v>
      </c>
      <c r="D270" s="485">
        <v>169</v>
      </c>
      <c r="E270" s="485">
        <v>0</v>
      </c>
      <c r="F270" s="485">
        <v>143</v>
      </c>
      <c r="G270" s="485">
        <v>0</v>
      </c>
      <c r="H270" s="485">
        <v>0</v>
      </c>
      <c r="I270" s="485">
        <v>177</v>
      </c>
      <c r="J270" s="485">
        <v>0</v>
      </c>
      <c r="K270" s="485">
        <v>0</v>
      </c>
      <c r="L270" s="485">
        <v>109</v>
      </c>
      <c r="M270" s="485">
        <v>0</v>
      </c>
      <c r="N270" s="19">
        <f>SUM(B270:M270)</f>
        <v>603</v>
      </c>
    </row>
    <row r="271" spans="1:14">
      <c r="A271" s="24" t="s">
        <v>51</v>
      </c>
      <c r="B271" s="485">
        <v>0</v>
      </c>
      <c r="C271" s="485">
        <v>0</v>
      </c>
      <c r="D271" s="485">
        <v>0</v>
      </c>
      <c r="E271" s="485">
        <v>0</v>
      </c>
      <c r="F271" s="485">
        <v>9</v>
      </c>
      <c r="G271" s="485">
        <v>0</v>
      </c>
      <c r="H271" s="485">
        <v>0</v>
      </c>
      <c r="I271" s="485">
        <v>0</v>
      </c>
      <c r="J271" s="485">
        <v>0</v>
      </c>
      <c r="K271" s="485">
        <v>0</v>
      </c>
      <c r="L271" s="485">
        <v>0</v>
      </c>
      <c r="M271" s="485">
        <v>0</v>
      </c>
      <c r="N271" s="19">
        <f t="shared" ref="N271:N283" si="41">SUM(B271:M271)</f>
        <v>9</v>
      </c>
    </row>
    <row r="272" spans="1:14">
      <c r="A272" s="26" t="s">
        <v>140</v>
      </c>
      <c r="B272" s="485">
        <v>0</v>
      </c>
      <c r="C272" s="485">
        <v>0</v>
      </c>
      <c r="D272" s="485">
        <v>0</v>
      </c>
      <c r="E272" s="485">
        <v>0</v>
      </c>
      <c r="F272" s="485">
        <v>0</v>
      </c>
      <c r="G272" s="485">
        <v>0</v>
      </c>
      <c r="H272" s="485">
        <v>0</v>
      </c>
      <c r="I272" s="485">
        <v>0</v>
      </c>
      <c r="J272" s="485">
        <v>0</v>
      </c>
      <c r="K272" s="485">
        <v>0</v>
      </c>
      <c r="L272" s="485">
        <v>0</v>
      </c>
      <c r="M272" s="485">
        <v>0</v>
      </c>
      <c r="N272" s="19">
        <f t="shared" si="41"/>
        <v>0</v>
      </c>
    </row>
    <row r="273" spans="1:14" hidden="1">
      <c r="A273" s="26" t="s">
        <v>13</v>
      </c>
      <c r="B273" s="485"/>
      <c r="C273" s="485"/>
      <c r="D273" s="485"/>
      <c r="E273" s="485"/>
      <c r="F273" s="485"/>
      <c r="G273" s="485"/>
      <c r="H273" s="485"/>
      <c r="I273" s="485"/>
      <c r="J273" s="485"/>
      <c r="K273" s="485"/>
      <c r="L273" s="485"/>
      <c r="M273" s="485"/>
      <c r="N273" s="19">
        <f t="shared" si="41"/>
        <v>0</v>
      </c>
    </row>
    <row r="274" spans="1:14" hidden="1">
      <c r="A274" s="27" t="s">
        <v>47</v>
      </c>
      <c r="B274" s="485"/>
      <c r="C274" s="485"/>
      <c r="D274" s="485"/>
      <c r="E274" s="485"/>
      <c r="F274" s="485"/>
      <c r="G274" s="485"/>
      <c r="H274" s="485"/>
      <c r="I274" s="485"/>
      <c r="J274" s="485"/>
      <c r="K274" s="485"/>
      <c r="L274" s="485"/>
      <c r="M274" s="485"/>
      <c r="N274" s="19">
        <f t="shared" si="41"/>
        <v>0</v>
      </c>
    </row>
    <row r="275" spans="1:14">
      <c r="A275" s="53" t="s">
        <v>30</v>
      </c>
      <c r="B275" s="485">
        <v>0</v>
      </c>
      <c r="C275" s="485">
        <v>1</v>
      </c>
      <c r="D275" s="485">
        <v>0</v>
      </c>
      <c r="E275" s="485">
        <v>0</v>
      </c>
      <c r="F275" s="485">
        <v>3</v>
      </c>
      <c r="G275" s="485">
        <v>0</v>
      </c>
      <c r="H275" s="485">
        <v>8</v>
      </c>
      <c r="I275" s="485">
        <v>0</v>
      </c>
      <c r="J275" s="485">
        <v>0</v>
      </c>
      <c r="K275" s="485">
        <v>0</v>
      </c>
      <c r="L275" s="485">
        <v>1</v>
      </c>
      <c r="M275" s="485">
        <v>1</v>
      </c>
      <c r="N275" s="19">
        <f t="shared" si="41"/>
        <v>14</v>
      </c>
    </row>
    <row r="276" spans="1:14" hidden="1">
      <c r="A276" s="53" t="s">
        <v>108</v>
      </c>
      <c r="B276" s="485"/>
      <c r="C276" s="485"/>
      <c r="D276" s="485"/>
      <c r="E276" s="485"/>
      <c r="F276" s="485"/>
      <c r="G276" s="485"/>
      <c r="H276" s="485"/>
      <c r="I276" s="485"/>
      <c r="J276" s="485"/>
      <c r="K276" s="485"/>
      <c r="L276" s="485"/>
      <c r="M276" s="485"/>
      <c r="N276" s="19">
        <f t="shared" si="41"/>
        <v>0</v>
      </c>
    </row>
    <row r="277" spans="1:14">
      <c r="A277" s="24" t="s">
        <v>56</v>
      </c>
      <c r="B277" s="485">
        <v>0</v>
      </c>
      <c r="C277" s="485">
        <v>0</v>
      </c>
      <c r="D277" s="485">
        <v>0</v>
      </c>
      <c r="E277" s="485">
        <v>0</v>
      </c>
      <c r="F277" s="485">
        <v>557</v>
      </c>
      <c r="G277" s="485">
        <v>0</v>
      </c>
      <c r="H277" s="485">
        <v>0</v>
      </c>
      <c r="I277" s="485">
        <v>0</v>
      </c>
      <c r="J277" s="485">
        <v>0</v>
      </c>
      <c r="K277" s="485">
        <v>0</v>
      </c>
      <c r="L277" s="485">
        <v>0</v>
      </c>
      <c r="M277" s="485">
        <v>51</v>
      </c>
      <c r="N277" s="19">
        <f t="shared" si="41"/>
        <v>608</v>
      </c>
    </row>
    <row r="278" spans="1:14">
      <c r="A278" s="54" t="s">
        <v>89</v>
      </c>
      <c r="B278" s="485">
        <v>0</v>
      </c>
      <c r="C278" s="485">
        <v>0</v>
      </c>
      <c r="D278" s="485">
        <v>0</v>
      </c>
      <c r="E278" s="485">
        <v>0</v>
      </c>
      <c r="F278" s="485">
        <v>0</v>
      </c>
      <c r="G278" s="485">
        <v>0</v>
      </c>
      <c r="H278" s="485">
        <v>0</v>
      </c>
      <c r="I278" s="485">
        <v>0</v>
      </c>
      <c r="J278" s="485">
        <v>0</v>
      </c>
      <c r="K278" s="485">
        <v>0</v>
      </c>
      <c r="L278" s="485">
        <v>0</v>
      </c>
      <c r="M278" s="485">
        <v>0</v>
      </c>
      <c r="N278" s="19">
        <f t="shared" si="41"/>
        <v>0</v>
      </c>
    </row>
    <row r="279" spans="1:14" hidden="1">
      <c r="A279" s="24" t="s">
        <v>83</v>
      </c>
      <c r="B279" s="485"/>
      <c r="C279" s="485"/>
      <c r="D279" s="485"/>
      <c r="E279" s="485"/>
      <c r="F279" s="485"/>
      <c r="G279" s="485"/>
      <c r="H279" s="485"/>
      <c r="I279" s="485"/>
      <c r="J279" s="485"/>
      <c r="K279" s="485"/>
      <c r="L279" s="485"/>
      <c r="M279" s="485"/>
      <c r="N279" s="19">
        <f t="shared" si="41"/>
        <v>0</v>
      </c>
    </row>
    <row r="280" spans="1:14">
      <c r="A280" s="54" t="s">
        <v>124</v>
      </c>
      <c r="B280" s="485">
        <v>0</v>
      </c>
      <c r="C280" s="485">
        <v>0</v>
      </c>
      <c r="D280" s="485">
        <v>0</v>
      </c>
      <c r="E280" s="485">
        <v>0</v>
      </c>
      <c r="F280" s="485">
        <v>0</v>
      </c>
      <c r="G280" s="485">
        <v>0</v>
      </c>
      <c r="H280" s="485">
        <v>0</v>
      </c>
      <c r="I280" s="485">
        <v>0</v>
      </c>
      <c r="J280" s="485">
        <v>0</v>
      </c>
      <c r="K280" s="485">
        <v>0</v>
      </c>
      <c r="L280" s="485">
        <v>0</v>
      </c>
      <c r="M280" s="485">
        <v>0</v>
      </c>
      <c r="N280" s="19">
        <f t="shared" si="41"/>
        <v>0</v>
      </c>
    </row>
    <row r="281" spans="1:14">
      <c r="A281" s="54" t="s">
        <v>127</v>
      </c>
      <c r="B281" s="485">
        <v>0</v>
      </c>
      <c r="C281" s="485">
        <v>0</v>
      </c>
      <c r="D281" s="485">
        <v>0</v>
      </c>
      <c r="E281" s="485">
        <v>0</v>
      </c>
      <c r="F281" s="485">
        <v>0</v>
      </c>
      <c r="G281" s="485">
        <v>0</v>
      </c>
      <c r="H281" s="485">
        <v>0</v>
      </c>
      <c r="I281" s="485">
        <v>0</v>
      </c>
      <c r="J281" s="485">
        <v>0</v>
      </c>
      <c r="K281" s="485">
        <v>0</v>
      </c>
      <c r="L281" s="485">
        <v>0</v>
      </c>
      <c r="M281" s="485">
        <v>0</v>
      </c>
      <c r="N281" s="19">
        <f t="shared" si="41"/>
        <v>0</v>
      </c>
    </row>
    <row r="282" spans="1:14">
      <c r="A282" s="54" t="s">
        <v>128</v>
      </c>
      <c r="B282" s="485">
        <v>0</v>
      </c>
      <c r="C282" s="485">
        <v>0</v>
      </c>
      <c r="D282" s="485">
        <v>0</v>
      </c>
      <c r="E282" s="485">
        <v>0</v>
      </c>
      <c r="F282" s="485">
        <v>0</v>
      </c>
      <c r="G282" s="485">
        <v>0</v>
      </c>
      <c r="H282" s="485">
        <v>0</v>
      </c>
      <c r="I282" s="485">
        <v>0</v>
      </c>
      <c r="J282" s="485">
        <v>0</v>
      </c>
      <c r="K282" s="485">
        <v>0</v>
      </c>
      <c r="L282" s="485">
        <v>0</v>
      </c>
      <c r="M282" s="485">
        <v>0</v>
      </c>
      <c r="N282" s="19">
        <f t="shared" si="41"/>
        <v>0</v>
      </c>
    </row>
    <row r="283" spans="1:14" ht="14" thickBot="1">
      <c r="A283" s="54" t="s">
        <v>146</v>
      </c>
      <c r="B283" s="485">
        <v>12</v>
      </c>
      <c r="C283" s="485">
        <v>0</v>
      </c>
      <c r="D283" s="485">
        <v>0</v>
      </c>
      <c r="E283" s="485">
        <v>0</v>
      </c>
      <c r="F283" s="485">
        <v>0</v>
      </c>
      <c r="G283" s="485">
        <v>0</v>
      </c>
      <c r="H283" s="485">
        <v>0</v>
      </c>
      <c r="I283" s="485">
        <v>0</v>
      </c>
      <c r="J283" s="485">
        <v>0</v>
      </c>
      <c r="K283" s="485">
        <v>0</v>
      </c>
      <c r="L283" s="485">
        <v>0</v>
      </c>
      <c r="M283" s="485">
        <v>0</v>
      </c>
      <c r="N283" s="19">
        <f t="shared" si="41"/>
        <v>12</v>
      </c>
    </row>
    <row r="284" spans="1:14" ht="14" thickBot="1">
      <c r="A284" s="30" t="s">
        <v>132</v>
      </c>
      <c r="B284" s="31"/>
      <c r="C284" s="31"/>
      <c r="D284" s="31"/>
      <c r="E284" s="31"/>
      <c r="F284" s="31"/>
      <c r="G284" s="31"/>
      <c r="H284" s="31"/>
      <c r="I284" s="31"/>
      <c r="J284" s="31"/>
      <c r="K284" s="31"/>
      <c r="L284" s="31"/>
      <c r="M284" s="31"/>
      <c r="N284" s="32"/>
    </row>
    <row r="285" spans="1:14" hidden="1">
      <c r="A285" s="54" t="s">
        <v>115</v>
      </c>
      <c r="B285" s="103"/>
      <c r="C285" s="103"/>
      <c r="D285" s="103"/>
      <c r="E285" s="103"/>
      <c r="F285" s="103"/>
      <c r="G285" s="103"/>
      <c r="H285" s="103"/>
      <c r="I285" s="103"/>
      <c r="J285" s="103"/>
      <c r="K285" s="103"/>
      <c r="L285" s="103"/>
      <c r="M285" s="103"/>
      <c r="N285" s="19"/>
    </row>
    <row r="286" spans="1:14" ht="14" thickBot="1">
      <c r="A286" s="24" t="s">
        <v>113</v>
      </c>
      <c r="B286" s="485">
        <v>3831</v>
      </c>
      <c r="C286" s="485">
        <v>0</v>
      </c>
      <c r="D286" s="485">
        <v>0</v>
      </c>
      <c r="E286" s="485">
        <v>0</v>
      </c>
      <c r="F286" s="485">
        <v>0</v>
      </c>
      <c r="G286" s="485">
        <v>0</v>
      </c>
      <c r="H286" s="485">
        <v>0</v>
      </c>
      <c r="I286" s="485">
        <v>0</v>
      </c>
      <c r="J286" s="485">
        <v>0</v>
      </c>
      <c r="K286" s="485">
        <v>0</v>
      </c>
      <c r="L286" s="485">
        <v>0</v>
      </c>
      <c r="M286" s="485">
        <v>0</v>
      </c>
      <c r="N286" s="19">
        <f>SUM(B286:M286)</f>
        <v>3831</v>
      </c>
    </row>
    <row r="287" spans="1:14" ht="14" thickBot="1">
      <c r="A287" s="131" t="s">
        <v>60</v>
      </c>
      <c r="B287" s="142">
        <f t="shared" ref="B287:K287" si="42">SUM(B270:B286)</f>
        <v>3848</v>
      </c>
      <c r="C287" s="143">
        <f t="shared" si="42"/>
        <v>1</v>
      </c>
      <c r="D287" s="143">
        <f t="shared" si="42"/>
        <v>169</v>
      </c>
      <c r="E287" s="143">
        <f t="shared" si="42"/>
        <v>0</v>
      </c>
      <c r="F287" s="143">
        <f t="shared" si="42"/>
        <v>712</v>
      </c>
      <c r="G287" s="143">
        <f t="shared" si="42"/>
        <v>0</v>
      </c>
      <c r="H287" s="143">
        <f t="shared" si="42"/>
        <v>8</v>
      </c>
      <c r="I287" s="143">
        <f t="shared" si="42"/>
        <v>177</v>
      </c>
      <c r="J287" s="143">
        <f t="shared" si="42"/>
        <v>0</v>
      </c>
      <c r="K287" s="143">
        <f t="shared" si="42"/>
        <v>0</v>
      </c>
      <c r="L287" s="143">
        <f>SUM(L270:L286)</f>
        <v>110</v>
      </c>
      <c r="M287" s="140">
        <f>SUM(M270:M286)</f>
        <v>52</v>
      </c>
      <c r="N287" s="140">
        <f>SUM(N270:N286)</f>
        <v>5077</v>
      </c>
    </row>
    <row r="289" spans="1:14" ht="14" thickBot="1">
      <c r="B289" s="35" t="s">
        <v>35</v>
      </c>
      <c r="C289" s="35" t="s">
        <v>36</v>
      </c>
      <c r="D289" s="35" t="s">
        <v>37</v>
      </c>
      <c r="E289" s="35" t="s">
        <v>38</v>
      </c>
      <c r="F289" s="35" t="s">
        <v>39</v>
      </c>
      <c r="G289" s="35" t="s">
        <v>40</v>
      </c>
      <c r="H289" s="35" t="s">
        <v>41</v>
      </c>
      <c r="I289" s="35" t="s">
        <v>42</v>
      </c>
      <c r="J289" s="35" t="s">
        <v>43</v>
      </c>
      <c r="K289" s="35" t="s">
        <v>44</v>
      </c>
      <c r="L289" s="35" t="s">
        <v>45</v>
      </c>
      <c r="M289" s="35" t="s">
        <v>46</v>
      </c>
      <c r="N289" s="35" t="s">
        <v>10</v>
      </c>
    </row>
    <row r="290" spans="1:14" ht="17" thickBot="1">
      <c r="A290" s="23" t="s">
        <v>160</v>
      </c>
      <c r="B290" s="16"/>
      <c r="C290" s="16"/>
      <c r="D290" s="15"/>
      <c r="E290" s="15"/>
      <c r="F290" s="17"/>
      <c r="G290" s="17"/>
      <c r="H290" s="15"/>
      <c r="I290" s="15"/>
      <c r="J290" s="15"/>
      <c r="K290" s="15"/>
      <c r="L290" s="16"/>
      <c r="M290" s="16"/>
      <c r="N290" s="18"/>
    </row>
    <row r="291" spans="1:14" ht="14" thickBot="1">
      <c r="A291" s="30" t="s">
        <v>129</v>
      </c>
      <c r="B291" s="31"/>
      <c r="C291" s="31"/>
      <c r="D291" s="31"/>
      <c r="E291" s="31"/>
      <c r="F291" s="31"/>
      <c r="G291" s="31"/>
      <c r="H291" s="31"/>
      <c r="I291" s="31"/>
      <c r="J291" s="31"/>
      <c r="K291" s="31"/>
      <c r="L291" s="31"/>
      <c r="M291" s="31"/>
      <c r="N291" s="32"/>
    </row>
    <row r="292" spans="1:14">
      <c r="A292" s="24" t="s">
        <v>29</v>
      </c>
      <c r="B292" s="485">
        <v>28</v>
      </c>
      <c r="C292" s="485">
        <v>28</v>
      </c>
      <c r="D292" s="485">
        <v>33</v>
      </c>
      <c r="E292" s="485">
        <v>368</v>
      </c>
      <c r="F292" s="485">
        <v>187</v>
      </c>
      <c r="G292" s="485">
        <v>38</v>
      </c>
      <c r="H292" s="485">
        <v>62</v>
      </c>
      <c r="I292" s="485">
        <v>0</v>
      </c>
      <c r="J292" s="485">
        <v>9</v>
      </c>
      <c r="K292" s="485">
        <v>0</v>
      </c>
      <c r="L292" s="485">
        <v>0</v>
      </c>
      <c r="M292" s="485">
        <v>7</v>
      </c>
      <c r="N292" s="19">
        <f t="shared" ref="N292:N298" si="43">SUM(B292:M292)</f>
        <v>760</v>
      </c>
    </row>
    <row r="293" spans="1:14">
      <c r="A293" s="24" t="s">
        <v>33</v>
      </c>
      <c r="B293" s="485">
        <v>6</v>
      </c>
      <c r="C293" s="485">
        <v>7</v>
      </c>
      <c r="D293" s="485">
        <v>2</v>
      </c>
      <c r="E293" s="485">
        <v>9</v>
      </c>
      <c r="F293" s="485">
        <v>3</v>
      </c>
      <c r="G293" s="485">
        <v>3</v>
      </c>
      <c r="H293" s="485">
        <v>3</v>
      </c>
      <c r="I293" s="485">
        <v>52</v>
      </c>
      <c r="J293" s="485">
        <v>14</v>
      </c>
      <c r="K293" s="485">
        <v>1</v>
      </c>
      <c r="L293" s="485">
        <v>5</v>
      </c>
      <c r="M293" s="485">
        <v>41</v>
      </c>
      <c r="N293" s="19">
        <f t="shared" si="43"/>
        <v>146</v>
      </c>
    </row>
    <row r="294" spans="1:14">
      <c r="A294" s="24" t="s">
        <v>56</v>
      </c>
      <c r="B294" s="485">
        <v>0</v>
      </c>
      <c r="C294" s="485">
        <v>0</v>
      </c>
      <c r="D294" s="485">
        <v>0</v>
      </c>
      <c r="E294" s="485">
        <v>0</v>
      </c>
      <c r="F294" s="485">
        <v>0</v>
      </c>
      <c r="G294" s="485">
        <v>0</v>
      </c>
      <c r="H294" s="485">
        <v>0</v>
      </c>
      <c r="I294" s="485">
        <v>0</v>
      </c>
      <c r="J294" s="485">
        <v>0</v>
      </c>
      <c r="K294" s="485">
        <v>0</v>
      </c>
      <c r="L294" s="485">
        <v>0</v>
      </c>
      <c r="M294" s="485">
        <v>0</v>
      </c>
      <c r="N294" s="19">
        <f t="shared" si="43"/>
        <v>0</v>
      </c>
    </row>
    <row r="295" spans="1:14">
      <c r="A295" s="54" t="s">
        <v>30</v>
      </c>
      <c r="B295" s="485">
        <v>0</v>
      </c>
      <c r="C295" s="485">
        <v>3</v>
      </c>
      <c r="D295" s="485">
        <v>2</v>
      </c>
      <c r="E295" s="485">
        <v>0</v>
      </c>
      <c r="F295" s="485">
        <v>1</v>
      </c>
      <c r="G295" s="485">
        <v>0</v>
      </c>
      <c r="H295" s="485">
        <v>1</v>
      </c>
      <c r="I295" s="485">
        <v>0</v>
      </c>
      <c r="J295" s="485">
        <v>3</v>
      </c>
      <c r="K295" s="485">
        <v>2</v>
      </c>
      <c r="L295" s="485">
        <v>3</v>
      </c>
      <c r="M295" s="485">
        <v>1</v>
      </c>
      <c r="N295" s="19">
        <f t="shared" si="43"/>
        <v>16</v>
      </c>
    </row>
    <row r="296" spans="1:14">
      <c r="A296" s="53" t="s">
        <v>146</v>
      </c>
      <c r="B296" s="485">
        <v>0</v>
      </c>
      <c r="C296" s="485">
        <v>0</v>
      </c>
      <c r="D296" s="485">
        <v>4</v>
      </c>
      <c r="E296" s="485">
        <v>0</v>
      </c>
      <c r="F296" s="485">
        <v>2</v>
      </c>
      <c r="G296" s="485">
        <v>11</v>
      </c>
      <c r="H296" s="485">
        <v>27</v>
      </c>
      <c r="I296" s="485">
        <v>8</v>
      </c>
      <c r="J296" s="485">
        <v>9</v>
      </c>
      <c r="K296" s="485">
        <v>3</v>
      </c>
      <c r="L296" s="485">
        <v>0</v>
      </c>
      <c r="M296" s="485">
        <v>1</v>
      </c>
      <c r="N296" s="19">
        <f t="shared" si="43"/>
        <v>65</v>
      </c>
    </row>
    <row r="297" spans="1:14">
      <c r="A297" s="53" t="s">
        <v>145</v>
      </c>
      <c r="B297" s="485">
        <v>0</v>
      </c>
      <c r="C297" s="485">
        <v>0</v>
      </c>
      <c r="D297" s="485">
        <v>1</v>
      </c>
      <c r="E297" s="485">
        <v>0</v>
      </c>
      <c r="F297" s="485">
        <v>0</v>
      </c>
      <c r="G297" s="485">
        <v>2</v>
      </c>
      <c r="H297" s="485">
        <v>4</v>
      </c>
      <c r="I297" s="485">
        <v>0</v>
      </c>
      <c r="J297" s="485">
        <v>1</v>
      </c>
      <c r="K297" s="485">
        <v>0</v>
      </c>
      <c r="L297" s="485">
        <v>7</v>
      </c>
      <c r="M297" s="485">
        <v>0</v>
      </c>
      <c r="N297" s="19">
        <f t="shared" si="43"/>
        <v>15</v>
      </c>
    </row>
    <row r="298" spans="1:14" ht="14" thickBot="1">
      <c r="A298" s="53" t="s">
        <v>164</v>
      </c>
      <c r="B298" s="485">
        <v>0</v>
      </c>
      <c r="C298" s="485">
        <v>0</v>
      </c>
      <c r="D298" s="485">
        <v>0</v>
      </c>
      <c r="E298" s="485">
        <v>0</v>
      </c>
      <c r="F298" s="485">
        <v>0</v>
      </c>
      <c r="G298" s="485">
        <v>0</v>
      </c>
      <c r="H298" s="485">
        <v>0</v>
      </c>
      <c r="I298" s="485">
        <v>0</v>
      </c>
      <c r="J298" s="485">
        <v>0</v>
      </c>
      <c r="K298" s="485">
        <v>0</v>
      </c>
      <c r="L298" s="485">
        <v>0</v>
      </c>
      <c r="M298" s="485">
        <v>0</v>
      </c>
      <c r="N298" s="19">
        <f t="shared" si="43"/>
        <v>0</v>
      </c>
    </row>
    <row r="299" spans="1:14" ht="14" thickBot="1">
      <c r="A299" s="30" t="s">
        <v>130</v>
      </c>
      <c r="B299" s="31"/>
      <c r="C299" s="31"/>
      <c r="D299" s="31"/>
      <c r="E299" s="31"/>
      <c r="F299" s="31"/>
      <c r="G299" s="31"/>
      <c r="H299" s="31"/>
      <c r="I299" s="31"/>
      <c r="J299" s="31"/>
      <c r="K299" s="31"/>
      <c r="L299" s="31"/>
      <c r="M299" s="31"/>
      <c r="N299" s="138"/>
    </row>
    <row r="300" spans="1:14">
      <c r="A300" s="53" t="s">
        <v>113</v>
      </c>
      <c r="B300" s="485">
        <v>0</v>
      </c>
      <c r="C300" s="485">
        <v>0</v>
      </c>
      <c r="D300" s="485">
        <v>0</v>
      </c>
      <c r="E300" s="485">
        <v>0</v>
      </c>
      <c r="F300" s="485">
        <v>0</v>
      </c>
      <c r="G300" s="485">
        <v>0</v>
      </c>
      <c r="H300" s="485">
        <v>0</v>
      </c>
      <c r="I300" s="485">
        <v>0</v>
      </c>
      <c r="J300" s="485">
        <v>0</v>
      </c>
      <c r="K300" s="485">
        <v>0</v>
      </c>
      <c r="L300" s="485">
        <v>0</v>
      </c>
      <c r="M300" s="485">
        <v>729</v>
      </c>
      <c r="N300" s="19">
        <f>SUM(B300:M300)</f>
        <v>729</v>
      </c>
    </row>
    <row r="301" spans="1:14">
      <c r="A301" s="53" t="s">
        <v>114</v>
      </c>
      <c r="B301" s="485">
        <v>10</v>
      </c>
      <c r="C301" s="485">
        <v>11</v>
      </c>
      <c r="D301" s="485">
        <v>2</v>
      </c>
      <c r="E301" s="485">
        <v>13</v>
      </c>
      <c r="F301" s="485">
        <v>2</v>
      </c>
      <c r="G301" s="485">
        <v>5</v>
      </c>
      <c r="H301" s="485">
        <v>7</v>
      </c>
      <c r="I301" s="485">
        <v>2</v>
      </c>
      <c r="J301" s="485">
        <v>5</v>
      </c>
      <c r="K301" s="485">
        <v>16</v>
      </c>
      <c r="L301" s="485">
        <v>13</v>
      </c>
      <c r="M301" s="485">
        <v>2</v>
      </c>
      <c r="N301" s="19">
        <f>SUM(B301:M301)</f>
        <v>88</v>
      </c>
    </row>
    <row r="302" spans="1:14">
      <c r="A302" s="53" t="s">
        <v>133</v>
      </c>
      <c r="B302" s="485">
        <v>2</v>
      </c>
      <c r="C302" s="485">
        <v>1</v>
      </c>
      <c r="D302" s="485">
        <v>1</v>
      </c>
      <c r="E302" s="485">
        <v>1</v>
      </c>
      <c r="F302" s="485">
        <v>0</v>
      </c>
      <c r="G302" s="485">
        <v>0</v>
      </c>
      <c r="H302" s="485">
        <v>0</v>
      </c>
      <c r="I302" s="485">
        <v>0</v>
      </c>
      <c r="J302" s="485">
        <v>0</v>
      </c>
      <c r="K302" s="485">
        <v>1</v>
      </c>
      <c r="L302" s="485">
        <v>1</v>
      </c>
      <c r="M302" s="485">
        <v>0</v>
      </c>
      <c r="N302" s="19">
        <f>SUM(B302:M302)</f>
        <v>7</v>
      </c>
    </row>
    <row r="303" spans="1:14" ht="14" thickBot="1">
      <c r="A303" s="53" t="s">
        <v>163</v>
      </c>
      <c r="B303" s="485">
        <v>0</v>
      </c>
      <c r="C303" s="485">
        <v>0</v>
      </c>
      <c r="D303" s="485">
        <v>0</v>
      </c>
      <c r="E303" s="485">
        <v>0</v>
      </c>
      <c r="F303" s="485">
        <v>0</v>
      </c>
      <c r="G303" s="485">
        <v>0</v>
      </c>
      <c r="H303" s="485">
        <v>0</v>
      </c>
      <c r="I303" s="485">
        <v>0</v>
      </c>
      <c r="J303" s="485">
        <v>0</v>
      </c>
      <c r="K303" s="485">
        <v>0</v>
      </c>
      <c r="L303" s="485">
        <v>0</v>
      </c>
      <c r="M303" s="485">
        <v>0</v>
      </c>
      <c r="N303" s="19">
        <f>SUM(B303:M303)</f>
        <v>0</v>
      </c>
    </row>
    <row r="304" spans="1:14" ht="14" thickBot="1">
      <c r="A304" s="131" t="s">
        <v>60</v>
      </c>
      <c r="B304" s="142">
        <f t="shared" ref="B304:M304" si="44">SUM(B292:B303)</f>
        <v>46</v>
      </c>
      <c r="C304" s="143">
        <f t="shared" si="44"/>
        <v>50</v>
      </c>
      <c r="D304" s="143">
        <f t="shared" si="44"/>
        <v>45</v>
      </c>
      <c r="E304" s="143">
        <f t="shared" si="44"/>
        <v>391</v>
      </c>
      <c r="F304" s="143">
        <f t="shared" si="44"/>
        <v>195</v>
      </c>
      <c r="G304" s="143">
        <f t="shared" si="44"/>
        <v>59</v>
      </c>
      <c r="H304" s="143">
        <f t="shared" si="44"/>
        <v>104</v>
      </c>
      <c r="I304" s="143">
        <f t="shared" si="44"/>
        <v>62</v>
      </c>
      <c r="J304" s="143">
        <f t="shared" si="44"/>
        <v>41</v>
      </c>
      <c r="K304" s="143">
        <f t="shared" si="44"/>
        <v>23</v>
      </c>
      <c r="L304" s="143">
        <f t="shared" si="44"/>
        <v>29</v>
      </c>
      <c r="M304" s="140">
        <f t="shared" si="44"/>
        <v>781</v>
      </c>
      <c r="N304" s="140">
        <f>SUM(N292:N303)</f>
        <v>1826</v>
      </c>
    </row>
    <row r="305" spans="1:14" ht="14" thickBot="1">
      <c r="A305" s="40"/>
      <c r="B305" s="144"/>
      <c r="C305" s="144"/>
      <c r="D305" s="144"/>
      <c r="E305" s="144"/>
      <c r="F305" s="144"/>
      <c r="G305" s="144"/>
      <c r="H305" s="144"/>
      <c r="I305" s="144"/>
      <c r="J305" s="144"/>
      <c r="K305" s="144"/>
      <c r="L305" s="144"/>
      <c r="M305" s="144"/>
      <c r="N305" s="41"/>
    </row>
    <row r="306" spans="1:14" ht="14" thickBot="1">
      <c r="A306" s="30" t="s">
        <v>134</v>
      </c>
      <c r="B306" s="31"/>
      <c r="C306" s="31"/>
      <c r="D306" s="31"/>
      <c r="E306" s="31"/>
      <c r="F306" s="31"/>
      <c r="G306" s="31"/>
      <c r="H306" s="31"/>
      <c r="I306" s="31"/>
      <c r="J306" s="31"/>
      <c r="K306" s="31"/>
      <c r="L306" s="31"/>
      <c r="M306" s="31"/>
      <c r="N306" s="32"/>
    </row>
    <row r="307" spans="1:14">
      <c r="A307" s="24" t="s">
        <v>29</v>
      </c>
      <c r="B307" s="485">
        <v>0</v>
      </c>
      <c r="C307" s="485">
        <v>2</v>
      </c>
      <c r="D307" s="485">
        <v>0</v>
      </c>
      <c r="E307" s="485">
        <v>268</v>
      </c>
      <c r="F307" s="485">
        <v>10</v>
      </c>
      <c r="G307" s="485">
        <v>344</v>
      </c>
      <c r="H307" s="485">
        <v>275</v>
      </c>
      <c r="I307" s="485">
        <v>0</v>
      </c>
      <c r="J307" s="485">
        <v>0</v>
      </c>
      <c r="K307" s="485">
        <v>124</v>
      </c>
      <c r="L307" s="485">
        <v>0</v>
      </c>
      <c r="M307" s="485">
        <v>18</v>
      </c>
      <c r="N307" s="19">
        <f>SUM(B307:M307)</f>
        <v>1041</v>
      </c>
    </row>
    <row r="308" spans="1:14">
      <c r="A308" s="54" t="s">
        <v>161</v>
      </c>
      <c r="B308" s="485">
        <v>0</v>
      </c>
      <c r="C308" s="485">
        <v>0</v>
      </c>
      <c r="D308" s="485">
        <v>0</v>
      </c>
      <c r="E308" s="485">
        <v>0</v>
      </c>
      <c r="F308" s="485">
        <v>0</v>
      </c>
      <c r="G308" s="485">
        <v>0</v>
      </c>
      <c r="H308" s="485">
        <v>0</v>
      </c>
      <c r="I308" s="485">
        <v>0</v>
      </c>
      <c r="J308" s="485">
        <v>0</v>
      </c>
      <c r="K308" s="485">
        <v>0</v>
      </c>
      <c r="L308" s="485">
        <v>0</v>
      </c>
      <c r="M308" s="485">
        <v>0</v>
      </c>
      <c r="N308" s="19">
        <f t="shared" ref="N308:N320" si="45">SUM(B308:M308)</f>
        <v>0</v>
      </c>
    </row>
    <row r="309" spans="1:14">
      <c r="A309" s="26" t="s">
        <v>140</v>
      </c>
      <c r="B309" s="485">
        <v>0</v>
      </c>
      <c r="C309" s="485">
        <v>0</v>
      </c>
      <c r="D309" s="485">
        <v>0</v>
      </c>
      <c r="E309" s="485">
        <v>0</v>
      </c>
      <c r="F309" s="485">
        <v>0</v>
      </c>
      <c r="G309" s="485">
        <v>0</v>
      </c>
      <c r="H309" s="485">
        <v>0</v>
      </c>
      <c r="I309" s="485">
        <v>0</v>
      </c>
      <c r="J309" s="485">
        <v>0</v>
      </c>
      <c r="K309" s="485">
        <v>0</v>
      </c>
      <c r="L309" s="485">
        <v>0</v>
      </c>
      <c r="M309" s="485">
        <v>0</v>
      </c>
      <c r="N309" s="19">
        <f t="shared" si="45"/>
        <v>0</v>
      </c>
    </row>
    <row r="310" spans="1:14">
      <c r="A310" s="53" t="s">
        <v>30</v>
      </c>
      <c r="B310" s="485">
        <v>0</v>
      </c>
      <c r="C310" s="485">
        <v>2</v>
      </c>
      <c r="D310" s="485">
        <v>0</v>
      </c>
      <c r="E310" s="485">
        <v>0</v>
      </c>
      <c r="F310" s="485">
        <v>0</v>
      </c>
      <c r="G310" s="485">
        <v>2</v>
      </c>
      <c r="H310" s="485">
        <v>37</v>
      </c>
      <c r="I310" s="485">
        <v>0</v>
      </c>
      <c r="J310" s="485">
        <v>0</v>
      </c>
      <c r="K310" s="485">
        <v>2</v>
      </c>
      <c r="L310" s="485">
        <v>0</v>
      </c>
      <c r="M310" s="485">
        <v>8</v>
      </c>
      <c r="N310" s="19">
        <f t="shared" si="45"/>
        <v>51</v>
      </c>
    </row>
    <row r="311" spans="1:14">
      <c r="A311" s="24" t="s">
        <v>56</v>
      </c>
      <c r="B311" s="485">
        <v>0</v>
      </c>
      <c r="C311" s="485">
        <v>0</v>
      </c>
      <c r="D311" s="485">
        <v>0</v>
      </c>
      <c r="E311" s="485">
        <v>0</v>
      </c>
      <c r="F311" s="485">
        <v>0</v>
      </c>
      <c r="G311" s="485">
        <v>0</v>
      </c>
      <c r="H311" s="485">
        <v>0</v>
      </c>
      <c r="I311" s="485">
        <v>0</v>
      </c>
      <c r="J311" s="485">
        <v>0</v>
      </c>
      <c r="K311" s="485">
        <v>1500</v>
      </c>
      <c r="L311" s="485">
        <v>0</v>
      </c>
      <c r="M311" s="485">
        <v>0</v>
      </c>
      <c r="N311" s="19">
        <f t="shared" si="45"/>
        <v>1500</v>
      </c>
    </row>
    <row r="312" spans="1:14">
      <c r="A312" s="54" t="s">
        <v>89</v>
      </c>
      <c r="B312" s="485">
        <v>0</v>
      </c>
      <c r="C312" s="485">
        <v>0</v>
      </c>
      <c r="D312" s="485">
        <v>0</v>
      </c>
      <c r="E312" s="485">
        <v>0</v>
      </c>
      <c r="F312" s="485">
        <v>0</v>
      </c>
      <c r="G312" s="485">
        <v>0</v>
      </c>
      <c r="H312" s="485">
        <v>0</v>
      </c>
      <c r="I312" s="485">
        <v>0</v>
      </c>
      <c r="J312" s="485">
        <v>0</v>
      </c>
      <c r="K312" s="485">
        <v>0</v>
      </c>
      <c r="L312" s="485">
        <v>0</v>
      </c>
      <c r="M312" s="485">
        <v>0</v>
      </c>
      <c r="N312" s="19">
        <f t="shared" si="45"/>
        <v>0</v>
      </c>
    </row>
    <row r="313" spans="1:14">
      <c r="A313" s="54" t="s">
        <v>124</v>
      </c>
      <c r="B313" s="485">
        <v>0</v>
      </c>
      <c r="C313" s="485">
        <v>0</v>
      </c>
      <c r="D313" s="485">
        <v>0</v>
      </c>
      <c r="E313" s="485">
        <v>0</v>
      </c>
      <c r="F313" s="485">
        <v>0</v>
      </c>
      <c r="G313" s="485">
        <v>0</v>
      </c>
      <c r="H313" s="485">
        <v>0</v>
      </c>
      <c r="I313" s="485">
        <v>0</v>
      </c>
      <c r="J313" s="485">
        <v>0</v>
      </c>
      <c r="K313" s="485">
        <v>0</v>
      </c>
      <c r="L313" s="485">
        <v>0</v>
      </c>
      <c r="M313" s="485">
        <v>0</v>
      </c>
      <c r="N313" s="19">
        <f t="shared" si="45"/>
        <v>0</v>
      </c>
    </row>
    <row r="314" spans="1:14">
      <c r="A314" s="54" t="s">
        <v>127</v>
      </c>
      <c r="B314" s="485">
        <v>0</v>
      </c>
      <c r="C314" s="485">
        <v>0</v>
      </c>
      <c r="D314" s="485">
        <v>0</v>
      </c>
      <c r="E314" s="485">
        <v>0</v>
      </c>
      <c r="F314" s="485">
        <v>0</v>
      </c>
      <c r="G314" s="485">
        <v>0</v>
      </c>
      <c r="H314" s="485">
        <v>0</v>
      </c>
      <c r="I314" s="485">
        <v>0</v>
      </c>
      <c r="J314" s="485">
        <v>0</v>
      </c>
      <c r="K314" s="485">
        <v>0</v>
      </c>
      <c r="L314" s="485">
        <v>0</v>
      </c>
      <c r="M314" s="485">
        <v>0</v>
      </c>
      <c r="N314" s="19">
        <f t="shared" si="45"/>
        <v>0</v>
      </c>
    </row>
    <row r="315" spans="1:14">
      <c r="A315" s="54" t="s">
        <v>128</v>
      </c>
      <c r="B315" s="485">
        <v>0</v>
      </c>
      <c r="C315" s="485">
        <v>0</v>
      </c>
      <c r="D315" s="485">
        <v>0</v>
      </c>
      <c r="E315" s="485">
        <v>0</v>
      </c>
      <c r="F315" s="485">
        <v>0</v>
      </c>
      <c r="G315" s="485">
        <v>0</v>
      </c>
      <c r="H315" s="485">
        <v>0</v>
      </c>
      <c r="I315" s="485">
        <v>0</v>
      </c>
      <c r="J315" s="485">
        <v>0</v>
      </c>
      <c r="K315" s="485">
        <v>0</v>
      </c>
      <c r="L315" s="485">
        <v>0</v>
      </c>
      <c r="M315" s="485">
        <v>0</v>
      </c>
      <c r="N315" s="19">
        <f t="shared" si="45"/>
        <v>0</v>
      </c>
    </row>
    <row r="316" spans="1:14">
      <c r="A316" s="54" t="s">
        <v>146</v>
      </c>
      <c r="B316" s="485">
        <v>1</v>
      </c>
      <c r="C316" s="485">
        <v>0</v>
      </c>
      <c r="D316" s="485">
        <v>2</v>
      </c>
      <c r="E316" s="485">
        <v>0</v>
      </c>
      <c r="F316" s="485">
        <v>0</v>
      </c>
      <c r="G316" s="485">
        <v>0</v>
      </c>
      <c r="H316" s="485">
        <v>4</v>
      </c>
      <c r="I316" s="485">
        <v>1</v>
      </c>
      <c r="J316" s="485">
        <v>2</v>
      </c>
      <c r="K316" s="485">
        <v>0</v>
      </c>
      <c r="L316" s="485">
        <v>0</v>
      </c>
      <c r="M316" s="485">
        <v>0</v>
      </c>
      <c r="N316" s="19">
        <f t="shared" si="45"/>
        <v>10</v>
      </c>
    </row>
    <row r="317" spans="1:14">
      <c r="A317" s="53" t="s">
        <v>164</v>
      </c>
      <c r="B317" s="485">
        <v>0</v>
      </c>
      <c r="C317" s="485">
        <v>0</v>
      </c>
      <c r="D317" s="485">
        <v>0</v>
      </c>
      <c r="E317" s="485">
        <v>0</v>
      </c>
      <c r="F317" s="485">
        <v>0</v>
      </c>
      <c r="G317" s="485">
        <v>0</v>
      </c>
      <c r="H317" s="485">
        <v>0</v>
      </c>
      <c r="I317" s="485">
        <v>0</v>
      </c>
      <c r="J317" s="485">
        <v>0</v>
      </c>
      <c r="K317" s="485">
        <v>0</v>
      </c>
      <c r="L317" s="485">
        <v>0</v>
      </c>
      <c r="M317" s="485">
        <v>0</v>
      </c>
      <c r="N317" s="19">
        <f t="shared" si="45"/>
        <v>0</v>
      </c>
    </row>
    <row r="318" spans="1:14" ht="14" thickBot="1">
      <c r="A318" s="53" t="s">
        <v>165</v>
      </c>
      <c r="B318" s="485">
        <v>0</v>
      </c>
      <c r="C318" s="485">
        <v>0</v>
      </c>
      <c r="D318" s="485">
        <v>0</v>
      </c>
      <c r="E318" s="485">
        <v>0</v>
      </c>
      <c r="F318" s="485">
        <v>0</v>
      </c>
      <c r="G318" s="485">
        <v>0</v>
      </c>
      <c r="H318" s="485">
        <v>0</v>
      </c>
      <c r="I318" s="485">
        <v>0</v>
      </c>
      <c r="J318" s="485">
        <v>0</v>
      </c>
      <c r="K318" s="485">
        <v>0</v>
      </c>
      <c r="L318" s="485">
        <v>0</v>
      </c>
      <c r="M318" s="485">
        <v>525</v>
      </c>
      <c r="N318" s="19">
        <f>SUM(B318:M318)</f>
        <v>525</v>
      </c>
    </row>
    <row r="319" spans="1:14" ht="14" thickBot="1">
      <c r="A319" s="30" t="s">
        <v>132</v>
      </c>
      <c r="B319" s="31"/>
      <c r="C319" s="31"/>
      <c r="D319" s="31"/>
      <c r="E319" s="31"/>
      <c r="F319" s="31"/>
      <c r="G319" s="31"/>
      <c r="H319" s="31"/>
      <c r="I319" s="31"/>
      <c r="J319" s="31"/>
      <c r="K319" s="31"/>
      <c r="L319" s="31"/>
      <c r="M319" s="31"/>
      <c r="N319" s="138"/>
    </row>
    <row r="320" spans="1:14" ht="14" thickBot="1">
      <c r="A320" s="24" t="s">
        <v>113</v>
      </c>
      <c r="B320" s="485">
        <v>0</v>
      </c>
      <c r="C320" s="485">
        <v>0</v>
      </c>
      <c r="D320" s="485">
        <v>0</v>
      </c>
      <c r="E320" s="485">
        <v>0</v>
      </c>
      <c r="F320" s="485">
        <v>0</v>
      </c>
      <c r="G320" s="485">
        <v>0</v>
      </c>
      <c r="H320" s="485">
        <v>0</v>
      </c>
      <c r="I320" s="485">
        <v>0</v>
      </c>
      <c r="J320" s="485">
        <v>0</v>
      </c>
      <c r="K320" s="485">
        <v>0</v>
      </c>
      <c r="L320" s="485">
        <v>0</v>
      </c>
      <c r="M320" s="485">
        <v>3806</v>
      </c>
      <c r="N320" s="19">
        <f t="shared" si="45"/>
        <v>3806</v>
      </c>
    </row>
    <row r="321" spans="1:14" ht="14" thickBot="1">
      <c r="A321" s="131" t="s">
        <v>60</v>
      </c>
      <c r="B321" s="142">
        <f t="shared" ref="B321:M321" si="46">SUM(B307:B320)</f>
        <v>1</v>
      </c>
      <c r="C321" s="143">
        <f t="shared" si="46"/>
        <v>4</v>
      </c>
      <c r="D321" s="143">
        <f t="shared" si="46"/>
        <v>2</v>
      </c>
      <c r="E321" s="143">
        <f t="shared" si="46"/>
        <v>268</v>
      </c>
      <c r="F321" s="143">
        <f t="shared" si="46"/>
        <v>10</v>
      </c>
      <c r="G321" s="143">
        <f t="shared" si="46"/>
        <v>346</v>
      </c>
      <c r="H321" s="143">
        <f t="shared" si="46"/>
        <v>316</v>
      </c>
      <c r="I321" s="143">
        <f t="shared" si="46"/>
        <v>1</v>
      </c>
      <c r="J321" s="143">
        <f t="shared" si="46"/>
        <v>2</v>
      </c>
      <c r="K321" s="143">
        <f t="shared" si="46"/>
        <v>1626</v>
      </c>
      <c r="L321" s="143">
        <f t="shared" si="46"/>
        <v>0</v>
      </c>
      <c r="M321" s="143">
        <f t="shared" si="46"/>
        <v>4357</v>
      </c>
      <c r="N321" s="140">
        <f>SUM(N307:N320)</f>
        <v>6933</v>
      </c>
    </row>
    <row r="323" spans="1:14" ht="14" thickBot="1">
      <c r="B323" s="35" t="s">
        <v>35</v>
      </c>
      <c r="C323" s="35" t="s">
        <v>36</v>
      </c>
      <c r="D323" s="35" t="s">
        <v>37</v>
      </c>
      <c r="E323" s="35" t="s">
        <v>38</v>
      </c>
      <c r="F323" s="35" t="s">
        <v>39</v>
      </c>
      <c r="G323" s="35" t="s">
        <v>40</v>
      </c>
      <c r="H323" s="35" t="s">
        <v>41</v>
      </c>
      <c r="I323" s="35" t="s">
        <v>42</v>
      </c>
      <c r="J323" s="35" t="s">
        <v>43</v>
      </c>
      <c r="K323" s="35" t="s">
        <v>44</v>
      </c>
      <c r="L323" s="35" t="s">
        <v>45</v>
      </c>
      <c r="M323" s="35" t="s">
        <v>46</v>
      </c>
      <c r="N323" s="35" t="s">
        <v>10</v>
      </c>
    </row>
    <row r="324" spans="1:14" ht="17" thickBot="1">
      <c r="A324" s="23" t="s">
        <v>181</v>
      </c>
      <c r="B324" s="16"/>
      <c r="C324" s="16"/>
      <c r="D324" s="15"/>
      <c r="E324" s="15"/>
      <c r="F324" s="17"/>
      <c r="G324" s="17"/>
      <c r="H324" s="15"/>
      <c r="I324" s="15"/>
      <c r="J324" s="15"/>
      <c r="K324" s="15"/>
      <c r="L324" s="16"/>
      <c r="M324" s="16"/>
      <c r="N324" s="18"/>
    </row>
    <row r="325" spans="1:14" ht="14" thickBot="1">
      <c r="A325" s="30" t="s">
        <v>129</v>
      </c>
      <c r="B325" s="31"/>
      <c r="C325" s="31"/>
      <c r="D325" s="31"/>
      <c r="E325" s="31"/>
      <c r="F325" s="31"/>
      <c r="G325" s="31"/>
      <c r="H325" s="31"/>
      <c r="I325" s="31"/>
      <c r="J325" s="31"/>
      <c r="K325" s="31"/>
      <c r="L325" s="31"/>
      <c r="M325" s="31"/>
      <c r="N325" s="32"/>
    </row>
    <row r="326" spans="1:14">
      <c r="A326" s="24" t="s">
        <v>29</v>
      </c>
      <c r="B326" s="485">
        <v>4</v>
      </c>
      <c r="C326" s="485">
        <v>2</v>
      </c>
      <c r="D326" s="485">
        <v>248</v>
      </c>
      <c r="E326" s="485">
        <v>136</v>
      </c>
      <c r="F326" s="485">
        <v>280</v>
      </c>
      <c r="G326" s="485">
        <v>2</v>
      </c>
      <c r="H326" s="485">
        <v>169</v>
      </c>
      <c r="I326" s="485">
        <v>2</v>
      </c>
      <c r="J326" s="485">
        <v>3</v>
      </c>
      <c r="K326" s="485">
        <v>0</v>
      </c>
      <c r="L326" s="485">
        <v>13</v>
      </c>
      <c r="M326" s="485">
        <v>0</v>
      </c>
      <c r="N326" s="19">
        <f t="shared" ref="N326:N333" si="47">SUM(B326:M326)</f>
        <v>859</v>
      </c>
    </row>
    <row r="327" spans="1:14">
      <c r="A327" s="24" t="s">
        <v>33</v>
      </c>
      <c r="B327" s="485">
        <v>4</v>
      </c>
      <c r="C327" s="485">
        <v>1</v>
      </c>
      <c r="D327" s="485">
        <v>6</v>
      </c>
      <c r="E327" s="485">
        <v>28</v>
      </c>
      <c r="F327" s="485">
        <v>7</v>
      </c>
      <c r="G327" s="485">
        <v>2</v>
      </c>
      <c r="H327" s="485">
        <v>6</v>
      </c>
      <c r="I327" s="485">
        <v>19</v>
      </c>
      <c r="J327" s="485">
        <v>2</v>
      </c>
      <c r="K327" s="485">
        <v>2</v>
      </c>
      <c r="L327" s="485">
        <v>13</v>
      </c>
      <c r="M327" s="485">
        <v>11</v>
      </c>
      <c r="N327" s="19">
        <f t="shared" si="47"/>
        <v>101</v>
      </c>
    </row>
    <row r="328" spans="1:14">
      <c r="A328" s="24" t="s">
        <v>56</v>
      </c>
      <c r="B328" s="485">
        <v>0</v>
      </c>
      <c r="C328" s="485">
        <v>0</v>
      </c>
      <c r="D328" s="485">
        <v>0</v>
      </c>
      <c r="E328" s="485">
        <v>0</v>
      </c>
      <c r="F328" s="485">
        <v>30</v>
      </c>
      <c r="G328" s="485">
        <v>0</v>
      </c>
      <c r="H328" s="485">
        <v>0</v>
      </c>
      <c r="I328" s="485">
        <v>0</v>
      </c>
      <c r="J328" s="485">
        <v>0</v>
      </c>
      <c r="K328" s="485">
        <v>0</v>
      </c>
      <c r="L328" s="485">
        <v>0</v>
      </c>
      <c r="M328" s="485">
        <v>0</v>
      </c>
      <c r="N328" s="19">
        <f t="shared" si="47"/>
        <v>30</v>
      </c>
    </row>
    <row r="329" spans="1:14">
      <c r="A329" s="54" t="s">
        <v>30</v>
      </c>
      <c r="B329" s="485">
        <v>1</v>
      </c>
      <c r="C329" s="485">
        <v>1</v>
      </c>
      <c r="D329" s="485">
        <v>2</v>
      </c>
      <c r="E329" s="485">
        <v>0</v>
      </c>
      <c r="F329" s="485">
        <v>1</v>
      </c>
      <c r="G329" s="485">
        <v>0</v>
      </c>
      <c r="H329" s="485">
        <v>1</v>
      </c>
      <c r="I329" s="485">
        <v>0</v>
      </c>
      <c r="J329" s="485">
        <v>1</v>
      </c>
      <c r="K329" s="485">
        <v>1</v>
      </c>
      <c r="L329" s="485">
        <v>6</v>
      </c>
      <c r="M329" s="485">
        <v>1</v>
      </c>
      <c r="N329" s="19">
        <f t="shared" si="47"/>
        <v>15</v>
      </c>
    </row>
    <row r="330" spans="1:14">
      <c r="A330" s="53" t="s">
        <v>146</v>
      </c>
      <c r="B330" s="485">
        <v>0</v>
      </c>
      <c r="C330" s="485">
        <v>0</v>
      </c>
      <c r="D330" s="485">
        <v>0</v>
      </c>
      <c r="E330" s="485">
        <v>1</v>
      </c>
      <c r="F330" s="485">
        <v>0</v>
      </c>
      <c r="G330" s="485">
        <v>0</v>
      </c>
      <c r="H330" s="485">
        <v>1</v>
      </c>
      <c r="I330" s="485">
        <v>1</v>
      </c>
      <c r="J330" s="485">
        <v>1</v>
      </c>
      <c r="K330" s="485">
        <v>0</v>
      </c>
      <c r="L330" s="485">
        <v>0</v>
      </c>
      <c r="M330" s="485">
        <v>1</v>
      </c>
      <c r="N330" s="19">
        <f t="shared" si="47"/>
        <v>5</v>
      </c>
    </row>
    <row r="331" spans="1:14">
      <c r="A331" s="53" t="s">
        <v>145</v>
      </c>
      <c r="B331" s="485">
        <v>4</v>
      </c>
      <c r="C331" s="485">
        <v>0</v>
      </c>
      <c r="D331" s="485">
        <v>0</v>
      </c>
      <c r="E331" s="485">
        <v>0</v>
      </c>
      <c r="F331" s="485">
        <v>102</v>
      </c>
      <c r="G331" s="485">
        <v>22</v>
      </c>
      <c r="H331" s="485">
        <v>0</v>
      </c>
      <c r="I331" s="485">
        <v>2</v>
      </c>
      <c r="J331" s="485">
        <v>2</v>
      </c>
      <c r="K331" s="485">
        <v>0</v>
      </c>
      <c r="L331" s="485">
        <v>2</v>
      </c>
      <c r="M331" s="485">
        <v>62</v>
      </c>
      <c r="N331" s="19">
        <f t="shared" si="47"/>
        <v>196</v>
      </c>
    </row>
    <row r="332" spans="1:14">
      <c r="A332" s="53" t="s">
        <v>187</v>
      </c>
      <c r="B332" s="485">
        <v>0</v>
      </c>
      <c r="C332" s="485">
        <v>0</v>
      </c>
      <c r="D332" s="485">
        <v>0</v>
      </c>
      <c r="E332" s="485">
        <v>0</v>
      </c>
      <c r="F332" s="485">
        <v>0</v>
      </c>
      <c r="G332" s="485">
        <v>0</v>
      </c>
      <c r="H332" s="485">
        <v>0</v>
      </c>
      <c r="I332" s="485">
        <v>0</v>
      </c>
      <c r="J332" s="485">
        <v>0</v>
      </c>
      <c r="K332" s="485">
        <v>0</v>
      </c>
      <c r="L332" s="485">
        <v>0</v>
      </c>
      <c r="M332" s="485">
        <v>0</v>
      </c>
      <c r="N332" s="19">
        <f>SUM(B332:M332)</f>
        <v>0</v>
      </c>
    </row>
    <row r="333" spans="1:14" ht="14" thickBot="1">
      <c r="A333" s="53" t="s">
        <v>164</v>
      </c>
      <c r="B333" s="485">
        <v>0</v>
      </c>
      <c r="C333" s="485">
        <v>0</v>
      </c>
      <c r="D333" s="485">
        <v>0</v>
      </c>
      <c r="E333" s="485">
        <v>0</v>
      </c>
      <c r="F333" s="485">
        <v>0</v>
      </c>
      <c r="G333" s="485">
        <v>0</v>
      </c>
      <c r="H333" s="485">
        <v>0</v>
      </c>
      <c r="I333" s="485">
        <v>0</v>
      </c>
      <c r="J333" s="485">
        <v>0</v>
      </c>
      <c r="K333" s="485">
        <v>0</v>
      </c>
      <c r="L333" s="485">
        <v>0</v>
      </c>
      <c r="M333" s="485">
        <v>0</v>
      </c>
      <c r="N333" s="19">
        <f t="shared" si="47"/>
        <v>0</v>
      </c>
    </row>
    <row r="334" spans="1:14" ht="14" thickBot="1">
      <c r="A334" s="30" t="s">
        <v>130</v>
      </c>
      <c r="B334" s="31"/>
      <c r="C334" s="31"/>
      <c r="D334" s="31"/>
      <c r="E334" s="31"/>
      <c r="F334" s="31"/>
      <c r="G334" s="31"/>
      <c r="H334" s="31"/>
      <c r="I334" s="31"/>
      <c r="J334" s="31"/>
      <c r="K334" s="31"/>
      <c r="L334" s="31"/>
      <c r="M334" s="31"/>
      <c r="N334" s="138"/>
    </row>
    <row r="335" spans="1:14">
      <c r="A335" s="53" t="s">
        <v>113</v>
      </c>
      <c r="B335" s="485">
        <v>0</v>
      </c>
      <c r="C335" s="485">
        <v>0</v>
      </c>
      <c r="D335" s="485">
        <v>183</v>
      </c>
      <c r="E335" s="485">
        <v>42</v>
      </c>
      <c r="F335" s="485">
        <v>0</v>
      </c>
      <c r="G335" s="485">
        <v>13</v>
      </c>
      <c r="H335" s="485">
        <v>25</v>
      </c>
      <c r="I335" s="485">
        <v>25</v>
      </c>
      <c r="J335" s="485">
        <v>25</v>
      </c>
      <c r="K335" s="485">
        <v>50</v>
      </c>
      <c r="L335" s="485">
        <v>50</v>
      </c>
      <c r="M335" s="485">
        <v>14</v>
      </c>
      <c r="N335" s="19">
        <f>SUM(B335:M335)</f>
        <v>427</v>
      </c>
    </row>
    <row r="336" spans="1:14">
      <c r="A336" s="53" t="s">
        <v>114</v>
      </c>
      <c r="B336" s="485">
        <v>0</v>
      </c>
      <c r="C336" s="485">
        <v>0</v>
      </c>
      <c r="D336" s="485">
        <v>1</v>
      </c>
      <c r="E336" s="485">
        <v>1</v>
      </c>
      <c r="F336" s="485">
        <v>0</v>
      </c>
      <c r="G336" s="485">
        <v>1</v>
      </c>
      <c r="H336" s="485">
        <v>2</v>
      </c>
      <c r="I336" s="485">
        <v>1</v>
      </c>
      <c r="J336" s="485">
        <v>1</v>
      </c>
      <c r="K336" s="485">
        <v>0</v>
      </c>
      <c r="L336" s="485">
        <v>3</v>
      </c>
      <c r="M336" s="485">
        <v>1</v>
      </c>
      <c r="N336" s="19">
        <f>SUM(B336:M336)</f>
        <v>11</v>
      </c>
    </row>
    <row r="337" spans="1:14">
      <c r="A337" s="53" t="s">
        <v>189</v>
      </c>
      <c r="B337" s="485">
        <v>0</v>
      </c>
      <c r="C337" s="485">
        <v>0</v>
      </c>
      <c r="D337" s="485">
        <v>3</v>
      </c>
      <c r="E337" s="485">
        <v>8</v>
      </c>
      <c r="F337" s="485">
        <v>2</v>
      </c>
      <c r="G337" s="485">
        <v>0</v>
      </c>
      <c r="H337" s="485">
        <v>0</v>
      </c>
      <c r="I337" s="485">
        <v>1</v>
      </c>
      <c r="J337" s="485">
        <v>3</v>
      </c>
      <c r="K337" s="485">
        <v>2</v>
      </c>
      <c r="L337" s="485">
        <v>2</v>
      </c>
      <c r="M337" s="485">
        <v>0</v>
      </c>
      <c r="N337" s="19">
        <f>SUM(B337:M337)</f>
        <v>21</v>
      </c>
    </row>
    <row r="338" spans="1:14" ht="14" thickBot="1">
      <c r="A338" s="53" t="s">
        <v>163</v>
      </c>
      <c r="B338" s="485">
        <v>1</v>
      </c>
      <c r="C338" s="485">
        <v>0</v>
      </c>
      <c r="D338" s="485">
        <v>0</v>
      </c>
      <c r="E338" s="485">
        <v>0</v>
      </c>
      <c r="F338" s="485">
        <v>0</v>
      </c>
      <c r="G338" s="485">
        <v>0</v>
      </c>
      <c r="H338" s="485">
        <v>0</v>
      </c>
      <c r="I338" s="485">
        <v>1</v>
      </c>
      <c r="J338" s="485">
        <v>0</v>
      </c>
      <c r="K338" s="485">
        <v>3</v>
      </c>
      <c r="L338" s="485">
        <v>1</v>
      </c>
      <c r="M338" s="485">
        <v>0</v>
      </c>
      <c r="N338" s="19">
        <f>SUM(B338:M338)</f>
        <v>6</v>
      </c>
    </row>
    <row r="339" spans="1:14" ht="14" thickBot="1">
      <c r="A339" s="131" t="s">
        <v>60</v>
      </c>
      <c r="B339" s="142">
        <f>SUM(B326:B338)</f>
        <v>14</v>
      </c>
      <c r="C339" s="143">
        <f>SUM(C326:C338)</f>
        <v>4</v>
      </c>
      <c r="D339" s="143">
        <f>SUM(D326:D338)</f>
        <v>443</v>
      </c>
      <c r="E339" s="143">
        <f t="shared" ref="E339:M339" si="48">SUM(E326:E338)</f>
        <v>216</v>
      </c>
      <c r="F339" s="143">
        <f t="shared" si="48"/>
        <v>422</v>
      </c>
      <c r="G339" s="143">
        <f t="shared" si="48"/>
        <v>40</v>
      </c>
      <c r="H339" s="143">
        <f t="shared" si="48"/>
        <v>204</v>
      </c>
      <c r="I339" s="143">
        <f t="shared" si="48"/>
        <v>52</v>
      </c>
      <c r="J339" s="143">
        <f t="shared" si="48"/>
        <v>38</v>
      </c>
      <c r="K339" s="143">
        <f t="shared" si="48"/>
        <v>58</v>
      </c>
      <c r="L339" s="143">
        <f t="shared" si="48"/>
        <v>90</v>
      </c>
      <c r="M339" s="143">
        <f t="shared" si="48"/>
        <v>90</v>
      </c>
      <c r="N339" s="140">
        <f>SUM(N326:N338)</f>
        <v>1671</v>
      </c>
    </row>
    <row r="340" spans="1:14" ht="14" thickBot="1">
      <c r="A340" s="30" t="s">
        <v>134</v>
      </c>
      <c r="B340" s="31"/>
      <c r="C340" s="31"/>
      <c r="D340" s="31"/>
      <c r="E340" s="31"/>
      <c r="F340" s="31"/>
      <c r="G340" s="31"/>
      <c r="H340" s="31"/>
      <c r="I340" s="31"/>
      <c r="J340" s="31"/>
      <c r="K340" s="31"/>
      <c r="L340" s="31"/>
      <c r="M340" s="31"/>
      <c r="N340" s="32"/>
    </row>
    <row r="341" spans="1:14">
      <c r="A341" s="24" t="s">
        <v>29</v>
      </c>
      <c r="B341" s="485">
        <v>0</v>
      </c>
      <c r="C341" s="485">
        <v>0</v>
      </c>
      <c r="D341" s="485">
        <v>254</v>
      </c>
      <c r="E341" s="485">
        <v>0</v>
      </c>
      <c r="F341" s="485">
        <v>8</v>
      </c>
      <c r="G341" s="485">
        <v>0</v>
      </c>
      <c r="H341" s="485">
        <v>0</v>
      </c>
      <c r="I341" s="485">
        <v>0</v>
      </c>
      <c r="J341" s="485">
        <v>93</v>
      </c>
      <c r="K341" s="485">
        <v>0</v>
      </c>
      <c r="L341" s="485">
        <v>0</v>
      </c>
      <c r="M341" s="485">
        <v>0</v>
      </c>
      <c r="N341" s="19">
        <f>SUM(B341:M341)</f>
        <v>355</v>
      </c>
    </row>
    <row r="342" spans="1:14">
      <c r="A342" s="54" t="s">
        <v>161</v>
      </c>
      <c r="B342" s="485">
        <v>0</v>
      </c>
      <c r="C342" s="485">
        <v>0</v>
      </c>
      <c r="D342" s="485">
        <v>0</v>
      </c>
      <c r="E342" s="485">
        <v>0</v>
      </c>
      <c r="F342" s="485">
        <v>0</v>
      </c>
      <c r="G342" s="485">
        <v>0</v>
      </c>
      <c r="H342" s="485">
        <v>0</v>
      </c>
      <c r="I342" s="485">
        <v>0</v>
      </c>
      <c r="J342" s="485">
        <v>0</v>
      </c>
      <c r="K342" s="485">
        <v>0</v>
      </c>
      <c r="L342" s="485">
        <v>0</v>
      </c>
      <c r="M342" s="485">
        <v>0</v>
      </c>
      <c r="N342" s="19">
        <f t="shared" ref="N342:N351" si="49">SUM(B342:M342)</f>
        <v>0</v>
      </c>
    </row>
    <row r="343" spans="1:14">
      <c r="A343" s="26" t="s">
        <v>140</v>
      </c>
      <c r="B343" s="485">
        <v>0</v>
      </c>
      <c r="C343" s="485">
        <v>0</v>
      </c>
      <c r="D343" s="485">
        <v>0</v>
      </c>
      <c r="E343" s="485">
        <v>0</v>
      </c>
      <c r="F343" s="485">
        <v>0</v>
      </c>
      <c r="G343" s="485">
        <v>0</v>
      </c>
      <c r="H343" s="485">
        <v>0</v>
      </c>
      <c r="I343" s="485">
        <v>0</v>
      </c>
      <c r="J343" s="485">
        <v>0</v>
      </c>
      <c r="K343" s="485">
        <v>0</v>
      </c>
      <c r="L343" s="485">
        <v>0</v>
      </c>
      <c r="M343" s="485">
        <v>0</v>
      </c>
      <c r="N343" s="19">
        <f t="shared" si="49"/>
        <v>0</v>
      </c>
    </row>
    <row r="344" spans="1:14">
      <c r="A344" s="53" t="s">
        <v>30</v>
      </c>
      <c r="B344" s="485">
        <v>1</v>
      </c>
      <c r="C344" s="485">
        <v>36</v>
      </c>
      <c r="D344" s="485">
        <v>0</v>
      </c>
      <c r="E344" s="485">
        <v>0</v>
      </c>
      <c r="F344" s="485">
        <v>18</v>
      </c>
      <c r="G344" s="485">
        <v>0</v>
      </c>
      <c r="H344" s="485">
        <v>7</v>
      </c>
      <c r="I344" s="485">
        <v>6</v>
      </c>
      <c r="J344" s="485">
        <v>2</v>
      </c>
      <c r="K344" s="485">
        <v>0</v>
      </c>
      <c r="L344" s="485">
        <v>0</v>
      </c>
      <c r="M344" s="485">
        <v>0</v>
      </c>
      <c r="N344" s="19">
        <f t="shared" si="49"/>
        <v>70</v>
      </c>
    </row>
    <row r="345" spans="1:14">
      <c r="A345" s="24" t="s">
        <v>56</v>
      </c>
      <c r="B345" s="485">
        <v>0</v>
      </c>
      <c r="C345" s="485">
        <v>0</v>
      </c>
      <c r="D345" s="485">
        <v>0</v>
      </c>
      <c r="E345" s="485">
        <v>0</v>
      </c>
      <c r="F345" s="485">
        <v>0</v>
      </c>
      <c r="G345" s="485">
        <v>0</v>
      </c>
      <c r="H345" s="485">
        <v>0</v>
      </c>
      <c r="I345" s="485">
        <v>0</v>
      </c>
      <c r="J345" s="485">
        <v>0</v>
      </c>
      <c r="K345" s="485">
        <v>0</v>
      </c>
      <c r="L345" s="485">
        <v>0</v>
      </c>
      <c r="M345" s="485">
        <v>0</v>
      </c>
      <c r="N345" s="19">
        <f t="shared" si="49"/>
        <v>0</v>
      </c>
    </row>
    <row r="346" spans="1:14">
      <c r="A346" s="54" t="s">
        <v>89</v>
      </c>
      <c r="B346" s="485">
        <v>0</v>
      </c>
      <c r="C346" s="485">
        <v>0</v>
      </c>
      <c r="D346" s="485">
        <v>0</v>
      </c>
      <c r="E346" s="485">
        <v>0</v>
      </c>
      <c r="F346" s="485">
        <v>0</v>
      </c>
      <c r="G346" s="485">
        <v>0</v>
      </c>
      <c r="H346" s="485">
        <v>0</v>
      </c>
      <c r="I346" s="485">
        <v>0</v>
      </c>
      <c r="J346" s="485">
        <v>0</v>
      </c>
      <c r="K346" s="485">
        <v>0</v>
      </c>
      <c r="L346" s="485">
        <v>0</v>
      </c>
      <c r="M346" s="485">
        <v>0</v>
      </c>
      <c r="N346" s="19">
        <f t="shared" si="49"/>
        <v>0</v>
      </c>
    </row>
    <row r="347" spans="1:14">
      <c r="A347" s="54" t="s">
        <v>124</v>
      </c>
      <c r="B347" s="485">
        <v>0</v>
      </c>
      <c r="C347" s="485">
        <v>0</v>
      </c>
      <c r="D347" s="485">
        <v>0</v>
      </c>
      <c r="E347" s="485">
        <v>0</v>
      </c>
      <c r="F347" s="485">
        <v>0</v>
      </c>
      <c r="G347" s="485">
        <v>0</v>
      </c>
      <c r="H347" s="485">
        <v>0</v>
      </c>
      <c r="I347" s="485">
        <v>0</v>
      </c>
      <c r="J347" s="485">
        <v>0</v>
      </c>
      <c r="K347" s="485">
        <v>0</v>
      </c>
      <c r="L347" s="485">
        <v>0</v>
      </c>
      <c r="M347" s="485">
        <v>0</v>
      </c>
      <c r="N347" s="19">
        <f t="shared" si="49"/>
        <v>0</v>
      </c>
    </row>
    <row r="348" spans="1:14">
      <c r="A348" s="54" t="s">
        <v>127</v>
      </c>
      <c r="B348" s="485">
        <v>0</v>
      </c>
      <c r="C348" s="485">
        <v>0</v>
      </c>
      <c r="D348" s="485">
        <v>0</v>
      </c>
      <c r="E348" s="485">
        <v>0</v>
      </c>
      <c r="F348" s="485">
        <v>0</v>
      </c>
      <c r="G348" s="485">
        <v>0</v>
      </c>
      <c r="H348" s="485">
        <v>0</v>
      </c>
      <c r="I348" s="485">
        <v>0</v>
      </c>
      <c r="J348" s="485">
        <v>0</v>
      </c>
      <c r="K348" s="485">
        <v>0</v>
      </c>
      <c r="L348" s="485">
        <v>0</v>
      </c>
      <c r="M348" s="485">
        <v>0</v>
      </c>
      <c r="N348" s="19">
        <f t="shared" si="49"/>
        <v>0</v>
      </c>
    </row>
    <row r="349" spans="1:14">
      <c r="A349" s="54" t="s">
        <v>128</v>
      </c>
      <c r="B349" s="485">
        <v>0</v>
      </c>
      <c r="C349" s="485">
        <v>0</v>
      </c>
      <c r="D349" s="485">
        <v>0</v>
      </c>
      <c r="E349" s="485">
        <v>0</v>
      </c>
      <c r="F349" s="485">
        <v>0</v>
      </c>
      <c r="G349" s="485">
        <v>0</v>
      </c>
      <c r="H349" s="485">
        <v>0</v>
      </c>
      <c r="I349" s="485">
        <v>0</v>
      </c>
      <c r="J349" s="485">
        <v>0</v>
      </c>
      <c r="K349" s="485">
        <v>0</v>
      </c>
      <c r="L349" s="485">
        <v>0</v>
      </c>
      <c r="M349" s="485">
        <v>0</v>
      </c>
      <c r="N349" s="19">
        <f t="shared" si="49"/>
        <v>0</v>
      </c>
    </row>
    <row r="350" spans="1:14">
      <c r="A350" s="54" t="s">
        <v>146</v>
      </c>
      <c r="B350" s="485">
        <v>0</v>
      </c>
      <c r="C350" s="485">
        <v>0</v>
      </c>
      <c r="D350" s="485">
        <v>0</v>
      </c>
      <c r="E350" s="485">
        <v>1</v>
      </c>
      <c r="F350" s="485">
        <v>0</v>
      </c>
      <c r="G350" s="485">
        <v>0</v>
      </c>
      <c r="H350" s="485">
        <v>0</v>
      </c>
      <c r="I350" s="485">
        <v>0</v>
      </c>
      <c r="J350" s="485">
        <v>2</v>
      </c>
      <c r="K350" s="485">
        <v>1</v>
      </c>
      <c r="L350" s="485">
        <v>0</v>
      </c>
      <c r="M350" s="485">
        <v>0</v>
      </c>
      <c r="N350" s="19">
        <f t="shared" si="49"/>
        <v>4</v>
      </c>
    </row>
    <row r="351" spans="1:14">
      <c r="A351" s="53" t="s">
        <v>164</v>
      </c>
      <c r="B351" s="485">
        <v>0</v>
      </c>
      <c r="C351" s="485">
        <v>0</v>
      </c>
      <c r="D351" s="485">
        <v>0</v>
      </c>
      <c r="E351" s="485">
        <v>0</v>
      </c>
      <c r="F351" s="485">
        <v>0</v>
      </c>
      <c r="G351" s="485">
        <v>0</v>
      </c>
      <c r="H351" s="485">
        <v>0</v>
      </c>
      <c r="I351" s="485">
        <v>0</v>
      </c>
      <c r="J351" s="485">
        <v>0</v>
      </c>
      <c r="K351" s="485">
        <v>0</v>
      </c>
      <c r="L351" s="485">
        <v>0</v>
      </c>
      <c r="M351" s="485">
        <v>0</v>
      </c>
      <c r="N351" s="19">
        <f t="shared" si="49"/>
        <v>0</v>
      </c>
    </row>
    <row r="352" spans="1:14" ht="14" thickBot="1">
      <c r="A352" s="53" t="s">
        <v>165</v>
      </c>
      <c r="B352" s="485">
        <v>0</v>
      </c>
      <c r="C352" s="485">
        <v>0</v>
      </c>
      <c r="D352" s="485">
        <v>0</v>
      </c>
      <c r="E352" s="485">
        <v>0</v>
      </c>
      <c r="F352" s="485">
        <v>0</v>
      </c>
      <c r="G352" s="485">
        <v>0</v>
      </c>
      <c r="H352" s="485">
        <v>0</v>
      </c>
      <c r="I352" s="485">
        <v>0</v>
      </c>
      <c r="J352" s="485">
        <v>0</v>
      </c>
      <c r="K352" s="485">
        <v>0</v>
      </c>
      <c r="L352" s="485">
        <v>0</v>
      </c>
      <c r="M352" s="485">
        <v>0</v>
      </c>
      <c r="N352" s="19">
        <f>SUM(B352:M352)</f>
        <v>0</v>
      </c>
    </row>
    <row r="353" spans="1:14" ht="14" thickBot="1">
      <c r="A353" s="30" t="s">
        <v>132</v>
      </c>
      <c r="B353" s="31"/>
      <c r="C353" s="31"/>
      <c r="D353" s="31"/>
      <c r="E353" s="31"/>
      <c r="F353" s="31"/>
      <c r="G353" s="31"/>
      <c r="H353" s="31"/>
      <c r="I353" s="31"/>
      <c r="J353" s="31"/>
      <c r="K353" s="31"/>
      <c r="L353" s="31"/>
      <c r="M353" s="31"/>
      <c r="N353" s="138"/>
    </row>
    <row r="354" spans="1:14" ht="14" thickBot="1">
      <c r="A354" s="24" t="s">
        <v>113</v>
      </c>
      <c r="B354" s="485">
        <v>0</v>
      </c>
      <c r="C354" s="485">
        <v>0</v>
      </c>
      <c r="D354" s="485">
        <v>0</v>
      </c>
      <c r="E354" s="485">
        <v>0</v>
      </c>
      <c r="F354" s="485">
        <v>0</v>
      </c>
      <c r="G354" s="485">
        <v>0</v>
      </c>
      <c r="H354" s="485">
        <v>0</v>
      </c>
      <c r="I354" s="485">
        <v>0</v>
      </c>
      <c r="J354" s="485">
        <v>0</v>
      </c>
      <c r="K354" s="485">
        <v>0</v>
      </c>
      <c r="L354" s="485">
        <v>0</v>
      </c>
      <c r="M354" s="485">
        <v>0</v>
      </c>
      <c r="N354" s="19">
        <f t="shared" ref="N354" si="50">SUM(B354:M354)</f>
        <v>0</v>
      </c>
    </row>
    <row r="355" spans="1:14" ht="14" thickBot="1">
      <c r="A355" s="131" t="s">
        <v>60</v>
      </c>
      <c r="B355" s="142">
        <f>SUM(B341:B354)</f>
        <v>1</v>
      </c>
      <c r="C355" s="143">
        <f t="shared" ref="C355:M355" si="51">SUM(C341:C354)</f>
        <v>36</v>
      </c>
      <c r="D355" s="143">
        <f t="shared" si="51"/>
        <v>254</v>
      </c>
      <c r="E355" s="143">
        <f t="shared" si="51"/>
        <v>1</v>
      </c>
      <c r="F355" s="143">
        <f t="shared" si="51"/>
        <v>26</v>
      </c>
      <c r="G355" s="143">
        <f t="shared" si="51"/>
        <v>0</v>
      </c>
      <c r="H355" s="143">
        <f t="shared" si="51"/>
        <v>7</v>
      </c>
      <c r="I355" s="143">
        <f t="shared" si="51"/>
        <v>6</v>
      </c>
      <c r="J355" s="143">
        <f t="shared" si="51"/>
        <v>97</v>
      </c>
      <c r="K355" s="143">
        <f t="shared" si="51"/>
        <v>1</v>
      </c>
      <c r="L355" s="143">
        <f t="shared" si="51"/>
        <v>0</v>
      </c>
      <c r="M355" s="143">
        <f t="shared" si="51"/>
        <v>0</v>
      </c>
      <c r="N355" s="140">
        <f>SUM(N341:N354)</f>
        <v>429</v>
      </c>
    </row>
    <row r="357" spans="1:14" ht="14" thickBot="1">
      <c r="B357" s="35" t="s">
        <v>35</v>
      </c>
      <c r="C357" s="35" t="s">
        <v>36</v>
      </c>
      <c r="D357" s="35" t="s">
        <v>37</v>
      </c>
      <c r="E357" s="35" t="s">
        <v>38</v>
      </c>
      <c r="F357" s="35" t="s">
        <v>39</v>
      </c>
      <c r="G357" s="35" t="s">
        <v>40</v>
      </c>
      <c r="H357" s="35" t="s">
        <v>41</v>
      </c>
      <c r="I357" s="35" t="s">
        <v>42</v>
      </c>
      <c r="J357" s="35" t="s">
        <v>43</v>
      </c>
      <c r="K357" s="35" t="s">
        <v>44</v>
      </c>
      <c r="L357" s="35" t="s">
        <v>45</v>
      </c>
      <c r="M357" s="35" t="s">
        <v>46</v>
      </c>
      <c r="N357" s="35" t="s">
        <v>10</v>
      </c>
    </row>
    <row r="358" spans="1:14" ht="17" thickBot="1">
      <c r="A358" s="23" t="s">
        <v>193</v>
      </c>
      <c r="B358" s="16"/>
      <c r="C358" s="16"/>
      <c r="D358" s="15"/>
      <c r="E358" s="15"/>
      <c r="F358" s="17"/>
      <c r="G358" s="17"/>
      <c r="H358" s="15"/>
      <c r="I358" s="15"/>
      <c r="J358" s="15"/>
      <c r="K358" s="15"/>
      <c r="L358" s="16"/>
      <c r="M358" s="16"/>
      <c r="N358" s="18"/>
    </row>
    <row r="359" spans="1:14" ht="14" thickBot="1">
      <c r="A359" s="30" t="s">
        <v>129</v>
      </c>
      <c r="B359" s="31"/>
      <c r="C359" s="31"/>
      <c r="D359" s="31"/>
      <c r="E359" s="31"/>
      <c r="F359" s="31"/>
      <c r="G359" s="31"/>
      <c r="H359" s="31"/>
      <c r="I359" s="31"/>
      <c r="J359" s="31"/>
      <c r="K359" s="31"/>
      <c r="L359" s="31"/>
      <c r="M359" s="31"/>
      <c r="N359" s="32"/>
    </row>
    <row r="360" spans="1:14">
      <c r="A360" s="24" t="s">
        <v>29</v>
      </c>
      <c r="B360" s="485">
        <v>48</v>
      </c>
      <c r="C360" s="485">
        <v>23</v>
      </c>
      <c r="D360" s="485">
        <v>47</v>
      </c>
      <c r="E360" s="485">
        <v>37</v>
      </c>
      <c r="F360" s="485">
        <v>2</v>
      </c>
      <c r="G360" s="485">
        <v>3</v>
      </c>
      <c r="H360" s="485">
        <v>0</v>
      </c>
      <c r="I360" s="485">
        <v>1</v>
      </c>
      <c r="J360" s="485">
        <v>3</v>
      </c>
      <c r="K360" s="485">
        <v>3</v>
      </c>
      <c r="L360" s="485">
        <v>4</v>
      </c>
      <c r="M360" s="485">
        <v>0</v>
      </c>
      <c r="N360" s="19">
        <f t="shared" ref="N360:N365" si="52">SUM(B360:M360)</f>
        <v>171</v>
      </c>
    </row>
    <row r="361" spans="1:14">
      <c r="A361" s="24" t="s">
        <v>33</v>
      </c>
      <c r="B361" s="485">
        <v>4</v>
      </c>
      <c r="C361" s="485">
        <v>10</v>
      </c>
      <c r="D361" s="485">
        <v>7</v>
      </c>
      <c r="E361" s="485">
        <v>7</v>
      </c>
      <c r="F361" s="485">
        <v>21</v>
      </c>
      <c r="G361" s="485">
        <v>7</v>
      </c>
      <c r="H361" s="485">
        <v>0</v>
      </c>
      <c r="I361" s="485">
        <v>12</v>
      </c>
      <c r="J361" s="485">
        <v>33</v>
      </c>
      <c r="K361" s="485">
        <v>0</v>
      </c>
      <c r="L361" s="485">
        <v>0</v>
      </c>
      <c r="M361" s="485">
        <v>32</v>
      </c>
      <c r="N361" s="19">
        <f t="shared" si="52"/>
        <v>133</v>
      </c>
    </row>
    <row r="362" spans="1:14">
      <c r="A362" s="24" t="s">
        <v>56</v>
      </c>
      <c r="B362" s="485">
        <v>0</v>
      </c>
      <c r="C362" s="485">
        <v>0</v>
      </c>
      <c r="D362" s="485">
        <v>0</v>
      </c>
      <c r="E362" s="485">
        <v>0</v>
      </c>
      <c r="F362" s="485">
        <v>0</v>
      </c>
      <c r="G362" s="485">
        <v>0</v>
      </c>
      <c r="H362" s="485">
        <v>0</v>
      </c>
      <c r="I362" s="485">
        <v>0</v>
      </c>
      <c r="J362" s="485">
        <v>0</v>
      </c>
      <c r="K362" s="485">
        <v>0</v>
      </c>
      <c r="L362" s="485">
        <v>0</v>
      </c>
      <c r="M362" s="485">
        <v>0</v>
      </c>
      <c r="N362" s="19">
        <f t="shared" si="52"/>
        <v>0</v>
      </c>
    </row>
    <row r="363" spans="1:14">
      <c r="A363" s="54" t="s">
        <v>30</v>
      </c>
      <c r="B363" s="485">
        <v>7</v>
      </c>
      <c r="C363" s="485">
        <v>0</v>
      </c>
      <c r="D363" s="485">
        <v>0</v>
      </c>
      <c r="E363" s="485">
        <v>0</v>
      </c>
      <c r="F363" s="485">
        <v>2</v>
      </c>
      <c r="G363" s="485">
        <v>0</v>
      </c>
      <c r="H363" s="485">
        <v>1</v>
      </c>
      <c r="I363" s="485">
        <v>1</v>
      </c>
      <c r="J363" s="485">
        <v>0</v>
      </c>
      <c r="K363" s="485">
        <v>0</v>
      </c>
      <c r="L363" s="485">
        <v>0</v>
      </c>
      <c r="M363" s="485">
        <v>10</v>
      </c>
      <c r="N363" s="19">
        <f t="shared" si="52"/>
        <v>21</v>
      </c>
    </row>
    <row r="364" spans="1:14">
      <c r="A364" s="53" t="s">
        <v>146</v>
      </c>
      <c r="B364" s="485">
        <v>0</v>
      </c>
      <c r="C364" s="485">
        <v>0</v>
      </c>
      <c r="D364" s="485">
        <v>0</v>
      </c>
      <c r="E364" s="485">
        <v>0</v>
      </c>
      <c r="F364" s="485">
        <v>0</v>
      </c>
      <c r="G364" s="485">
        <v>0</v>
      </c>
      <c r="H364" s="485">
        <v>0</v>
      </c>
      <c r="I364" s="485">
        <v>0</v>
      </c>
      <c r="J364" s="485">
        <v>0</v>
      </c>
      <c r="K364" s="485">
        <v>0</v>
      </c>
      <c r="L364" s="485">
        <v>0</v>
      </c>
      <c r="M364" s="485">
        <v>0</v>
      </c>
      <c r="N364" s="19">
        <f t="shared" si="52"/>
        <v>0</v>
      </c>
    </row>
    <row r="365" spans="1:14">
      <c r="A365" s="53" t="s">
        <v>145</v>
      </c>
      <c r="B365" s="485">
        <v>0</v>
      </c>
      <c r="C365" s="485">
        <v>0</v>
      </c>
      <c r="D365" s="485">
        <v>0</v>
      </c>
      <c r="E365" s="485">
        <v>0</v>
      </c>
      <c r="F365" s="485">
        <v>4</v>
      </c>
      <c r="G365" s="485">
        <v>0</v>
      </c>
      <c r="H365" s="485">
        <v>0</v>
      </c>
      <c r="I365" s="485">
        <v>0</v>
      </c>
      <c r="J365" s="485">
        <v>0</v>
      </c>
      <c r="K365" s="485">
        <v>0</v>
      </c>
      <c r="L365" s="485">
        <v>0</v>
      </c>
      <c r="M365" s="485">
        <v>0</v>
      </c>
      <c r="N365" s="19">
        <f t="shared" si="52"/>
        <v>4</v>
      </c>
    </row>
    <row r="366" spans="1:14">
      <c r="A366" s="53" t="s">
        <v>187</v>
      </c>
      <c r="B366" s="485">
        <v>0</v>
      </c>
      <c r="C366" s="485">
        <v>0</v>
      </c>
      <c r="D366" s="485">
        <v>0</v>
      </c>
      <c r="E366" s="485">
        <v>0</v>
      </c>
      <c r="F366" s="485">
        <v>0</v>
      </c>
      <c r="G366" s="485">
        <v>0</v>
      </c>
      <c r="H366" s="485">
        <v>0</v>
      </c>
      <c r="I366" s="485">
        <v>0</v>
      </c>
      <c r="J366" s="485">
        <v>0</v>
      </c>
      <c r="K366" s="485">
        <v>0</v>
      </c>
      <c r="L366" s="485">
        <v>0</v>
      </c>
      <c r="M366" s="485">
        <v>0</v>
      </c>
      <c r="N366" s="19">
        <f>SUM(B366:M366)</f>
        <v>0</v>
      </c>
    </row>
    <row r="367" spans="1:14" ht="14" thickBot="1">
      <c r="A367" s="53" t="s">
        <v>164</v>
      </c>
      <c r="B367" s="485">
        <v>0</v>
      </c>
      <c r="C367" s="485">
        <v>0</v>
      </c>
      <c r="D367" s="485">
        <v>0</v>
      </c>
      <c r="E367" s="485">
        <v>0</v>
      </c>
      <c r="F367" s="485">
        <v>0</v>
      </c>
      <c r="G367" s="485">
        <v>0</v>
      </c>
      <c r="H367" s="485">
        <v>0</v>
      </c>
      <c r="I367" s="485">
        <v>0</v>
      </c>
      <c r="J367" s="485">
        <v>0</v>
      </c>
      <c r="K367" s="485">
        <v>0</v>
      </c>
      <c r="L367" s="485">
        <v>0</v>
      </c>
      <c r="M367" s="485">
        <v>0</v>
      </c>
      <c r="N367" s="19">
        <f t="shared" ref="N367" si="53">SUM(B367:M367)</f>
        <v>0</v>
      </c>
    </row>
    <row r="368" spans="1:14" ht="14" thickBot="1">
      <c r="A368" s="30" t="s">
        <v>130</v>
      </c>
      <c r="B368" s="31"/>
      <c r="C368" s="31"/>
      <c r="D368" s="31"/>
      <c r="E368" s="31"/>
      <c r="F368" s="31"/>
      <c r="G368" s="31"/>
      <c r="H368" s="31"/>
      <c r="I368" s="31"/>
      <c r="J368" s="31"/>
      <c r="K368" s="31"/>
      <c r="L368" s="31"/>
      <c r="M368" s="31"/>
      <c r="N368" s="138"/>
    </row>
    <row r="369" spans="1:14">
      <c r="A369" s="53" t="s">
        <v>113</v>
      </c>
      <c r="B369" s="485">
        <v>50</v>
      </c>
      <c r="C369" s="485">
        <v>50</v>
      </c>
      <c r="D369" s="485">
        <v>0</v>
      </c>
      <c r="E369" s="485">
        <v>0</v>
      </c>
      <c r="F369" s="485">
        <v>0</v>
      </c>
      <c r="G369" s="485">
        <v>0</v>
      </c>
      <c r="H369" s="485">
        <v>25</v>
      </c>
      <c r="I369" s="485">
        <v>0</v>
      </c>
      <c r="J369" s="485">
        <v>0</v>
      </c>
      <c r="K369" s="485">
        <v>112</v>
      </c>
      <c r="L369" s="485">
        <v>0</v>
      </c>
      <c r="M369" s="485">
        <v>0</v>
      </c>
      <c r="N369" s="19">
        <f>SUM(B369:M369)</f>
        <v>237</v>
      </c>
    </row>
    <row r="370" spans="1:14">
      <c r="A370" s="53" t="s">
        <v>114</v>
      </c>
      <c r="B370" s="485">
        <v>5</v>
      </c>
      <c r="C370" s="485">
        <v>2</v>
      </c>
      <c r="D370" s="485">
        <v>2</v>
      </c>
      <c r="E370" s="485">
        <v>3</v>
      </c>
      <c r="F370" s="485">
        <v>0</v>
      </c>
      <c r="G370" s="485">
        <v>1</v>
      </c>
      <c r="H370" s="485">
        <v>0</v>
      </c>
      <c r="I370" s="485">
        <v>1</v>
      </c>
      <c r="J370" s="485">
        <v>0</v>
      </c>
      <c r="K370" s="485">
        <v>0</v>
      </c>
      <c r="L370" s="485">
        <v>0</v>
      </c>
      <c r="M370" s="485">
        <v>0</v>
      </c>
      <c r="N370" s="19">
        <f>SUM(B370:M370)</f>
        <v>14</v>
      </c>
    </row>
    <row r="371" spans="1:14">
      <c r="A371" s="53" t="s">
        <v>189</v>
      </c>
      <c r="B371" s="485">
        <v>2</v>
      </c>
      <c r="C371" s="485">
        <v>1</v>
      </c>
      <c r="D371" s="485">
        <v>1</v>
      </c>
      <c r="E371" s="485">
        <v>1</v>
      </c>
      <c r="F371" s="485">
        <v>0</v>
      </c>
      <c r="G371" s="485">
        <v>0</v>
      </c>
      <c r="H371" s="485">
        <v>1</v>
      </c>
      <c r="I371" s="485">
        <v>2</v>
      </c>
      <c r="J371" s="485">
        <v>1</v>
      </c>
      <c r="K371" s="485">
        <v>0</v>
      </c>
      <c r="L371" s="485">
        <v>2</v>
      </c>
      <c r="M371" s="485">
        <v>1</v>
      </c>
      <c r="N371" s="19">
        <f>SUM(B371:M371)</f>
        <v>12</v>
      </c>
    </row>
    <row r="372" spans="1:14" ht="14" thickBot="1">
      <c r="A372" s="53" t="s">
        <v>163</v>
      </c>
      <c r="B372" s="485">
        <v>0</v>
      </c>
      <c r="C372" s="485">
        <v>0</v>
      </c>
      <c r="D372" s="485">
        <v>3</v>
      </c>
      <c r="E372" s="485">
        <v>0</v>
      </c>
      <c r="F372" s="485">
        <v>1</v>
      </c>
      <c r="G372" s="485">
        <v>1</v>
      </c>
      <c r="H372" s="485">
        <v>1</v>
      </c>
      <c r="I372" s="485">
        <v>0</v>
      </c>
      <c r="J372" s="485">
        <v>3</v>
      </c>
      <c r="K372" s="485">
        <v>2</v>
      </c>
      <c r="L372" s="485">
        <v>9</v>
      </c>
      <c r="M372" s="485">
        <v>0</v>
      </c>
      <c r="N372" s="19">
        <f>SUM(B372:M372)</f>
        <v>20</v>
      </c>
    </row>
    <row r="373" spans="1:14" ht="14" thickBot="1">
      <c r="A373" s="131" t="s">
        <v>60</v>
      </c>
      <c r="B373" s="142">
        <f>SUM(B360:B372)</f>
        <v>116</v>
      </c>
      <c r="C373" s="143">
        <f>SUM(C360:C372)</f>
        <v>86</v>
      </c>
      <c r="D373" s="143">
        <f>SUM(D360:D372)</f>
        <v>60</v>
      </c>
      <c r="E373" s="143">
        <f t="shared" ref="E373:M373" si="54">SUM(E360:E372)</f>
        <v>48</v>
      </c>
      <c r="F373" s="143">
        <f t="shared" si="54"/>
        <v>30</v>
      </c>
      <c r="G373" s="143">
        <f t="shared" si="54"/>
        <v>12</v>
      </c>
      <c r="H373" s="143">
        <f t="shared" si="54"/>
        <v>28</v>
      </c>
      <c r="I373" s="143">
        <f t="shared" si="54"/>
        <v>17</v>
      </c>
      <c r="J373" s="143">
        <f t="shared" si="54"/>
        <v>40</v>
      </c>
      <c r="K373" s="143">
        <f t="shared" si="54"/>
        <v>117</v>
      </c>
      <c r="L373" s="143">
        <f t="shared" si="54"/>
        <v>15</v>
      </c>
      <c r="M373" s="143">
        <f t="shared" si="54"/>
        <v>43</v>
      </c>
      <c r="N373" s="140">
        <f>SUM(N360:N372)</f>
        <v>612</v>
      </c>
    </row>
    <row r="374" spans="1:14" ht="14" thickBot="1">
      <c r="A374" s="30" t="s">
        <v>134</v>
      </c>
      <c r="B374" s="31"/>
      <c r="C374" s="31"/>
      <c r="D374" s="31"/>
      <c r="E374" s="31"/>
      <c r="F374" s="31"/>
      <c r="G374" s="31"/>
      <c r="H374" s="31"/>
      <c r="I374" s="31"/>
      <c r="J374" s="31"/>
      <c r="K374" s="31"/>
      <c r="L374" s="31"/>
      <c r="M374" s="31"/>
      <c r="N374" s="32"/>
    </row>
    <row r="375" spans="1:14">
      <c r="A375" s="24" t="s">
        <v>29</v>
      </c>
      <c r="B375" s="485">
        <v>0</v>
      </c>
      <c r="C375" s="485">
        <v>0</v>
      </c>
      <c r="D375" s="485">
        <v>0</v>
      </c>
      <c r="E375" s="485">
        <v>187</v>
      </c>
      <c r="F375" s="485">
        <v>0</v>
      </c>
      <c r="G375" s="485">
        <v>0</v>
      </c>
      <c r="H375" s="485">
        <v>0</v>
      </c>
      <c r="I375" s="485">
        <v>0</v>
      </c>
      <c r="J375" s="485">
        <v>0</v>
      </c>
      <c r="K375" s="485">
        <v>0</v>
      </c>
      <c r="L375" s="485">
        <v>106</v>
      </c>
      <c r="M375" s="485">
        <v>0</v>
      </c>
      <c r="N375" s="19">
        <f>SUM(B375:M375)</f>
        <v>293</v>
      </c>
    </row>
    <row r="376" spans="1:14">
      <c r="A376" s="54" t="s">
        <v>161</v>
      </c>
      <c r="B376" s="485">
        <v>0</v>
      </c>
      <c r="C376" s="485">
        <v>0</v>
      </c>
      <c r="D376" s="485">
        <v>0</v>
      </c>
      <c r="E376" s="485">
        <v>0</v>
      </c>
      <c r="F376" s="485">
        <v>0</v>
      </c>
      <c r="G376" s="485">
        <v>0</v>
      </c>
      <c r="H376" s="485">
        <v>0</v>
      </c>
      <c r="I376" s="485">
        <v>0</v>
      </c>
      <c r="J376" s="485">
        <v>0</v>
      </c>
      <c r="K376" s="485">
        <v>0</v>
      </c>
      <c r="L376" s="485">
        <v>0</v>
      </c>
      <c r="M376" s="485">
        <v>0</v>
      </c>
      <c r="N376" s="19">
        <f t="shared" ref="N376:N385" si="55">SUM(B376:M376)</f>
        <v>0</v>
      </c>
    </row>
    <row r="377" spans="1:14">
      <c r="A377" s="26" t="s">
        <v>140</v>
      </c>
      <c r="B377" s="485">
        <v>0</v>
      </c>
      <c r="C377" s="485">
        <v>0</v>
      </c>
      <c r="D377" s="485">
        <v>0</v>
      </c>
      <c r="E377" s="485">
        <v>0</v>
      </c>
      <c r="F377" s="485">
        <v>0</v>
      </c>
      <c r="G377" s="485">
        <v>0</v>
      </c>
      <c r="H377" s="485">
        <v>0</v>
      </c>
      <c r="I377" s="485">
        <v>0</v>
      </c>
      <c r="J377" s="485">
        <v>0</v>
      </c>
      <c r="K377" s="485">
        <v>0</v>
      </c>
      <c r="L377" s="485">
        <v>0</v>
      </c>
      <c r="M377" s="485">
        <v>0</v>
      </c>
      <c r="N377" s="19">
        <f t="shared" si="55"/>
        <v>0</v>
      </c>
    </row>
    <row r="378" spans="1:14">
      <c r="A378" s="53" t="s">
        <v>30</v>
      </c>
      <c r="B378" s="485">
        <v>0</v>
      </c>
      <c r="C378" s="485">
        <v>0</v>
      </c>
      <c r="D378" s="485">
        <v>2</v>
      </c>
      <c r="E378" s="485">
        <v>0</v>
      </c>
      <c r="F378" s="485">
        <v>0</v>
      </c>
      <c r="G378" s="485">
        <v>0</v>
      </c>
      <c r="H378" s="485">
        <v>0</v>
      </c>
      <c r="I378" s="485">
        <v>0</v>
      </c>
      <c r="J378" s="485">
        <v>0</v>
      </c>
      <c r="K378" s="485">
        <v>0</v>
      </c>
      <c r="L378" s="485">
        <v>7</v>
      </c>
      <c r="M378" s="485">
        <v>0</v>
      </c>
      <c r="N378" s="19">
        <f>SUM(B378:M378)</f>
        <v>9</v>
      </c>
    </row>
    <row r="379" spans="1:14">
      <c r="A379" s="24" t="s">
        <v>56</v>
      </c>
      <c r="B379" s="485">
        <v>0</v>
      </c>
      <c r="C379" s="485">
        <v>0</v>
      </c>
      <c r="D379" s="485">
        <v>0</v>
      </c>
      <c r="E379" s="485">
        <v>0</v>
      </c>
      <c r="F379" s="485">
        <v>0</v>
      </c>
      <c r="G379" s="485">
        <v>0</v>
      </c>
      <c r="H379" s="485">
        <v>0</v>
      </c>
      <c r="I379" s="485">
        <v>0</v>
      </c>
      <c r="J379" s="485">
        <v>0</v>
      </c>
      <c r="K379" s="485">
        <v>0</v>
      </c>
      <c r="L379" s="485">
        <v>5050</v>
      </c>
      <c r="M379" s="485">
        <v>0</v>
      </c>
      <c r="N379" s="19">
        <f t="shared" si="55"/>
        <v>5050</v>
      </c>
    </row>
    <row r="380" spans="1:14">
      <c r="A380" s="54" t="s">
        <v>89</v>
      </c>
      <c r="B380" s="485">
        <v>0</v>
      </c>
      <c r="C380" s="485">
        <v>0</v>
      </c>
      <c r="D380" s="485">
        <v>0</v>
      </c>
      <c r="E380" s="485">
        <v>0</v>
      </c>
      <c r="F380" s="485">
        <v>0</v>
      </c>
      <c r="G380" s="485">
        <v>0</v>
      </c>
      <c r="H380" s="485">
        <v>0</v>
      </c>
      <c r="I380" s="485">
        <v>0</v>
      </c>
      <c r="J380" s="485">
        <v>0</v>
      </c>
      <c r="K380" s="485">
        <v>0</v>
      </c>
      <c r="L380" s="485">
        <v>0</v>
      </c>
      <c r="M380" s="485">
        <v>0</v>
      </c>
      <c r="N380" s="19">
        <f t="shared" si="55"/>
        <v>0</v>
      </c>
    </row>
    <row r="381" spans="1:14">
      <c r="A381" s="54" t="s">
        <v>124</v>
      </c>
      <c r="B381" s="485">
        <v>0</v>
      </c>
      <c r="C381" s="485">
        <v>0</v>
      </c>
      <c r="D381" s="485">
        <v>0</v>
      </c>
      <c r="E381" s="485">
        <v>0</v>
      </c>
      <c r="F381" s="485">
        <v>0</v>
      </c>
      <c r="G381" s="485">
        <v>0</v>
      </c>
      <c r="H381" s="485">
        <v>0</v>
      </c>
      <c r="I381" s="485">
        <v>0</v>
      </c>
      <c r="J381" s="485">
        <v>0</v>
      </c>
      <c r="K381" s="485">
        <v>0</v>
      </c>
      <c r="L381" s="485">
        <v>0</v>
      </c>
      <c r="M381" s="485">
        <v>0</v>
      </c>
      <c r="N381" s="19">
        <f t="shared" si="55"/>
        <v>0</v>
      </c>
    </row>
    <row r="382" spans="1:14">
      <c r="A382" s="54" t="s">
        <v>127</v>
      </c>
      <c r="B382" s="485">
        <v>0</v>
      </c>
      <c r="C382" s="485">
        <v>0</v>
      </c>
      <c r="D382" s="485">
        <v>0</v>
      </c>
      <c r="E382" s="485">
        <v>0</v>
      </c>
      <c r="F382" s="485">
        <v>0</v>
      </c>
      <c r="G382" s="485">
        <v>0</v>
      </c>
      <c r="H382" s="485">
        <v>0</v>
      </c>
      <c r="I382" s="485">
        <v>0</v>
      </c>
      <c r="J382" s="485">
        <v>0</v>
      </c>
      <c r="K382" s="485">
        <v>0</v>
      </c>
      <c r="L382" s="485">
        <v>0</v>
      </c>
      <c r="M382" s="485">
        <v>0</v>
      </c>
      <c r="N382" s="19">
        <f t="shared" si="55"/>
        <v>0</v>
      </c>
    </row>
    <row r="383" spans="1:14">
      <c r="A383" s="54" t="s">
        <v>128</v>
      </c>
      <c r="B383" s="485">
        <v>0</v>
      </c>
      <c r="C383" s="485">
        <v>0</v>
      </c>
      <c r="D383" s="485">
        <v>0</v>
      </c>
      <c r="E383" s="485">
        <v>0</v>
      </c>
      <c r="F383" s="485">
        <v>0</v>
      </c>
      <c r="G383" s="485">
        <v>0</v>
      </c>
      <c r="H383" s="485">
        <v>1</v>
      </c>
      <c r="I383" s="485">
        <v>0</v>
      </c>
      <c r="J383" s="485">
        <v>0</v>
      </c>
      <c r="K383" s="485">
        <v>0</v>
      </c>
      <c r="L383" s="485">
        <v>0</v>
      </c>
      <c r="M383" s="485">
        <v>0</v>
      </c>
      <c r="N383" s="19">
        <f t="shared" si="55"/>
        <v>1</v>
      </c>
    </row>
    <row r="384" spans="1:14">
      <c r="A384" s="54" t="s">
        <v>146</v>
      </c>
      <c r="B384" s="485">
        <v>0</v>
      </c>
      <c r="C384" s="485">
        <v>0</v>
      </c>
      <c r="D384" s="485">
        <v>0</v>
      </c>
      <c r="E384" s="485">
        <v>0</v>
      </c>
      <c r="F384" s="485">
        <v>0</v>
      </c>
      <c r="G384" s="485">
        <v>0</v>
      </c>
      <c r="H384" s="485">
        <v>0</v>
      </c>
      <c r="I384" s="485">
        <v>0</v>
      </c>
      <c r="J384" s="485">
        <v>0</v>
      </c>
      <c r="K384" s="485">
        <v>0</v>
      </c>
      <c r="L384" s="485">
        <v>0</v>
      </c>
      <c r="M384" s="485">
        <v>0</v>
      </c>
      <c r="N384" s="19">
        <f t="shared" si="55"/>
        <v>0</v>
      </c>
    </row>
    <row r="385" spans="1:14">
      <c r="A385" s="53" t="s">
        <v>164</v>
      </c>
      <c r="B385" s="485">
        <v>0</v>
      </c>
      <c r="C385" s="485">
        <v>0</v>
      </c>
      <c r="D385" s="485">
        <v>0</v>
      </c>
      <c r="E385" s="485">
        <v>0</v>
      </c>
      <c r="F385" s="485">
        <v>0</v>
      </c>
      <c r="G385" s="485">
        <v>0</v>
      </c>
      <c r="H385" s="485">
        <v>0</v>
      </c>
      <c r="I385" s="485">
        <v>0</v>
      </c>
      <c r="J385" s="485">
        <v>0</v>
      </c>
      <c r="K385" s="485">
        <v>0</v>
      </c>
      <c r="L385" s="485">
        <v>0</v>
      </c>
      <c r="M385" s="485">
        <v>0</v>
      </c>
      <c r="N385" s="19">
        <f t="shared" si="55"/>
        <v>0</v>
      </c>
    </row>
    <row r="386" spans="1:14" ht="14" thickBot="1">
      <c r="A386" s="53" t="s">
        <v>165</v>
      </c>
      <c r="B386" s="485">
        <v>0</v>
      </c>
      <c r="C386" s="485">
        <v>0</v>
      </c>
      <c r="D386" s="485">
        <v>0</v>
      </c>
      <c r="E386" s="485">
        <v>0</v>
      </c>
      <c r="F386" s="485">
        <v>0</v>
      </c>
      <c r="G386" s="485">
        <v>0</v>
      </c>
      <c r="H386" s="485">
        <v>0</v>
      </c>
      <c r="I386" s="485">
        <v>0</v>
      </c>
      <c r="J386" s="485">
        <v>0</v>
      </c>
      <c r="K386" s="485">
        <v>731</v>
      </c>
      <c r="L386" s="485">
        <v>0</v>
      </c>
      <c r="M386" s="485">
        <v>344</v>
      </c>
      <c r="N386" s="19">
        <f>SUM(B386:M386)</f>
        <v>1075</v>
      </c>
    </row>
    <row r="387" spans="1:14" ht="14" thickBot="1">
      <c r="A387" s="30" t="s">
        <v>132</v>
      </c>
      <c r="B387" s="31"/>
      <c r="C387" s="31"/>
      <c r="D387" s="31"/>
      <c r="E387" s="31"/>
      <c r="F387" s="31"/>
      <c r="G387" s="31"/>
      <c r="H387" s="31"/>
      <c r="I387" s="31"/>
      <c r="J387" s="31"/>
      <c r="K387" s="31"/>
      <c r="L387" s="31"/>
      <c r="M387" s="31"/>
      <c r="N387" s="138"/>
    </row>
    <row r="388" spans="1:14" ht="14" thickBot="1">
      <c r="A388" s="24" t="s">
        <v>113</v>
      </c>
      <c r="B388" s="485">
        <v>0</v>
      </c>
      <c r="C388" s="485">
        <v>0</v>
      </c>
      <c r="D388" s="485">
        <v>0</v>
      </c>
      <c r="E388" s="485">
        <v>0</v>
      </c>
      <c r="F388" s="485">
        <v>0</v>
      </c>
      <c r="G388" s="485">
        <v>0</v>
      </c>
      <c r="H388" s="485">
        <v>0</v>
      </c>
      <c r="I388" s="485">
        <v>350</v>
      </c>
      <c r="J388" s="485">
        <v>0</v>
      </c>
      <c r="K388" s="485">
        <v>2530</v>
      </c>
      <c r="L388" s="485">
        <v>0</v>
      </c>
      <c r="M388" s="485">
        <v>0</v>
      </c>
      <c r="N388" s="19">
        <f t="shared" ref="N388" si="56">SUM(B388:M388)</f>
        <v>2880</v>
      </c>
    </row>
    <row r="389" spans="1:14" ht="14" thickBot="1">
      <c r="A389" s="131" t="s">
        <v>60</v>
      </c>
      <c r="B389" s="142">
        <f>SUM(B375:B388)</f>
        <v>0</v>
      </c>
      <c r="C389" s="143">
        <f t="shared" ref="C389:M389" si="57">SUM(C375:C388)</f>
        <v>0</v>
      </c>
      <c r="D389" s="143">
        <f t="shared" si="57"/>
        <v>2</v>
      </c>
      <c r="E389" s="143">
        <f t="shared" si="57"/>
        <v>187</v>
      </c>
      <c r="F389" s="143">
        <f t="shared" si="57"/>
        <v>0</v>
      </c>
      <c r="G389" s="143">
        <f t="shared" si="57"/>
        <v>0</v>
      </c>
      <c r="H389" s="143">
        <f t="shared" si="57"/>
        <v>1</v>
      </c>
      <c r="I389" s="143">
        <f t="shared" si="57"/>
        <v>350</v>
      </c>
      <c r="J389" s="143">
        <f t="shared" si="57"/>
        <v>0</v>
      </c>
      <c r="K389" s="143">
        <f t="shared" si="57"/>
        <v>3261</v>
      </c>
      <c r="L389" s="143">
        <f t="shared" si="57"/>
        <v>5163</v>
      </c>
      <c r="M389" s="143">
        <f t="shared" si="57"/>
        <v>344</v>
      </c>
      <c r="N389" s="140">
        <f>SUM(N375:N388)</f>
        <v>9308</v>
      </c>
    </row>
    <row r="391" spans="1:14" ht="14" thickBot="1">
      <c r="B391" s="35" t="s">
        <v>35</v>
      </c>
      <c r="C391" s="35" t="s">
        <v>36</v>
      </c>
      <c r="D391" s="35" t="s">
        <v>37</v>
      </c>
      <c r="E391" s="35" t="s">
        <v>38</v>
      </c>
      <c r="F391" s="35" t="s">
        <v>39</v>
      </c>
      <c r="G391" s="35" t="s">
        <v>40</v>
      </c>
      <c r="H391" s="35" t="s">
        <v>41</v>
      </c>
      <c r="I391" s="35" t="s">
        <v>42</v>
      </c>
      <c r="J391" s="35" t="s">
        <v>43</v>
      </c>
      <c r="K391" s="35" t="s">
        <v>44</v>
      </c>
      <c r="L391" s="35" t="s">
        <v>45</v>
      </c>
      <c r="M391" s="35" t="s">
        <v>46</v>
      </c>
      <c r="N391" s="35" t="s">
        <v>10</v>
      </c>
    </row>
    <row r="392" spans="1:14" ht="17" thickBot="1">
      <c r="A392" s="23" t="s">
        <v>207</v>
      </c>
      <c r="B392" s="16"/>
      <c r="C392" s="16"/>
      <c r="D392" s="15"/>
      <c r="E392" s="15"/>
      <c r="F392" s="17"/>
      <c r="G392" s="17"/>
      <c r="H392" s="15"/>
      <c r="I392" s="15"/>
      <c r="J392" s="15"/>
      <c r="K392" s="15"/>
      <c r="L392" s="16"/>
      <c r="M392" s="16"/>
      <c r="N392" s="18"/>
    </row>
    <row r="393" spans="1:14" ht="14" thickBot="1">
      <c r="A393" s="30" t="s">
        <v>129</v>
      </c>
      <c r="B393" s="31"/>
      <c r="C393" s="31"/>
      <c r="D393" s="31"/>
      <c r="E393" s="31"/>
      <c r="F393" s="31"/>
      <c r="G393" s="31"/>
      <c r="H393" s="31"/>
      <c r="I393" s="31"/>
      <c r="J393" s="31"/>
      <c r="K393" s="31"/>
      <c r="L393" s="31"/>
      <c r="M393" s="31"/>
      <c r="N393" s="32"/>
    </row>
    <row r="394" spans="1:14">
      <c r="A394" s="24" t="s">
        <v>29</v>
      </c>
      <c r="B394" s="485">
        <v>0</v>
      </c>
      <c r="C394" s="485">
        <v>1</v>
      </c>
      <c r="D394" s="485">
        <v>0</v>
      </c>
      <c r="E394" s="485">
        <v>0</v>
      </c>
      <c r="F394" s="485">
        <v>0</v>
      </c>
      <c r="G394" s="485">
        <v>0</v>
      </c>
      <c r="H394" s="485">
        <v>0</v>
      </c>
      <c r="I394" s="485">
        <v>0</v>
      </c>
      <c r="J394" s="485">
        <v>1</v>
      </c>
      <c r="K394" s="485">
        <v>0</v>
      </c>
      <c r="L394" s="485">
        <v>0</v>
      </c>
      <c r="M394" s="485">
        <v>52</v>
      </c>
      <c r="N394" s="19">
        <f>SUM(B394:M394)</f>
        <v>54</v>
      </c>
    </row>
    <row r="395" spans="1:14">
      <c r="A395" s="24" t="s">
        <v>33</v>
      </c>
      <c r="B395" s="485">
        <v>1</v>
      </c>
      <c r="C395" s="485">
        <v>1</v>
      </c>
      <c r="D395" s="485">
        <v>25</v>
      </c>
      <c r="E395" s="485">
        <v>2</v>
      </c>
      <c r="F395" s="485">
        <v>5</v>
      </c>
      <c r="G395" s="485">
        <v>7</v>
      </c>
      <c r="H395" s="485">
        <v>5</v>
      </c>
      <c r="I395" s="485">
        <v>4</v>
      </c>
      <c r="J395" s="485">
        <v>4</v>
      </c>
      <c r="K395" s="485">
        <v>2</v>
      </c>
      <c r="L395" s="485">
        <v>41</v>
      </c>
      <c r="M395" s="485">
        <v>26</v>
      </c>
      <c r="N395" s="19">
        <f t="shared" ref="N395:N408" si="58">SUM(B395:M395)</f>
        <v>123</v>
      </c>
    </row>
    <row r="396" spans="1:14">
      <c r="A396" s="24" t="s">
        <v>56</v>
      </c>
      <c r="B396" s="485">
        <v>0</v>
      </c>
      <c r="C396" s="485">
        <v>0</v>
      </c>
      <c r="D396" s="485">
        <v>0</v>
      </c>
      <c r="E396" s="485">
        <v>0</v>
      </c>
      <c r="F396" s="485">
        <v>0</v>
      </c>
      <c r="G396" s="485">
        <v>0</v>
      </c>
      <c r="H396" s="485">
        <v>0</v>
      </c>
      <c r="I396" s="485">
        <v>0</v>
      </c>
      <c r="J396" s="485">
        <v>0</v>
      </c>
      <c r="K396" s="485">
        <v>0</v>
      </c>
      <c r="L396" s="485">
        <v>0</v>
      </c>
      <c r="M396" s="485">
        <v>0</v>
      </c>
      <c r="N396" s="19">
        <f t="shared" si="58"/>
        <v>0</v>
      </c>
    </row>
    <row r="397" spans="1:14">
      <c r="A397" s="54" t="s">
        <v>30</v>
      </c>
      <c r="B397" s="485">
        <v>0</v>
      </c>
      <c r="C397" s="485">
        <v>4</v>
      </c>
      <c r="D397" s="485">
        <v>8</v>
      </c>
      <c r="E397" s="485">
        <v>1</v>
      </c>
      <c r="F397" s="485">
        <v>1</v>
      </c>
      <c r="G397" s="485">
        <v>4</v>
      </c>
      <c r="H397" s="485">
        <v>2</v>
      </c>
      <c r="I397" s="485">
        <v>1</v>
      </c>
      <c r="J397" s="485">
        <v>3</v>
      </c>
      <c r="K397" s="485">
        <v>5</v>
      </c>
      <c r="L397" s="485">
        <v>3</v>
      </c>
      <c r="M397" s="485">
        <v>6</v>
      </c>
      <c r="N397" s="19">
        <f>SUM(B397:M397)</f>
        <v>38</v>
      </c>
    </row>
    <row r="398" spans="1:14">
      <c r="A398" s="53" t="s">
        <v>146</v>
      </c>
      <c r="B398" s="485">
        <v>0</v>
      </c>
      <c r="C398" s="485">
        <v>0</v>
      </c>
      <c r="D398" s="485">
        <v>0</v>
      </c>
      <c r="E398" s="485">
        <v>0</v>
      </c>
      <c r="F398" s="485">
        <v>0</v>
      </c>
      <c r="G398" s="485">
        <v>0</v>
      </c>
      <c r="H398" s="485">
        <v>0</v>
      </c>
      <c r="I398" s="485">
        <v>1</v>
      </c>
      <c r="J398" s="485">
        <v>1</v>
      </c>
      <c r="K398" s="485">
        <v>1</v>
      </c>
      <c r="L398" s="485">
        <v>0</v>
      </c>
      <c r="M398" s="485">
        <v>1</v>
      </c>
      <c r="N398" s="19">
        <f t="shared" si="58"/>
        <v>4</v>
      </c>
    </row>
    <row r="399" spans="1:14">
      <c r="A399" s="53" t="s">
        <v>145</v>
      </c>
      <c r="B399" s="485">
        <v>0</v>
      </c>
      <c r="C399" s="485">
        <v>0</v>
      </c>
      <c r="D399" s="485">
        <v>0</v>
      </c>
      <c r="E399" s="485">
        <v>0</v>
      </c>
      <c r="F399" s="485">
        <v>0</v>
      </c>
      <c r="G399" s="485">
        <v>0</v>
      </c>
      <c r="H399" s="485">
        <v>0</v>
      </c>
      <c r="I399" s="485">
        <v>0</v>
      </c>
      <c r="J399" s="485">
        <v>0</v>
      </c>
      <c r="K399" s="485">
        <v>0</v>
      </c>
      <c r="L399" s="485">
        <v>0</v>
      </c>
      <c r="M399" s="485">
        <v>0</v>
      </c>
      <c r="N399" s="19">
        <f t="shared" si="58"/>
        <v>0</v>
      </c>
    </row>
    <row r="400" spans="1:14">
      <c r="A400" s="53" t="s">
        <v>187</v>
      </c>
      <c r="B400" s="485">
        <v>0</v>
      </c>
      <c r="C400" s="485">
        <v>1</v>
      </c>
      <c r="D400" s="485">
        <v>0</v>
      </c>
      <c r="E400" s="485">
        <v>0</v>
      </c>
      <c r="F400" s="485">
        <v>0</v>
      </c>
      <c r="G400" s="485">
        <v>0</v>
      </c>
      <c r="H400" s="485">
        <v>0</v>
      </c>
      <c r="I400" s="485">
        <v>0</v>
      </c>
      <c r="J400" s="485">
        <v>0</v>
      </c>
      <c r="K400" s="485">
        <v>0</v>
      </c>
      <c r="L400" s="485">
        <v>0</v>
      </c>
      <c r="M400" s="485">
        <v>0</v>
      </c>
      <c r="N400" s="19">
        <f t="shared" si="58"/>
        <v>1</v>
      </c>
    </row>
    <row r="401" spans="1:14" ht="14" thickBot="1">
      <c r="A401" s="53" t="s">
        <v>164</v>
      </c>
      <c r="B401" s="485">
        <v>0</v>
      </c>
      <c r="C401" s="485">
        <v>0</v>
      </c>
      <c r="D401" s="485">
        <v>0</v>
      </c>
      <c r="E401" s="485">
        <v>0</v>
      </c>
      <c r="F401" s="485">
        <v>0</v>
      </c>
      <c r="G401" s="485">
        <v>0</v>
      </c>
      <c r="H401" s="485">
        <v>0</v>
      </c>
      <c r="I401" s="485">
        <v>0</v>
      </c>
      <c r="J401" s="485">
        <v>0</v>
      </c>
      <c r="K401" s="485">
        <v>0</v>
      </c>
      <c r="L401" s="485">
        <v>0</v>
      </c>
      <c r="M401" s="485">
        <v>0</v>
      </c>
      <c r="N401" s="19">
        <f t="shared" si="58"/>
        <v>0</v>
      </c>
    </row>
    <row r="402" spans="1:14" ht="14" thickBot="1">
      <c r="A402" s="30" t="s">
        <v>130</v>
      </c>
      <c r="B402" s="31"/>
      <c r="C402" s="31"/>
      <c r="D402" s="31"/>
      <c r="E402" s="31"/>
      <c r="F402" s="31"/>
      <c r="G402" s="31"/>
      <c r="H402" s="31"/>
      <c r="I402" s="31"/>
      <c r="J402" s="31"/>
      <c r="K402" s="31"/>
      <c r="L402" s="31"/>
      <c r="M402" s="31"/>
      <c r="N402" s="19">
        <f t="shared" si="58"/>
        <v>0</v>
      </c>
    </row>
    <row r="403" spans="1:14">
      <c r="A403" s="53" t="s">
        <v>208</v>
      </c>
      <c r="B403" s="485">
        <v>0</v>
      </c>
      <c r="C403" s="485">
        <v>0</v>
      </c>
      <c r="D403" s="485">
        <v>0</v>
      </c>
      <c r="E403" s="485">
        <v>0</v>
      </c>
      <c r="F403" s="485">
        <v>0</v>
      </c>
      <c r="G403" s="485">
        <v>0</v>
      </c>
      <c r="H403" s="485">
        <v>0</v>
      </c>
      <c r="I403" s="485">
        <v>0</v>
      </c>
      <c r="J403" s="485">
        <v>7</v>
      </c>
      <c r="K403" s="485">
        <v>15</v>
      </c>
      <c r="L403" s="485">
        <v>23</v>
      </c>
      <c r="M403" s="485">
        <v>22</v>
      </c>
      <c r="N403" s="19">
        <f>SUM(B403:M403)</f>
        <v>67</v>
      </c>
    </row>
    <row r="404" spans="1:14">
      <c r="A404" s="53" t="s">
        <v>114</v>
      </c>
      <c r="B404" s="485">
        <v>0</v>
      </c>
      <c r="C404" s="520">
        <v>0</v>
      </c>
      <c r="D404" s="485">
        <v>2</v>
      </c>
      <c r="E404" s="485">
        <v>1</v>
      </c>
      <c r="F404" s="485">
        <v>0</v>
      </c>
      <c r="G404" s="485">
        <v>0</v>
      </c>
      <c r="H404" s="485">
        <v>1</v>
      </c>
      <c r="I404" s="485">
        <v>0</v>
      </c>
      <c r="J404" s="485">
        <v>1</v>
      </c>
      <c r="K404" s="485">
        <v>0</v>
      </c>
      <c r="L404" s="485">
        <v>0</v>
      </c>
      <c r="M404" s="485">
        <v>4</v>
      </c>
      <c r="N404" s="19">
        <f>SUM(B404:M404)</f>
        <v>9</v>
      </c>
    </row>
    <row r="405" spans="1:14">
      <c r="A405" s="53" t="s">
        <v>189</v>
      </c>
      <c r="B405" s="485">
        <v>0</v>
      </c>
      <c r="C405" s="485">
        <v>4</v>
      </c>
      <c r="D405" s="485">
        <v>1</v>
      </c>
      <c r="E405" s="485">
        <v>5</v>
      </c>
      <c r="F405" s="485">
        <v>2</v>
      </c>
      <c r="G405" s="485">
        <v>1</v>
      </c>
      <c r="H405" s="485">
        <v>0</v>
      </c>
      <c r="I405" s="485">
        <v>1</v>
      </c>
      <c r="J405" s="485">
        <v>6</v>
      </c>
      <c r="K405" s="485">
        <v>11</v>
      </c>
      <c r="L405" s="485">
        <v>13</v>
      </c>
      <c r="M405" s="485">
        <v>23</v>
      </c>
      <c r="N405" s="19">
        <f t="shared" si="58"/>
        <v>67</v>
      </c>
    </row>
    <row r="406" spans="1:14" ht="14" thickBot="1">
      <c r="A406" s="53" t="s">
        <v>163</v>
      </c>
      <c r="B406" s="485">
        <v>1</v>
      </c>
      <c r="C406" s="485">
        <v>0</v>
      </c>
      <c r="D406" s="485">
        <v>1</v>
      </c>
      <c r="E406" s="485">
        <v>0</v>
      </c>
      <c r="F406" s="485">
        <v>0</v>
      </c>
      <c r="G406" s="485">
        <v>1</v>
      </c>
      <c r="H406" s="485">
        <v>1</v>
      </c>
      <c r="I406" s="485">
        <v>0</v>
      </c>
      <c r="J406" s="485">
        <v>1</v>
      </c>
      <c r="K406" s="485">
        <v>0</v>
      </c>
      <c r="L406" s="485">
        <v>0</v>
      </c>
      <c r="M406" s="485">
        <v>6</v>
      </c>
      <c r="N406" s="19">
        <f t="shared" si="58"/>
        <v>11</v>
      </c>
    </row>
    <row r="407" spans="1:14" ht="14" thickBot="1">
      <c r="A407" s="40" t="s">
        <v>60</v>
      </c>
      <c r="B407" s="42">
        <f t="shared" ref="B407:M407" si="59">SUM(B394:B406)</f>
        <v>2</v>
      </c>
      <c r="C407" s="42">
        <f t="shared" si="59"/>
        <v>11</v>
      </c>
      <c r="D407" s="42">
        <f t="shared" si="59"/>
        <v>37</v>
      </c>
      <c r="E407" s="42">
        <f t="shared" si="59"/>
        <v>9</v>
      </c>
      <c r="F407" s="42">
        <f t="shared" si="59"/>
        <v>8</v>
      </c>
      <c r="G407" s="42">
        <f t="shared" si="59"/>
        <v>13</v>
      </c>
      <c r="H407" s="42">
        <f t="shared" si="59"/>
        <v>9</v>
      </c>
      <c r="I407" s="42">
        <f t="shared" si="59"/>
        <v>7</v>
      </c>
      <c r="J407" s="42">
        <f t="shared" si="59"/>
        <v>24</v>
      </c>
      <c r="K407" s="42">
        <f t="shared" si="59"/>
        <v>34</v>
      </c>
      <c r="L407" s="42">
        <f t="shared" si="59"/>
        <v>80</v>
      </c>
      <c r="M407" s="42">
        <f t="shared" si="59"/>
        <v>140</v>
      </c>
      <c r="N407" s="19">
        <f t="shared" si="58"/>
        <v>374</v>
      </c>
    </row>
    <row r="408" spans="1:14" ht="14" thickBot="1">
      <c r="A408" s="30" t="s">
        <v>134</v>
      </c>
      <c r="B408" s="31"/>
      <c r="C408" s="31"/>
      <c r="D408" s="31"/>
      <c r="E408" s="31"/>
      <c r="F408" s="31"/>
      <c r="G408" s="31"/>
      <c r="H408" s="31"/>
      <c r="I408" s="31"/>
      <c r="J408" s="31"/>
      <c r="K408" s="31"/>
      <c r="L408" s="31"/>
      <c r="M408" s="31"/>
      <c r="N408" s="19">
        <f t="shared" si="58"/>
        <v>0</v>
      </c>
    </row>
    <row r="409" spans="1:14">
      <c r="A409" s="24" t="s">
        <v>29</v>
      </c>
      <c r="B409" s="485">
        <v>0</v>
      </c>
      <c r="C409" s="485">
        <v>0</v>
      </c>
      <c r="D409" s="485">
        <v>0</v>
      </c>
      <c r="E409" s="485">
        <v>6</v>
      </c>
      <c r="F409" s="485">
        <v>0</v>
      </c>
      <c r="G409" s="485">
        <v>222</v>
      </c>
      <c r="H409" s="485">
        <v>0</v>
      </c>
      <c r="I409" s="485">
        <v>6</v>
      </c>
      <c r="J409" s="485">
        <v>0</v>
      </c>
      <c r="K409" s="485">
        <v>0</v>
      </c>
      <c r="L409" s="485">
        <v>0</v>
      </c>
      <c r="M409" s="485">
        <v>0</v>
      </c>
      <c r="N409" s="19">
        <f t="shared" ref="N409:N420" si="60">SUM(B409:M409)</f>
        <v>234</v>
      </c>
    </row>
    <row r="410" spans="1:14">
      <c r="A410" s="54" t="s">
        <v>161</v>
      </c>
      <c r="B410" s="485">
        <v>0</v>
      </c>
      <c r="C410" s="485">
        <v>0</v>
      </c>
      <c r="D410" s="485">
        <v>0</v>
      </c>
      <c r="E410" s="485">
        <v>0</v>
      </c>
      <c r="F410" s="485">
        <v>0</v>
      </c>
      <c r="G410" s="485">
        <v>0</v>
      </c>
      <c r="H410" s="485">
        <v>0</v>
      </c>
      <c r="I410" s="485">
        <v>0</v>
      </c>
      <c r="J410" s="485">
        <v>0</v>
      </c>
      <c r="K410" s="485">
        <v>0</v>
      </c>
      <c r="L410" s="485">
        <v>0</v>
      </c>
      <c r="M410" s="485">
        <v>0</v>
      </c>
      <c r="N410" s="19">
        <f t="shared" si="60"/>
        <v>0</v>
      </c>
    </row>
    <row r="411" spans="1:14">
      <c r="A411" s="26" t="s">
        <v>140</v>
      </c>
      <c r="B411" s="485">
        <v>0</v>
      </c>
      <c r="C411" s="485">
        <v>0</v>
      </c>
      <c r="D411" s="485">
        <v>0</v>
      </c>
      <c r="E411" s="485">
        <v>0</v>
      </c>
      <c r="F411" s="485">
        <v>0</v>
      </c>
      <c r="G411" s="485">
        <v>0</v>
      </c>
      <c r="H411" s="485">
        <v>1</v>
      </c>
      <c r="I411" s="485">
        <v>0</v>
      </c>
      <c r="J411" s="485">
        <v>0</v>
      </c>
      <c r="K411" s="485">
        <v>0</v>
      </c>
      <c r="L411" s="485">
        <v>0</v>
      </c>
      <c r="M411" s="485">
        <v>0</v>
      </c>
      <c r="N411" s="19">
        <f t="shared" si="60"/>
        <v>1</v>
      </c>
    </row>
    <row r="412" spans="1:14">
      <c r="A412" s="53" t="s">
        <v>30</v>
      </c>
      <c r="B412" s="485">
        <v>0</v>
      </c>
      <c r="C412" s="485">
        <v>11</v>
      </c>
      <c r="D412" s="485">
        <v>0</v>
      </c>
      <c r="E412" s="485">
        <v>0</v>
      </c>
      <c r="F412" s="485">
        <v>0</v>
      </c>
      <c r="G412" s="485">
        <v>0</v>
      </c>
      <c r="H412" s="485">
        <v>0</v>
      </c>
      <c r="I412" s="485">
        <v>0</v>
      </c>
      <c r="J412" s="485">
        <v>0</v>
      </c>
      <c r="K412" s="485">
        <v>0</v>
      </c>
      <c r="L412" s="485">
        <v>0</v>
      </c>
      <c r="M412" s="485">
        <v>12</v>
      </c>
      <c r="N412" s="19">
        <f>SUM(B412:M412)</f>
        <v>23</v>
      </c>
    </row>
    <row r="413" spans="1:14">
      <c r="A413" s="24" t="s">
        <v>56</v>
      </c>
      <c r="B413" s="485">
        <v>0</v>
      </c>
      <c r="C413" s="485">
        <v>1</v>
      </c>
      <c r="D413" s="485">
        <v>0</v>
      </c>
      <c r="E413" s="485">
        <v>0</v>
      </c>
      <c r="F413" s="485">
        <v>0</v>
      </c>
      <c r="G413" s="485">
        <v>0</v>
      </c>
      <c r="H413" s="485">
        <v>0</v>
      </c>
      <c r="I413" s="485">
        <v>0</v>
      </c>
      <c r="J413" s="485">
        <v>0</v>
      </c>
      <c r="K413" s="485">
        <v>0</v>
      </c>
      <c r="L413" s="485">
        <v>0</v>
      </c>
      <c r="M413" s="485">
        <v>0</v>
      </c>
      <c r="N413" s="19">
        <f t="shared" si="60"/>
        <v>1</v>
      </c>
    </row>
    <row r="414" spans="1:14">
      <c r="A414" s="54" t="s">
        <v>89</v>
      </c>
      <c r="B414" s="485">
        <v>0</v>
      </c>
      <c r="C414" s="485">
        <v>0</v>
      </c>
      <c r="D414" s="485">
        <v>0</v>
      </c>
      <c r="E414" s="485">
        <v>0</v>
      </c>
      <c r="F414" s="485">
        <v>0</v>
      </c>
      <c r="G414" s="485">
        <v>0</v>
      </c>
      <c r="H414" s="485">
        <v>0</v>
      </c>
      <c r="I414" s="485">
        <v>0</v>
      </c>
      <c r="J414" s="485">
        <v>0</v>
      </c>
      <c r="K414" s="485">
        <v>0</v>
      </c>
      <c r="L414" s="485">
        <v>0</v>
      </c>
      <c r="M414" s="485">
        <v>0</v>
      </c>
      <c r="N414" s="19">
        <f t="shared" si="60"/>
        <v>0</v>
      </c>
    </row>
    <row r="415" spans="1:14">
      <c r="A415" s="54" t="s">
        <v>124</v>
      </c>
      <c r="B415" s="485">
        <v>0</v>
      </c>
      <c r="C415" s="485">
        <v>0</v>
      </c>
      <c r="D415" s="485">
        <v>0</v>
      </c>
      <c r="E415" s="485">
        <v>0</v>
      </c>
      <c r="F415" s="485">
        <v>0</v>
      </c>
      <c r="G415" s="485">
        <v>0</v>
      </c>
      <c r="H415" s="485">
        <v>0</v>
      </c>
      <c r="I415" s="485">
        <v>0</v>
      </c>
      <c r="J415" s="485">
        <v>0</v>
      </c>
      <c r="K415" s="485">
        <v>0</v>
      </c>
      <c r="L415" s="485">
        <v>0</v>
      </c>
      <c r="M415" s="485">
        <v>0</v>
      </c>
      <c r="N415" s="19">
        <f t="shared" si="60"/>
        <v>0</v>
      </c>
    </row>
    <row r="416" spans="1:14">
      <c r="A416" s="54" t="s">
        <v>127</v>
      </c>
      <c r="B416" s="485">
        <v>0</v>
      </c>
      <c r="C416" s="485">
        <v>0</v>
      </c>
      <c r="D416" s="485">
        <v>0</v>
      </c>
      <c r="E416" s="485">
        <v>0</v>
      </c>
      <c r="F416" s="485">
        <v>0</v>
      </c>
      <c r="G416" s="485">
        <v>0</v>
      </c>
      <c r="H416" s="485">
        <v>0</v>
      </c>
      <c r="I416" s="485">
        <v>0</v>
      </c>
      <c r="J416" s="485">
        <v>0</v>
      </c>
      <c r="K416" s="485">
        <v>0</v>
      </c>
      <c r="L416" s="485">
        <v>0</v>
      </c>
      <c r="M416" s="485">
        <v>0</v>
      </c>
      <c r="N416" s="19">
        <f>SUM(B416:M416)</f>
        <v>0</v>
      </c>
    </row>
    <row r="417" spans="1:14">
      <c r="A417" s="54" t="s">
        <v>128</v>
      </c>
      <c r="B417" s="485">
        <v>0</v>
      </c>
      <c r="C417" s="485">
        <v>0</v>
      </c>
      <c r="D417" s="485">
        <v>0</v>
      </c>
      <c r="E417" s="485">
        <v>0</v>
      </c>
      <c r="F417" s="485">
        <v>0</v>
      </c>
      <c r="G417" s="485">
        <v>0</v>
      </c>
      <c r="H417" s="485">
        <v>0</v>
      </c>
      <c r="I417" s="485">
        <v>0</v>
      </c>
      <c r="J417" s="485">
        <v>0</v>
      </c>
      <c r="K417" s="485">
        <v>0</v>
      </c>
      <c r="L417" s="485">
        <v>0</v>
      </c>
      <c r="M417" s="485">
        <v>0</v>
      </c>
      <c r="N417" s="19">
        <f t="shared" si="60"/>
        <v>0</v>
      </c>
    </row>
    <row r="418" spans="1:14">
      <c r="A418" s="54" t="s">
        <v>146</v>
      </c>
      <c r="B418" s="485">
        <v>0</v>
      </c>
      <c r="C418" s="485">
        <v>0</v>
      </c>
      <c r="D418" s="485">
        <v>0</v>
      </c>
      <c r="E418" s="485">
        <v>0</v>
      </c>
      <c r="F418" s="485">
        <v>0</v>
      </c>
      <c r="G418" s="485">
        <v>0</v>
      </c>
      <c r="H418" s="485">
        <v>0</v>
      </c>
      <c r="I418" s="485">
        <v>0</v>
      </c>
      <c r="J418" s="485">
        <v>0</v>
      </c>
      <c r="K418" s="485">
        <v>0</v>
      </c>
      <c r="L418" s="485">
        <v>0</v>
      </c>
      <c r="M418" s="485">
        <v>0</v>
      </c>
      <c r="N418" s="19">
        <f t="shared" si="60"/>
        <v>0</v>
      </c>
    </row>
    <row r="419" spans="1:14">
      <c r="A419" s="53" t="s">
        <v>164</v>
      </c>
      <c r="B419" s="485">
        <v>0</v>
      </c>
      <c r="C419" s="485">
        <v>0</v>
      </c>
      <c r="D419" s="485">
        <v>0</v>
      </c>
      <c r="E419" s="485">
        <v>0</v>
      </c>
      <c r="F419" s="485">
        <v>0</v>
      </c>
      <c r="G419" s="485">
        <v>0</v>
      </c>
      <c r="H419" s="485">
        <v>0</v>
      </c>
      <c r="I419" s="485">
        <v>0</v>
      </c>
      <c r="J419" s="485">
        <v>0</v>
      </c>
      <c r="K419" s="485">
        <v>0</v>
      </c>
      <c r="L419" s="485">
        <v>0</v>
      </c>
      <c r="M419" s="485">
        <v>0</v>
      </c>
      <c r="N419" s="19">
        <f t="shared" si="60"/>
        <v>0</v>
      </c>
    </row>
    <row r="420" spans="1:14" ht="14" thickBot="1">
      <c r="A420" s="54" t="s">
        <v>165</v>
      </c>
      <c r="B420" s="485">
        <v>0</v>
      </c>
      <c r="C420" s="485">
        <v>0</v>
      </c>
      <c r="D420" s="485">
        <v>0</v>
      </c>
      <c r="E420" s="485">
        <v>0</v>
      </c>
      <c r="F420" s="485">
        <v>0</v>
      </c>
      <c r="G420" s="485">
        <v>0</v>
      </c>
      <c r="H420" s="485">
        <v>0</v>
      </c>
      <c r="I420" s="485">
        <v>0</v>
      </c>
      <c r="J420" s="485">
        <v>0</v>
      </c>
      <c r="K420" s="485">
        <v>0</v>
      </c>
      <c r="L420" s="485">
        <v>0</v>
      </c>
      <c r="M420" s="485">
        <v>0</v>
      </c>
      <c r="N420" s="19">
        <f t="shared" si="60"/>
        <v>0</v>
      </c>
    </row>
    <row r="421" spans="1:14" ht="14" hidden="1" thickBot="1">
      <c r="A421" s="30" t="s">
        <v>132</v>
      </c>
      <c r="B421" s="31"/>
      <c r="C421" s="31"/>
      <c r="D421" s="31"/>
      <c r="E421" s="31"/>
      <c r="F421" s="31"/>
      <c r="G421" s="31"/>
      <c r="H421" s="31"/>
      <c r="I421" s="31"/>
      <c r="J421" s="31"/>
      <c r="K421" s="31"/>
      <c r="L421" s="31"/>
      <c r="M421" s="31"/>
      <c r="N421" s="32"/>
    </row>
    <row r="422" spans="1:14" ht="14" hidden="1" thickBot="1">
      <c r="A422" s="53" t="s">
        <v>133</v>
      </c>
      <c r="B422" s="485"/>
      <c r="C422" s="485"/>
      <c r="D422" s="485"/>
      <c r="E422" s="485"/>
      <c r="F422" s="485"/>
      <c r="G422" s="485"/>
      <c r="H422" s="485"/>
      <c r="I422" s="485"/>
      <c r="J422" s="485"/>
      <c r="K422" s="485"/>
      <c r="L422" s="485"/>
      <c r="M422" s="485"/>
      <c r="N422" s="19">
        <f>SUM(B422:M422)</f>
        <v>0</v>
      </c>
    </row>
    <row r="423" spans="1:14" ht="14" thickBot="1">
      <c r="A423" s="40" t="s">
        <v>60</v>
      </c>
      <c r="B423" s="42">
        <f t="shared" ref="B423:M423" si="61">SUM(B409:B422)</f>
        <v>0</v>
      </c>
      <c r="C423" s="42">
        <f t="shared" si="61"/>
        <v>12</v>
      </c>
      <c r="D423" s="42">
        <f t="shared" si="61"/>
        <v>0</v>
      </c>
      <c r="E423" s="42">
        <f t="shared" si="61"/>
        <v>6</v>
      </c>
      <c r="F423" s="42">
        <f t="shared" si="61"/>
        <v>0</v>
      </c>
      <c r="G423" s="42">
        <f t="shared" si="61"/>
        <v>222</v>
      </c>
      <c r="H423" s="42">
        <f t="shared" si="61"/>
        <v>1</v>
      </c>
      <c r="I423" s="42">
        <f t="shared" si="61"/>
        <v>6</v>
      </c>
      <c r="J423" s="42">
        <f t="shared" si="61"/>
        <v>0</v>
      </c>
      <c r="K423" s="42">
        <f t="shared" si="61"/>
        <v>0</v>
      </c>
      <c r="L423" s="42">
        <f t="shared" si="61"/>
        <v>0</v>
      </c>
      <c r="M423" s="42">
        <f t="shared" si="61"/>
        <v>12</v>
      </c>
      <c r="N423" s="41"/>
    </row>
    <row r="425" spans="1:14" ht="14" thickBot="1">
      <c r="B425" s="35" t="s">
        <v>35</v>
      </c>
      <c r="C425" s="35" t="s">
        <v>36</v>
      </c>
      <c r="D425" s="35" t="s">
        <v>37</v>
      </c>
      <c r="E425" s="35" t="s">
        <v>38</v>
      </c>
      <c r="F425" s="35" t="s">
        <v>39</v>
      </c>
      <c r="G425" s="35" t="s">
        <v>40</v>
      </c>
      <c r="H425" s="35" t="s">
        <v>41</v>
      </c>
      <c r="I425" s="35" t="s">
        <v>42</v>
      </c>
      <c r="J425" s="35" t="s">
        <v>43</v>
      </c>
      <c r="K425" s="35" t="s">
        <v>44</v>
      </c>
      <c r="L425" s="35" t="s">
        <v>45</v>
      </c>
      <c r="M425" s="35" t="s">
        <v>46</v>
      </c>
      <c r="N425" s="35" t="s">
        <v>10</v>
      </c>
    </row>
    <row r="426" spans="1:14" ht="17" thickBot="1">
      <c r="A426" s="23" t="s">
        <v>217</v>
      </c>
      <c r="B426" s="16"/>
      <c r="C426" s="16"/>
      <c r="D426" s="15"/>
      <c r="E426" s="15"/>
      <c r="F426" s="17"/>
      <c r="G426" s="17"/>
      <c r="H426" s="15"/>
      <c r="I426" s="15"/>
      <c r="J426" s="15"/>
      <c r="K426" s="15"/>
      <c r="L426" s="16"/>
      <c r="M426" s="16"/>
      <c r="N426" s="18"/>
    </row>
    <row r="427" spans="1:14" ht="14" thickBot="1">
      <c r="A427" s="30" t="s">
        <v>129</v>
      </c>
      <c r="B427" s="31"/>
      <c r="C427" s="31"/>
      <c r="D427" s="31"/>
      <c r="E427" s="31"/>
      <c r="F427" s="31"/>
      <c r="G427" s="31"/>
      <c r="H427" s="31"/>
      <c r="I427" s="31"/>
      <c r="J427" s="31"/>
      <c r="K427" s="31"/>
      <c r="L427" s="31"/>
      <c r="M427" s="31"/>
      <c r="N427" s="32"/>
    </row>
    <row r="428" spans="1:14">
      <c r="A428" s="24" t="s">
        <v>29</v>
      </c>
      <c r="B428" s="485">
        <v>2</v>
      </c>
      <c r="C428" s="485">
        <v>63</v>
      </c>
      <c r="D428" s="485">
        <v>33</v>
      </c>
      <c r="E428" s="485">
        <v>4</v>
      </c>
      <c r="F428" s="485">
        <v>33</v>
      </c>
      <c r="G428" s="485">
        <v>0</v>
      </c>
      <c r="H428" s="485">
        <v>4</v>
      </c>
      <c r="I428" s="485">
        <v>7</v>
      </c>
      <c r="J428" s="485">
        <v>2</v>
      </c>
      <c r="K428" s="485">
        <v>3</v>
      </c>
      <c r="L428" s="485">
        <v>8</v>
      </c>
      <c r="M428" s="485">
        <v>1</v>
      </c>
      <c r="N428" s="19">
        <f>SUM(B428:M428)</f>
        <v>160</v>
      </c>
    </row>
    <row r="429" spans="1:14">
      <c r="A429" s="24" t="s">
        <v>33</v>
      </c>
      <c r="B429" s="485">
        <v>2</v>
      </c>
      <c r="C429" s="485">
        <v>11</v>
      </c>
      <c r="D429" s="485">
        <v>5</v>
      </c>
      <c r="E429" s="485">
        <v>2</v>
      </c>
      <c r="F429" s="485">
        <v>3</v>
      </c>
      <c r="G429" s="485">
        <v>2</v>
      </c>
      <c r="H429" s="485">
        <v>2</v>
      </c>
      <c r="I429" s="485">
        <v>7</v>
      </c>
      <c r="J429" s="485">
        <v>3</v>
      </c>
      <c r="K429" s="485">
        <v>2</v>
      </c>
      <c r="L429" s="485">
        <v>21</v>
      </c>
      <c r="M429" s="485">
        <v>3</v>
      </c>
      <c r="N429" s="19">
        <f t="shared" ref="N429:N430" si="62">SUM(B429:M429)</f>
        <v>63</v>
      </c>
    </row>
    <row r="430" spans="1:14">
      <c r="A430" s="24" t="s">
        <v>56</v>
      </c>
      <c r="B430" s="485"/>
      <c r="C430" s="485"/>
      <c r="D430" s="485"/>
      <c r="E430" s="485"/>
      <c r="F430" s="485"/>
      <c r="G430" s="485"/>
      <c r="H430" s="485"/>
      <c r="I430" s="485"/>
      <c r="J430" s="485"/>
      <c r="K430" s="485"/>
      <c r="L430" s="485"/>
      <c r="M430" s="485"/>
      <c r="N430" s="19">
        <f t="shared" si="62"/>
        <v>0</v>
      </c>
    </row>
    <row r="431" spans="1:14">
      <c r="A431" s="54" t="s">
        <v>30</v>
      </c>
      <c r="B431" s="485">
        <v>2</v>
      </c>
      <c r="C431" s="485">
        <v>7</v>
      </c>
      <c r="D431" s="485">
        <v>5</v>
      </c>
      <c r="E431" s="485">
        <v>5</v>
      </c>
      <c r="F431" s="485">
        <v>4</v>
      </c>
      <c r="G431" s="485">
        <v>0</v>
      </c>
      <c r="H431" s="485">
        <v>0</v>
      </c>
      <c r="I431" s="485">
        <v>2</v>
      </c>
      <c r="J431" s="485">
        <v>2</v>
      </c>
      <c r="K431" s="485">
        <v>2</v>
      </c>
      <c r="L431" s="485">
        <v>2</v>
      </c>
      <c r="M431" s="485">
        <v>5</v>
      </c>
      <c r="N431" s="19">
        <f>SUM(B431:M431)</f>
        <v>36</v>
      </c>
    </row>
    <row r="432" spans="1:14">
      <c r="A432" s="53" t="s">
        <v>146</v>
      </c>
      <c r="B432" s="485">
        <v>1</v>
      </c>
      <c r="C432" s="485">
        <v>1</v>
      </c>
      <c r="D432" s="485"/>
      <c r="E432" s="485"/>
      <c r="F432" s="485">
        <v>2</v>
      </c>
      <c r="G432" s="485">
        <v>1</v>
      </c>
      <c r="H432" s="485">
        <v>2</v>
      </c>
      <c r="I432" s="485"/>
      <c r="J432" s="485">
        <v>1</v>
      </c>
      <c r="K432" s="485">
        <v>2</v>
      </c>
      <c r="L432" s="485">
        <v>1</v>
      </c>
      <c r="M432" s="485"/>
      <c r="N432" s="19">
        <f t="shared" ref="N432:N436" si="63">SUM(B432:M432)</f>
        <v>11</v>
      </c>
    </row>
    <row r="433" spans="1:14">
      <c r="A433" s="53" t="s">
        <v>145</v>
      </c>
      <c r="B433" s="485"/>
      <c r="C433" s="485"/>
      <c r="D433" s="485"/>
      <c r="E433" s="485"/>
      <c r="F433" s="485"/>
      <c r="G433" s="485"/>
      <c r="H433" s="485"/>
      <c r="I433" s="485"/>
      <c r="J433" s="485"/>
      <c r="K433" s="485"/>
      <c r="L433" s="485"/>
      <c r="M433" s="485"/>
      <c r="N433" s="19">
        <f t="shared" si="63"/>
        <v>0</v>
      </c>
    </row>
    <row r="434" spans="1:14">
      <c r="A434" s="53" t="s">
        <v>187</v>
      </c>
      <c r="B434" s="485"/>
      <c r="C434" s="485"/>
      <c r="D434" s="485"/>
      <c r="E434" s="485"/>
      <c r="F434" s="485"/>
      <c r="G434" s="485"/>
      <c r="H434" s="485"/>
      <c r="I434" s="485"/>
      <c r="J434" s="485"/>
      <c r="K434" s="485"/>
      <c r="L434" s="485"/>
      <c r="M434" s="485"/>
      <c r="N434" s="19">
        <f t="shared" si="63"/>
        <v>0</v>
      </c>
    </row>
    <row r="435" spans="1:14" ht="14" thickBot="1">
      <c r="A435" s="53" t="s">
        <v>164</v>
      </c>
      <c r="B435" s="485"/>
      <c r="C435" s="485"/>
      <c r="D435" s="485"/>
      <c r="E435" s="485"/>
      <c r="F435" s="485"/>
      <c r="G435" s="485"/>
      <c r="H435" s="485"/>
      <c r="I435" s="485"/>
      <c r="J435" s="485"/>
      <c r="K435" s="485"/>
      <c r="L435" s="485"/>
      <c r="M435" s="485"/>
      <c r="N435" s="19">
        <f t="shared" si="63"/>
        <v>0</v>
      </c>
    </row>
    <row r="436" spans="1:14" ht="14" thickBot="1">
      <c r="A436" s="30" t="s">
        <v>130</v>
      </c>
      <c r="B436" s="31"/>
      <c r="C436" s="31"/>
      <c r="D436" s="31"/>
      <c r="E436" s="31"/>
      <c r="F436" s="31"/>
      <c r="G436" s="31"/>
      <c r="H436" s="31"/>
      <c r="I436" s="31"/>
      <c r="J436" s="31"/>
      <c r="K436" s="31"/>
      <c r="L436" s="31"/>
      <c r="M436" s="31"/>
      <c r="N436" s="19">
        <f t="shared" si="63"/>
        <v>0</v>
      </c>
    </row>
    <row r="437" spans="1:14">
      <c r="A437" s="53" t="s">
        <v>208</v>
      </c>
      <c r="B437" s="485">
        <v>24</v>
      </c>
      <c r="C437" s="485">
        <v>0</v>
      </c>
      <c r="D437" s="485"/>
      <c r="E437" s="485"/>
      <c r="F437" s="485"/>
      <c r="G437" s="485"/>
      <c r="H437" s="485"/>
      <c r="I437" s="485"/>
      <c r="J437" s="485">
        <v>17</v>
      </c>
      <c r="K437" s="485"/>
      <c r="L437" s="485">
        <v>6</v>
      </c>
      <c r="M437" s="485">
        <v>15</v>
      </c>
      <c r="N437" s="19">
        <f>SUM(B437:M437)</f>
        <v>62</v>
      </c>
    </row>
    <row r="438" spans="1:14">
      <c r="A438" s="53" t="s">
        <v>114</v>
      </c>
      <c r="B438" s="485">
        <v>2</v>
      </c>
      <c r="C438" s="520">
        <v>1</v>
      </c>
      <c r="D438" s="485">
        <v>0</v>
      </c>
      <c r="E438" s="485">
        <v>0</v>
      </c>
      <c r="F438" s="485">
        <v>0</v>
      </c>
      <c r="G438" s="485">
        <v>3</v>
      </c>
      <c r="H438" s="485">
        <v>1</v>
      </c>
      <c r="I438" s="485">
        <v>1</v>
      </c>
      <c r="J438" s="485">
        <v>0</v>
      </c>
      <c r="K438" s="485">
        <v>0</v>
      </c>
      <c r="L438" s="485">
        <v>0</v>
      </c>
      <c r="M438" s="485">
        <v>0</v>
      </c>
      <c r="N438" s="19">
        <f>SUM(B438:M438)</f>
        <v>8</v>
      </c>
    </row>
    <row r="439" spans="1:14">
      <c r="A439" s="53" t="s">
        <v>189</v>
      </c>
      <c r="B439" s="485">
        <v>0</v>
      </c>
      <c r="C439" s="485">
        <v>32</v>
      </c>
      <c r="D439" s="485">
        <v>14</v>
      </c>
      <c r="E439" s="485">
        <v>9</v>
      </c>
      <c r="F439" s="485">
        <v>6</v>
      </c>
      <c r="G439" s="485">
        <v>1</v>
      </c>
      <c r="H439" s="485">
        <v>3</v>
      </c>
      <c r="I439" s="485">
        <v>7</v>
      </c>
      <c r="J439" s="485">
        <v>1</v>
      </c>
      <c r="K439" s="485">
        <v>0</v>
      </c>
      <c r="L439" s="485">
        <v>2</v>
      </c>
      <c r="M439" s="485">
        <v>3</v>
      </c>
      <c r="N439" s="19">
        <f t="shared" ref="N439:N446" si="64">SUM(B439:M439)</f>
        <v>78</v>
      </c>
    </row>
    <row r="440" spans="1:14">
      <c r="A440" s="53" t="s">
        <v>163</v>
      </c>
      <c r="B440" s="485">
        <v>1</v>
      </c>
      <c r="C440" s="485">
        <v>0</v>
      </c>
      <c r="D440" s="485">
        <v>4</v>
      </c>
      <c r="E440" s="485">
        <v>0</v>
      </c>
      <c r="F440" s="485">
        <v>0</v>
      </c>
      <c r="G440" s="485">
        <v>1</v>
      </c>
      <c r="H440" s="485">
        <v>3</v>
      </c>
      <c r="I440" s="485">
        <v>3</v>
      </c>
      <c r="J440" s="485">
        <v>2</v>
      </c>
      <c r="K440" s="485">
        <v>0</v>
      </c>
      <c r="L440" s="485">
        <v>0</v>
      </c>
      <c r="M440" s="485">
        <v>0</v>
      </c>
      <c r="N440" s="19">
        <f t="shared" si="64"/>
        <v>14</v>
      </c>
    </row>
    <row r="441" spans="1:14" ht="14" thickBot="1">
      <c r="A441" s="53" t="s">
        <v>227</v>
      </c>
      <c r="B441" s="485"/>
      <c r="C441" s="485"/>
      <c r="D441" s="485"/>
      <c r="E441" s="485"/>
      <c r="F441" s="485"/>
      <c r="G441" s="485"/>
      <c r="H441" s="485"/>
      <c r="I441" s="485"/>
      <c r="J441" s="485"/>
      <c r="K441" s="485"/>
      <c r="L441" s="485"/>
      <c r="M441" s="485"/>
      <c r="N441" s="19">
        <f>SUM(B441:M441)</f>
        <v>0</v>
      </c>
    </row>
    <row r="442" spans="1:14" ht="14" thickBot="1">
      <c r="A442" s="40" t="s">
        <v>60</v>
      </c>
      <c r="B442" s="42">
        <f>SUM(B428:B441)</f>
        <v>34</v>
      </c>
      <c r="C442" s="42">
        <f t="shared" ref="C442:L442" si="65">SUM(C428:C441)</f>
        <v>115</v>
      </c>
      <c r="D442" s="42">
        <f t="shared" si="65"/>
        <v>61</v>
      </c>
      <c r="E442" s="42">
        <f t="shared" si="65"/>
        <v>20</v>
      </c>
      <c r="F442" s="42">
        <f t="shared" si="65"/>
        <v>48</v>
      </c>
      <c r="G442" s="42">
        <f t="shared" si="65"/>
        <v>8</v>
      </c>
      <c r="H442" s="42">
        <f t="shared" si="65"/>
        <v>15</v>
      </c>
      <c r="I442" s="42">
        <f>SUM(I428:I441)</f>
        <v>27</v>
      </c>
      <c r="J442" s="42">
        <f t="shared" si="65"/>
        <v>28</v>
      </c>
      <c r="K442" s="42">
        <f t="shared" si="65"/>
        <v>9</v>
      </c>
      <c r="L442" s="42">
        <f t="shared" si="65"/>
        <v>40</v>
      </c>
      <c r="M442" s="42">
        <f>SUM(M428:M441)</f>
        <v>27</v>
      </c>
      <c r="N442" s="19">
        <f>SUM(B442:M442)</f>
        <v>432</v>
      </c>
    </row>
    <row r="443" spans="1:14" ht="14" thickBot="1">
      <c r="A443" s="30" t="s">
        <v>134</v>
      </c>
      <c r="B443" s="31"/>
      <c r="C443" s="31"/>
      <c r="D443" s="31"/>
      <c r="E443" s="31"/>
      <c r="F443" s="31"/>
      <c r="G443" s="31"/>
      <c r="H443" s="31"/>
      <c r="I443" s="31"/>
      <c r="J443" s="31"/>
      <c r="K443" s="31"/>
      <c r="L443" s="31"/>
      <c r="M443" s="31"/>
      <c r="N443" s="19">
        <f t="shared" si="64"/>
        <v>0</v>
      </c>
    </row>
    <row r="444" spans="1:14">
      <c r="A444" s="24" t="s">
        <v>29</v>
      </c>
      <c r="B444" s="485"/>
      <c r="C444" s="485"/>
      <c r="D444" s="485"/>
      <c r="E444" s="485"/>
      <c r="F444" s="485">
        <v>138</v>
      </c>
      <c r="G444" s="485">
        <v>350</v>
      </c>
      <c r="H444" s="485"/>
      <c r="I444" s="485">
        <v>274</v>
      </c>
      <c r="J444" s="485"/>
      <c r="K444" s="485"/>
      <c r="L444" s="485"/>
      <c r="M444" s="485"/>
      <c r="N444" s="19">
        <f t="shared" si="64"/>
        <v>762</v>
      </c>
    </row>
    <row r="445" spans="1:14">
      <c r="A445" s="54" t="s">
        <v>161</v>
      </c>
      <c r="B445" s="485"/>
      <c r="C445" s="485"/>
      <c r="D445" s="485"/>
      <c r="E445" s="485"/>
      <c r="F445" s="485"/>
      <c r="G445" s="485"/>
      <c r="H445" s="485"/>
      <c r="I445" s="485"/>
      <c r="J445" s="485"/>
      <c r="K445" s="485"/>
      <c r="L445" s="485"/>
      <c r="M445" s="485"/>
      <c r="N445" s="19">
        <f t="shared" si="64"/>
        <v>0</v>
      </c>
    </row>
    <row r="446" spans="1:14">
      <c r="A446" s="26" t="s">
        <v>140</v>
      </c>
      <c r="B446" s="485"/>
      <c r="C446" s="485"/>
      <c r="D446" s="485"/>
      <c r="E446" s="485"/>
      <c r="F446" s="485"/>
      <c r="G446" s="485"/>
      <c r="H446" s="485"/>
      <c r="I446" s="485"/>
      <c r="J446" s="485"/>
      <c r="K446" s="485"/>
      <c r="L446" s="485"/>
      <c r="M446" s="485"/>
      <c r="N446" s="19">
        <f t="shared" si="64"/>
        <v>0</v>
      </c>
    </row>
    <row r="447" spans="1:14">
      <c r="A447" s="53" t="s">
        <v>30</v>
      </c>
      <c r="B447" s="485"/>
      <c r="C447" s="485"/>
      <c r="D447" s="485"/>
      <c r="E447" s="485"/>
      <c r="F447" s="485"/>
      <c r="G447" s="485">
        <v>4</v>
      </c>
      <c r="H447" s="485"/>
      <c r="I447" s="485">
        <v>1</v>
      </c>
      <c r="J447" s="485">
        <v>1</v>
      </c>
      <c r="K447" s="485"/>
      <c r="L447" s="485">
        <v>1</v>
      </c>
      <c r="M447" s="485"/>
      <c r="N447" s="19">
        <f>SUM(B447:M447)</f>
        <v>7</v>
      </c>
    </row>
    <row r="448" spans="1:14">
      <c r="A448" s="24" t="s">
        <v>56</v>
      </c>
      <c r="B448" s="485"/>
      <c r="C448" s="485"/>
      <c r="D448" s="485"/>
      <c r="E448" s="485"/>
      <c r="F448" s="485"/>
      <c r="G448" s="485"/>
      <c r="H448" s="485"/>
      <c r="I448" s="485"/>
      <c r="J448" s="485"/>
      <c r="K448" s="485"/>
      <c r="L448" s="485"/>
      <c r="M448" s="485"/>
      <c r="N448" s="19">
        <f t="shared" ref="N448:N450" si="66">SUM(B448:M448)</f>
        <v>0</v>
      </c>
    </row>
    <row r="449" spans="1:14">
      <c r="A449" s="54" t="s">
        <v>89</v>
      </c>
      <c r="B449" s="485"/>
      <c r="C449" s="485"/>
      <c r="D449" s="485"/>
      <c r="E449" s="485"/>
      <c r="F449" s="485"/>
      <c r="G449" s="485"/>
      <c r="H449" s="485"/>
      <c r="I449" s="485"/>
      <c r="J449" s="485"/>
      <c r="K449" s="485"/>
      <c r="L449" s="485"/>
      <c r="M449" s="485"/>
      <c r="N449" s="19">
        <f t="shared" si="66"/>
        <v>0</v>
      </c>
    </row>
    <row r="450" spans="1:14">
      <c r="A450" s="54" t="s">
        <v>124</v>
      </c>
      <c r="B450" s="485"/>
      <c r="C450" s="485"/>
      <c r="D450" s="485"/>
      <c r="E450" s="485"/>
      <c r="F450" s="485"/>
      <c r="G450" s="485"/>
      <c r="H450" s="485"/>
      <c r="I450" s="485"/>
      <c r="J450" s="485"/>
      <c r="K450" s="485"/>
      <c r="L450" s="485"/>
      <c r="M450" s="485"/>
      <c r="N450" s="19">
        <f t="shared" si="66"/>
        <v>0</v>
      </c>
    </row>
    <row r="451" spans="1:14">
      <c r="A451" s="54" t="s">
        <v>127</v>
      </c>
      <c r="B451" s="485"/>
      <c r="C451" s="485"/>
      <c r="D451" s="485"/>
      <c r="E451" s="485"/>
      <c r="F451" s="485"/>
      <c r="G451" s="485"/>
      <c r="H451" s="485"/>
      <c r="I451" s="485">
        <v>1241</v>
      </c>
      <c r="J451" s="485"/>
      <c r="K451" s="485"/>
      <c r="L451" s="485"/>
      <c r="M451" s="485"/>
      <c r="N451" s="19">
        <f>SUM(B451:M451)</f>
        <v>1241</v>
      </c>
    </row>
    <row r="452" spans="1:14">
      <c r="A452" s="54" t="s">
        <v>128</v>
      </c>
      <c r="B452" s="485"/>
      <c r="C452" s="485"/>
      <c r="D452" s="485"/>
      <c r="E452" s="485"/>
      <c r="F452" s="485"/>
      <c r="G452" s="485"/>
      <c r="H452" s="485"/>
      <c r="I452" s="485"/>
      <c r="J452" s="485"/>
      <c r="K452" s="485"/>
      <c r="L452" s="485"/>
      <c r="M452" s="485"/>
      <c r="N452" s="19">
        <f t="shared" ref="N452:N455" si="67">SUM(B452:M452)</f>
        <v>0</v>
      </c>
    </row>
    <row r="453" spans="1:14">
      <c r="A453" s="54" t="s">
        <v>146</v>
      </c>
      <c r="B453" s="485">
        <v>2</v>
      </c>
      <c r="C453" s="485">
        <v>1</v>
      </c>
      <c r="D453" s="485"/>
      <c r="E453" s="485"/>
      <c r="F453" s="485"/>
      <c r="G453" s="485"/>
      <c r="H453" s="485">
        <v>1</v>
      </c>
      <c r="I453" s="485"/>
      <c r="J453" s="485">
        <v>1</v>
      </c>
      <c r="K453" s="485"/>
      <c r="L453" s="485"/>
      <c r="M453" s="485"/>
      <c r="N453" s="19">
        <f t="shared" si="67"/>
        <v>5</v>
      </c>
    </row>
    <row r="454" spans="1:14">
      <c r="A454" s="53" t="s">
        <v>164</v>
      </c>
      <c r="B454" s="485"/>
      <c r="C454" s="485"/>
      <c r="D454" s="485"/>
      <c r="E454" s="485"/>
      <c r="F454" s="485"/>
      <c r="G454" s="485"/>
      <c r="H454" s="485"/>
      <c r="I454" s="485"/>
      <c r="J454" s="485"/>
      <c r="K454" s="485"/>
      <c r="L454" s="485"/>
      <c r="M454" s="485"/>
      <c r="N454" s="19">
        <f t="shared" si="67"/>
        <v>0</v>
      </c>
    </row>
    <row r="455" spans="1:14" ht="14" thickBot="1">
      <c r="A455" s="54" t="s">
        <v>165</v>
      </c>
      <c r="B455" s="485"/>
      <c r="C455" s="485"/>
      <c r="D455" s="485"/>
      <c r="E455" s="485"/>
      <c r="F455" s="485"/>
      <c r="G455" s="485"/>
      <c r="H455" s="485"/>
      <c r="I455" s="485">
        <v>166</v>
      </c>
      <c r="J455" s="485"/>
      <c r="K455" s="485"/>
      <c r="L455" s="485"/>
      <c r="M455" s="485"/>
      <c r="N455" s="19">
        <f t="shared" si="67"/>
        <v>166</v>
      </c>
    </row>
    <row r="456" spans="1:14" ht="14" hidden="1" thickBot="1">
      <c r="A456" s="30" t="s">
        <v>132</v>
      </c>
      <c r="B456" s="31"/>
      <c r="C456" s="31"/>
      <c r="D456" s="31"/>
      <c r="E456" s="31"/>
      <c r="F456" s="31"/>
      <c r="G456" s="31"/>
      <c r="H456" s="31"/>
      <c r="I456" s="31"/>
      <c r="J456" s="31"/>
      <c r="K456" s="31"/>
      <c r="L456" s="31"/>
      <c r="M456" s="31"/>
      <c r="N456" s="32"/>
    </row>
    <row r="457" spans="1:14" ht="14" hidden="1" thickBot="1">
      <c r="A457" s="53" t="s">
        <v>133</v>
      </c>
      <c r="B457" s="485"/>
      <c r="C457" s="485"/>
      <c r="D457" s="485"/>
      <c r="E457" s="485"/>
      <c r="F457" s="485"/>
      <c r="G457" s="485"/>
      <c r="H457" s="485"/>
      <c r="I457" s="485"/>
      <c r="J457" s="485"/>
      <c r="K457" s="485"/>
      <c r="L457" s="485"/>
      <c r="M457" s="485"/>
      <c r="N457" s="19">
        <f>SUM(B457:M457)</f>
        <v>0</v>
      </c>
    </row>
    <row r="458" spans="1:14" ht="14" thickBot="1">
      <c r="A458" s="40" t="s">
        <v>60</v>
      </c>
      <c r="B458" s="42">
        <f t="shared" ref="B458:M458" si="68">SUM(B444:B457)</f>
        <v>2</v>
      </c>
      <c r="C458" s="42">
        <f t="shared" si="68"/>
        <v>1</v>
      </c>
      <c r="D458" s="42">
        <f t="shared" si="68"/>
        <v>0</v>
      </c>
      <c r="E458" s="42">
        <f t="shared" si="68"/>
        <v>0</v>
      </c>
      <c r="F458" s="42">
        <f t="shared" si="68"/>
        <v>138</v>
      </c>
      <c r="G458" s="42">
        <f t="shared" si="68"/>
        <v>354</v>
      </c>
      <c r="H458" s="42">
        <f t="shared" si="68"/>
        <v>1</v>
      </c>
      <c r="I458" s="42">
        <f t="shared" si="68"/>
        <v>1682</v>
      </c>
      <c r="J458" s="42">
        <f t="shared" si="68"/>
        <v>2</v>
      </c>
      <c r="K458" s="42">
        <f t="shared" si="68"/>
        <v>0</v>
      </c>
      <c r="L458" s="42">
        <f t="shared" si="68"/>
        <v>1</v>
      </c>
      <c r="M458" s="42">
        <f t="shared" si="68"/>
        <v>0</v>
      </c>
      <c r="N458" s="41"/>
    </row>
  </sheetData>
  <printOptions gridLines="1"/>
  <pageMargins left="1.1458333333333333E-3" right="0.75" top="1" bottom="1" header="0.5" footer="0.5"/>
  <pageSetup scale="7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FFC000"/>
  </sheetPr>
  <dimension ref="A3:V458"/>
  <sheetViews>
    <sheetView zoomScaleNormal="100" workbookViewId="0">
      <selection activeCell="M3" sqref="A3:M457"/>
    </sheetView>
  </sheetViews>
  <sheetFormatPr baseColWidth="10" defaultColWidth="8.83203125" defaultRowHeight="13"/>
  <cols>
    <col min="1" max="1" width="48.5" bestFit="1" customWidth="1"/>
    <col min="4" max="4" width="10.5" customWidth="1"/>
    <col min="5" max="5" width="9.83203125" customWidth="1"/>
    <col min="6" max="6" width="11.33203125" customWidth="1"/>
    <col min="7" max="7" width="10.5" customWidth="1"/>
    <col min="9" max="10" width="10.1640625" bestFit="1" customWidth="1"/>
    <col min="11" max="11" width="11.1640625" bestFit="1" customWidth="1"/>
  </cols>
  <sheetData>
    <row r="3" spans="1:14" ht="14" thickBot="1">
      <c r="A3" s="255" t="s">
        <v>238</v>
      </c>
      <c r="B3" s="35" t="s">
        <v>35</v>
      </c>
      <c r="C3" s="35" t="s">
        <v>36</v>
      </c>
      <c r="D3" s="35" t="s">
        <v>37</v>
      </c>
      <c r="E3" s="35" t="s">
        <v>38</v>
      </c>
      <c r="F3" s="35" t="s">
        <v>39</v>
      </c>
      <c r="G3" s="35" t="s">
        <v>40</v>
      </c>
      <c r="H3" s="35" t="s">
        <v>41</v>
      </c>
      <c r="I3" s="35" t="s">
        <v>42</v>
      </c>
      <c r="J3" s="35" t="s">
        <v>43</v>
      </c>
      <c r="K3" s="35" t="s">
        <v>44</v>
      </c>
      <c r="L3" s="35" t="s">
        <v>45</v>
      </c>
      <c r="M3" s="35" t="s">
        <v>46</v>
      </c>
      <c r="N3" s="35" t="s">
        <v>10</v>
      </c>
    </row>
    <row r="4" spans="1:14" ht="17" thickBot="1">
      <c r="A4" s="23" t="s">
        <v>34</v>
      </c>
      <c r="B4" s="16"/>
      <c r="C4" s="16"/>
      <c r="D4" s="15"/>
      <c r="E4" s="15"/>
      <c r="F4" s="17"/>
      <c r="G4" s="17"/>
      <c r="H4" s="15"/>
      <c r="I4" s="15"/>
      <c r="J4" s="15"/>
      <c r="K4" s="15"/>
      <c r="L4" s="16"/>
      <c r="M4" s="16"/>
      <c r="N4" s="18"/>
    </row>
    <row r="5" spans="1:14" ht="14" thickBot="1">
      <c r="A5" s="30" t="s">
        <v>48</v>
      </c>
      <c r="B5" s="31"/>
      <c r="C5" s="31"/>
      <c r="D5" s="31"/>
      <c r="E5" s="31"/>
      <c r="F5" s="31"/>
      <c r="G5" s="31"/>
      <c r="H5" s="31"/>
      <c r="I5" s="31"/>
      <c r="J5" s="31"/>
      <c r="K5" s="31"/>
      <c r="L5" s="31"/>
      <c r="M5" s="31"/>
      <c r="N5" s="32"/>
    </row>
    <row r="6" spans="1:14">
      <c r="A6" s="24" t="s">
        <v>28</v>
      </c>
      <c r="B6" s="485">
        <v>0</v>
      </c>
      <c r="C6" s="485">
        <v>0</v>
      </c>
      <c r="D6" s="485">
        <v>0</v>
      </c>
      <c r="E6" s="485">
        <v>0</v>
      </c>
      <c r="F6" s="485">
        <v>0</v>
      </c>
      <c r="G6" s="485">
        <v>1</v>
      </c>
      <c r="H6" s="485">
        <v>0</v>
      </c>
      <c r="I6" s="485">
        <v>0</v>
      </c>
      <c r="J6" s="485">
        <v>2</v>
      </c>
      <c r="K6" s="485">
        <v>3</v>
      </c>
      <c r="L6" s="485">
        <v>0</v>
      </c>
      <c r="M6" s="485">
        <v>0</v>
      </c>
      <c r="N6" s="19">
        <f t="shared" ref="N6:N26" si="0">SUM(B6:M6)</f>
        <v>6</v>
      </c>
    </row>
    <row r="7" spans="1:14">
      <c r="A7" s="24" t="s">
        <v>29</v>
      </c>
      <c r="B7" s="485">
        <v>0</v>
      </c>
      <c r="C7" s="485">
        <v>0</v>
      </c>
      <c r="D7" s="485">
        <v>0</v>
      </c>
      <c r="E7" s="485">
        <v>0</v>
      </c>
      <c r="F7" s="485">
        <v>0</v>
      </c>
      <c r="G7" s="485">
        <v>0</v>
      </c>
      <c r="H7" s="485">
        <v>0</v>
      </c>
      <c r="I7" s="485">
        <v>0</v>
      </c>
      <c r="J7" s="485">
        <v>0</v>
      </c>
      <c r="K7" s="485">
        <v>0</v>
      </c>
      <c r="L7" s="485">
        <v>0</v>
      </c>
      <c r="M7" s="485">
        <v>0</v>
      </c>
      <c r="N7" s="19">
        <f t="shared" si="0"/>
        <v>0</v>
      </c>
    </row>
    <row r="8" spans="1:14">
      <c r="A8" s="24" t="s">
        <v>33</v>
      </c>
      <c r="B8" s="485">
        <v>5</v>
      </c>
      <c r="C8" s="485">
        <v>0</v>
      </c>
      <c r="D8" s="485">
        <v>17</v>
      </c>
      <c r="E8" s="485">
        <v>33</v>
      </c>
      <c r="F8" s="485">
        <v>15</v>
      </c>
      <c r="G8" s="485">
        <v>8</v>
      </c>
      <c r="H8" s="485">
        <v>20</v>
      </c>
      <c r="I8" s="485">
        <v>15</v>
      </c>
      <c r="J8" s="485">
        <v>12</v>
      </c>
      <c r="K8" s="485">
        <v>17</v>
      </c>
      <c r="L8" s="485">
        <v>12</v>
      </c>
      <c r="M8" s="485">
        <v>16</v>
      </c>
      <c r="N8" s="19">
        <f t="shared" si="0"/>
        <v>170</v>
      </c>
    </row>
    <row r="9" spans="1:14">
      <c r="A9" s="24" t="s">
        <v>56</v>
      </c>
      <c r="B9" s="485">
        <v>0</v>
      </c>
      <c r="C9" s="485">
        <v>0</v>
      </c>
      <c r="D9" s="485">
        <v>0</v>
      </c>
      <c r="E9" s="485">
        <v>0</v>
      </c>
      <c r="F9" s="485">
        <v>0</v>
      </c>
      <c r="G9" s="485">
        <v>0</v>
      </c>
      <c r="H9" s="485">
        <v>0</v>
      </c>
      <c r="I9" s="485">
        <v>0</v>
      </c>
      <c r="J9" s="485">
        <v>0</v>
      </c>
      <c r="K9" s="485">
        <v>22</v>
      </c>
      <c r="L9" s="485">
        <v>0</v>
      </c>
      <c r="M9" s="485">
        <v>0</v>
      </c>
      <c r="N9" s="19">
        <f t="shared" si="0"/>
        <v>22</v>
      </c>
    </row>
    <row r="10" spans="1:14">
      <c r="A10" s="24" t="s">
        <v>52</v>
      </c>
      <c r="B10" s="485">
        <v>0</v>
      </c>
      <c r="C10" s="485">
        <v>0</v>
      </c>
      <c r="D10" s="485">
        <v>0</v>
      </c>
      <c r="E10" s="485">
        <v>0</v>
      </c>
      <c r="F10" s="485">
        <v>0</v>
      </c>
      <c r="G10" s="485">
        <v>0</v>
      </c>
      <c r="H10" s="485">
        <v>0</v>
      </c>
      <c r="I10" s="485">
        <v>0</v>
      </c>
      <c r="J10" s="485">
        <v>0</v>
      </c>
      <c r="K10" s="485">
        <v>0</v>
      </c>
      <c r="L10" s="485">
        <v>0</v>
      </c>
      <c r="M10" s="485">
        <v>0</v>
      </c>
      <c r="N10" s="19">
        <f>SUM(B10:M10)</f>
        <v>0</v>
      </c>
    </row>
    <row r="11" spans="1:14">
      <c r="A11" s="25" t="s">
        <v>57</v>
      </c>
      <c r="B11" s="485">
        <v>0</v>
      </c>
      <c r="C11" s="485">
        <v>0</v>
      </c>
      <c r="D11" s="485">
        <v>0</v>
      </c>
      <c r="E11" s="485">
        <v>0</v>
      </c>
      <c r="F11" s="485">
        <v>0</v>
      </c>
      <c r="G11" s="485">
        <v>0</v>
      </c>
      <c r="H11" s="485">
        <v>0</v>
      </c>
      <c r="I11" s="485">
        <v>0</v>
      </c>
      <c r="J11" s="485">
        <v>0</v>
      </c>
      <c r="K11" s="485">
        <v>0</v>
      </c>
      <c r="L11" s="485">
        <v>0</v>
      </c>
      <c r="M11" s="485">
        <v>0</v>
      </c>
      <c r="N11" s="19">
        <f>SUM(B11:M11)</f>
        <v>0</v>
      </c>
    </row>
    <row r="12" spans="1:14" ht="14" thickBot="1">
      <c r="A12" s="25" t="s">
        <v>76</v>
      </c>
      <c r="B12" s="485">
        <v>0</v>
      </c>
      <c r="C12" s="485">
        <v>0</v>
      </c>
      <c r="D12" s="485">
        <v>0</v>
      </c>
      <c r="E12" s="485">
        <v>0</v>
      </c>
      <c r="F12" s="485">
        <v>0</v>
      </c>
      <c r="G12" s="485">
        <v>0</v>
      </c>
      <c r="H12" s="485">
        <v>0</v>
      </c>
      <c r="I12" s="485">
        <v>0</v>
      </c>
      <c r="J12" s="485">
        <v>0</v>
      </c>
      <c r="K12" s="485">
        <v>1</v>
      </c>
      <c r="L12" s="485">
        <v>0</v>
      </c>
      <c r="M12" s="485">
        <v>2</v>
      </c>
      <c r="N12" s="19">
        <f>SUM(B12:M12)</f>
        <v>3</v>
      </c>
    </row>
    <row r="13" spans="1:14" ht="14" thickBot="1">
      <c r="A13" s="40" t="s">
        <v>60</v>
      </c>
      <c r="B13" s="42">
        <f>SUM(B6:B12)</f>
        <v>5</v>
      </c>
      <c r="C13" s="42">
        <f>SUM(C6:C12)</f>
        <v>0</v>
      </c>
      <c r="D13" s="42">
        <f t="shared" ref="D13:M13" si="1">SUM(D6:D12)</f>
        <v>17</v>
      </c>
      <c r="E13" s="42">
        <f t="shared" si="1"/>
        <v>33</v>
      </c>
      <c r="F13" s="42">
        <f t="shared" si="1"/>
        <v>15</v>
      </c>
      <c r="G13" s="42">
        <f t="shared" si="1"/>
        <v>9</v>
      </c>
      <c r="H13" s="42">
        <f t="shared" si="1"/>
        <v>20</v>
      </c>
      <c r="I13" s="42">
        <f t="shared" si="1"/>
        <v>15</v>
      </c>
      <c r="J13" s="42">
        <f t="shared" si="1"/>
        <v>14</v>
      </c>
      <c r="K13" s="42">
        <f t="shared" si="1"/>
        <v>43</v>
      </c>
      <c r="L13" s="42">
        <f t="shared" si="1"/>
        <v>12</v>
      </c>
      <c r="M13" s="42">
        <f t="shared" si="1"/>
        <v>18</v>
      </c>
      <c r="N13" s="41">
        <f>SUM(N6:N12)</f>
        <v>201</v>
      </c>
    </row>
    <row r="14" spans="1:14" ht="14" thickBot="1">
      <c r="A14" s="30" t="s">
        <v>49</v>
      </c>
      <c r="B14" s="31"/>
      <c r="C14" s="31"/>
      <c r="D14" s="31"/>
      <c r="E14" s="31"/>
      <c r="F14" s="31"/>
      <c r="G14" s="31"/>
      <c r="H14" s="31"/>
      <c r="I14" s="31"/>
      <c r="J14" s="31"/>
      <c r="K14" s="31"/>
      <c r="L14" s="31"/>
      <c r="M14" s="31"/>
      <c r="N14" s="32"/>
    </row>
    <row r="15" spans="1:14" ht="14" thickBot="1">
      <c r="A15" s="25" t="s">
        <v>49</v>
      </c>
      <c r="B15" s="485">
        <v>0</v>
      </c>
      <c r="C15" s="485">
        <v>0</v>
      </c>
      <c r="D15" s="485">
        <v>0</v>
      </c>
      <c r="E15" s="485">
        <v>0</v>
      </c>
      <c r="F15" s="485">
        <v>0</v>
      </c>
      <c r="G15" s="485">
        <v>0</v>
      </c>
      <c r="H15" s="485">
        <v>0</v>
      </c>
      <c r="I15" s="485">
        <v>0</v>
      </c>
      <c r="J15" s="485">
        <v>0</v>
      </c>
      <c r="K15" s="485">
        <v>0</v>
      </c>
      <c r="L15" s="485">
        <v>0</v>
      </c>
      <c r="M15" s="485">
        <v>28</v>
      </c>
      <c r="N15" s="19">
        <f>SUM(B15:M15)</f>
        <v>28</v>
      </c>
    </row>
    <row r="16" spans="1:14" ht="14" thickBot="1">
      <c r="A16" s="40" t="s">
        <v>60</v>
      </c>
      <c r="B16" s="42">
        <f>SUM(B15)</f>
        <v>0</v>
      </c>
      <c r="C16" s="42">
        <f t="shared" ref="C16:M16" si="2">SUM(C15)</f>
        <v>0</v>
      </c>
      <c r="D16" s="42">
        <f t="shared" si="2"/>
        <v>0</v>
      </c>
      <c r="E16" s="42">
        <f t="shared" si="2"/>
        <v>0</v>
      </c>
      <c r="F16" s="42">
        <f t="shared" si="2"/>
        <v>0</v>
      </c>
      <c r="G16" s="42">
        <f t="shared" si="2"/>
        <v>0</v>
      </c>
      <c r="H16" s="42">
        <f t="shared" si="2"/>
        <v>0</v>
      </c>
      <c r="I16" s="42">
        <f t="shared" si="2"/>
        <v>0</v>
      </c>
      <c r="J16" s="42">
        <f t="shared" si="2"/>
        <v>0</v>
      </c>
      <c r="K16" s="42">
        <f t="shared" si="2"/>
        <v>0</v>
      </c>
      <c r="L16" s="42">
        <f t="shared" si="2"/>
        <v>0</v>
      </c>
      <c r="M16" s="42">
        <f t="shared" si="2"/>
        <v>28</v>
      </c>
      <c r="N16" s="41">
        <f>SUM(N15)</f>
        <v>28</v>
      </c>
    </row>
    <row r="17" spans="1:14" ht="14" thickBot="1">
      <c r="A17" s="30" t="s">
        <v>50</v>
      </c>
      <c r="B17" s="31"/>
      <c r="C17" s="31"/>
      <c r="D17" s="31"/>
      <c r="E17" s="31"/>
      <c r="F17" s="31"/>
      <c r="G17" s="31"/>
      <c r="H17" s="31"/>
      <c r="I17" s="31"/>
      <c r="J17" s="31"/>
      <c r="K17" s="31"/>
      <c r="L17" s="31"/>
      <c r="M17" s="31"/>
      <c r="N17" s="32"/>
    </row>
    <row r="18" spans="1:14">
      <c r="A18" s="26" t="s">
        <v>26</v>
      </c>
      <c r="B18" s="485">
        <v>0</v>
      </c>
      <c r="C18" s="485">
        <v>0</v>
      </c>
      <c r="D18" s="485">
        <v>0</v>
      </c>
      <c r="E18" s="485">
        <v>0</v>
      </c>
      <c r="F18" s="485">
        <v>0</v>
      </c>
      <c r="G18" s="485">
        <v>0</v>
      </c>
      <c r="H18" s="485">
        <v>0</v>
      </c>
      <c r="I18" s="485">
        <v>0</v>
      </c>
      <c r="J18" s="485">
        <v>0</v>
      </c>
      <c r="K18" s="485">
        <v>0</v>
      </c>
      <c r="L18" s="485">
        <v>0</v>
      </c>
      <c r="M18" s="485">
        <v>0</v>
      </c>
      <c r="N18" s="19">
        <f t="shared" si="0"/>
        <v>0</v>
      </c>
    </row>
    <row r="19" spans="1:14">
      <c r="A19" s="26" t="s">
        <v>25</v>
      </c>
      <c r="B19" s="485">
        <v>0</v>
      </c>
      <c r="C19" s="485">
        <v>0</v>
      </c>
      <c r="D19" s="485">
        <v>0</v>
      </c>
      <c r="E19" s="485">
        <v>0</v>
      </c>
      <c r="F19" s="485">
        <v>0</v>
      </c>
      <c r="G19" s="485">
        <v>0</v>
      </c>
      <c r="H19" s="485">
        <v>0</v>
      </c>
      <c r="I19" s="485">
        <v>0</v>
      </c>
      <c r="J19" s="485">
        <v>0</v>
      </c>
      <c r="K19" s="485">
        <v>0</v>
      </c>
      <c r="L19" s="485">
        <v>0</v>
      </c>
      <c r="M19" s="485">
        <v>0</v>
      </c>
      <c r="N19" s="19">
        <f t="shared" si="0"/>
        <v>0</v>
      </c>
    </row>
    <row r="20" spans="1:14">
      <c r="A20" s="24" t="s">
        <v>29</v>
      </c>
      <c r="B20" s="485">
        <v>0</v>
      </c>
      <c r="C20" s="485">
        <v>0</v>
      </c>
      <c r="D20" s="485">
        <v>0</v>
      </c>
      <c r="E20" s="485">
        <v>0</v>
      </c>
      <c r="F20" s="485">
        <v>0</v>
      </c>
      <c r="G20" s="485">
        <v>0</v>
      </c>
      <c r="H20" s="485">
        <v>158</v>
      </c>
      <c r="I20" s="485">
        <v>0</v>
      </c>
      <c r="J20" s="485">
        <v>0</v>
      </c>
      <c r="K20" s="485">
        <v>0</v>
      </c>
      <c r="L20" s="485">
        <v>0</v>
      </c>
      <c r="M20" s="485">
        <v>0</v>
      </c>
      <c r="N20" s="19">
        <f>SUM(B20:M20)</f>
        <v>158</v>
      </c>
    </row>
    <row r="21" spans="1:14">
      <c r="A21" s="24" t="s">
        <v>51</v>
      </c>
      <c r="B21" s="485">
        <v>0</v>
      </c>
      <c r="C21" s="485">
        <v>0</v>
      </c>
      <c r="D21" s="485">
        <v>0</v>
      </c>
      <c r="E21" s="485">
        <v>0</v>
      </c>
      <c r="F21" s="485">
        <v>0</v>
      </c>
      <c r="G21" s="485">
        <v>0</v>
      </c>
      <c r="H21" s="485">
        <v>20</v>
      </c>
      <c r="I21" s="485">
        <v>70</v>
      </c>
      <c r="J21" s="485">
        <v>0</v>
      </c>
      <c r="K21" s="485">
        <v>0</v>
      </c>
      <c r="L21" s="485">
        <v>0</v>
      </c>
      <c r="M21" s="485">
        <v>0</v>
      </c>
      <c r="N21" s="19">
        <f t="shared" si="0"/>
        <v>90</v>
      </c>
    </row>
    <row r="22" spans="1:14">
      <c r="A22" s="26" t="s">
        <v>20</v>
      </c>
      <c r="B22" s="485">
        <v>0</v>
      </c>
      <c r="C22" s="485">
        <v>0</v>
      </c>
      <c r="D22" s="485">
        <v>0</v>
      </c>
      <c r="E22" s="485">
        <v>0</v>
      </c>
      <c r="F22" s="485">
        <v>0</v>
      </c>
      <c r="G22" s="485">
        <v>0</v>
      </c>
      <c r="H22" s="485">
        <v>0</v>
      </c>
      <c r="I22" s="485">
        <v>0</v>
      </c>
      <c r="J22" s="485">
        <v>0</v>
      </c>
      <c r="K22" s="485">
        <v>0</v>
      </c>
      <c r="L22" s="485">
        <v>0</v>
      </c>
      <c r="M22" s="485">
        <v>0</v>
      </c>
      <c r="N22" s="19">
        <f t="shared" si="0"/>
        <v>0</v>
      </c>
    </row>
    <row r="23" spans="1:14">
      <c r="A23" s="26" t="s">
        <v>140</v>
      </c>
      <c r="B23" s="485">
        <v>0</v>
      </c>
      <c r="C23" s="485">
        <v>0</v>
      </c>
      <c r="D23" s="485">
        <v>0</v>
      </c>
      <c r="E23" s="485">
        <v>0</v>
      </c>
      <c r="F23" s="485">
        <v>0</v>
      </c>
      <c r="G23" s="485">
        <v>0</v>
      </c>
      <c r="H23" s="485">
        <v>0</v>
      </c>
      <c r="I23" s="485">
        <v>0</v>
      </c>
      <c r="J23" s="485">
        <v>0</v>
      </c>
      <c r="K23" s="485">
        <v>0</v>
      </c>
      <c r="L23" s="485">
        <v>0</v>
      </c>
      <c r="M23" s="485">
        <v>0</v>
      </c>
      <c r="N23" s="19">
        <f t="shared" si="0"/>
        <v>0</v>
      </c>
    </row>
    <row r="24" spans="1:14">
      <c r="A24" s="27" t="s">
        <v>47</v>
      </c>
      <c r="B24" s="485">
        <v>0</v>
      </c>
      <c r="C24" s="485">
        <v>0</v>
      </c>
      <c r="D24" s="485">
        <v>0</v>
      </c>
      <c r="E24" s="485">
        <v>0</v>
      </c>
      <c r="F24" s="485">
        <v>0</v>
      </c>
      <c r="G24" s="485">
        <v>0</v>
      </c>
      <c r="H24" s="485">
        <v>0</v>
      </c>
      <c r="I24" s="485">
        <v>0</v>
      </c>
      <c r="J24" s="485">
        <v>0</v>
      </c>
      <c r="K24" s="485">
        <v>0</v>
      </c>
      <c r="L24" s="485">
        <v>0</v>
      </c>
      <c r="M24" s="485">
        <v>0</v>
      </c>
      <c r="N24" s="19">
        <f t="shared" si="0"/>
        <v>0</v>
      </c>
    </row>
    <row r="25" spans="1:14">
      <c r="A25" s="25" t="s">
        <v>52</v>
      </c>
      <c r="B25" s="485">
        <v>0</v>
      </c>
      <c r="C25" s="485">
        <v>0</v>
      </c>
      <c r="D25" s="485">
        <v>0</v>
      </c>
      <c r="E25" s="485">
        <v>0</v>
      </c>
      <c r="F25" s="485">
        <v>0</v>
      </c>
      <c r="G25" s="485">
        <v>0</v>
      </c>
      <c r="H25" s="485">
        <v>0</v>
      </c>
      <c r="I25" s="485">
        <v>0</v>
      </c>
      <c r="J25" s="485">
        <v>0</v>
      </c>
      <c r="K25" s="485">
        <v>0</v>
      </c>
      <c r="L25" s="485">
        <v>0</v>
      </c>
      <c r="M25" s="485">
        <v>0</v>
      </c>
      <c r="N25" s="19">
        <f t="shared" si="0"/>
        <v>0</v>
      </c>
    </row>
    <row r="26" spans="1:14">
      <c r="A26" s="25" t="s">
        <v>77</v>
      </c>
      <c r="B26" s="485">
        <v>0</v>
      </c>
      <c r="C26" s="485">
        <v>0</v>
      </c>
      <c r="D26" s="485">
        <v>0</v>
      </c>
      <c r="E26" s="485">
        <v>0</v>
      </c>
      <c r="F26" s="485">
        <v>0</v>
      </c>
      <c r="G26" s="485">
        <v>2</v>
      </c>
      <c r="H26" s="485">
        <v>0</v>
      </c>
      <c r="I26" s="485">
        <v>0</v>
      </c>
      <c r="J26" s="485">
        <v>0</v>
      </c>
      <c r="K26" s="485">
        <v>0</v>
      </c>
      <c r="L26" s="485">
        <v>0</v>
      </c>
      <c r="M26" s="485">
        <v>0</v>
      </c>
      <c r="N26" s="19">
        <f t="shared" si="0"/>
        <v>2</v>
      </c>
    </row>
    <row r="27" spans="1:14" ht="14" thickBot="1">
      <c r="A27" s="24" t="s">
        <v>56</v>
      </c>
      <c r="B27" s="485">
        <v>0</v>
      </c>
      <c r="C27" s="485">
        <v>0</v>
      </c>
      <c r="D27" s="485">
        <v>0</v>
      </c>
      <c r="E27" s="485">
        <v>0</v>
      </c>
      <c r="F27" s="485">
        <v>0</v>
      </c>
      <c r="G27" s="485">
        <v>0</v>
      </c>
      <c r="H27" s="485">
        <v>0</v>
      </c>
      <c r="I27" s="485">
        <v>0</v>
      </c>
      <c r="J27" s="485">
        <v>0</v>
      </c>
      <c r="K27" s="485">
        <v>0</v>
      </c>
      <c r="L27" s="485">
        <v>0</v>
      </c>
      <c r="M27" s="485">
        <v>0</v>
      </c>
      <c r="N27" s="19">
        <f>SUM(B27:M27)</f>
        <v>0</v>
      </c>
    </row>
    <row r="28" spans="1:14" ht="14" thickBot="1">
      <c r="A28" s="40" t="s">
        <v>60</v>
      </c>
      <c r="B28" s="42">
        <f>SUM(B18:B27)</f>
        <v>0</v>
      </c>
      <c r="C28" s="42">
        <f t="shared" ref="C28:M28" si="3">SUM(C18:C27)</f>
        <v>0</v>
      </c>
      <c r="D28" s="42">
        <f t="shared" si="3"/>
        <v>0</v>
      </c>
      <c r="E28" s="42">
        <f t="shared" si="3"/>
        <v>0</v>
      </c>
      <c r="F28" s="42">
        <f t="shared" si="3"/>
        <v>0</v>
      </c>
      <c r="G28" s="42">
        <f t="shared" si="3"/>
        <v>2</v>
      </c>
      <c r="H28" s="42">
        <f t="shared" si="3"/>
        <v>178</v>
      </c>
      <c r="I28" s="42">
        <f t="shared" si="3"/>
        <v>70</v>
      </c>
      <c r="J28" s="42">
        <f t="shared" si="3"/>
        <v>0</v>
      </c>
      <c r="K28" s="42">
        <f t="shared" si="3"/>
        <v>0</v>
      </c>
      <c r="L28" s="42">
        <f t="shared" si="3"/>
        <v>0</v>
      </c>
      <c r="M28" s="42">
        <f t="shared" si="3"/>
        <v>0</v>
      </c>
      <c r="N28" s="41">
        <f>SUM(N18:N27)</f>
        <v>250</v>
      </c>
    </row>
    <row r="29" spans="1:14" ht="14" thickBot="1">
      <c r="A29" s="30" t="s">
        <v>54</v>
      </c>
      <c r="B29" s="37"/>
      <c r="C29" s="37"/>
      <c r="D29" s="37"/>
      <c r="E29" s="37"/>
      <c r="F29" s="37"/>
      <c r="G29" s="37"/>
      <c r="H29" s="37"/>
      <c r="I29" s="37"/>
      <c r="J29" s="37"/>
      <c r="K29" s="37"/>
      <c r="L29" s="37"/>
      <c r="M29" s="37"/>
      <c r="N29" s="34"/>
    </row>
    <row r="30" spans="1:14">
      <c r="A30" s="28" t="s">
        <v>29</v>
      </c>
      <c r="B30" s="492">
        <v>0</v>
      </c>
      <c r="C30" s="493">
        <v>0</v>
      </c>
      <c r="D30" s="493">
        <v>0</v>
      </c>
      <c r="E30" s="493">
        <v>0</v>
      </c>
      <c r="F30" s="493">
        <v>0</v>
      </c>
      <c r="G30" s="493">
        <v>0</v>
      </c>
      <c r="H30" s="493">
        <v>0</v>
      </c>
      <c r="I30" s="493">
        <v>0</v>
      </c>
      <c r="J30" s="493">
        <v>0</v>
      </c>
      <c r="K30" s="486">
        <v>0</v>
      </c>
      <c r="L30" s="486">
        <v>0</v>
      </c>
      <c r="M30" s="494">
        <v>0</v>
      </c>
      <c r="N30" s="20">
        <f>SUM(B30:M30)</f>
        <v>0</v>
      </c>
    </row>
    <row r="31" spans="1:14">
      <c r="A31" s="26" t="s">
        <v>51</v>
      </c>
      <c r="B31" s="495">
        <v>0</v>
      </c>
      <c r="C31" s="485">
        <v>0</v>
      </c>
      <c r="D31" s="485">
        <v>0</v>
      </c>
      <c r="E31" s="485">
        <v>0</v>
      </c>
      <c r="F31" s="485">
        <v>0</v>
      </c>
      <c r="G31" s="485">
        <v>0</v>
      </c>
      <c r="H31" s="485">
        <v>0</v>
      </c>
      <c r="I31" s="485">
        <v>0</v>
      </c>
      <c r="J31" s="485">
        <v>0</v>
      </c>
      <c r="K31" s="485">
        <v>51</v>
      </c>
      <c r="L31" s="485">
        <v>0</v>
      </c>
      <c r="M31" s="496">
        <v>0</v>
      </c>
      <c r="N31" s="21">
        <f>SUM(B31:M31)</f>
        <v>51</v>
      </c>
    </row>
    <row r="32" spans="1:14">
      <c r="A32" s="26" t="s">
        <v>15</v>
      </c>
      <c r="B32" s="495">
        <v>0</v>
      </c>
      <c r="C32" s="485">
        <v>0</v>
      </c>
      <c r="D32" s="485">
        <v>0</v>
      </c>
      <c r="E32" s="485">
        <v>0</v>
      </c>
      <c r="F32" s="485">
        <v>0</v>
      </c>
      <c r="G32" s="485">
        <v>0</v>
      </c>
      <c r="H32" s="485">
        <v>0</v>
      </c>
      <c r="I32" s="485">
        <v>0</v>
      </c>
      <c r="J32" s="485">
        <v>0</v>
      </c>
      <c r="K32" s="485">
        <v>0</v>
      </c>
      <c r="L32" s="487">
        <v>42</v>
      </c>
      <c r="M32" s="496">
        <v>0</v>
      </c>
      <c r="N32" s="21">
        <f>SUM(B32:M32)</f>
        <v>42</v>
      </c>
    </row>
    <row r="33" spans="1:14">
      <c r="A33" s="26" t="s">
        <v>30</v>
      </c>
      <c r="B33" s="495">
        <v>0</v>
      </c>
      <c r="C33" s="485">
        <v>0</v>
      </c>
      <c r="D33" s="485">
        <v>0</v>
      </c>
      <c r="E33" s="485">
        <v>0</v>
      </c>
      <c r="F33" s="485">
        <v>0</v>
      </c>
      <c r="G33" s="485">
        <v>0</v>
      </c>
      <c r="H33" s="485">
        <v>0</v>
      </c>
      <c r="I33" s="485">
        <v>0</v>
      </c>
      <c r="J33" s="485">
        <v>0</v>
      </c>
      <c r="K33" s="485">
        <v>0</v>
      </c>
      <c r="L33" s="485">
        <v>0</v>
      </c>
      <c r="M33" s="496">
        <v>0</v>
      </c>
      <c r="N33" s="21">
        <f>SUM(B33:M33)</f>
        <v>0</v>
      </c>
    </row>
    <row r="34" spans="1:14" ht="14" thickBot="1">
      <c r="A34" s="29" t="s">
        <v>55</v>
      </c>
      <c r="B34" s="498">
        <v>0</v>
      </c>
      <c r="C34" s="499">
        <v>0</v>
      </c>
      <c r="D34" s="499">
        <v>0</v>
      </c>
      <c r="E34" s="499">
        <v>0</v>
      </c>
      <c r="F34" s="499">
        <v>0</v>
      </c>
      <c r="G34" s="499">
        <v>0</v>
      </c>
      <c r="H34" s="499">
        <v>0</v>
      </c>
      <c r="I34" s="499">
        <v>0</v>
      </c>
      <c r="J34" s="499">
        <v>0</v>
      </c>
      <c r="K34" s="490">
        <v>0</v>
      </c>
      <c r="L34" s="490">
        <v>0</v>
      </c>
      <c r="M34" s="491">
        <v>0</v>
      </c>
      <c r="N34" s="22">
        <f>SUM(B34:M34)</f>
        <v>0</v>
      </c>
    </row>
    <row r="35" spans="1:14" ht="14" thickBot="1">
      <c r="A35" s="40" t="s">
        <v>60</v>
      </c>
      <c r="B35" s="42">
        <f>SUM(B30:B34)</f>
        <v>0</v>
      </c>
      <c r="C35" s="42">
        <f t="shared" ref="C35:M35" si="4">SUM(C30:C34)</f>
        <v>0</v>
      </c>
      <c r="D35" s="42">
        <f t="shared" si="4"/>
        <v>0</v>
      </c>
      <c r="E35" s="42">
        <f t="shared" si="4"/>
        <v>0</v>
      </c>
      <c r="F35" s="42">
        <f t="shared" si="4"/>
        <v>0</v>
      </c>
      <c r="G35" s="42">
        <f t="shared" si="4"/>
        <v>0</v>
      </c>
      <c r="H35" s="42">
        <f t="shared" si="4"/>
        <v>0</v>
      </c>
      <c r="I35" s="42">
        <f t="shared" si="4"/>
        <v>0</v>
      </c>
      <c r="J35" s="42">
        <f t="shared" si="4"/>
        <v>0</v>
      </c>
      <c r="K35" s="42">
        <f t="shared" si="4"/>
        <v>51</v>
      </c>
      <c r="L35" s="42">
        <f t="shared" si="4"/>
        <v>42</v>
      </c>
      <c r="M35" s="42">
        <f t="shared" si="4"/>
        <v>0</v>
      </c>
      <c r="N35" s="145">
        <f>SUM(N30:N34)</f>
        <v>93</v>
      </c>
    </row>
    <row r="38" spans="1:14" ht="14" thickBot="1">
      <c r="B38" s="35" t="s">
        <v>35</v>
      </c>
      <c r="C38" s="35" t="s">
        <v>36</v>
      </c>
      <c r="D38" s="35" t="s">
        <v>37</v>
      </c>
      <c r="E38" s="35" t="s">
        <v>38</v>
      </c>
      <c r="F38" s="35" t="s">
        <v>39</v>
      </c>
      <c r="G38" s="35" t="s">
        <v>40</v>
      </c>
      <c r="H38" s="35" t="s">
        <v>41</v>
      </c>
      <c r="I38" s="35" t="s">
        <v>42</v>
      </c>
      <c r="J38" s="35" t="s">
        <v>43</v>
      </c>
      <c r="K38" s="35" t="s">
        <v>44</v>
      </c>
      <c r="L38" s="35" t="s">
        <v>45</v>
      </c>
      <c r="M38" s="35" t="s">
        <v>46</v>
      </c>
      <c r="N38" s="35" t="s">
        <v>10</v>
      </c>
    </row>
    <row r="39" spans="1:14" ht="17" thickBot="1">
      <c r="A39" s="23" t="s">
        <v>80</v>
      </c>
      <c r="B39" s="16"/>
      <c r="C39" s="16"/>
      <c r="D39" s="15"/>
      <c r="E39" s="15"/>
      <c r="F39" s="17"/>
      <c r="G39" s="17"/>
      <c r="H39" s="15"/>
      <c r="I39" s="15"/>
      <c r="J39" s="15"/>
      <c r="K39" s="15"/>
      <c r="L39" s="16"/>
      <c r="M39" s="16"/>
      <c r="N39" s="18"/>
    </row>
    <row r="40" spans="1:14" ht="14" thickBot="1">
      <c r="A40" s="30" t="s">
        <v>48</v>
      </c>
      <c r="B40" s="31"/>
      <c r="C40" s="31"/>
      <c r="D40" s="31"/>
      <c r="E40" s="31"/>
      <c r="F40" s="31"/>
      <c r="G40" s="31"/>
      <c r="H40" s="31"/>
      <c r="I40" s="31"/>
      <c r="J40" s="31"/>
      <c r="K40" s="31"/>
      <c r="L40" s="31"/>
      <c r="M40" s="31"/>
      <c r="N40" s="32"/>
    </row>
    <row r="41" spans="1:14">
      <c r="A41" s="24" t="s">
        <v>28</v>
      </c>
      <c r="B41" s="485">
        <v>0</v>
      </c>
      <c r="C41" s="485">
        <v>0</v>
      </c>
      <c r="D41" s="485">
        <v>0</v>
      </c>
      <c r="E41" s="485">
        <v>0</v>
      </c>
      <c r="F41" s="485">
        <v>0</v>
      </c>
      <c r="G41" s="485">
        <v>0</v>
      </c>
      <c r="H41" s="485">
        <v>0</v>
      </c>
      <c r="I41" s="485">
        <v>0</v>
      </c>
      <c r="J41" s="485">
        <v>0</v>
      </c>
      <c r="K41" s="485">
        <v>0</v>
      </c>
      <c r="L41" s="485">
        <v>0</v>
      </c>
      <c r="M41" s="485">
        <v>0</v>
      </c>
      <c r="N41" s="19">
        <f>SUM(B41:M41)</f>
        <v>0</v>
      </c>
    </row>
    <row r="42" spans="1:14">
      <c r="A42" s="24" t="s">
        <v>29</v>
      </c>
      <c r="B42" s="485">
        <v>0</v>
      </c>
      <c r="C42" s="485">
        <v>0</v>
      </c>
      <c r="D42" s="485">
        <v>0</v>
      </c>
      <c r="E42" s="485">
        <v>3</v>
      </c>
      <c r="F42" s="485">
        <v>1</v>
      </c>
      <c r="G42" s="485">
        <v>7</v>
      </c>
      <c r="H42" s="485">
        <v>0</v>
      </c>
      <c r="I42" s="485">
        <v>2</v>
      </c>
      <c r="J42" s="485">
        <v>144</v>
      </c>
      <c r="K42" s="485">
        <v>0</v>
      </c>
      <c r="L42" s="485">
        <v>3</v>
      </c>
      <c r="M42" s="485">
        <v>18</v>
      </c>
      <c r="N42" s="19">
        <f>SUM(B42:M42)</f>
        <v>178</v>
      </c>
    </row>
    <row r="43" spans="1:14">
      <c r="A43" s="24" t="s">
        <v>33</v>
      </c>
      <c r="B43" s="485">
        <v>0</v>
      </c>
      <c r="C43" s="485">
        <v>0</v>
      </c>
      <c r="D43" s="485">
        <v>2</v>
      </c>
      <c r="E43" s="485">
        <v>15</v>
      </c>
      <c r="F43" s="485">
        <v>8</v>
      </c>
      <c r="G43" s="485">
        <v>13</v>
      </c>
      <c r="H43" s="485">
        <v>3</v>
      </c>
      <c r="I43" s="485">
        <v>5</v>
      </c>
      <c r="J43" s="485">
        <v>12</v>
      </c>
      <c r="K43" s="485">
        <v>1</v>
      </c>
      <c r="L43" s="485">
        <v>17</v>
      </c>
      <c r="M43" s="485">
        <v>11</v>
      </c>
      <c r="N43" s="19">
        <f>SUM(B43:M43)</f>
        <v>87</v>
      </c>
    </row>
    <row r="44" spans="1:14">
      <c r="A44" s="24" t="s">
        <v>56</v>
      </c>
      <c r="B44" s="485">
        <v>0</v>
      </c>
      <c r="C44" s="485">
        <v>0</v>
      </c>
      <c r="D44" s="485">
        <v>0</v>
      </c>
      <c r="E44" s="485">
        <v>20</v>
      </c>
      <c r="F44" s="485">
        <v>0</v>
      </c>
      <c r="G44" s="485">
        <v>20</v>
      </c>
      <c r="H44" s="485">
        <v>0</v>
      </c>
      <c r="I44" s="485">
        <v>0</v>
      </c>
      <c r="J44" s="485">
        <v>0</v>
      </c>
      <c r="K44" s="485">
        <v>0</v>
      </c>
      <c r="L44" s="485">
        <v>0</v>
      </c>
      <c r="M44" s="485">
        <v>0</v>
      </c>
      <c r="N44" s="19">
        <f>SUM(B44:M44)</f>
        <v>40</v>
      </c>
    </row>
    <row r="45" spans="1:14">
      <c r="A45" s="24" t="s">
        <v>52</v>
      </c>
      <c r="B45" s="485">
        <v>0</v>
      </c>
      <c r="C45" s="485">
        <v>0</v>
      </c>
      <c r="D45" s="485">
        <v>0</v>
      </c>
      <c r="E45" s="485">
        <v>0</v>
      </c>
      <c r="F45" s="485">
        <v>0</v>
      </c>
      <c r="G45" s="485">
        <v>0</v>
      </c>
      <c r="H45" s="485">
        <v>0</v>
      </c>
      <c r="I45" s="485">
        <v>0</v>
      </c>
      <c r="J45" s="485">
        <v>0</v>
      </c>
      <c r="K45" s="485">
        <v>1</v>
      </c>
      <c r="L45" s="485">
        <v>0</v>
      </c>
      <c r="M45" s="485">
        <v>0</v>
      </c>
      <c r="N45" s="19">
        <f>SUM(B45:M45)</f>
        <v>1</v>
      </c>
    </row>
    <row r="46" spans="1:14">
      <c r="A46" s="25" t="s">
        <v>86</v>
      </c>
      <c r="B46" s="485">
        <v>0</v>
      </c>
      <c r="C46" s="485">
        <v>0</v>
      </c>
      <c r="D46" s="485">
        <v>0</v>
      </c>
      <c r="E46" s="485">
        <v>0</v>
      </c>
      <c r="F46" s="485">
        <v>0</v>
      </c>
      <c r="G46" s="485">
        <v>0</v>
      </c>
      <c r="H46" s="485">
        <v>0</v>
      </c>
      <c r="I46" s="485">
        <v>0</v>
      </c>
      <c r="J46" s="485">
        <v>0</v>
      </c>
      <c r="K46" s="485">
        <v>0</v>
      </c>
      <c r="L46" s="485">
        <v>0</v>
      </c>
      <c r="M46" s="485">
        <v>0</v>
      </c>
      <c r="N46" s="19">
        <v>4</v>
      </c>
    </row>
    <row r="47" spans="1:14" ht="14" thickBot="1">
      <c r="A47" s="53" t="s">
        <v>90</v>
      </c>
      <c r="B47" s="485">
        <v>0</v>
      </c>
      <c r="C47" s="485">
        <v>0</v>
      </c>
      <c r="D47" s="485">
        <v>0</v>
      </c>
      <c r="E47" s="485">
        <v>0</v>
      </c>
      <c r="F47" s="485">
        <v>0</v>
      </c>
      <c r="G47" s="485">
        <v>0</v>
      </c>
      <c r="H47" s="485">
        <v>0</v>
      </c>
      <c r="I47" s="485">
        <v>0</v>
      </c>
      <c r="J47" s="485">
        <v>0</v>
      </c>
      <c r="K47" s="485">
        <v>0</v>
      </c>
      <c r="L47" s="485">
        <v>0</v>
      </c>
      <c r="M47" s="485">
        <v>0</v>
      </c>
      <c r="N47" s="19">
        <v>8</v>
      </c>
    </row>
    <row r="48" spans="1:14" ht="14" thickBot="1">
      <c r="A48" s="40" t="s">
        <v>60</v>
      </c>
      <c r="B48" s="42">
        <f>SUM(B41:B47)</f>
        <v>0</v>
      </c>
      <c r="C48" s="42">
        <f t="shared" ref="C48:M48" si="5">SUM(C41:C47)</f>
        <v>0</v>
      </c>
      <c r="D48" s="42">
        <f t="shared" si="5"/>
        <v>2</v>
      </c>
      <c r="E48" s="42">
        <f t="shared" si="5"/>
        <v>38</v>
      </c>
      <c r="F48" s="42">
        <f t="shared" si="5"/>
        <v>9</v>
      </c>
      <c r="G48" s="42">
        <f t="shared" si="5"/>
        <v>40</v>
      </c>
      <c r="H48" s="42">
        <f t="shared" si="5"/>
        <v>3</v>
      </c>
      <c r="I48" s="42">
        <f t="shared" si="5"/>
        <v>7</v>
      </c>
      <c r="J48" s="42">
        <f t="shared" si="5"/>
        <v>156</v>
      </c>
      <c r="K48" s="42">
        <f t="shared" si="5"/>
        <v>2</v>
      </c>
      <c r="L48" s="42">
        <f t="shared" si="5"/>
        <v>20</v>
      </c>
      <c r="M48" s="42">
        <f t="shared" si="5"/>
        <v>29</v>
      </c>
      <c r="N48" s="41">
        <f>SUM(N41:N47)</f>
        <v>318</v>
      </c>
    </row>
    <row r="49" spans="1:14" ht="14" thickBot="1">
      <c r="A49" s="30" t="s">
        <v>49</v>
      </c>
      <c r="B49" s="31"/>
      <c r="C49" s="31"/>
      <c r="D49" s="31"/>
      <c r="E49" s="31"/>
      <c r="F49" s="31"/>
      <c r="G49" s="31"/>
      <c r="H49" s="31"/>
      <c r="I49" s="31"/>
      <c r="J49" s="31"/>
      <c r="K49" s="31"/>
      <c r="L49" s="31"/>
      <c r="M49" s="31"/>
      <c r="N49" s="32"/>
    </row>
    <row r="50" spans="1:14" ht="14" thickBot="1">
      <c r="A50" s="25" t="s">
        <v>49</v>
      </c>
      <c r="B50" s="485">
        <v>0</v>
      </c>
      <c r="C50" s="485">
        <v>0</v>
      </c>
      <c r="D50" s="485">
        <v>224</v>
      </c>
      <c r="E50" s="485">
        <v>0</v>
      </c>
      <c r="F50" s="485">
        <v>11</v>
      </c>
      <c r="G50" s="485">
        <v>0</v>
      </c>
      <c r="H50" s="485">
        <v>0</v>
      </c>
      <c r="I50" s="485">
        <v>0</v>
      </c>
      <c r="J50" s="485">
        <v>0</v>
      </c>
      <c r="K50" s="485">
        <v>0</v>
      </c>
      <c r="L50" s="485">
        <v>0</v>
      </c>
      <c r="M50" s="485">
        <v>0</v>
      </c>
      <c r="N50" s="19">
        <f>SUM(B50:M50)</f>
        <v>235</v>
      </c>
    </row>
    <row r="51" spans="1:14" ht="14" thickBot="1">
      <c r="A51" s="40" t="s">
        <v>60</v>
      </c>
      <c r="B51" s="42">
        <f>SUM(B50)</f>
        <v>0</v>
      </c>
      <c r="C51" s="42">
        <f t="shared" ref="C51:M51" si="6">SUM(C50)</f>
        <v>0</v>
      </c>
      <c r="D51" s="42">
        <f t="shared" si="6"/>
        <v>224</v>
      </c>
      <c r="E51" s="42">
        <f t="shared" si="6"/>
        <v>0</v>
      </c>
      <c r="F51" s="42">
        <f t="shared" si="6"/>
        <v>11</v>
      </c>
      <c r="G51" s="42">
        <f t="shared" si="6"/>
        <v>0</v>
      </c>
      <c r="H51" s="42">
        <f t="shared" si="6"/>
        <v>0</v>
      </c>
      <c r="I51" s="42">
        <f t="shared" si="6"/>
        <v>0</v>
      </c>
      <c r="J51" s="42">
        <f t="shared" si="6"/>
        <v>0</v>
      </c>
      <c r="K51" s="42">
        <f t="shared" si="6"/>
        <v>0</v>
      </c>
      <c r="L51" s="42">
        <f t="shared" si="6"/>
        <v>0</v>
      </c>
      <c r="M51" s="42">
        <f t="shared" si="6"/>
        <v>0</v>
      </c>
      <c r="N51" s="41">
        <f>SUM(N50)</f>
        <v>235</v>
      </c>
    </row>
    <row r="52" spans="1:14" ht="14" thickBot="1">
      <c r="A52" s="30" t="s">
        <v>50</v>
      </c>
      <c r="B52" s="31"/>
      <c r="C52" s="31"/>
      <c r="D52" s="31"/>
      <c r="E52" s="31"/>
      <c r="F52" s="31"/>
      <c r="G52" s="31"/>
      <c r="H52" s="31"/>
      <c r="I52" s="31"/>
      <c r="J52" s="31"/>
      <c r="K52" s="31"/>
      <c r="L52" s="31"/>
      <c r="M52" s="31"/>
      <c r="N52" s="32"/>
    </row>
    <row r="53" spans="1:14">
      <c r="A53" s="26" t="s">
        <v>26</v>
      </c>
      <c r="B53" s="485">
        <v>0</v>
      </c>
      <c r="C53" s="485">
        <v>0</v>
      </c>
      <c r="D53" s="485">
        <v>0</v>
      </c>
      <c r="E53" s="485">
        <v>0</v>
      </c>
      <c r="F53" s="485">
        <v>0</v>
      </c>
      <c r="G53" s="485">
        <v>0</v>
      </c>
      <c r="H53" s="485">
        <v>0</v>
      </c>
      <c r="I53" s="485">
        <v>0</v>
      </c>
      <c r="J53" s="485">
        <v>0</v>
      </c>
      <c r="K53" s="485">
        <v>0</v>
      </c>
      <c r="L53" s="485">
        <v>0</v>
      </c>
      <c r="M53" s="485">
        <v>0</v>
      </c>
      <c r="N53" s="19">
        <f>SUM(B53:M53)</f>
        <v>0</v>
      </c>
    </row>
    <row r="54" spans="1:14">
      <c r="A54" s="26" t="s">
        <v>25</v>
      </c>
      <c r="B54" s="485">
        <v>0</v>
      </c>
      <c r="C54" s="485">
        <v>0</v>
      </c>
      <c r="D54" s="485">
        <v>0</v>
      </c>
      <c r="E54" s="485">
        <v>0</v>
      </c>
      <c r="F54" s="485">
        <v>0</v>
      </c>
      <c r="G54" s="485">
        <v>0</v>
      </c>
      <c r="H54" s="485">
        <v>0</v>
      </c>
      <c r="I54" s="485">
        <v>0</v>
      </c>
      <c r="J54" s="485">
        <v>0</v>
      </c>
      <c r="K54" s="485">
        <v>0</v>
      </c>
      <c r="L54" s="485">
        <v>0</v>
      </c>
      <c r="M54" s="485">
        <v>0</v>
      </c>
      <c r="N54" s="19">
        <f>SUM(B54:M54)</f>
        <v>0</v>
      </c>
    </row>
    <row r="55" spans="1:14">
      <c r="A55" s="24" t="s">
        <v>29</v>
      </c>
      <c r="B55" s="485">
        <v>0</v>
      </c>
      <c r="C55" s="485">
        <v>0</v>
      </c>
      <c r="D55" s="485">
        <v>0</v>
      </c>
      <c r="E55" s="485">
        <v>0</v>
      </c>
      <c r="F55" s="485">
        <v>12</v>
      </c>
      <c r="G55" s="485">
        <v>0</v>
      </c>
      <c r="H55" s="485">
        <v>0</v>
      </c>
      <c r="I55" s="485">
        <v>14</v>
      </c>
      <c r="J55" s="485">
        <v>0</v>
      </c>
      <c r="K55" s="485">
        <v>0</v>
      </c>
      <c r="L55" s="485">
        <v>0</v>
      </c>
      <c r="M55" s="485">
        <v>0</v>
      </c>
      <c r="N55" s="19">
        <f>SUM(B55:M55)</f>
        <v>26</v>
      </c>
    </row>
    <row r="56" spans="1:14">
      <c r="A56" s="24" t="s">
        <v>51</v>
      </c>
      <c r="B56" s="485">
        <v>0</v>
      </c>
      <c r="C56" s="485">
        <v>4</v>
      </c>
      <c r="D56" s="485">
        <v>0</v>
      </c>
      <c r="E56" s="485">
        <v>0</v>
      </c>
      <c r="F56" s="485">
        <v>0</v>
      </c>
      <c r="G56" s="485">
        <v>5</v>
      </c>
      <c r="H56" s="485">
        <v>2</v>
      </c>
      <c r="I56" s="485">
        <v>0</v>
      </c>
      <c r="J56" s="485">
        <v>7</v>
      </c>
      <c r="K56" s="485">
        <v>0</v>
      </c>
      <c r="L56" s="485">
        <v>0</v>
      </c>
      <c r="M56" s="485">
        <v>11</v>
      </c>
      <c r="N56" s="19">
        <f t="shared" ref="N56:N61" si="7">SUM(B56:M56)</f>
        <v>29</v>
      </c>
    </row>
    <row r="57" spans="1:14">
      <c r="A57" s="26" t="s">
        <v>20</v>
      </c>
      <c r="B57" s="485">
        <v>0</v>
      </c>
      <c r="C57" s="485">
        <v>0</v>
      </c>
      <c r="D57" s="485">
        <v>0</v>
      </c>
      <c r="E57" s="485">
        <v>0</v>
      </c>
      <c r="F57" s="485">
        <v>0</v>
      </c>
      <c r="G57" s="485">
        <v>0</v>
      </c>
      <c r="H57" s="485">
        <v>0</v>
      </c>
      <c r="I57" s="485">
        <v>0</v>
      </c>
      <c r="J57" s="485">
        <v>0</v>
      </c>
      <c r="K57" s="485">
        <v>0</v>
      </c>
      <c r="L57" s="485">
        <v>0</v>
      </c>
      <c r="M57" s="485">
        <v>0</v>
      </c>
      <c r="N57" s="19">
        <f t="shared" si="7"/>
        <v>0</v>
      </c>
    </row>
    <row r="58" spans="1:14">
      <c r="A58" s="26" t="s">
        <v>13</v>
      </c>
      <c r="B58" s="485">
        <v>0</v>
      </c>
      <c r="C58" s="485">
        <v>0</v>
      </c>
      <c r="D58" s="485">
        <v>1</v>
      </c>
      <c r="E58" s="485">
        <v>0</v>
      </c>
      <c r="F58" s="485">
        <v>0</v>
      </c>
      <c r="G58" s="485">
        <v>0</v>
      </c>
      <c r="H58" s="485">
        <v>0</v>
      </c>
      <c r="I58" s="485">
        <v>0</v>
      </c>
      <c r="J58" s="485">
        <v>0</v>
      </c>
      <c r="K58" s="485">
        <v>1</v>
      </c>
      <c r="L58" s="485">
        <v>1</v>
      </c>
      <c r="M58" s="485">
        <v>0</v>
      </c>
      <c r="N58" s="19">
        <f t="shared" si="7"/>
        <v>3</v>
      </c>
    </row>
    <row r="59" spans="1:14">
      <c r="A59" s="27" t="s">
        <v>47</v>
      </c>
      <c r="B59" s="485">
        <v>0</v>
      </c>
      <c r="C59" s="485">
        <v>0</v>
      </c>
      <c r="D59" s="485">
        <v>0</v>
      </c>
      <c r="E59" s="485">
        <v>0</v>
      </c>
      <c r="F59" s="485">
        <v>0</v>
      </c>
      <c r="G59" s="485">
        <v>0</v>
      </c>
      <c r="H59" s="485">
        <v>0</v>
      </c>
      <c r="I59" s="485">
        <v>0</v>
      </c>
      <c r="J59" s="485">
        <v>0</v>
      </c>
      <c r="K59" s="485">
        <v>0</v>
      </c>
      <c r="L59" s="485">
        <v>0</v>
      </c>
      <c r="M59" s="485">
        <v>0</v>
      </c>
      <c r="N59" s="19">
        <f t="shared" si="7"/>
        <v>0</v>
      </c>
    </row>
    <row r="60" spans="1:14">
      <c r="A60" s="25" t="s">
        <v>52</v>
      </c>
      <c r="B60" s="485">
        <v>0</v>
      </c>
      <c r="C60" s="485">
        <v>0</v>
      </c>
      <c r="D60" s="485">
        <v>0</v>
      </c>
      <c r="E60" s="485">
        <v>0</v>
      </c>
      <c r="F60" s="485">
        <v>0</v>
      </c>
      <c r="G60" s="485">
        <v>0</v>
      </c>
      <c r="H60" s="485">
        <v>0</v>
      </c>
      <c r="I60" s="485">
        <v>0</v>
      </c>
      <c r="J60" s="485">
        <v>0</v>
      </c>
      <c r="K60" s="485">
        <v>0</v>
      </c>
      <c r="L60" s="485">
        <v>4</v>
      </c>
      <c r="M60" s="485">
        <v>4</v>
      </c>
      <c r="N60" s="19">
        <f t="shared" si="7"/>
        <v>8</v>
      </c>
    </row>
    <row r="61" spans="1:14">
      <c r="A61" s="25" t="s">
        <v>53</v>
      </c>
      <c r="B61" s="485">
        <v>0</v>
      </c>
      <c r="C61" s="485">
        <v>0</v>
      </c>
      <c r="D61" s="485">
        <v>0</v>
      </c>
      <c r="E61" s="485">
        <v>0</v>
      </c>
      <c r="F61" s="485">
        <v>0</v>
      </c>
      <c r="G61" s="485">
        <v>0</v>
      </c>
      <c r="H61" s="485">
        <v>0</v>
      </c>
      <c r="I61" s="485">
        <v>0</v>
      </c>
      <c r="J61" s="485">
        <v>0</v>
      </c>
      <c r="K61" s="485">
        <v>0</v>
      </c>
      <c r="L61" s="485">
        <v>0</v>
      </c>
      <c r="M61" s="485">
        <v>0</v>
      </c>
      <c r="N61" s="19">
        <f t="shared" si="7"/>
        <v>0</v>
      </c>
    </row>
    <row r="62" spans="1:14">
      <c r="A62" s="24" t="s">
        <v>56</v>
      </c>
      <c r="B62" s="485">
        <v>0</v>
      </c>
      <c r="C62" s="485">
        <v>0</v>
      </c>
      <c r="D62" s="485">
        <v>0</v>
      </c>
      <c r="E62" s="485">
        <v>0</v>
      </c>
      <c r="F62" s="485">
        <v>0</v>
      </c>
      <c r="G62" s="485">
        <v>0</v>
      </c>
      <c r="H62" s="485">
        <v>0</v>
      </c>
      <c r="I62" s="485">
        <v>0</v>
      </c>
      <c r="J62" s="485">
        <v>0</v>
      </c>
      <c r="K62" s="485">
        <v>0</v>
      </c>
      <c r="L62" s="485">
        <v>0</v>
      </c>
      <c r="M62" s="485">
        <v>0</v>
      </c>
      <c r="N62" s="19">
        <f>SUM(B62:M62)</f>
        <v>0</v>
      </c>
    </row>
    <row r="63" spans="1:14">
      <c r="A63" s="54" t="s">
        <v>89</v>
      </c>
      <c r="B63" s="485">
        <v>0</v>
      </c>
      <c r="C63" s="485">
        <v>0</v>
      </c>
      <c r="D63" s="485">
        <v>0</v>
      </c>
      <c r="E63" s="485">
        <v>0</v>
      </c>
      <c r="F63" s="485">
        <v>0</v>
      </c>
      <c r="G63" s="485">
        <v>0</v>
      </c>
      <c r="H63" s="485">
        <v>0</v>
      </c>
      <c r="I63" s="485">
        <v>0</v>
      </c>
      <c r="J63" s="485">
        <v>0</v>
      </c>
      <c r="K63" s="485">
        <v>0</v>
      </c>
      <c r="L63" s="485">
        <v>0</v>
      </c>
      <c r="M63" s="485">
        <v>0</v>
      </c>
      <c r="N63" s="19">
        <f>SUM(B63:M63)</f>
        <v>0</v>
      </c>
    </row>
    <row r="64" spans="1:14" ht="14" thickBot="1">
      <c r="A64" s="24" t="s">
        <v>83</v>
      </c>
      <c r="B64" s="485">
        <v>0</v>
      </c>
      <c r="C64" s="485">
        <v>0</v>
      </c>
      <c r="D64" s="485">
        <v>15</v>
      </c>
      <c r="E64" s="485">
        <v>0</v>
      </c>
      <c r="F64" s="485">
        <v>0</v>
      </c>
      <c r="G64" s="485">
        <v>0</v>
      </c>
      <c r="H64" s="485">
        <v>0</v>
      </c>
      <c r="I64" s="485">
        <v>0</v>
      </c>
      <c r="J64" s="485">
        <v>0</v>
      </c>
      <c r="K64" s="485">
        <v>0</v>
      </c>
      <c r="L64" s="485">
        <v>0</v>
      </c>
      <c r="M64" s="485">
        <v>0</v>
      </c>
      <c r="N64" s="19">
        <f>SUM(B64:M64)</f>
        <v>15</v>
      </c>
    </row>
    <row r="65" spans="1:14" ht="14" thickBot="1">
      <c r="A65" s="40" t="s">
        <v>60</v>
      </c>
      <c r="B65" s="42">
        <f>SUM(B53:B64)</f>
        <v>0</v>
      </c>
      <c r="C65" s="42">
        <f t="shared" ref="C65:M65" si="8">SUM(C53:C64)</f>
        <v>4</v>
      </c>
      <c r="D65" s="42">
        <f t="shared" si="8"/>
        <v>16</v>
      </c>
      <c r="E65" s="42">
        <f t="shared" si="8"/>
        <v>0</v>
      </c>
      <c r="F65" s="42">
        <f t="shared" si="8"/>
        <v>12</v>
      </c>
      <c r="G65" s="42">
        <f t="shared" si="8"/>
        <v>5</v>
      </c>
      <c r="H65" s="42">
        <f t="shared" si="8"/>
        <v>2</v>
      </c>
      <c r="I65" s="42">
        <f t="shared" si="8"/>
        <v>14</v>
      </c>
      <c r="J65" s="42">
        <f t="shared" si="8"/>
        <v>7</v>
      </c>
      <c r="K65" s="42">
        <f t="shared" si="8"/>
        <v>1</v>
      </c>
      <c r="L65" s="42">
        <f t="shared" si="8"/>
        <v>5</v>
      </c>
      <c r="M65" s="42">
        <f t="shared" si="8"/>
        <v>15</v>
      </c>
      <c r="N65" s="41">
        <f>SUM(N53:N64)</f>
        <v>81</v>
      </c>
    </row>
    <row r="66" spans="1:14" ht="14" thickBot="1">
      <c r="A66" s="30" t="s">
        <v>54</v>
      </c>
      <c r="B66" s="37"/>
      <c r="C66" s="37"/>
      <c r="D66" s="37"/>
      <c r="E66" s="37"/>
      <c r="F66" s="37"/>
      <c r="G66" s="37"/>
      <c r="H66" s="37"/>
      <c r="I66" s="37"/>
      <c r="J66" s="37"/>
      <c r="K66" s="37"/>
      <c r="L66" s="37"/>
      <c r="M66" s="37"/>
      <c r="N66" s="34"/>
    </row>
    <row r="67" spans="1:14">
      <c r="A67" s="28" t="s">
        <v>29</v>
      </c>
      <c r="B67" s="492">
        <v>0</v>
      </c>
      <c r="C67" s="493">
        <v>0</v>
      </c>
      <c r="D67" s="493">
        <v>0</v>
      </c>
      <c r="E67" s="493">
        <v>0</v>
      </c>
      <c r="F67" s="493">
        <v>0</v>
      </c>
      <c r="G67" s="493">
        <v>0</v>
      </c>
      <c r="H67" s="493">
        <v>0</v>
      </c>
      <c r="I67" s="493">
        <v>0</v>
      </c>
      <c r="J67" s="493">
        <v>0</v>
      </c>
      <c r="K67" s="486">
        <v>0</v>
      </c>
      <c r="L67" s="486">
        <v>0</v>
      </c>
      <c r="M67" s="494">
        <v>0</v>
      </c>
      <c r="N67" s="20">
        <f t="shared" ref="N67:N72" si="9">SUM(B67:M67)</f>
        <v>0</v>
      </c>
    </row>
    <row r="68" spans="1:14">
      <c r="A68" s="26" t="s">
        <v>51</v>
      </c>
      <c r="B68" s="495">
        <v>0</v>
      </c>
      <c r="C68" s="485">
        <v>0</v>
      </c>
      <c r="D68" s="485">
        <v>0</v>
      </c>
      <c r="E68" s="485">
        <v>0</v>
      </c>
      <c r="F68" s="485">
        <v>0</v>
      </c>
      <c r="G68" s="485">
        <v>0</v>
      </c>
      <c r="H68" s="485">
        <v>0</v>
      </c>
      <c r="I68" s="485">
        <v>0</v>
      </c>
      <c r="J68" s="485">
        <v>0</v>
      </c>
      <c r="K68" s="485">
        <v>0</v>
      </c>
      <c r="L68" s="485">
        <v>0</v>
      </c>
      <c r="M68" s="496">
        <v>0</v>
      </c>
      <c r="N68" s="21">
        <f t="shared" si="9"/>
        <v>0</v>
      </c>
    </row>
    <row r="69" spans="1:14">
      <c r="A69" s="26" t="s">
        <v>15</v>
      </c>
      <c r="B69" s="495">
        <v>0</v>
      </c>
      <c r="C69" s="485">
        <v>0</v>
      </c>
      <c r="D69" s="485">
        <v>0</v>
      </c>
      <c r="E69" s="485">
        <v>0</v>
      </c>
      <c r="F69" s="485">
        <v>0</v>
      </c>
      <c r="G69" s="485">
        <v>0</v>
      </c>
      <c r="H69" s="485">
        <v>0</v>
      </c>
      <c r="I69" s="485">
        <v>0</v>
      </c>
      <c r="J69" s="485">
        <v>0</v>
      </c>
      <c r="K69" s="485">
        <v>0</v>
      </c>
      <c r="L69" s="487">
        <v>0</v>
      </c>
      <c r="M69" s="496">
        <v>0</v>
      </c>
      <c r="N69" s="21">
        <f t="shared" si="9"/>
        <v>0</v>
      </c>
    </row>
    <row r="70" spans="1:14">
      <c r="A70" s="26" t="s">
        <v>30</v>
      </c>
      <c r="B70" s="495">
        <v>0</v>
      </c>
      <c r="C70" s="485">
        <v>0</v>
      </c>
      <c r="D70" s="485">
        <v>0</v>
      </c>
      <c r="E70" s="485">
        <v>0</v>
      </c>
      <c r="F70" s="485">
        <v>0</v>
      </c>
      <c r="G70" s="485">
        <v>0</v>
      </c>
      <c r="H70" s="485">
        <v>0</v>
      </c>
      <c r="I70" s="485">
        <v>0</v>
      </c>
      <c r="J70" s="485">
        <v>0</v>
      </c>
      <c r="K70" s="485">
        <v>0</v>
      </c>
      <c r="L70" s="485">
        <v>0</v>
      </c>
      <c r="M70" s="496">
        <v>0</v>
      </c>
      <c r="N70" s="21">
        <f t="shared" si="9"/>
        <v>0</v>
      </c>
    </row>
    <row r="71" spans="1:14">
      <c r="A71" s="26" t="s">
        <v>55</v>
      </c>
      <c r="B71" s="495">
        <v>0</v>
      </c>
      <c r="C71" s="485">
        <v>0</v>
      </c>
      <c r="D71" s="485">
        <v>44</v>
      </c>
      <c r="E71" s="485">
        <v>0</v>
      </c>
      <c r="F71" s="485">
        <v>0</v>
      </c>
      <c r="G71" s="485">
        <v>0</v>
      </c>
      <c r="H71" s="485">
        <v>0</v>
      </c>
      <c r="I71" s="485">
        <v>0</v>
      </c>
      <c r="J71" s="485">
        <v>0</v>
      </c>
      <c r="K71" s="487">
        <v>0</v>
      </c>
      <c r="L71" s="487">
        <v>0</v>
      </c>
      <c r="M71" s="497">
        <v>0</v>
      </c>
      <c r="N71" s="21">
        <f t="shared" si="9"/>
        <v>44</v>
      </c>
    </row>
    <row r="72" spans="1:14" ht="14" thickBot="1">
      <c r="A72" s="38" t="s">
        <v>82</v>
      </c>
      <c r="B72" s="489">
        <v>0</v>
      </c>
      <c r="C72" s="490">
        <v>0</v>
      </c>
      <c r="D72" s="490">
        <v>1</v>
      </c>
      <c r="E72" s="490">
        <v>0</v>
      </c>
      <c r="F72" s="490">
        <v>0</v>
      </c>
      <c r="G72" s="490">
        <v>0</v>
      </c>
      <c r="H72" s="490">
        <v>0</v>
      </c>
      <c r="I72" s="490">
        <v>0</v>
      </c>
      <c r="J72" s="490">
        <v>0</v>
      </c>
      <c r="K72" s="490">
        <v>0</v>
      </c>
      <c r="L72" s="490">
        <v>0</v>
      </c>
      <c r="M72" s="491">
        <v>0</v>
      </c>
      <c r="N72" s="22">
        <f t="shared" si="9"/>
        <v>1</v>
      </c>
    </row>
    <row r="73" spans="1:14" ht="14" thickBot="1">
      <c r="A73" s="40" t="s">
        <v>60</v>
      </c>
      <c r="B73" s="42">
        <f>SUM(B67:B72)</f>
        <v>0</v>
      </c>
      <c r="C73" s="42">
        <f>SUM(C67:C72)</f>
        <v>0</v>
      </c>
      <c r="D73" s="42">
        <f t="shared" ref="D73:M73" si="10">SUM(D67:D72)</f>
        <v>45</v>
      </c>
      <c r="E73" s="42">
        <f t="shared" si="10"/>
        <v>0</v>
      </c>
      <c r="F73" s="42">
        <f t="shared" si="10"/>
        <v>0</v>
      </c>
      <c r="G73" s="42">
        <f t="shared" si="10"/>
        <v>0</v>
      </c>
      <c r="H73" s="42">
        <f t="shared" si="10"/>
        <v>0</v>
      </c>
      <c r="I73" s="42">
        <f t="shared" si="10"/>
        <v>0</v>
      </c>
      <c r="J73" s="42">
        <f t="shared" si="10"/>
        <v>0</v>
      </c>
      <c r="K73" s="42">
        <f t="shared" si="10"/>
        <v>0</v>
      </c>
      <c r="L73" s="42">
        <f t="shared" si="10"/>
        <v>0</v>
      </c>
      <c r="M73" s="42">
        <f t="shared" si="10"/>
        <v>0</v>
      </c>
      <c r="N73" s="145">
        <f>SUM(N67:N72)</f>
        <v>45</v>
      </c>
    </row>
    <row r="76" spans="1:14" ht="14" thickBot="1">
      <c r="B76" s="35" t="s">
        <v>35</v>
      </c>
      <c r="C76" s="35" t="s">
        <v>36</v>
      </c>
      <c r="D76" s="35" t="s">
        <v>37</v>
      </c>
      <c r="E76" s="35" t="s">
        <v>38</v>
      </c>
      <c r="F76" s="35" t="s">
        <v>39</v>
      </c>
      <c r="G76" s="35" t="s">
        <v>40</v>
      </c>
      <c r="H76" s="35" t="s">
        <v>41</v>
      </c>
      <c r="I76" s="35" t="s">
        <v>42</v>
      </c>
      <c r="J76" s="35" t="s">
        <v>43</v>
      </c>
      <c r="K76" s="35" t="s">
        <v>44</v>
      </c>
      <c r="L76" s="35" t="s">
        <v>45</v>
      </c>
      <c r="M76" s="35" t="s">
        <v>46</v>
      </c>
      <c r="N76" s="35" t="s">
        <v>10</v>
      </c>
    </row>
    <row r="77" spans="1:14" ht="17" thickBot="1">
      <c r="A77" s="23" t="s">
        <v>101</v>
      </c>
      <c r="B77" s="16"/>
      <c r="C77" s="16"/>
      <c r="D77" s="15"/>
      <c r="E77" s="15"/>
      <c r="F77" s="17"/>
      <c r="G77" s="17"/>
      <c r="H77" s="15"/>
      <c r="I77" s="15"/>
      <c r="J77" s="15"/>
      <c r="K77" s="15"/>
      <c r="L77" s="16"/>
      <c r="M77" s="16"/>
      <c r="N77" s="18"/>
    </row>
    <row r="78" spans="1:14" ht="14" thickBot="1">
      <c r="A78" s="30" t="s">
        <v>48</v>
      </c>
      <c r="B78" s="31"/>
      <c r="C78" s="31"/>
      <c r="D78" s="31"/>
      <c r="E78" s="31"/>
      <c r="F78" s="31"/>
      <c r="G78" s="31"/>
      <c r="H78" s="31"/>
      <c r="I78" s="31"/>
      <c r="J78" s="31"/>
      <c r="K78" s="31"/>
      <c r="L78" s="31"/>
      <c r="M78" s="31"/>
      <c r="N78" s="32"/>
    </row>
    <row r="79" spans="1:14">
      <c r="A79" s="24" t="s">
        <v>28</v>
      </c>
      <c r="B79" s="485">
        <v>0</v>
      </c>
      <c r="C79" s="485">
        <v>0</v>
      </c>
      <c r="D79" s="485">
        <v>0</v>
      </c>
      <c r="E79" s="485">
        <v>0</v>
      </c>
      <c r="F79" s="485">
        <v>0</v>
      </c>
      <c r="G79" s="485">
        <v>0</v>
      </c>
      <c r="H79" s="485">
        <v>0</v>
      </c>
      <c r="I79" s="485">
        <v>0</v>
      </c>
      <c r="J79" s="485">
        <v>0</v>
      </c>
      <c r="K79" s="485">
        <v>0</v>
      </c>
      <c r="L79" s="485">
        <v>0</v>
      </c>
      <c r="M79" s="485">
        <v>0</v>
      </c>
      <c r="N79" s="19">
        <f>SUM(B79:M79)</f>
        <v>0</v>
      </c>
    </row>
    <row r="80" spans="1:14">
      <c r="A80" s="24" t="s">
        <v>29</v>
      </c>
      <c r="B80" s="485">
        <v>134</v>
      </c>
      <c r="C80" s="485">
        <v>0</v>
      </c>
      <c r="D80" s="485">
        <v>0</v>
      </c>
      <c r="E80" s="485">
        <v>0</v>
      </c>
      <c r="F80" s="485">
        <v>0</v>
      </c>
      <c r="G80" s="485">
        <v>1</v>
      </c>
      <c r="H80" s="485">
        <v>2</v>
      </c>
      <c r="I80" s="485">
        <v>2</v>
      </c>
      <c r="J80" s="485">
        <v>2</v>
      </c>
      <c r="K80" s="485">
        <v>1</v>
      </c>
      <c r="L80" s="485">
        <v>5</v>
      </c>
      <c r="M80" s="485">
        <v>0</v>
      </c>
      <c r="N80" s="19">
        <f t="shared" ref="N80:N85" si="11">SUM(B80:M80)</f>
        <v>147</v>
      </c>
    </row>
    <row r="81" spans="1:14">
      <c r="A81" s="24" t="s">
        <v>33</v>
      </c>
      <c r="B81" s="485">
        <v>11</v>
      </c>
      <c r="C81" s="485">
        <v>0</v>
      </c>
      <c r="D81" s="485">
        <v>1</v>
      </c>
      <c r="E81" s="485">
        <v>2</v>
      </c>
      <c r="F81" s="485">
        <v>0</v>
      </c>
      <c r="G81" s="485">
        <v>3</v>
      </c>
      <c r="H81" s="485">
        <v>2</v>
      </c>
      <c r="I81" s="485">
        <v>4</v>
      </c>
      <c r="J81" s="485">
        <v>9</v>
      </c>
      <c r="K81" s="485">
        <v>1</v>
      </c>
      <c r="L81" s="485">
        <v>6</v>
      </c>
      <c r="M81" s="485">
        <v>10</v>
      </c>
      <c r="N81" s="19">
        <f t="shared" si="11"/>
        <v>49</v>
      </c>
    </row>
    <row r="82" spans="1:14">
      <c r="A82" s="24" t="s">
        <v>56</v>
      </c>
      <c r="B82" s="485">
        <v>0</v>
      </c>
      <c r="C82" s="485">
        <v>0</v>
      </c>
      <c r="D82" s="485">
        <v>0</v>
      </c>
      <c r="E82" s="485">
        <v>0</v>
      </c>
      <c r="F82" s="485">
        <v>0</v>
      </c>
      <c r="G82" s="485">
        <v>0</v>
      </c>
      <c r="H82" s="485">
        <v>0</v>
      </c>
      <c r="I82" s="485">
        <v>0</v>
      </c>
      <c r="J82" s="485">
        <v>0</v>
      </c>
      <c r="K82" s="485">
        <v>0</v>
      </c>
      <c r="L82" s="485">
        <v>0</v>
      </c>
      <c r="M82" s="485">
        <v>0</v>
      </c>
      <c r="N82" s="19">
        <f t="shared" si="11"/>
        <v>0</v>
      </c>
    </row>
    <row r="83" spans="1:14">
      <c r="A83" s="24" t="s">
        <v>52</v>
      </c>
      <c r="B83" s="485">
        <v>0</v>
      </c>
      <c r="C83" s="485">
        <v>0</v>
      </c>
      <c r="D83" s="485">
        <v>0</v>
      </c>
      <c r="E83" s="485">
        <v>0</v>
      </c>
      <c r="F83" s="485">
        <v>0</v>
      </c>
      <c r="G83" s="485">
        <v>0</v>
      </c>
      <c r="H83" s="485">
        <v>1</v>
      </c>
      <c r="I83" s="485">
        <v>0</v>
      </c>
      <c r="J83" s="485">
        <v>0</v>
      </c>
      <c r="K83" s="485">
        <v>0</v>
      </c>
      <c r="L83" s="485">
        <v>0</v>
      </c>
      <c r="M83" s="485">
        <v>0</v>
      </c>
      <c r="N83" s="19">
        <f t="shared" si="11"/>
        <v>1</v>
      </c>
    </row>
    <row r="84" spans="1:14">
      <c r="A84" s="53" t="s">
        <v>106</v>
      </c>
      <c r="B84" s="485">
        <v>0</v>
      </c>
      <c r="C84" s="485">
        <v>0</v>
      </c>
      <c r="D84" s="485">
        <v>0</v>
      </c>
      <c r="E84" s="485">
        <v>0</v>
      </c>
      <c r="F84" s="485">
        <v>0</v>
      </c>
      <c r="G84" s="485">
        <v>0</v>
      </c>
      <c r="H84" s="485">
        <v>0</v>
      </c>
      <c r="I84" s="485">
        <v>0</v>
      </c>
      <c r="J84" s="485">
        <v>0</v>
      </c>
      <c r="K84" s="485">
        <v>0</v>
      </c>
      <c r="L84" s="485">
        <v>0</v>
      </c>
      <c r="M84" s="485">
        <v>0</v>
      </c>
      <c r="N84" s="19">
        <f t="shared" si="11"/>
        <v>0</v>
      </c>
    </row>
    <row r="85" spans="1:14" ht="14" thickBot="1">
      <c r="A85" s="53" t="s">
        <v>109</v>
      </c>
      <c r="B85" s="485">
        <v>0</v>
      </c>
      <c r="C85" s="485">
        <v>0</v>
      </c>
      <c r="D85" s="485">
        <v>1</v>
      </c>
      <c r="E85" s="485">
        <v>0</v>
      </c>
      <c r="F85" s="485">
        <v>0</v>
      </c>
      <c r="G85" s="485">
        <v>0</v>
      </c>
      <c r="H85" s="485">
        <v>0</v>
      </c>
      <c r="I85" s="485">
        <v>0</v>
      </c>
      <c r="J85" s="485">
        <v>1</v>
      </c>
      <c r="K85" s="485">
        <v>0</v>
      </c>
      <c r="L85" s="485">
        <v>1</v>
      </c>
      <c r="M85" s="485">
        <v>0</v>
      </c>
      <c r="N85" s="19">
        <f t="shared" si="11"/>
        <v>3</v>
      </c>
    </row>
    <row r="86" spans="1:14" ht="14" thickBot="1">
      <c r="A86" s="40" t="s">
        <v>60</v>
      </c>
      <c r="B86" s="42">
        <f>SUM(B79:B85)</f>
        <v>145</v>
      </c>
      <c r="C86" s="42">
        <f>SUM(C79:C85)</f>
        <v>0</v>
      </c>
      <c r="D86" s="42">
        <f t="shared" ref="D86:M86" si="12">SUM(D79:D85)</f>
        <v>2</v>
      </c>
      <c r="E86" s="42">
        <f t="shared" si="12"/>
        <v>2</v>
      </c>
      <c r="F86" s="42">
        <f t="shared" si="12"/>
        <v>0</v>
      </c>
      <c r="G86" s="42">
        <f t="shared" si="12"/>
        <v>4</v>
      </c>
      <c r="H86" s="42">
        <f t="shared" si="12"/>
        <v>5</v>
      </c>
      <c r="I86" s="42">
        <f t="shared" si="12"/>
        <v>6</v>
      </c>
      <c r="J86" s="42">
        <f t="shared" si="12"/>
        <v>12</v>
      </c>
      <c r="K86" s="42">
        <f t="shared" si="12"/>
        <v>2</v>
      </c>
      <c r="L86" s="42">
        <f t="shared" si="12"/>
        <v>12</v>
      </c>
      <c r="M86" s="42">
        <f t="shared" si="12"/>
        <v>10</v>
      </c>
      <c r="N86" s="41">
        <f>SUM(B86:M86)</f>
        <v>200</v>
      </c>
    </row>
    <row r="87" spans="1:14" ht="14" thickBot="1">
      <c r="A87" s="30" t="s">
        <v>49</v>
      </c>
      <c r="B87" s="31"/>
      <c r="C87" s="31"/>
      <c r="D87" s="31"/>
      <c r="E87" s="31"/>
      <c r="F87" s="31"/>
      <c r="G87" s="31"/>
      <c r="H87" s="31"/>
      <c r="I87" s="31"/>
      <c r="J87" s="31"/>
      <c r="K87" s="31"/>
      <c r="L87" s="31"/>
      <c r="M87" s="31"/>
      <c r="N87" s="32"/>
    </row>
    <row r="88" spans="1:14" ht="14" thickBot="1">
      <c r="A88" s="25" t="s">
        <v>49</v>
      </c>
      <c r="B88" s="485">
        <v>0</v>
      </c>
      <c r="C88" s="485">
        <v>0</v>
      </c>
      <c r="D88" s="485">
        <v>0</v>
      </c>
      <c r="E88" s="485">
        <v>0</v>
      </c>
      <c r="F88" s="485">
        <v>0</v>
      </c>
      <c r="G88" s="485">
        <v>0</v>
      </c>
      <c r="H88" s="485">
        <v>0</v>
      </c>
      <c r="I88" s="485">
        <v>0</v>
      </c>
      <c r="J88" s="485">
        <v>0</v>
      </c>
      <c r="K88" s="485">
        <v>0</v>
      </c>
      <c r="L88" s="485">
        <v>0</v>
      </c>
      <c r="M88" s="485">
        <v>0</v>
      </c>
      <c r="N88" s="19">
        <f>SUM(B88:M88)</f>
        <v>0</v>
      </c>
    </row>
    <row r="89" spans="1:14" ht="14" thickBot="1">
      <c r="A89" s="40" t="s">
        <v>60</v>
      </c>
      <c r="B89" s="42">
        <f>SUM(B88)</f>
        <v>0</v>
      </c>
      <c r="C89" s="42">
        <f t="shared" ref="C89:N89" si="13">SUM(C88)</f>
        <v>0</v>
      </c>
      <c r="D89" s="42">
        <f t="shared" si="13"/>
        <v>0</v>
      </c>
      <c r="E89" s="42">
        <f t="shared" si="13"/>
        <v>0</v>
      </c>
      <c r="F89" s="42">
        <f t="shared" si="13"/>
        <v>0</v>
      </c>
      <c r="G89" s="42">
        <f t="shared" si="13"/>
        <v>0</v>
      </c>
      <c r="H89" s="42">
        <f t="shared" si="13"/>
        <v>0</v>
      </c>
      <c r="I89" s="42">
        <f t="shared" si="13"/>
        <v>0</v>
      </c>
      <c r="J89" s="42">
        <f t="shared" si="13"/>
        <v>0</v>
      </c>
      <c r="K89" s="42">
        <f t="shared" si="13"/>
        <v>0</v>
      </c>
      <c r="L89" s="42">
        <f t="shared" si="13"/>
        <v>0</v>
      </c>
      <c r="M89" s="42">
        <f t="shared" si="13"/>
        <v>0</v>
      </c>
      <c r="N89" s="41">
        <f t="shared" si="13"/>
        <v>0</v>
      </c>
    </row>
    <row r="90" spans="1:14" ht="14" thickBot="1">
      <c r="A90" s="30" t="s">
        <v>50</v>
      </c>
      <c r="B90" s="31"/>
      <c r="C90" s="31"/>
      <c r="D90" s="31"/>
      <c r="E90" s="31"/>
      <c r="F90" s="31"/>
      <c r="G90" s="31"/>
      <c r="H90" s="31"/>
      <c r="I90" s="31"/>
      <c r="J90" s="31"/>
      <c r="K90" s="31"/>
      <c r="L90" s="31"/>
      <c r="M90" s="31"/>
      <c r="N90" s="32"/>
    </row>
    <row r="91" spans="1:14">
      <c r="A91" s="26" t="s">
        <v>26</v>
      </c>
      <c r="B91" s="485">
        <v>0</v>
      </c>
      <c r="C91" s="485">
        <v>0</v>
      </c>
      <c r="D91" s="485">
        <v>0</v>
      </c>
      <c r="E91" s="485">
        <v>0</v>
      </c>
      <c r="F91" s="485">
        <v>0</v>
      </c>
      <c r="G91" s="485">
        <v>0</v>
      </c>
      <c r="H91" s="485">
        <v>0</v>
      </c>
      <c r="I91" s="485">
        <v>0</v>
      </c>
      <c r="J91" s="485">
        <v>0</v>
      </c>
      <c r="K91" s="485">
        <v>0</v>
      </c>
      <c r="L91" s="485">
        <v>0</v>
      </c>
      <c r="M91" s="485">
        <v>0</v>
      </c>
      <c r="N91" s="19">
        <f t="shared" ref="N91:N99" si="14">SUM(B91:M91)</f>
        <v>0</v>
      </c>
    </row>
    <row r="92" spans="1:14">
      <c r="A92" s="26" t="s">
        <v>25</v>
      </c>
      <c r="B92" s="485">
        <v>0</v>
      </c>
      <c r="C92" s="485">
        <v>0</v>
      </c>
      <c r="D92" s="485">
        <v>0</v>
      </c>
      <c r="E92" s="485">
        <v>0</v>
      </c>
      <c r="F92" s="485">
        <v>0</v>
      </c>
      <c r="G92" s="485">
        <v>0</v>
      </c>
      <c r="H92" s="485">
        <v>0</v>
      </c>
      <c r="I92" s="485">
        <v>0</v>
      </c>
      <c r="J92" s="485">
        <v>0</v>
      </c>
      <c r="K92" s="485">
        <v>0</v>
      </c>
      <c r="L92" s="485">
        <v>0</v>
      </c>
      <c r="M92" s="485">
        <v>0</v>
      </c>
      <c r="N92" s="19">
        <f t="shared" si="14"/>
        <v>0</v>
      </c>
    </row>
    <row r="93" spans="1:14">
      <c r="A93" s="24" t="s">
        <v>29</v>
      </c>
      <c r="B93" s="485">
        <v>0</v>
      </c>
      <c r="C93" s="485">
        <v>101</v>
      </c>
      <c r="D93" s="485">
        <v>0</v>
      </c>
      <c r="E93" s="485">
        <v>0</v>
      </c>
      <c r="F93" s="485">
        <v>0</v>
      </c>
      <c r="G93" s="485">
        <v>0</v>
      </c>
      <c r="H93" s="485">
        <v>0</v>
      </c>
      <c r="I93" s="485">
        <v>0</v>
      </c>
      <c r="J93" s="485">
        <v>0</v>
      </c>
      <c r="K93" s="485">
        <v>0</v>
      </c>
      <c r="L93" s="485">
        <v>0</v>
      </c>
      <c r="M93" s="485">
        <v>0</v>
      </c>
      <c r="N93" s="19">
        <f t="shared" si="14"/>
        <v>101</v>
      </c>
    </row>
    <row r="94" spans="1:14">
      <c r="A94" s="24" t="s">
        <v>51</v>
      </c>
      <c r="B94" s="485">
        <v>0</v>
      </c>
      <c r="C94" s="485">
        <v>7</v>
      </c>
      <c r="D94" s="485">
        <v>0</v>
      </c>
      <c r="E94" s="485">
        <v>8</v>
      </c>
      <c r="F94" s="485">
        <v>0</v>
      </c>
      <c r="G94" s="485">
        <v>0</v>
      </c>
      <c r="H94" s="485">
        <v>0</v>
      </c>
      <c r="I94" s="485">
        <v>0</v>
      </c>
      <c r="J94" s="485">
        <v>0</v>
      </c>
      <c r="K94" s="485">
        <v>0</v>
      </c>
      <c r="L94" s="485">
        <v>0</v>
      </c>
      <c r="M94" s="485">
        <v>0</v>
      </c>
      <c r="N94" s="19">
        <f t="shared" si="14"/>
        <v>15</v>
      </c>
    </row>
    <row r="95" spans="1:14">
      <c r="A95" s="26" t="s">
        <v>20</v>
      </c>
      <c r="B95" s="485">
        <v>0</v>
      </c>
      <c r="C95" s="485">
        <v>0</v>
      </c>
      <c r="D95" s="485">
        <v>0</v>
      </c>
      <c r="E95" s="485">
        <v>0</v>
      </c>
      <c r="F95" s="485">
        <v>0</v>
      </c>
      <c r="G95" s="485">
        <v>0</v>
      </c>
      <c r="H95" s="485">
        <v>0</v>
      </c>
      <c r="I95" s="485">
        <v>0</v>
      </c>
      <c r="J95" s="485">
        <v>0</v>
      </c>
      <c r="K95" s="485">
        <v>0</v>
      </c>
      <c r="L95" s="485">
        <v>0</v>
      </c>
      <c r="M95" s="485">
        <v>0</v>
      </c>
      <c r="N95" s="19">
        <f t="shared" si="14"/>
        <v>0</v>
      </c>
    </row>
    <row r="96" spans="1:14">
      <c r="A96" s="26" t="s">
        <v>13</v>
      </c>
      <c r="B96" s="485">
        <v>0</v>
      </c>
      <c r="C96" s="485">
        <v>0</v>
      </c>
      <c r="D96" s="485">
        <v>0</v>
      </c>
      <c r="E96" s="485">
        <v>0</v>
      </c>
      <c r="F96" s="485">
        <v>0</v>
      </c>
      <c r="G96" s="485">
        <v>0</v>
      </c>
      <c r="H96" s="485">
        <v>0</v>
      </c>
      <c r="I96" s="485">
        <v>0</v>
      </c>
      <c r="J96" s="485">
        <v>0</v>
      </c>
      <c r="K96" s="485">
        <v>0</v>
      </c>
      <c r="L96" s="485">
        <v>0</v>
      </c>
      <c r="M96" s="485">
        <v>0</v>
      </c>
      <c r="N96" s="19">
        <f t="shared" si="14"/>
        <v>0</v>
      </c>
    </row>
    <row r="97" spans="1:14">
      <c r="A97" s="27" t="s">
        <v>47</v>
      </c>
      <c r="B97" s="485">
        <v>0</v>
      </c>
      <c r="C97" s="485">
        <v>0</v>
      </c>
      <c r="D97" s="485">
        <v>0</v>
      </c>
      <c r="E97" s="485">
        <v>0</v>
      </c>
      <c r="F97" s="485">
        <v>0</v>
      </c>
      <c r="G97" s="485">
        <v>0</v>
      </c>
      <c r="H97" s="485">
        <v>0</v>
      </c>
      <c r="I97" s="485">
        <v>0</v>
      </c>
      <c r="J97" s="485">
        <v>0</v>
      </c>
      <c r="K97" s="485">
        <v>0</v>
      </c>
      <c r="L97" s="485">
        <v>0</v>
      </c>
      <c r="M97" s="485">
        <v>0</v>
      </c>
      <c r="N97" s="19">
        <f t="shared" si="14"/>
        <v>0</v>
      </c>
    </row>
    <row r="98" spans="1:14">
      <c r="A98" s="53" t="s">
        <v>30</v>
      </c>
      <c r="B98" s="485">
        <v>0</v>
      </c>
      <c r="C98" s="485">
        <v>0</v>
      </c>
      <c r="D98" s="485">
        <v>0</v>
      </c>
      <c r="E98" s="485">
        <v>0</v>
      </c>
      <c r="F98" s="485">
        <v>0</v>
      </c>
      <c r="G98" s="485">
        <v>0</v>
      </c>
      <c r="H98" s="485">
        <v>0</v>
      </c>
      <c r="I98" s="485">
        <v>0</v>
      </c>
      <c r="J98" s="485">
        <v>0</v>
      </c>
      <c r="K98" s="485">
        <v>1</v>
      </c>
      <c r="L98" s="485">
        <v>0</v>
      </c>
      <c r="M98" s="485">
        <v>0</v>
      </c>
      <c r="N98" s="19">
        <f t="shared" si="14"/>
        <v>1</v>
      </c>
    </row>
    <row r="99" spans="1:14">
      <c r="A99" s="53" t="s">
        <v>108</v>
      </c>
      <c r="B99" s="485">
        <v>0</v>
      </c>
      <c r="C99" s="485">
        <v>0</v>
      </c>
      <c r="D99" s="485">
        <v>0</v>
      </c>
      <c r="E99" s="485">
        <v>0</v>
      </c>
      <c r="F99" s="485">
        <v>0</v>
      </c>
      <c r="G99" s="485">
        <v>0</v>
      </c>
      <c r="H99" s="485">
        <v>0</v>
      </c>
      <c r="I99" s="485">
        <v>0</v>
      </c>
      <c r="J99" s="485">
        <v>0</v>
      </c>
      <c r="K99" s="485">
        <v>0</v>
      </c>
      <c r="L99" s="485">
        <v>0</v>
      </c>
      <c r="M99" s="485">
        <v>0</v>
      </c>
      <c r="N99" s="19">
        <f t="shared" si="14"/>
        <v>0</v>
      </c>
    </row>
    <row r="100" spans="1:14">
      <c r="A100" s="24" t="s">
        <v>56</v>
      </c>
      <c r="B100" s="485">
        <v>0</v>
      </c>
      <c r="C100" s="485">
        <v>0</v>
      </c>
      <c r="D100" s="485">
        <v>0</v>
      </c>
      <c r="E100" s="485">
        <v>0</v>
      </c>
      <c r="F100" s="485">
        <v>0</v>
      </c>
      <c r="G100" s="485">
        <v>0</v>
      </c>
      <c r="H100" s="485">
        <v>0</v>
      </c>
      <c r="I100" s="485">
        <v>0</v>
      </c>
      <c r="J100" s="485">
        <v>0</v>
      </c>
      <c r="K100" s="485">
        <v>0</v>
      </c>
      <c r="L100" s="485">
        <v>0</v>
      </c>
      <c r="M100" s="485">
        <v>0</v>
      </c>
      <c r="N100" s="19">
        <f>SUM(B100:M100)</f>
        <v>0</v>
      </c>
    </row>
    <row r="101" spans="1:14">
      <c r="A101" s="54" t="s">
        <v>89</v>
      </c>
      <c r="B101" s="485">
        <v>0</v>
      </c>
      <c r="C101" s="485">
        <v>0</v>
      </c>
      <c r="D101" s="485">
        <v>0</v>
      </c>
      <c r="E101" s="485">
        <v>0</v>
      </c>
      <c r="F101" s="485">
        <v>0</v>
      </c>
      <c r="G101" s="485">
        <v>0</v>
      </c>
      <c r="H101" s="485">
        <v>0</v>
      </c>
      <c r="I101" s="485">
        <v>0</v>
      </c>
      <c r="J101" s="485">
        <v>0</v>
      </c>
      <c r="K101" s="485">
        <v>0</v>
      </c>
      <c r="L101" s="485">
        <v>0</v>
      </c>
      <c r="M101" s="485">
        <v>0</v>
      </c>
      <c r="N101" s="19">
        <f>SUM(B101:M101)</f>
        <v>0</v>
      </c>
    </row>
    <row r="102" spans="1:14" ht="14" thickBot="1">
      <c r="A102" s="24" t="s">
        <v>83</v>
      </c>
      <c r="B102" s="485">
        <v>0</v>
      </c>
      <c r="C102" s="485">
        <v>0</v>
      </c>
      <c r="D102" s="485">
        <v>0</v>
      </c>
      <c r="E102" s="485">
        <v>0</v>
      </c>
      <c r="F102" s="485">
        <v>0</v>
      </c>
      <c r="G102" s="485">
        <v>0</v>
      </c>
      <c r="H102" s="485">
        <v>0</v>
      </c>
      <c r="I102" s="485">
        <v>0</v>
      </c>
      <c r="J102" s="485">
        <v>0</v>
      </c>
      <c r="K102" s="485">
        <v>0</v>
      </c>
      <c r="L102" s="485">
        <v>0</v>
      </c>
      <c r="M102" s="485">
        <v>0</v>
      </c>
      <c r="N102" s="19">
        <f>SUM(B102:M102)</f>
        <v>0</v>
      </c>
    </row>
    <row r="103" spans="1:14" ht="14" thickBot="1">
      <c r="A103" s="40" t="s">
        <v>60</v>
      </c>
      <c r="B103" s="42">
        <f>SUM(B91:B102)</f>
        <v>0</v>
      </c>
      <c r="C103" s="42">
        <f t="shared" ref="C103:M103" si="15">SUM(C91:C102)</f>
        <v>108</v>
      </c>
      <c r="D103" s="42">
        <f t="shared" si="15"/>
        <v>0</v>
      </c>
      <c r="E103" s="42">
        <f t="shared" si="15"/>
        <v>8</v>
      </c>
      <c r="F103" s="42">
        <f t="shared" si="15"/>
        <v>0</v>
      </c>
      <c r="G103" s="42">
        <f t="shared" si="15"/>
        <v>0</v>
      </c>
      <c r="H103" s="42">
        <f t="shared" si="15"/>
        <v>0</v>
      </c>
      <c r="I103" s="42">
        <f t="shared" si="15"/>
        <v>0</v>
      </c>
      <c r="J103" s="42">
        <f t="shared" si="15"/>
        <v>0</v>
      </c>
      <c r="K103" s="42">
        <f t="shared" si="15"/>
        <v>1</v>
      </c>
      <c r="L103" s="42">
        <f t="shared" si="15"/>
        <v>0</v>
      </c>
      <c r="M103" s="42">
        <f t="shared" si="15"/>
        <v>0</v>
      </c>
      <c r="N103" s="41">
        <f>SUM(N91:N102)</f>
        <v>117</v>
      </c>
    </row>
    <row r="104" spans="1:14" ht="14" thickBot="1">
      <c r="A104" s="30" t="s">
        <v>54</v>
      </c>
      <c r="B104" s="33"/>
      <c r="C104" s="33"/>
      <c r="D104" s="33"/>
      <c r="E104" s="33"/>
      <c r="F104" s="33"/>
      <c r="G104" s="33"/>
      <c r="H104" s="33"/>
      <c r="I104" s="33"/>
      <c r="J104" s="33"/>
      <c r="K104" s="33"/>
      <c r="L104" s="33"/>
      <c r="M104" s="33"/>
      <c r="N104" s="34"/>
    </row>
    <row r="105" spans="1:14">
      <c r="A105" s="28" t="s">
        <v>29</v>
      </c>
      <c r="B105" s="486">
        <v>0</v>
      </c>
      <c r="C105" s="486">
        <v>0</v>
      </c>
      <c r="D105" s="486">
        <v>0</v>
      </c>
      <c r="E105" s="486">
        <v>0</v>
      </c>
      <c r="F105" s="486">
        <v>0</v>
      </c>
      <c r="G105" s="486">
        <v>0</v>
      </c>
      <c r="H105" s="486">
        <v>0</v>
      </c>
      <c r="I105" s="486">
        <v>0</v>
      </c>
      <c r="J105" s="486">
        <v>0</v>
      </c>
      <c r="K105" s="486">
        <v>0</v>
      </c>
      <c r="L105" s="486">
        <v>0</v>
      </c>
      <c r="M105" s="486">
        <v>0</v>
      </c>
      <c r="N105" s="20">
        <f t="shared" ref="N105:N110" si="16">SUM(B105:M105)</f>
        <v>0</v>
      </c>
    </row>
    <row r="106" spans="1:14">
      <c r="A106" s="26" t="s">
        <v>51</v>
      </c>
      <c r="B106" s="485">
        <v>0</v>
      </c>
      <c r="C106" s="485">
        <v>0</v>
      </c>
      <c r="D106" s="485">
        <v>0</v>
      </c>
      <c r="E106" s="485">
        <v>0</v>
      </c>
      <c r="F106" s="485">
        <v>0</v>
      </c>
      <c r="G106" s="485">
        <v>0</v>
      </c>
      <c r="H106" s="485">
        <v>0</v>
      </c>
      <c r="I106" s="485">
        <v>0</v>
      </c>
      <c r="J106" s="485">
        <v>0</v>
      </c>
      <c r="K106" s="485">
        <v>0</v>
      </c>
      <c r="L106" s="485">
        <v>0</v>
      </c>
      <c r="M106" s="485">
        <v>0</v>
      </c>
      <c r="N106" s="21">
        <f t="shared" si="16"/>
        <v>0</v>
      </c>
    </row>
    <row r="107" spans="1:14">
      <c r="A107" s="26" t="s">
        <v>15</v>
      </c>
      <c r="B107" s="485">
        <v>0</v>
      </c>
      <c r="C107" s="485">
        <v>0</v>
      </c>
      <c r="D107" s="485">
        <v>0</v>
      </c>
      <c r="E107" s="485">
        <v>0</v>
      </c>
      <c r="F107" s="485">
        <v>0</v>
      </c>
      <c r="G107" s="485">
        <v>0</v>
      </c>
      <c r="H107" s="485">
        <v>0</v>
      </c>
      <c r="I107" s="485">
        <v>0</v>
      </c>
      <c r="J107" s="485">
        <v>0</v>
      </c>
      <c r="K107" s="485">
        <v>0</v>
      </c>
      <c r="L107" s="487">
        <v>0</v>
      </c>
      <c r="M107" s="485">
        <v>0</v>
      </c>
      <c r="N107" s="21">
        <f t="shared" si="16"/>
        <v>0</v>
      </c>
    </row>
    <row r="108" spans="1:14">
      <c r="A108" s="26" t="s">
        <v>30</v>
      </c>
      <c r="B108" s="485">
        <v>0</v>
      </c>
      <c r="C108" s="485">
        <v>0</v>
      </c>
      <c r="D108" s="485">
        <v>0</v>
      </c>
      <c r="E108" s="485">
        <v>0</v>
      </c>
      <c r="F108" s="485">
        <v>0</v>
      </c>
      <c r="G108" s="485">
        <v>0</v>
      </c>
      <c r="H108" s="485">
        <v>0</v>
      </c>
      <c r="I108" s="485">
        <v>0</v>
      </c>
      <c r="J108" s="485">
        <v>0</v>
      </c>
      <c r="K108" s="485">
        <v>0</v>
      </c>
      <c r="L108" s="485">
        <v>0</v>
      </c>
      <c r="M108" s="485">
        <v>0</v>
      </c>
      <c r="N108" s="21">
        <f t="shared" si="16"/>
        <v>0</v>
      </c>
    </row>
    <row r="109" spans="1:14">
      <c r="A109" s="24" t="s">
        <v>55</v>
      </c>
      <c r="B109" s="487">
        <v>0</v>
      </c>
      <c r="C109" s="487">
        <v>0</v>
      </c>
      <c r="D109" s="488">
        <v>0</v>
      </c>
      <c r="E109" s="487">
        <v>0</v>
      </c>
      <c r="F109" s="487">
        <v>0</v>
      </c>
      <c r="G109" s="487">
        <v>0</v>
      </c>
      <c r="H109" s="487">
        <v>0</v>
      </c>
      <c r="I109" s="487">
        <v>0</v>
      </c>
      <c r="J109" s="487">
        <v>0</v>
      </c>
      <c r="K109" s="487">
        <v>0</v>
      </c>
      <c r="L109" s="487">
        <v>0</v>
      </c>
      <c r="M109" s="487">
        <v>0</v>
      </c>
      <c r="N109" s="21">
        <f t="shared" si="16"/>
        <v>0</v>
      </c>
    </row>
    <row r="110" spans="1:14" ht="14" thickBot="1">
      <c r="A110" s="68" t="s">
        <v>108</v>
      </c>
      <c r="B110" s="489">
        <v>0</v>
      </c>
      <c r="C110" s="490">
        <v>0</v>
      </c>
      <c r="D110" s="490">
        <v>0</v>
      </c>
      <c r="E110" s="490">
        <v>0</v>
      </c>
      <c r="F110" s="490">
        <v>0</v>
      </c>
      <c r="G110" s="490">
        <v>0</v>
      </c>
      <c r="H110" s="490">
        <v>0</v>
      </c>
      <c r="I110" s="490">
        <v>0</v>
      </c>
      <c r="J110" s="490">
        <v>0</v>
      </c>
      <c r="K110" s="490">
        <v>0</v>
      </c>
      <c r="L110" s="490">
        <v>0</v>
      </c>
      <c r="M110" s="491">
        <v>0</v>
      </c>
      <c r="N110" s="21">
        <f t="shared" si="16"/>
        <v>0</v>
      </c>
    </row>
    <row r="111" spans="1:14" ht="14" thickBot="1">
      <c r="A111" s="40" t="s">
        <v>60</v>
      </c>
      <c r="B111" s="42">
        <f>SUM(B105:B110)</f>
        <v>0</v>
      </c>
      <c r="C111" s="42">
        <f>SUM(C105:C110)</f>
        <v>0</v>
      </c>
      <c r="D111" s="42">
        <f>SUM(D105:D110)</f>
        <v>0</v>
      </c>
      <c r="E111" s="42">
        <f t="shared" ref="E111:M111" si="17">SUM(E105:E110)</f>
        <v>0</v>
      </c>
      <c r="F111" s="42">
        <f t="shared" si="17"/>
        <v>0</v>
      </c>
      <c r="G111" s="42">
        <f t="shared" si="17"/>
        <v>0</v>
      </c>
      <c r="H111" s="42">
        <f t="shared" si="17"/>
        <v>0</v>
      </c>
      <c r="I111" s="42">
        <f t="shared" si="17"/>
        <v>0</v>
      </c>
      <c r="J111" s="42">
        <f t="shared" si="17"/>
        <v>0</v>
      </c>
      <c r="K111" s="42">
        <f t="shared" si="17"/>
        <v>0</v>
      </c>
      <c r="L111" s="42">
        <f t="shared" si="17"/>
        <v>0</v>
      </c>
      <c r="M111" s="42">
        <f t="shared" si="17"/>
        <v>0</v>
      </c>
      <c r="N111" s="41">
        <f>SUM(N105:N110)</f>
        <v>0</v>
      </c>
    </row>
    <row r="114" spans="1:14" ht="14" thickBot="1">
      <c r="B114" s="35" t="s">
        <v>35</v>
      </c>
      <c r="C114" s="35" t="s">
        <v>36</v>
      </c>
      <c r="D114" s="35" t="s">
        <v>37</v>
      </c>
      <c r="E114" s="35" t="s">
        <v>38</v>
      </c>
      <c r="F114" s="35" t="s">
        <v>39</v>
      </c>
      <c r="G114" s="35" t="s">
        <v>40</v>
      </c>
      <c r="H114" s="35" t="s">
        <v>41</v>
      </c>
      <c r="I114" s="35" t="s">
        <v>42</v>
      </c>
      <c r="J114" s="35" t="s">
        <v>43</v>
      </c>
      <c r="K114" s="35" t="s">
        <v>44</v>
      </c>
      <c r="L114" s="35" t="s">
        <v>45</v>
      </c>
      <c r="M114" s="35" t="s">
        <v>46</v>
      </c>
      <c r="N114" s="35" t="s">
        <v>10</v>
      </c>
    </row>
    <row r="115" spans="1:14" ht="17" thickBot="1">
      <c r="A115" s="23" t="s">
        <v>111</v>
      </c>
      <c r="B115" s="16"/>
      <c r="C115" s="16"/>
      <c r="D115" s="15"/>
      <c r="E115" s="15"/>
      <c r="F115" s="17"/>
      <c r="G115" s="17"/>
      <c r="H115" s="15"/>
      <c r="I115" s="15"/>
      <c r="J115" s="15"/>
      <c r="K115" s="15"/>
      <c r="L115" s="16"/>
      <c r="M115" s="16"/>
      <c r="N115" s="18"/>
    </row>
    <row r="116" spans="1:14" ht="14" thickBot="1">
      <c r="A116" s="30" t="s">
        <v>48</v>
      </c>
      <c r="B116" s="31"/>
      <c r="C116" s="31"/>
      <c r="D116" s="31"/>
      <c r="E116" s="31"/>
      <c r="F116" s="31"/>
      <c r="G116" s="31"/>
      <c r="H116" s="31"/>
      <c r="I116" s="31"/>
      <c r="J116" s="31"/>
      <c r="K116" s="31"/>
      <c r="L116" s="31"/>
      <c r="M116" s="31"/>
      <c r="N116" s="32"/>
    </row>
    <row r="117" spans="1:14">
      <c r="A117" s="24" t="s">
        <v>29</v>
      </c>
      <c r="B117" s="485">
        <v>4</v>
      </c>
      <c r="C117" s="485">
        <v>1</v>
      </c>
      <c r="D117" s="485">
        <v>0</v>
      </c>
      <c r="E117" s="485">
        <v>0</v>
      </c>
      <c r="F117" s="485">
        <v>0</v>
      </c>
      <c r="G117" s="485">
        <v>0</v>
      </c>
      <c r="H117" s="485">
        <v>0</v>
      </c>
      <c r="I117" s="485">
        <v>0</v>
      </c>
      <c r="J117" s="485">
        <v>0</v>
      </c>
      <c r="K117" s="485">
        <v>0</v>
      </c>
      <c r="L117" s="485">
        <v>0</v>
      </c>
      <c r="M117" s="485">
        <v>0</v>
      </c>
      <c r="N117" s="19">
        <f t="shared" ref="N117:N123" si="18">SUM(B117:M117)</f>
        <v>5</v>
      </c>
    </row>
    <row r="118" spans="1:14">
      <c r="A118" s="24" t="s">
        <v>33</v>
      </c>
      <c r="B118" s="485">
        <v>9</v>
      </c>
      <c r="C118" s="485">
        <v>13</v>
      </c>
      <c r="D118" s="485">
        <v>36</v>
      </c>
      <c r="E118" s="485">
        <v>13</v>
      </c>
      <c r="F118" s="485">
        <v>28</v>
      </c>
      <c r="G118" s="485">
        <v>6</v>
      </c>
      <c r="H118" s="485">
        <v>16</v>
      </c>
      <c r="I118" s="485">
        <v>0</v>
      </c>
      <c r="J118" s="485">
        <v>28</v>
      </c>
      <c r="K118" s="485">
        <v>2</v>
      </c>
      <c r="L118" s="485">
        <v>31</v>
      </c>
      <c r="M118" s="485">
        <v>17</v>
      </c>
      <c r="N118" s="19">
        <f t="shared" si="18"/>
        <v>199</v>
      </c>
    </row>
    <row r="119" spans="1:14">
      <c r="A119" s="24" t="s">
        <v>56</v>
      </c>
      <c r="B119" s="485">
        <v>15</v>
      </c>
      <c r="C119" s="485">
        <v>0</v>
      </c>
      <c r="D119" s="485">
        <v>0</v>
      </c>
      <c r="E119" s="485">
        <v>0</v>
      </c>
      <c r="F119" s="485">
        <v>75</v>
      </c>
      <c r="G119" s="485">
        <v>0</v>
      </c>
      <c r="H119" s="485">
        <v>0</v>
      </c>
      <c r="I119" s="485">
        <v>0</v>
      </c>
      <c r="J119" s="485">
        <v>0</v>
      </c>
      <c r="K119" s="485">
        <v>0</v>
      </c>
      <c r="L119" s="485">
        <v>0</v>
      </c>
      <c r="M119" s="485">
        <v>0</v>
      </c>
      <c r="N119" s="19">
        <f t="shared" si="18"/>
        <v>90</v>
      </c>
    </row>
    <row r="120" spans="1:14">
      <c r="A120" s="54" t="s">
        <v>30</v>
      </c>
      <c r="B120" s="485">
        <v>0</v>
      </c>
      <c r="C120" s="485">
        <v>0</v>
      </c>
      <c r="D120" s="485">
        <v>0</v>
      </c>
      <c r="E120" s="485">
        <v>0</v>
      </c>
      <c r="F120" s="485">
        <v>1</v>
      </c>
      <c r="G120" s="485">
        <v>0</v>
      </c>
      <c r="H120" s="485">
        <v>0</v>
      </c>
      <c r="I120" s="485">
        <v>0</v>
      </c>
      <c r="J120" s="485">
        <v>0</v>
      </c>
      <c r="K120" s="485">
        <v>0</v>
      </c>
      <c r="L120" s="485">
        <v>0</v>
      </c>
      <c r="M120" s="485">
        <v>0</v>
      </c>
      <c r="N120" s="19">
        <f t="shared" si="18"/>
        <v>1</v>
      </c>
    </row>
    <row r="121" spans="1:14">
      <c r="A121" s="53" t="s">
        <v>116</v>
      </c>
      <c r="B121" s="485">
        <v>0</v>
      </c>
      <c r="C121" s="485">
        <v>0</v>
      </c>
      <c r="D121" s="485">
        <v>0</v>
      </c>
      <c r="E121" s="485">
        <v>0</v>
      </c>
      <c r="F121" s="485">
        <v>600</v>
      </c>
      <c r="G121" s="485">
        <v>0</v>
      </c>
      <c r="H121" s="485">
        <v>0</v>
      </c>
      <c r="I121" s="485">
        <v>0</v>
      </c>
      <c r="J121" s="485">
        <v>0</v>
      </c>
      <c r="K121" s="485">
        <v>0</v>
      </c>
      <c r="L121" s="485">
        <v>0</v>
      </c>
      <c r="M121" s="485">
        <v>0</v>
      </c>
      <c r="N121" s="19">
        <f t="shared" si="18"/>
        <v>600</v>
      </c>
    </row>
    <row r="122" spans="1:14">
      <c r="A122" s="53" t="s">
        <v>113</v>
      </c>
      <c r="B122" s="485">
        <v>0</v>
      </c>
      <c r="C122" s="485">
        <v>0</v>
      </c>
      <c r="D122" s="485">
        <v>0</v>
      </c>
      <c r="E122" s="485">
        <v>0</v>
      </c>
      <c r="F122" s="485">
        <v>0</v>
      </c>
      <c r="G122" s="485">
        <v>0</v>
      </c>
      <c r="H122" s="485">
        <v>0</v>
      </c>
      <c r="I122" s="485">
        <v>0</v>
      </c>
      <c r="J122" s="485">
        <v>0</v>
      </c>
      <c r="K122" s="485">
        <v>48</v>
      </c>
      <c r="L122" s="485">
        <v>0</v>
      </c>
      <c r="M122" s="485">
        <v>0</v>
      </c>
      <c r="N122" s="19">
        <f t="shared" si="18"/>
        <v>48</v>
      </c>
    </row>
    <row r="123" spans="1:14" ht="14" thickBot="1">
      <c r="A123" s="53" t="s">
        <v>114</v>
      </c>
      <c r="B123" s="485">
        <v>0</v>
      </c>
      <c r="C123" s="485">
        <v>0</v>
      </c>
      <c r="D123" s="485">
        <v>0</v>
      </c>
      <c r="E123" s="485">
        <v>0</v>
      </c>
      <c r="F123" s="485">
        <v>0</v>
      </c>
      <c r="G123" s="485">
        <v>0</v>
      </c>
      <c r="H123" s="485">
        <v>0</v>
      </c>
      <c r="I123" s="485">
        <v>0</v>
      </c>
      <c r="J123" s="485">
        <v>0</v>
      </c>
      <c r="K123" s="485">
        <v>0</v>
      </c>
      <c r="L123" s="485">
        <v>0</v>
      </c>
      <c r="M123" s="485">
        <v>0</v>
      </c>
      <c r="N123" s="19">
        <f t="shared" si="18"/>
        <v>0</v>
      </c>
    </row>
    <row r="124" spans="1:14" ht="14" thickBot="1">
      <c r="A124" s="40" t="s">
        <v>60</v>
      </c>
      <c r="B124" s="42">
        <f>SUM(B117:B123)</f>
        <v>28</v>
      </c>
      <c r="C124" s="42">
        <f t="shared" ref="C124:M124" si="19">SUM(C117:C123)</f>
        <v>14</v>
      </c>
      <c r="D124" s="42">
        <f t="shared" si="19"/>
        <v>36</v>
      </c>
      <c r="E124" s="42">
        <f t="shared" si="19"/>
        <v>13</v>
      </c>
      <c r="F124" s="42">
        <f t="shared" si="19"/>
        <v>704</v>
      </c>
      <c r="G124" s="42">
        <f t="shared" si="19"/>
        <v>6</v>
      </c>
      <c r="H124" s="42">
        <f t="shared" si="19"/>
        <v>16</v>
      </c>
      <c r="I124" s="42">
        <f t="shared" si="19"/>
        <v>0</v>
      </c>
      <c r="J124" s="42">
        <f t="shared" si="19"/>
        <v>28</v>
      </c>
      <c r="K124" s="42">
        <f t="shared" si="19"/>
        <v>50</v>
      </c>
      <c r="L124" s="42">
        <f t="shared" si="19"/>
        <v>31</v>
      </c>
      <c r="M124" s="42">
        <f t="shared" si="19"/>
        <v>17</v>
      </c>
      <c r="N124" s="41">
        <f>SUM(N117:N123)</f>
        <v>943</v>
      </c>
    </row>
    <row r="125" spans="1:14" ht="14" thickBot="1">
      <c r="A125" s="30" t="s">
        <v>49</v>
      </c>
      <c r="B125" s="31"/>
      <c r="C125" s="31"/>
      <c r="D125" s="31"/>
      <c r="E125" s="31"/>
      <c r="F125" s="31"/>
      <c r="G125" s="31"/>
      <c r="H125" s="31"/>
      <c r="I125" s="31"/>
      <c r="J125" s="31"/>
      <c r="K125" s="31"/>
      <c r="L125" s="31"/>
      <c r="M125" s="31"/>
      <c r="N125" s="32"/>
    </row>
    <row r="126" spans="1:14" ht="14" thickBot="1">
      <c r="A126" s="25" t="s">
        <v>49</v>
      </c>
      <c r="B126" s="485">
        <v>0</v>
      </c>
      <c r="C126" s="485">
        <v>0</v>
      </c>
      <c r="D126" s="485">
        <v>0</v>
      </c>
      <c r="E126" s="485">
        <v>0</v>
      </c>
      <c r="F126" s="485">
        <v>0</v>
      </c>
      <c r="G126" s="485">
        <v>0</v>
      </c>
      <c r="H126" s="485">
        <v>1</v>
      </c>
      <c r="I126" s="485">
        <v>0</v>
      </c>
      <c r="J126" s="485">
        <v>0</v>
      </c>
      <c r="K126" s="485">
        <v>0</v>
      </c>
      <c r="L126" s="485">
        <v>0</v>
      </c>
      <c r="M126" s="485">
        <v>0</v>
      </c>
      <c r="N126" s="150">
        <f>SUM(B126:M126)</f>
        <v>1</v>
      </c>
    </row>
    <row r="127" spans="1:14" ht="14" thickBot="1">
      <c r="A127" s="40" t="s">
        <v>60</v>
      </c>
      <c r="B127" s="42">
        <f>SUM(B126)</f>
        <v>0</v>
      </c>
      <c r="C127" s="42">
        <f t="shared" ref="C127:M127" si="20">SUM(C126)</f>
        <v>0</v>
      </c>
      <c r="D127" s="42">
        <f t="shared" si="20"/>
        <v>0</v>
      </c>
      <c r="E127" s="42">
        <f t="shared" si="20"/>
        <v>0</v>
      </c>
      <c r="F127" s="42">
        <f t="shared" si="20"/>
        <v>0</v>
      </c>
      <c r="G127" s="42">
        <f t="shared" si="20"/>
        <v>0</v>
      </c>
      <c r="H127" s="42">
        <f t="shared" si="20"/>
        <v>1</v>
      </c>
      <c r="I127" s="42">
        <f t="shared" si="20"/>
        <v>0</v>
      </c>
      <c r="J127" s="42">
        <f t="shared" si="20"/>
        <v>0</v>
      </c>
      <c r="K127" s="42">
        <f t="shared" si="20"/>
        <v>0</v>
      </c>
      <c r="L127" s="42">
        <f t="shared" si="20"/>
        <v>0</v>
      </c>
      <c r="M127" s="42">
        <f t="shared" si="20"/>
        <v>0</v>
      </c>
      <c r="N127" s="41">
        <f>SUM(N126)</f>
        <v>1</v>
      </c>
    </row>
    <row r="128" spans="1:14" ht="14" thickBot="1">
      <c r="A128" s="30" t="s">
        <v>50</v>
      </c>
      <c r="B128" s="31"/>
      <c r="C128" s="31"/>
      <c r="D128" s="31"/>
      <c r="E128" s="31"/>
      <c r="F128" s="31"/>
      <c r="G128" s="31"/>
      <c r="H128" s="31"/>
      <c r="I128" s="31"/>
      <c r="J128" s="31"/>
      <c r="K128" s="31"/>
      <c r="L128" s="31"/>
      <c r="M128" s="31"/>
      <c r="N128" s="32"/>
    </row>
    <row r="129" spans="1:14">
      <c r="A129" s="24" t="s">
        <v>29</v>
      </c>
      <c r="B129" s="485">
        <v>0</v>
      </c>
      <c r="C129" s="485">
        <v>0</v>
      </c>
      <c r="D129" s="485">
        <v>0</v>
      </c>
      <c r="E129" s="485">
        <v>0</v>
      </c>
      <c r="F129" s="485">
        <v>0</v>
      </c>
      <c r="G129" s="485">
        <v>0</v>
      </c>
      <c r="H129" s="485">
        <v>0</v>
      </c>
      <c r="I129" s="485">
        <v>0</v>
      </c>
      <c r="J129" s="485">
        <v>0</v>
      </c>
      <c r="K129" s="485">
        <v>0</v>
      </c>
      <c r="L129" s="485">
        <v>0</v>
      </c>
      <c r="M129" s="485">
        <v>0</v>
      </c>
      <c r="N129" s="19">
        <f t="shared" ref="N129:N135" si="21">SUM(B129:M129)</f>
        <v>0</v>
      </c>
    </row>
    <row r="130" spans="1:14">
      <c r="A130" s="24" t="s">
        <v>51</v>
      </c>
      <c r="B130" s="485">
        <v>0</v>
      </c>
      <c r="C130" s="485">
        <v>0</v>
      </c>
      <c r="D130" s="485">
        <v>0</v>
      </c>
      <c r="E130" s="485">
        <v>1</v>
      </c>
      <c r="F130" s="485">
        <v>0</v>
      </c>
      <c r="G130" s="485">
        <v>87</v>
      </c>
      <c r="H130" s="485">
        <v>23</v>
      </c>
      <c r="I130" s="485">
        <v>0</v>
      </c>
      <c r="J130" s="485">
        <v>0</v>
      </c>
      <c r="K130" s="485">
        <v>0</v>
      </c>
      <c r="L130" s="485">
        <v>0</v>
      </c>
      <c r="M130" s="485">
        <v>0</v>
      </c>
      <c r="N130" s="19">
        <f t="shared" si="21"/>
        <v>111</v>
      </c>
    </row>
    <row r="131" spans="1:14">
      <c r="A131" s="26" t="s">
        <v>20</v>
      </c>
      <c r="B131" s="485">
        <v>0</v>
      </c>
      <c r="C131" s="485">
        <v>0</v>
      </c>
      <c r="D131" s="485">
        <v>0</v>
      </c>
      <c r="E131" s="485">
        <v>0</v>
      </c>
      <c r="F131" s="485">
        <v>0</v>
      </c>
      <c r="G131" s="485">
        <v>0</v>
      </c>
      <c r="H131" s="485">
        <v>0</v>
      </c>
      <c r="I131" s="485">
        <v>0</v>
      </c>
      <c r="J131" s="485">
        <v>0</v>
      </c>
      <c r="K131" s="485">
        <v>0</v>
      </c>
      <c r="L131" s="485">
        <v>0</v>
      </c>
      <c r="M131" s="485">
        <v>0</v>
      </c>
      <c r="N131" s="19">
        <f t="shared" si="21"/>
        <v>0</v>
      </c>
    </row>
    <row r="132" spans="1:14">
      <c r="A132" s="26" t="s">
        <v>13</v>
      </c>
      <c r="B132" s="485">
        <v>0</v>
      </c>
      <c r="C132" s="485">
        <v>0</v>
      </c>
      <c r="D132" s="485">
        <v>0</v>
      </c>
      <c r="E132" s="485">
        <v>0</v>
      </c>
      <c r="F132" s="485">
        <v>0</v>
      </c>
      <c r="G132" s="485">
        <v>0</v>
      </c>
      <c r="H132" s="485">
        <v>0</v>
      </c>
      <c r="I132" s="485">
        <v>0</v>
      </c>
      <c r="J132" s="485">
        <v>0</v>
      </c>
      <c r="K132" s="485">
        <v>0</v>
      </c>
      <c r="L132" s="485">
        <v>0</v>
      </c>
      <c r="M132" s="485">
        <v>0</v>
      </c>
      <c r="N132" s="19">
        <f t="shared" si="21"/>
        <v>0</v>
      </c>
    </row>
    <row r="133" spans="1:14">
      <c r="A133" s="27" t="s">
        <v>47</v>
      </c>
      <c r="B133" s="485">
        <v>0</v>
      </c>
      <c r="C133" s="485">
        <v>0</v>
      </c>
      <c r="D133" s="485">
        <v>0</v>
      </c>
      <c r="E133" s="485">
        <v>0</v>
      </c>
      <c r="F133" s="485">
        <v>0</v>
      </c>
      <c r="G133" s="485">
        <v>0</v>
      </c>
      <c r="H133" s="485">
        <v>0</v>
      </c>
      <c r="I133" s="485">
        <v>0</v>
      </c>
      <c r="J133" s="485">
        <v>0</v>
      </c>
      <c r="K133" s="485">
        <v>0</v>
      </c>
      <c r="L133" s="485">
        <v>0</v>
      </c>
      <c r="M133" s="485">
        <v>0</v>
      </c>
      <c r="N133" s="19">
        <f t="shared" si="21"/>
        <v>0</v>
      </c>
    </row>
    <row r="134" spans="1:14">
      <c r="A134" s="53" t="s">
        <v>30</v>
      </c>
      <c r="B134" s="485">
        <v>0</v>
      </c>
      <c r="C134" s="485">
        <v>0</v>
      </c>
      <c r="D134" s="485">
        <v>0</v>
      </c>
      <c r="E134" s="485">
        <v>0</v>
      </c>
      <c r="F134" s="485">
        <v>0</v>
      </c>
      <c r="G134" s="485">
        <v>0</v>
      </c>
      <c r="H134" s="485">
        <v>0</v>
      </c>
      <c r="I134" s="485">
        <v>0</v>
      </c>
      <c r="J134" s="485">
        <v>0</v>
      </c>
      <c r="K134" s="485">
        <v>0</v>
      </c>
      <c r="L134" s="485">
        <v>0</v>
      </c>
      <c r="M134" s="485">
        <v>0</v>
      </c>
      <c r="N134" s="19">
        <f t="shared" si="21"/>
        <v>0</v>
      </c>
    </row>
    <row r="135" spans="1:14">
      <c r="A135" s="53" t="s">
        <v>108</v>
      </c>
      <c r="B135" s="485">
        <v>0</v>
      </c>
      <c r="C135" s="485">
        <v>0</v>
      </c>
      <c r="D135" s="485">
        <v>0</v>
      </c>
      <c r="E135" s="485">
        <v>0</v>
      </c>
      <c r="F135" s="485">
        <v>0</v>
      </c>
      <c r="G135" s="485">
        <v>0</v>
      </c>
      <c r="H135" s="485">
        <v>0</v>
      </c>
      <c r="I135" s="485">
        <v>0</v>
      </c>
      <c r="J135" s="485">
        <v>0</v>
      </c>
      <c r="K135" s="485">
        <v>0</v>
      </c>
      <c r="L135" s="485">
        <v>0</v>
      </c>
      <c r="M135" s="485">
        <v>0</v>
      </c>
      <c r="N135" s="19">
        <f t="shared" si="21"/>
        <v>0</v>
      </c>
    </row>
    <row r="136" spans="1:14">
      <c r="A136" s="24" t="s">
        <v>56</v>
      </c>
      <c r="B136" s="485">
        <v>0</v>
      </c>
      <c r="C136" s="485">
        <v>0</v>
      </c>
      <c r="D136" s="485">
        <v>0</v>
      </c>
      <c r="E136" s="485">
        <v>0</v>
      </c>
      <c r="F136" s="485">
        <v>0</v>
      </c>
      <c r="G136" s="485">
        <v>0</v>
      </c>
      <c r="H136" s="485">
        <v>0</v>
      </c>
      <c r="I136" s="485">
        <v>0</v>
      </c>
      <c r="J136" s="485">
        <v>0</v>
      </c>
      <c r="K136" s="485">
        <v>0</v>
      </c>
      <c r="L136" s="485">
        <v>0</v>
      </c>
      <c r="M136" s="485">
        <v>0</v>
      </c>
      <c r="N136" s="19">
        <f>SUM(B136:M136)</f>
        <v>0</v>
      </c>
    </row>
    <row r="137" spans="1:14">
      <c r="A137" s="54" t="s">
        <v>89</v>
      </c>
      <c r="B137" s="485">
        <v>0</v>
      </c>
      <c r="C137" s="485">
        <v>0</v>
      </c>
      <c r="D137" s="485">
        <v>0</v>
      </c>
      <c r="E137" s="485">
        <v>0</v>
      </c>
      <c r="F137" s="485">
        <v>0</v>
      </c>
      <c r="G137" s="485">
        <v>0</v>
      </c>
      <c r="H137" s="485">
        <v>0</v>
      </c>
      <c r="I137" s="485">
        <v>0</v>
      </c>
      <c r="J137" s="485">
        <v>0</v>
      </c>
      <c r="K137" s="485">
        <v>0</v>
      </c>
      <c r="L137" s="485">
        <v>0</v>
      </c>
      <c r="M137" s="485">
        <v>0</v>
      </c>
      <c r="N137" s="19">
        <f>SUM(B137:M137)</f>
        <v>0</v>
      </c>
    </row>
    <row r="138" spans="1:14">
      <c r="A138" s="24" t="s">
        <v>83</v>
      </c>
      <c r="B138" s="485">
        <v>0</v>
      </c>
      <c r="C138" s="485">
        <v>0</v>
      </c>
      <c r="D138" s="485">
        <v>0</v>
      </c>
      <c r="E138" s="485">
        <v>0</v>
      </c>
      <c r="F138" s="485">
        <v>0</v>
      </c>
      <c r="G138" s="485">
        <v>0</v>
      </c>
      <c r="H138" s="485">
        <v>0</v>
      </c>
      <c r="I138" s="485">
        <v>0</v>
      </c>
      <c r="J138" s="485">
        <v>0</v>
      </c>
      <c r="K138" s="485">
        <v>0</v>
      </c>
      <c r="L138" s="485">
        <v>0</v>
      </c>
      <c r="M138" s="485">
        <v>0</v>
      </c>
      <c r="N138" s="19">
        <f>SUM(B138:M138)</f>
        <v>0</v>
      </c>
    </row>
    <row r="139" spans="1:14" ht="14" thickBot="1">
      <c r="A139" s="54" t="s">
        <v>115</v>
      </c>
      <c r="B139" s="485">
        <v>0</v>
      </c>
      <c r="C139" s="485">
        <v>0</v>
      </c>
      <c r="D139" s="485">
        <v>0</v>
      </c>
      <c r="E139" s="485">
        <v>0</v>
      </c>
      <c r="F139" s="485">
        <v>0</v>
      </c>
      <c r="G139" s="485">
        <v>0</v>
      </c>
      <c r="H139" s="485">
        <v>0</v>
      </c>
      <c r="I139" s="485">
        <v>0</v>
      </c>
      <c r="J139" s="485">
        <v>0</v>
      </c>
      <c r="K139" s="485">
        <v>0</v>
      </c>
      <c r="L139" s="485">
        <v>0</v>
      </c>
      <c r="M139" s="485">
        <v>0</v>
      </c>
      <c r="N139" s="19">
        <f>SUM(B139:M139)</f>
        <v>0</v>
      </c>
    </row>
    <row r="140" spans="1:14" ht="14" thickBot="1">
      <c r="A140" s="40" t="s">
        <v>60</v>
      </c>
      <c r="B140" s="42">
        <f>SUM(B129:B139)</f>
        <v>0</v>
      </c>
      <c r="C140" s="42">
        <f t="shared" ref="C140:M140" si="22">SUM(C129:C139)</f>
        <v>0</v>
      </c>
      <c r="D140" s="42">
        <f t="shared" si="22"/>
        <v>0</v>
      </c>
      <c r="E140" s="42">
        <f t="shared" si="22"/>
        <v>1</v>
      </c>
      <c r="F140" s="42">
        <f t="shared" si="22"/>
        <v>0</v>
      </c>
      <c r="G140" s="42">
        <f t="shared" si="22"/>
        <v>87</v>
      </c>
      <c r="H140" s="42">
        <f t="shared" si="22"/>
        <v>23</v>
      </c>
      <c r="I140" s="42">
        <f t="shared" si="22"/>
        <v>0</v>
      </c>
      <c r="J140" s="42">
        <f t="shared" si="22"/>
        <v>0</v>
      </c>
      <c r="K140" s="42">
        <f t="shared" si="22"/>
        <v>0</v>
      </c>
      <c r="L140" s="42">
        <f t="shared" si="22"/>
        <v>0</v>
      </c>
      <c r="M140" s="42">
        <f t="shared" si="22"/>
        <v>0</v>
      </c>
      <c r="N140" s="41">
        <f>SUM(N129:N139)</f>
        <v>111</v>
      </c>
    </row>
    <row r="143" spans="1:14" ht="14" thickBot="1">
      <c r="B143" s="35" t="s">
        <v>35</v>
      </c>
      <c r="C143" s="35" t="s">
        <v>36</v>
      </c>
      <c r="D143" s="35" t="s">
        <v>37</v>
      </c>
      <c r="E143" s="35" t="s">
        <v>38</v>
      </c>
      <c r="F143" s="35" t="s">
        <v>39</v>
      </c>
      <c r="G143" s="35" t="s">
        <v>40</v>
      </c>
      <c r="H143" s="35" t="s">
        <v>41</v>
      </c>
      <c r="I143" s="35" t="s">
        <v>42</v>
      </c>
      <c r="J143" s="35" t="s">
        <v>43</v>
      </c>
      <c r="K143" s="35" t="s">
        <v>44</v>
      </c>
      <c r="L143" s="35" t="s">
        <v>45</v>
      </c>
      <c r="M143" s="35" t="s">
        <v>46</v>
      </c>
      <c r="N143" s="35" t="s">
        <v>10</v>
      </c>
    </row>
    <row r="144" spans="1:14" ht="17" thickBot="1">
      <c r="A144" s="23" t="s">
        <v>119</v>
      </c>
      <c r="B144" s="16"/>
      <c r="C144" s="16"/>
      <c r="D144" s="15"/>
      <c r="E144" s="15"/>
      <c r="F144" s="17"/>
      <c r="G144" s="17"/>
      <c r="H144" s="15"/>
      <c r="I144" s="15"/>
      <c r="J144" s="15"/>
      <c r="K144" s="15"/>
      <c r="L144" s="16"/>
      <c r="M144" s="16"/>
      <c r="N144" s="18"/>
    </row>
    <row r="145" spans="1:14" ht="14" thickBot="1">
      <c r="A145" s="30" t="s">
        <v>48</v>
      </c>
      <c r="B145" s="31"/>
      <c r="C145" s="31"/>
      <c r="D145" s="31"/>
      <c r="E145" s="31"/>
      <c r="F145" s="31"/>
      <c r="G145" s="31"/>
      <c r="H145" s="31"/>
      <c r="I145" s="31"/>
      <c r="J145" s="31"/>
      <c r="K145" s="31"/>
      <c r="L145" s="31"/>
      <c r="M145" s="31"/>
      <c r="N145" s="32"/>
    </row>
    <row r="146" spans="1:14" hidden="1">
      <c r="A146" s="24" t="s">
        <v>29</v>
      </c>
      <c r="B146" s="36"/>
      <c r="C146" s="36"/>
      <c r="D146" s="36"/>
      <c r="E146" s="36"/>
      <c r="F146" s="36"/>
      <c r="G146" s="36"/>
      <c r="H146" s="36"/>
      <c r="I146" s="36"/>
      <c r="J146" s="36"/>
      <c r="K146" s="36"/>
      <c r="L146" s="36"/>
      <c r="M146" s="36"/>
      <c r="N146" s="19">
        <f t="shared" ref="N146:N152" si="23">SUM(B146:M146)</f>
        <v>0</v>
      </c>
    </row>
    <row r="147" spans="1:14">
      <c r="A147" s="24" t="s">
        <v>33</v>
      </c>
      <c r="B147" s="485">
        <v>3</v>
      </c>
      <c r="C147" s="485">
        <v>4</v>
      </c>
      <c r="D147" s="485">
        <v>10</v>
      </c>
      <c r="E147" s="485">
        <v>21</v>
      </c>
      <c r="F147" s="485">
        <v>0</v>
      </c>
      <c r="G147" s="485">
        <v>20</v>
      </c>
      <c r="H147" s="485">
        <v>11</v>
      </c>
      <c r="I147" s="485">
        <v>11</v>
      </c>
      <c r="J147" s="485">
        <v>12</v>
      </c>
      <c r="K147" s="485">
        <v>14</v>
      </c>
      <c r="L147" s="485">
        <v>7</v>
      </c>
      <c r="M147" s="485">
        <v>13</v>
      </c>
      <c r="N147" s="19">
        <f t="shared" si="23"/>
        <v>126</v>
      </c>
    </row>
    <row r="148" spans="1:14">
      <c r="A148" s="24" t="s">
        <v>56</v>
      </c>
      <c r="B148" s="485">
        <v>0</v>
      </c>
      <c r="C148" s="485">
        <v>0</v>
      </c>
      <c r="D148" s="485">
        <v>0</v>
      </c>
      <c r="E148" s="485">
        <v>0</v>
      </c>
      <c r="F148" s="485">
        <v>0</v>
      </c>
      <c r="G148" s="485">
        <v>0</v>
      </c>
      <c r="H148" s="485">
        <v>0</v>
      </c>
      <c r="I148" s="485">
        <v>0</v>
      </c>
      <c r="J148" s="485">
        <v>0</v>
      </c>
      <c r="K148" s="485">
        <v>0</v>
      </c>
      <c r="L148" s="485">
        <v>0</v>
      </c>
      <c r="M148" s="485">
        <v>0</v>
      </c>
      <c r="N148" s="19">
        <f t="shared" si="23"/>
        <v>0</v>
      </c>
    </row>
    <row r="149" spans="1:14">
      <c r="A149" s="54" t="s">
        <v>30</v>
      </c>
      <c r="B149" s="485">
        <v>0</v>
      </c>
      <c r="C149" s="485">
        <v>1</v>
      </c>
      <c r="D149" s="485">
        <v>0</v>
      </c>
      <c r="E149" s="485">
        <v>0</v>
      </c>
      <c r="F149" s="485">
        <v>0</v>
      </c>
      <c r="G149" s="485">
        <v>0</v>
      </c>
      <c r="H149" s="485">
        <v>0</v>
      </c>
      <c r="I149" s="485">
        <v>0</v>
      </c>
      <c r="J149" s="485">
        <v>1</v>
      </c>
      <c r="K149" s="485">
        <v>0</v>
      </c>
      <c r="L149" s="485">
        <v>0</v>
      </c>
      <c r="M149" s="485">
        <v>0</v>
      </c>
      <c r="N149" s="19">
        <f t="shared" si="23"/>
        <v>2</v>
      </c>
    </row>
    <row r="150" spans="1:14" hidden="1">
      <c r="A150" s="53" t="s">
        <v>123</v>
      </c>
      <c r="B150" s="485"/>
      <c r="C150" s="485"/>
      <c r="D150" s="485"/>
      <c r="E150" s="485"/>
      <c r="F150" s="485"/>
      <c r="G150" s="485"/>
      <c r="H150" s="485"/>
      <c r="I150" s="485"/>
      <c r="J150" s="485"/>
      <c r="K150" s="485"/>
      <c r="L150" s="485"/>
      <c r="M150" s="485"/>
      <c r="N150" s="19">
        <f t="shared" si="23"/>
        <v>0</v>
      </c>
    </row>
    <row r="151" spans="1:14">
      <c r="A151" s="53" t="s">
        <v>113</v>
      </c>
      <c r="B151" s="485">
        <v>0</v>
      </c>
      <c r="C151" s="485">
        <v>0</v>
      </c>
      <c r="D151" s="485">
        <v>0</v>
      </c>
      <c r="E151" s="485">
        <v>0</v>
      </c>
      <c r="F151" s="485">
        <v>0</v>
      </c>
      <c r="G151" s="485">
        <v>0</v>
      </c>
      <c r="H151" s="485">
        <v>0</v>
      </c>
      <c r="I151" s="485">
        <v>0</v>
      </c>
      <c r="J151" s="485">
        <v>0</v>
      </c>
      <c r="K151" s="485">
        <v>0</v>
      </c>
      <c r="L151" s="485">
        <v>0</v>
      </c>
      <c r="M151" s="485">
        <v>1103</v>
      </c>
      <c r="N151" s="19">
        <v>1103</v>
      </c>
    </row>
    <row r="152" spans="1:14" ht="14" thickBot="1">
      <c r="A152" s="53" t="s">
        <v>114</v>
      </c>
      <c r="B152" s="485">
        <v>0</v>
      </c>
      <c r="C152" s="485">
        <v>0</v>
      </c>
      <c r="D152" s="485">
        <v>0</v>
      </c>
      <c r="E152" s="485">
        <v>0</v>
      </c>
      <c r="F152" s="485">
        <v>0</v>
      </c>
      <c r="G152" s="485">
        <v>0</v>
      </c>
      <c r="H152" s="485">
        <v>0</v>
      </c>
      <c r="I152" s="485">
        <v>0</v>
      </c>
      <c r="J152" s="485">
        <v>0</v>
      </c>
      <c r="K152" s="485">
        <v>0</v>
      </c>
      <c r="L152" s="485">
        <v>0</v>
      </c>
      <c r="M152" s="485">
        <v>0</v>
      </c>
      <c r="N152" s="19">
        <f t="shared" si="23"/>
        <v>0</v>
      </c>
    </row>
    <row r="153" spans="1:14" ht="14" thickBot="1">
      <c r="A153" s="40" t="s">
        <v>60</v>
      </c>
      <c r="B153" s="42">
        <f>SUM(B146:B152)</f>
        <v>3</v>
      </c>
      <c r="C153" s="42">
        <f t="shared" ref="C153:M153" si="24">SUM(C146:C152)</f>
        <v>5</v>
      </c>
      <c r="D153" s="42">
        <f t="shared" si="24"/>
        <v>10</v>
      </c>
      <c r="E153" s="42">
        <f t="shared" si="24"/>
        <v>21</v>
      </c>
      <c r="F153" s="42">
        <f t="shared" si="24"/>
        <v>0</v>
      </c>
      <c r="G153" s="42">
        <f t="shared" si="24"/>
        <v>20</v>
      </c>
      <c r="H153" s="42">
        <f t="shared" si="24"/>
        <v>11</v>
      </c>
      <c r="I153" s="42">
        <f t="shared" si="24"/>
        <v>11</v>
      </c>
      <c r="J153" s="42">
        <f t="shared" si="24"/>
        <v>13</v>
      </c>
      <c r="K153" s="42">
        <f t="shared" si="24"/>
        <v>14</v>
      </c>
      <c r="L153" s="42">
        <f t="shared" si="24"/>
        <v>7</v>
      </c>
      <c r="M153" s="42">
        <f t="shared" si="24"/>
        <v>1116</v>
      </c>
      <c r="N153" s="41">
        <f>SUM(N146:N152)</f>
        <v>1231</v>
      </c>
    </row>
    <row r="154" spans="1:14" ht="14" thickBot="1">
      <c r="A154" s="30" t="s">
        <v>49</v>
      </c>
      <c r="B154" s="31"/>
      <c r="C154" s="31"/>
      <c r="D154" s="31"/>
      <c r="E154" s="31"/>
      <c r="F154" s="31"/>
      <c r="G154" s="31"/>
      <c r="H154" s="31"/>
      <c r="I154" s="31"/>
      <c r="J154" s="31"/>
      <c r="K154" s="31"/>
      <c r="L154" s="31"/>
      <c r="M154" s="31"/>
      <c r="N154" s="32"/>
    </row>
    <row r="155" spans="1:14">
      <c r="A155" s="53" t="s">
        <v>105</v>
      </c>
      <c r="B155" s="485">
        <v>0</v>
      </c>
      <c r="C155" s="485">
        <v>0</v>
      </c>
      <c r="D155" s="485">
        <v>0</v>
      </c>
      <c r="E155" s="485">
        <v>0</v>
      </c>
      <c r="F155" s="485">
        <v>0</v>
      </c>
      <c r="G155" s="485">
        <v>0</v>
      </c>
      <c r="H155" s="485">
        <v>0</v>
      </c>
      <c r="I155" s="485">
        <v>0</v>
      </c>
      <c r="J155" s="485">
        <v>0</v>
      </c>
      <c r="K155" s="485">
        <v>0</v>
      </c>
      <c r="L155" s="485">
        <v>0</v>
      </c>
      <c r="M155" s="485">
        <v>2</v>
      </c>
      <c r="N155" s="19">
        <v>2</v>
      </c>
    </row>
    <row r="156" spans="1:14" ht="14" thickBot="1">
      <c r="A156" s="53" t="s">
        <v>120</v>
      </c>
      <c r="B156" s="485">
        <v>0</v>
      </c>
      <c r="C156" s="485">
        <v>0</v>
      </c>
      <c r="D156" s="485">
        <v>0</v>
      </c>
      <c r="E156" s="485">
        <v>0</v>
      </c>
      <c r="F156" s="485">
        <v>0</v>
      </c>
      <c r="G156" s="485">
        <v>0</v>
      </c>
      <c r="H156" s="485">
        <v>0</v>
      </c>
      <c r="I156" s="485">
        <v>0</v>
      </c>
      <c r="J156" s="485">
        <v>0</v>
      </c>
      <c r="K156" s="485">
        <v>0</v>
      </c>
      <c r="L156" s="485">
        <v>0</v>
      </c>
      <c r="M156" s="485">
        <v>82</v>
      </c>
      <c r="N156" s="19">
        <v>82</v>
      </c>
    </row>
    <row r="157" spans="1:14" ht="14" thickBot="1">
      <c r="A157" s="40" t="s">
        <v>60</v>
      </c>
      <c r="B157" s="42">
        <f>SUM(B155)</f>
        <v>0</v>
      </c>
      <c r="C157" s="42">
        <f t="shared" ref="C157:M157" si="25">SUM(C155)</f>
        <v>0</v>
      </c>
      <c r="D157" s="42">
        <f t="shared" si="25"/>
        <v>0</v>
      </c>
      <c r="E157" s="42">
        <f t="shared" si="25"/>
        <v>0</v>
      </c>
      <c r="F157" s="42">
        <f t="shared" si="25"/>
        <v>0</v>
      </c>
      <c r="G157" s="42">
        <f t="shared" si="25"/>
        <v>0</v>
      </c>
      <c r="H157" s="42">
        <f t="shared" si="25"/>
        <v>0</v>
      </c>
      <c r="I157" s="42">
        <f t="shared" si="25"/>
        <v>0</v>
      </c>
      <c r="J157" s="42">
        <f t="shared" si="25"/>
        <v>0</v>
      </c>
      <c r="K157" s="42">
        <f t="shared" si="25"/>
        <v>0</v>
      </c>
      <c r="L157" s="42">
        <f t="shared" si="25"/>
        <v>0</v>
      </c>
      <c r="M157" s="42">
        <f t="shared" si="25"/>
        <v>2</v>
      </c>
      <c r="N157" s="41">
        <f>SUM(N155:N156)</f>
        <v>84</v>
      </c>
    </row>
    <row r="158" spans="1:14" ht="14" thickBot="1">
      <c r="A158" s="30" t="s">
        <v>50</v>
      </c>
      <c r="B158" s="31"/>
      <c r="C158" s="31"/>
      <c r="D158" s="31"/>
      <c r="E158" s="31"/>
      <c r="F158" s="31"/>
      <c r="G158" s="31"/>
      <c r="H158" s="31"/>
      <c r="I158" s="31"/>
      <c r="J158" s="31"/>
      <c r="K158" s="31"/>
      <c r="L158" s="31"/>
      <c r="M158" s="31"/>
      <c r="N158" s="32"/>
    </row>
    <row r="159" spans="1:14">
      <c r="A159" s="24" t="s">
        <v>29</v>
      </c>
      <c r="B159" s="485">
        <v>0</v>
      </c>
      <c r="C159" s="485">
        <v>0</v>
      </c>
      <c r="D159" s="485">
        <v>0</v>
      </c>
      <c r="E159" s="485">
        <v>0</v>
      </c>
      <c r="F159" s="485">
        <v>0</v>
      </c>
      <c r="G159" s="485">
        <v>0</v>
      </c>
      <c r="H159" s="485">
        <v>0</v>
      </c>
      <c r="I159" s="485">
        <v>0</v>
      </c>
      <c r="J159" s="485">
        <v>0</v>
      </c>
      <c r="K159" s="485">
        <v>0</v>
      </c>
      <c r="L159" s="485">
        <v>0</v>
      </c>
      <c r="M159" s="485">
        <v>0</v>
      </c>
      <c r="N159" s="19">
        <f t="shared" ref="N159:N165" si="26">SUM(B159:M159)</f>
        <v>0</v>
      </c>
    </row>
    <row r="160" spans="1:14">
      <c r="A160" s="24" t="s">
        <v>51</v>
      </c>
      <c r="B160" s="485">
        <v>0</v>
      </c>
      <c r="C160" s="485">
        <v>0</v>
      </c>
      <c r="D160" s="485">
        <v>0</v>
      </c>
      <c r="E160" s="485">
        <v>0</v>
      </c>
      <c r="F160" s="485">
        <v>0</v>
      </c>
      <c r="G160" s="485">
        <v>4</v>
      </c>
      <c r="H160" s="485">
        <v>2</v>
      </c>
      <c r="I160" s="485">
        <v>0</v>
      </c>
      <c r="J160" s="485">
        <v>0</v>
      </c>
      <c r="K160" s="485">
        <v>0</v>
      </c>
      <c r="L160" s="485">
        <v>0</v>
      </c>
      <c r="M160" s="485">
        <v>0</v>
      </c>
      <c r="N160" s="19">
        <f t="shared" si="26"/>
        <v>6</v>
      </c>
    </row>
    <row r="161" spans="1:14">
      <c r="A161" s="26" t="s">
        <v>20</v>
      </c>
      <c r="B161" s="485">
        <v>0</v>
      </c>
      <c r="C161" s="485">
        <v>0</v>
      </c>
      <c r="D161" s="485">
        <v>0</v>
      </c>
      <c r="E161" s="485">
        <v>0</v>
      </c>
      <c r="F161" s="485">
        <v>0</v>
      </c>
      <c r="G161" s="485">
        <v>0</v>
      </c>
      <c r="H161" s="485">
        <v>0</v>
      </c>
      <c r="I161" s="485">
        <v>0</v>
      </c>
      <c r="J161" s="485">
        <v>0</v>
      </c>
      <c r="K161" s="485">
        <v>0</v>
      </c>
      <c r="L161" s="485">
        <v>0</v>
      </c>
      <c r="M161" s="485">
        <v>0</v>
      </c>
      <c r="N161" s="19">
        <f t="shared" si="26"/>
        <v>0</v>
      </c>
    </row>
    <row r="162" spans="1:14">
      <c r="A162" s="26" t="s">
        <v>13</v>
      </c>
      <c r="B162" s="485">
        <v>0</v>
      </c>
      <c r="C162" s="485">
        <v>0</v>
      </c>
      <c r="D162" s="485">
        <v>0</v>
      </c>
      <c r="E162" s="485">
        <v>0</v>
      </c>
      <c r="F162" s="485">
        <v>0</v>
      </c>
      <c r="G162" s="485">
        <v>0</v>
      </c>
      <c r="H162" s="485">
        <v>0</v>
      </c>
      <c r="I162" s="485">
        <v>0</v>
      </c>
      <c r="J162" s="485">
        <v>0</v>
      </c>
      <c r="K162" s="485">
        <v>0</v>
      </c>
      <c r="L162" s="485">
        <v>0</v>
      </c>
      <c r="M162" s="485">
        <v>0</v>
      </c>
      <c r="N162" s="19">
        <f t="shared" si="26"/>
        <v>0</v>
      </c>
    </row>
    <row r="163" spans="1:14" hidden="1">
      <c r="A163" s="27" t="s">
        <v>47</v>
      </c>
      <c r="B163" s="485">
        <v>0</v>
      </c>
      <c r="C163" s="485">
        <v>0</v>
      </c>
      <c r="D163" s="485">
        <v>0</v>
      </c>
      <c r="E163" s="485">
        <v>0</v>
      </c>
      <c r="F163" s="485">
        <v>0</v>
      </c>
      <c r="G163" s="485">
        <v>0</v>
      </c>
      <c r="H163" s="485">
        <v>0</v>
      </c>
      <c r="I163" s="485">
        <v>0</v>
      </c>
      <c r="J163" s="485">
        <v>0</v>
      </c>
      <c r="K163" s="485">
        <v>0</v>
      </c>
      <c r="L163" s="485">
        <v>0</v>
      </c>
      <c r="M163" s="485">
        <v>0</v>
      </c>
      <c r="N163" s="19">
        <f t="shared" si="26"/>
        <v>0</v>
      </c>
    </row>
    <row r="164" spans="1:14">
      <c r="A164" s="53" t="s">
        <v>30</v>
      </c>
      <c r="B164" s="485">
        <v>0</v>
      </c>
      <c r="C164" s="485">
        <v>0</v>
      </c>
      <c r="D164" s="485">
        <v>0</v>
      </c>
      <c r="E164" s="485">
        <v>0</v>
      </c>
      <c r="F164" s="485">
        <v>0</v>
      </c>
      <c r="G164" s="485">
        <v>0</v>
      </c>
      <c r="H164" s="485">
        <v>0</v>
      </c>
      <c r="I164" s="485">
        <v>0</v>
      </c>
      <c r="J164" s="485">
        <v>0</v>
      </c>
      <c r="K164" s="485">
        <v>0</v>
      </c>
      <c r="L164" s="485">
        <v>0</v>
      </c>
      <c r="M164" s="485">
        <v>0</v>
      </c>
      <c r="N164" s="19">
        <f t="shared" si="26"/>
        <v>0</v>
      </c>
    </row>
    <row r="165" spans="1:14" ht="12.75" hidden="1" customHeight="1">
      <c r="A165" s="53" t="s">
        <v>108</v>
      </c>
      <c r="B165" s="485">
        <v>0</v>
      </c>
      <c r="C165" s="485">
        <v>0</v>
      </c>
      <c r="D165" s="485">
        <v>0</v>
      </c>
      <c r="E165" s="485">
        <v>0</v>
      </c>
      <c r="F165" s="485">
        <v>0</v>
      </c>
      <c r="G165" s="485">
        <v>0</v>
      </c>
      <c r="H165" s="485">
        <v>0</v>
      </c>
      <c r="I165" s="485">
        <v>0</v>
      </c>
      <c r="J165" s="485">
        <v>0</v>
      </c>
      <c r="K165" s="485">
        <v>0</v>
      </c>
      <c r="L165" s="485">
        <v>0</v>
      </c>
      <c r="M165" s="485">
        <v>0</v>
      </c>
      <c r="N165" s="19">
        <f t="shared" si="26"/>
        <v>0</v>
      </c>
    </row>
    <row r="166" spans="1:14">
      <c r="A166" s="24" t="s">
        <v>56</v>
      </c>
      <c r="B166" s="485">
        <v>0</v>
      </c>
      <c r="C166" s="485">
        <v>0</v>
      </c>
      <c r="D166" s="485">
        <v>0</v>
      </c>
      <c r="E166" s="485">
        <v>0</v>
      </c>
      <c r="F166" s="485">
        <v>0</v>
      </c>
      <c r="G166" s="485">
        <v>0</v>
      </c>
      <c r="H166" s="485">
        <v>0</v>
      </c>
      <c r="I166" s="485">
        <v>0</v>
      </c>
      <c r="J166" s="485">
        <v>0</v>
      </c>
      <c r="K166" s="485">
        <v>0</v>
      </c>
      <c r="L166" s="485">
        <v>0</v>
      </c>
      <c r="M166" s="485">
        <v>0</v>
      </c>
      <c r="N166" s="19">
        <f>SUM(B166:M166)</f>
        <v>0</v>
      </c>
    </row>
    <row r="167" spans="1:14">
      <c r="A167" s="54" t="s">
        <v>89</v>
      </c>
      <c r="B167" s="485">
        <v>0</v>
      </c>
      <c r="C167" s="485">
        <v>0</v>
      </c>
      <c r="D167" s="485">
        <v>0</v>
      </c>
      <c r="E167" s="485">
        <v>0</v>
      </c>
      <c r="F167" s="485">
        <v>0</v>
      </c>
      <c r="G167" s="485">
        <v>0</v>
      </c>
      <c r="H167" s="485">
        <v>0</v>
      </c>
      <c r="I167" s="485">
        <v>0</v>
      </c>
      <c r="J167" s="485">
        <v>0</v>
      </c>
      <c r="K167" s="485">
        <v>0</v>
      </c>
      <c r="L167" s="485">
        <v>0</v>
      </c>
      <c r="M167" s="485">
        <v>0</v>
      </c>
      <c r="N167" s="19">
        <f>SUM(B167:M167)</f>
        <v>0</v>
      </c>
    </row>
    <row r="168" spans="1:14" ht="14" hidden="1" thickBot="1">
      <c r="A168" s="24" t="s">
        <v>83</v>
      </c>
      <c r="B168" s="485">
        <v>0</v>
      </c>
      <c r="C168" s="485">
        <v>0</v>
      </c>
      <c r="D168" s="485">
        <v>0</v>
      </c>
      <c r="E168" s="485">
        <v>0</v>
      </c>
      <c r="F168" s="485">
        <v>0</v>
      </c>
      <c r="G168" s="485">
        <v>0</v>
      </c>
      <c r="H168" s="485">
        <v>0</v>
      </c>
      <c r="I168" s="485">
        <v>0</v>
      </c>
      <c r="J168" s="485">
        <v>0</v>
      </c>
      <c r="K168" s="485">
        <v>0</v>
      </c>
      <c r="L168" s="485">
        <v>0</v>
      </c>
      <c r="M168" s="485">
        <v>0</v>
      </c>
      <c r="N168" s="19">
        <f>SUM(B168:M168)</f>
        <v>0</v>
      </c>
    </row>
    <row r="169" spans="1:14">
      <c r="A169" s="54" t="s">
        <v>115</v>
      </c>
      <c r="B169" s="485">
        <v>0</v>
      </c>
      <c r="C169" s="485">
        <v>0</v>
      </c>
      <c r="D169" s="485">
        <v>0</v>
      </c>
      <c r="E169" s="485">
        <v>0</v>
      </c>
      <c r="F169" s="485">
        <v>0</v>
      </c>
      <c r="G169" s="485">
        <v>0</v>
      </c>
      <c r="H169" s="485">
        <v>0</v>
      </c>
      <c r="I169" s="485">
        <v>0</v>
      </c>
      <c r="J169" s="485">
        <v>0</v>
      </c>
      <c r="K169" s="485">
        <v>0</v>
      </c>
      <c r="L169" s="485">
        <v>0</v>
      </c>
      <c r="M169" s="485">
        <v>0</v>
      </c>
      <c r="N169" s="19">
        <f>SUM(B169:M169)</f>
        <v>0</v>
      </c>
    </row>
    <row r="170" spans="1:14">
      <c r="A170" s="24" t="s">
        <v>113</v>
      </c>
      <c r="B170" s="485">
        <v>0</v>
      </c>
      <c r="C170" s="485">
        <v>0</v>
      </c>
      <c r="D170" s="485">
        <v>0</v>
      </c>
      <c r="E170" s="485">
        <v>0</v>
      </c>
      <c r="F170" s="485">
        <v>0</v>
      </c>
      <c r="G170" s="485">
        <v>0</v>
      </c>
      <c r="H170" s="485">
        <v>0</v>
      </c>
      <c r="I170" s="485">
        <v>0</v>
      </c>
      <c r="J170" s="485">
        <v>0</v>
      </c>
      <c r="K170" s="485">
        <v>0</v>
      </c>
      <c r="L170" s="485">
        <v>0</v>
      </c>
      <c r="M170" s="485">
        <v>1855</v>
      </c>
      <c r="N170" s="19">
        <v>1855</v>
      </c>
    </row>
    <row r="171" spans="1:14" ht="14" thickBot="1">
      <c r="A171" s="54" t="s">
        <v>124</v>
      </c>
      <c r="B171" s="485">
        <v>0</v>
      </c>
      <c r="C171" s="485">
        <v>0</v>
      </c>
      <c r="D171" s="485">
        <v>0</v>
      </c>
      <c r="E171" s="485">
        <v>0</v>
      </c>
      <c r="F171" s="485">
        <v>0</v>
      </c>
      <c r="G171" s="485">
        <v>0</v>
      </c>
      <c r="H171" s="485">
        <v>0</v>
      </c>
      <c r="I171" s="485">
        <v>0</v>
      </c>
      <c r="J171" s="485">
        <v>0</v>
      </c>
      <c r="K171" s="485">
        <v>0</v>
      </c>
      <c r="L171" s="485">
        <v>0</v>
      </c>
      <c r="M171" s="485">
        <v>0</v>
      </c>
      <c r="N171" s="19">
        <f>SUM(B171:M171)</f>
        <v>0</v>
      </c>
    </row>
    <row r="172" spans="1:14" ht="14" thickBot="1">
      <c r="A172" s="40" t="s">
        <v>60</v>
      </c>
      <c r="B172" s="42">
        <f>SUM(B159:B171)</f>
        <v>0</v>
      </c>
      <c r="C172" s="42">
        <f t="shared" ref="C172:M172" si="27">SUM(C159:C171)</f>
        <v>0</v>
      </c>
      <c r="D172" s="42">
        <f t="shared" si="27"/>
        <v>0</v>
      </c>
      <c r="E172" s="42">
        <f t="shared" si="27"/>
        <v>0</v>
      </c>
      <c r="F172" s="42">
        <f t="shared" si="27"/>
        <v>0</v>
      </c>
      <c r="G172" s="42">
        <f t="shared" si="27"/>
        <v>4</v>
      </c>
      <c r="H172" s="42">
        <f t="shared" si="27"/>
        <v>2</v>
      </c>
      <c r="I172" s="42">
        <f t="shared" si="27"/>
        <v>0</v>
      </c>
      <c r="J172" s="42">
        <f t="shared" si="27"/>
        <v>0</v>
      </c>
      <c r="K172" s="42">
        <f t="shared" si="27"/>
        <v>0</v>
      </c>
      <c r="L172" s="42">
        <f t="shared" si="27"/>
        <v>0</v>
      </c>
      <c r="M172" s="42">
        <f t="shared" si="27"/>
        <v>1855</v>
      </c>
      <c r="N172" s="41">
        <f>SUM(N159:N171)</f>
        <v>1861</v>
      </c>
    </row>
    <row r="175" spans="1:14" ht="14" thickBot="1">
      <c r="B175" s="35" t="s">
        <v>35</v>
      </c>
      <c r="C175" s="35" t="s">
        <v>36</v>
      </c>
      <c r="D175" s="35" t="s">
        <v>37</v>
      </c>
      <c r="E175" s="35" t="s">
        <v>38</v>
      </c>
      <c r="F175" s="35" t="s">
        <v>39</v>
      </c>
      <c r="G175" s="35" t="s">
        <v>40</v>
      </c>
      <c r="H175" s="35" t="s">
        <v>41</v>
      </c>
      <c r="I175" s="35" t="s">
        <v>42</v>
      </c>
      <c r="J175" s="35" t="s">
        <v>43</v>
      </c>
      <c r="K175" s="35" t="s">
        <v>44</v>
      </c>
      <c r="L175" s="35" t="s">
        <v>45</v>
      </c>
      <c r="M175" s="35" t="s">
        <v>46</v>
      </c>
      <c r="N175" s="35" t="s">
        <v>10</v>
      </c>
    </row>
    <row r="176" spans="1:14" ht="17" thickBot="1">
      <c r="A176" s="23" t="s">
        <v>126</v>
      </c>
      <c r="B176" s="16"/>
      <c r="C176" s="16"/>
      <c r="D176" s="15"/>
      <c r="E176" s="15"/>
      <c r="F176" s="17"/>
      <c r="G176" s="17"/>
      <c r="H176" s="15"/>
      <c r="I176" s="15"/>
      <c r="J176" s="15"/>
      <c r="K176" s="15"/>
      <c r="L176" s="16"/>
      <c r="M176" s="16"/>
      <c r="N176" s="18"/>
    </row>
    <row r="177" spans="1:14" ht="14" thickBot="1">
      <c r="A177" s="30" t="str">
        <f>Ontario!A177</f>
        <v>SoCal Water$mart Residential Rebates</v>
      </c>
      <c r="B177" s="31"/>
      <c r="C177" s="31"/>
      <c r="D177" s="31"/>
      <c r="E177" s="31"/>
      <c r="F177" s="31"/>
      <c r="G177" s="31"/>
      <c r="H177" s="31"/>
      <c r="I177" s="31"/>
      <c r="J177" s="31"/>
      <c r="K177" s="31"/>
      <c r="L177" s="31"/>
      <c r="M177" s="31"/>
      <c r="N177" s="32"/>
    </row>
    <row r="178" spans="1:14">
      <c r="A178" s="24" t="str">
        <f>Ontario!A178</f>
        <v>High Efficiency Toilets (HET)</v>
      </c>
      <c r="B178" s="485">
        <v>0</v>
      </c>
      <c r="C178" s="485">
        <v>0</v>
      </c>
      <c r="D178" s="485">
        <v>0</v>
      </c>
      <c r="E178" s="485">
        <v>0</v>
      </c>
      <c r="F178" s="485">
        <v>0</v>
      </c>
      <c r="G178" s="485">
        <v>0</v>
      </c>
      <c r="H178" s="485">
        <v>0</v>
      </c>
      <c r="I178" s="485">
        <v>0</v>
      </c>
      <c r="J178" s="485">
        <v>0</v>
      </c>
      <c r="K178" s="485">
        <v>0</v>
      </c>
      <c r="L178" s="485">
        <v>0</v>
      </c>
      <c r="M178" s="485">
        <v>3</v>
      </c>
      <c r="N178" s="19">
        <f>SUM(B178:M178)</f>
        <v>3</v>
      </c>
    </row>
    <row r="179" spans="1:14">
      <c r="A179" s="24" t="str">
        <f>Ontario!A179</f>
        <v>High Efficiency Clothes Washers (HECW)</v>
      </c>
      <c r="B179" s="485">
        <v>0</v>
      </c>
      <c r="C179" s="485">
        <v>11</v>
      </c>
      <c r="D179" s="485">
        <v>1</v>
      </c>
      <c r="E179" s="485">
        <v>6</v>
      </c>
      <c r="F179" s="485">
        <v>15</v>
      </c>
      <c r="G179" s="485">
        <v>1</v>
      </c>
      <c r="H179" s="485">
        <v>8</v>
      </c>
      <c r="I179" s="485">
        <v>9</v>
      </c>
      <c r="J179" s="485">
        <v>8</v>
      </c>
      <c r="K179" s="485">
        <v>6</v>
      </c>
      <c r="L179" s="485">
        <v>8</v>
      </c>
      <c r="M179" s="485">
        <v>29</v>
      </c>
      <c r="N179" s="19">
        <f>SUM(B179:M179)</f>
        <v>102</v>
      </c>
    </row>
    <row r="180" spans="1:14">
      <c r="A180" s="24" t="str">
        <f>Ontario!A180</f>
        <v>Rotating Nozzles for Pop-up Spray Heads</v>
      </c>
      <c r="B180" s="485">
        <v>0</v>
      </c>
      <c r="C180" s="485">
        <v>0</v>
      </c>
      <c r="D180" s="485">
        <v>0</v>
      </c>
      <c r="E180" s="485">
        <v>0</v>
      </c>
      <c r="F180" s="485">
        <v>0</v>
      </c>
      <c r="G180" s="485">
        <v>0</v>
      </c>
      <c r="H180" s="485">
        <v>1</v>
      </c>
      <c r="I180" s="485">
        <v>0</v>
      </c>
      <c r="J180" s="485">
        <v>0</v>
      </c>
      <c r="K180" s="485">
        <v>0</v>
      </c>
      <c r="L180" s="485">
        <v>0</v>
      </c>
      <c r="M180" s="485">
        <v>1</v>
      </c>
      <c r="N180" s="19">
        <f>SUM(B180:M180)</f>
        <v>2</v>
      </c>
    </row>
    <row r="181" spans="1:14" ht="14" thickBot="1">
      <c r="A181" s="24" t="str">
        <f>Ontario!A181</f>
        <v>Weather Based Irrigation Controllers (WBIC)</v>
      </c>
      <c r="B181" s="485">
        <v>0</v>
      </c>
      <c r="C181" s="485">
        <v>1</v>
      </c>
      <c r="D181" s="485">
        <v>0</v>
      </c>
      <c r="E181" s="485">
        <v>1</v>
      </c>
      <c r="F181" s="485">
        <v>1</v>
      </c>
      <c r="G181" s="485">
        <v>0</v>
      </c>
      <c r="H181" s="485">
        <v>0</v>
      </c>
      <c r="I181" s="485">
        <v>0</v>
      </c>
      <c r="J181" s="485">
        <v>0</v>
      </c>
      <c r="K181" s="485">
        <v>0</v>
      </c>
      <c r="L181" s="485">
        <v>0</v>
      </c>
      <c r="M181" s="485">
        <v>0</v>
      </c>
      <c r="N181" s="19">
        <f>SUM(B181:M181)</f>
        <v>3</v>
      </c>
    </row>
    <row r="182" spans="1:14" hidden="1">
      <c r="A182" s="53" t="s">
        <v>123</v>
      </c>
      <c r="B182" s="36"/>
      <c r="C182" s="36"/>
      <c r="D182" s="36"/>
      <c r="E182" s="36"/>
      <c r="F182" s="36"/>
      <c r="G182" s="36"/>
      <c r="H182" s="36"/>
      <c r="I182" s="36"/>
      <c r="J182" s="36"/>
      <c r="K182" s="36"/>
      <c r="L182" s="36"/>
      <c r="M182" s="36"/>
      <c r="N182" s="19">
        <f>SUM(B182:M182)</f>
        <v>0</v>
      </c>
    </row>
    <row r="183" spans="1:14" ht="14" thickBot="1">
      <c r="A183" s="30" t="str">
        <f>Ontario!A183</f>
        <v>IEUA Locally Implemented Residential Programs</v>
      </c>
      <c r="B183" s="31"/>
      <c r="C183" s="31"/>
      <c r="D183" s="31"/>
      <c r="E183" s="31"/>
      <c r="F183" s="31"/>
      <c r="G183" s="31"/>
      <c r="H183" s="31"/>
      <c r="I183" s="31"/>
      <c r="J183" s="31"/>
      <c r="K183" s="31"/>
      <c r="L183" s="31"/>
      <c r="M183" s="31"/>
      <c r="N183" s="32"/>
    </row>
    <row r="184" spans="1:14">
      <c r="A184" s="24" t="str">
        <f>Ontario!A184</f>
        <v>FreeSprinklerNozzles.com Program</v>
      </c>
      <c r="B184" s="485">
        <v>0</v>
      </c>
      <c r="C184" s="485">
        <v>0</v>
      </c>
      <c r="D184" s="485">
        <v>0</v>
      </c>
      <c r="E184" s="485">
        <v>0</v>
      </c>
      <c r="F184" s="485">
        <v>0</v>
      </c>
      <c r="G184" s="485">
        <v>0</v>
      </c>
      <c r="H184" s="485">
        <v>0</v>
      </c>
      <c r="I184" s="485">
        <v>0</v>
      </c>
      <c r="J184" s="485">
        <v>0</v>
      </c>
      <c r="K184" s="485">
        <v>0</v>
      </c>
      <c r="L184" s="485">
        <v>0</v>
      </c>
      <c r="M184" s="485">
        <v>748</v>
      </c>
      <c r="N184" s="19">
        <f>SUM(B184:M184)</f>
        <v>748</v>
      </c>
    </row>
    <row r="185" spans="1:14">
      <c r="A185" s="24" t="str">
        <f>Ontario!A185</f>
        <v>Residential Landscape Retrofit Program</v>
      </c>
      <c r="B185" s="485">
        <v>0</v>
      </c>
      <c r="C185" s="485">
        <v>0</v>
      </c>
      <c r="D185" s="485">
        <v>0</v>
      </c>
      <c r="E185" s="485">
        <v>0</v>
      </c>
      <c r="F185" s="485">
        <v>0</v>
      </c>
      <c r="G185" s="485">
        <v>0</v>
      </c>
      <c r="H185" s="485">
        <v>0</v>
      </c>
      <c r="I185" s="485">
        <v>0</v>
      </c>
      <c r="J185" s="485">
        <v>0</v>
      </c>
      <c r="K185" s="485">
        <v>0</v>
      </c>
      <c r="L185" s="485">
        <v>0</v>
      </c>
      <c r="M185" s="485">
        <v>0</v>
      </c>
      <c r="N185" s="19">
        <f>SUM(B185:M185)</f>
        <v>0</v>
      </c>
    </row>
    <row r="186" spans="1:14" ht="14" thickBot="1">
      <c r="A186" s="24" t="str">
        <f>Ontario!A186</f>
        <v>Landscape Transformation Program</v>
      </c>
      <c r="B186" s="485">
        <v>0</v>
      </c>
      <c r="C186" s="485">
        <v>0</v>
      </c>
      <c r="D186" s="485">
        <v>0</v>
      </c>
      <c r="E186" s="485">
        <v>0</v>
      </c>
      <c r="F186" s="485">
        <v>0</v>
      </c>
      <c r="G186" s="485">
        <v>0</v>
      </c>
      <c r="H186" s="485">
        <v>0</v>
      </c>
      <c r="I186" s="485">
        <v>1</v>
      </c>
      <c r="J186" s="485">
        <v>1</v>
      </c>
      <c r="K186" s="485">
        <v>0</v>
      </c>
      <c r="L186" s="485">
        <v>1</v>
      </c>
      <c r="M186" s="485">
        <v>3</v>
      </c>
      <c r="N186" s="19">
        <f>SUM(B186:M186)</f>
        <v>6</v>
      </c>
    </row>
    <row r="187" spans="1:14" ht="14" thickBot="1">
      <c r="A187" s="40" t="s">
        <v>60</v>
      </c>
      <c r="B187" s="42">
        <f>SUM(B178:B186)</f>
        <v>0</v>
      </c>
      <c r="C187" s="42">
        <f t="shared" ref="C187:M187" si="28">SUM(C178:C186)</f>
        <v>12</v>
      </c>
      <c r="D187" s="42">
        <f t="shared" si="28"/>
        <v>1</v>
      </c>
      <c r="E187" s="42">
        <f t="shared" si="28"/>
        <v>7</v>
      </c>
      <c r="F187" s="42">
        <f t="shared" si="28"/>
        <v>16</v>
      </c>
      <c r="G187" s="42">
        <f t="shared" si="28"/>
        <v>1</v>
      </c>
      <c r="H187" s="42">
        <f t="shared" si="28"/>
        <v>9</v>
      </c>
      <c r="I187" s="42">
        <f t="shared" si="28"/>
        <v>10</v>
      </c>
      <c r="J187" s="42">
        <f t="shared" si="28"/>
        <v>9</v>
      </c>
      <c r="K187" s="42">
        <f t="shared" si="28"/>
        <v>6</v>
      </c>
      <c r="L187" s="42">
        <f t="shared" si="28"/>
        <v>9</v>
      </c>
      <c r="M187" s="42">
        <f t="shared" si="28"/>
        <v>784</v>
      </c>
      <c r="N187" s="41">
        <f>SUM(N178:N186)</f>
        <v>864</v>
      </c>
    </row>
    <row r="188" spans="1:14" ht="14" thickBot="1">
      <c r="A188" s="30" t="str">
        <f>Ontario!A188</f>
        <v xml:space="preserve">IEUA High Efficiency Toilet (HET) Installation Prog. </v>
      </c>
      <c r="B188" s="31"/>
      <c r="C188" s="31"/>
      <c r="D188" s="31"/>
      <c r="E188" s="31"/>
      <c r="F188" s="31"/>
      <c r="G188" s="31"/>
      <c r="H188" s="31"/>
      <c r="I188" s="31"/>
      <c r="J188" s="31"/>
      <c r="K188" s="31"/>
      <c r="L188" s="31"/>
      <c r="M188" s="31"/>
      <c r="N188" s="32"/>
    </row>
    <row r="189" spans="1:14">
      <c r="A189" s="24" t="str">
        <f>Ontario!A189</f>
        <v>IEUA Multi-Family Direct Install Prog. (HET/ULFT)</v>
      </c>
      <c r="B189" s="485">
        <v>0</v>
      </c>
      <c r="C189" s="485">
        <v>0</v>
      </c>
      <c r="D189" s="485">
        <v>0</v>
      </c>
      <c r="E189" s="485">
        <v>0</v>
      </c>
      <c r="F189" s="485">
        <v>0</v>
      </c>
      <c r="G189" s="485">
        <v>0</v>
      </c>
      <c r="H189" s="485">
        <v>0</v>
      </c>
      <c r="I189" s="485">
        <v>0</v>
      </c>
      <c r="J189" s="485">
        <v>0</v>
      </c>
      <c r="K189" s="485">
        <v>0</v>
      </c>
      <c r="L189" s="485">
        <v>0</v>
      </c>
      <c r="M189" s="485">
        <v>0</v>
      </c>
      <c r="N189" s="19">
        <f>SUM(B189:M189)</f>
        <v>0</v>
      </c>
    </row>
    <row r="190" spans="1:14" ht="14" thickBot="1">
      <c r="A190" s="24" t="str">
        <f>Ontario!A190</f>
        <v>IEUA Single-Family Direct Install Prog. (HET/ULFT)</v>
      </c>
      <c r="B190" s="485">
        <v>2</v>
      </c>
      <c r="C190" s="485">
        <v>25</v>
      </c>
      <c r="D190" s="485">
        <v>5</v>
      </c>
      <c r="E190" s="485">
        <v>5</v>
      </c>
      <c r="F190" s="485">
        <v>1</v>
      </c>
      <c r="G190" s="485">
        <v>3</v>
      </c>
      <c r="H190" s="485">
        <v>11</v>
      </c>
      <c r="I190" s="485">
        <v>19</v>
      </c>
      <c r="J190" s="485">
        <v>8</v>
      </c>
      <c r="K190" s="485">
        <v>22</v>
      </c>
      <c r="L190" s="485">
        <v>1</v>
      </c>
      <c r="M190" s="485">
        <v>0</v>
      </c>
      <c r="N190" s="19">
        <f>SUM(B190:M190)</f>
        <v>102</v>
      </c>
    </row>
    <row r="191" spans="1:14" ht="14" thickBot="1">
      <c r="A191" s="40" t="s">
        <v>60</v>
      </c>
      <c r="B191" s="42">
        <f>SUM(B189:B190)</f>
        <v>2</v>
      </c>
      <c r="C191" s="42">
        <f t="shared" ref="C191:M191" si="29">SUM(C189:C190)</f>
        <v>25</v>
      </c>
      <c r="D191" s="42">
        <f t="shared" si="29"/>
        <v>5</v>
      </c>
      <c r="E191" s="42">
        <f t="shared" si="29"/>
        <v>5</v>
      </c>
      <c r="F191" s="42">
        <f t="shared" si="29"/>
        <v>1</v>
      </c>
      <c r="G191" s="42">
        <f t="shared" si="29"/>
        <v>3</v>
      </c>
      <c r="H191" s="42">
        <f t="shared" si="29"/>
        <v>11</v>
      </c>
      <c r="I191" s="42">
        <f t="shared" si="29"/>
        <v>19</v>
      </c>
      <c r="J191" s="42">
        <f t="shared" si="29"/>
        <v>8</v>
      </c>
      <c r="K191" s="42">
        <f t="shared" si="29"/>
        <v>22</v>
      </c>
      <c r="L191" s="42">
        <f t="shared" si="29"/>
        <v>1</v>
      </c>
      <c r="M191" s="42">
        <f t="shared" si="29"/>
        <v>0</v>
      </c>
      <c r="N191" s="41">
        <f>SUM(N189:N190)</f>
        <v>102</v>
      </c>
    </row>
    <row r="192" spans="1:14" ht="14" thickBot="1">
      <c r="A192" s="30" t="str">
        <f>Ontario!A192</f>
        <v>SoCal Water$mart Commercial Rebates</v>
      </c>
      <c r="B192" s="31"/>
      <c r="C192" s="31"/>
      <c r="D192" s="31"/>
      <c r="E192" s="31"/>
      <c r="F192" s="31"/>
      <c r="G192" s="31"/>
      <c r="H192" s="31"/>
      <c r="I192" s="31"/>
      <c r="J192" s="31"/>
      <c r="K192" s="31"/>
      <c r="L192" s="31"/>
      <c r="M192" s="31"/>
      <c r="N192" s="32"/>
    </row>
    <row r="193" spans="1:14">
      <c r="A193" s="24" t="str">
        <f>Ontario!A193</f>
        <v>High Efficiency Toilets (HET)</v>
      </c>
      <c r="B193" s="485">
        <v>0</v>
      </c>
      <c r="C193" s="485">
        <v>0</v>
      </c>
      <c r="D193" s="485">
        <v>0</v>
      </c>
      <c r="E193" s="485">
        <v>0</v>
      </c>
      <c r="F193" s="485">
        <v>0</v>
      </c>
      <c r="G193" s="485">
        <v>0</v>
      </c>
      <c r="H193" s="485">
        <v>1</v>
      </c>
      <c r="I193" s="485">
        <v>0</v>
      </c>
      <c r="J193" s="485">
        <v>0</v>
      </c>
      <c r="K193" s="485">
        <v>0</v>
      </c>
      <c r="L193" s="485">
        <v>0</v>
      </c>
      <c r="M193" s="485">
        <v>0</v>
      </c>
      <c r="N193" s="19">
        <f t="shared" ref="N193:N208" si="30">SUM(B193:M193)</f>
        <v>1</v>
      </c>
    </row>
    <row r="194" spans="1:14">
      <c r="A194" s="24" t="str">
        <f>Ontario!A194</f>
        <v>Waterless Urinals</v>
      </c>
      <c r="B194" s="485">
        <v>0</v>
      </c>
      <c r="C194" s="485">
        <v>0</v>
      </c>
      <c r="D194" s="485">
        <v>0</v>
      </c>
      <c r="E194" s="485">
        <v>0</v>
      </c>
      <c r="F194" s="485">
        <v>0</v>
      </c>
      <c r="G194" s="485">
        <v>0</v>
      </c>
      <c r="H194" s="485">
        <v>1</v>
      </c>
      <c r="I194" s="485">
        <v>0</v>
      </c>
      <c r="J194" s="485">
        <v>0</v>
      </c>
      <c r="K194" s="485">
        <v>0</v>
      </c>
      <c r="L194" s="485">
        <v>0</v>
      </c>
      <c r="M194" s="485">
        <v>0</v>
      </c>
      <c r="N194" s="19">
        <f t="shared" si="30"/>
        <v>1</v>
      </c>
    </row>
    <row r="195" spans="1:14">
      <c r="A195" s="24" t="s">
        <v>140</v>
      </c>
      <c r="B195" s="485">
        <v>0</v>
      </c>
      <c r="C195" s="485">
        <v>0</v>
      </c>
      <c r="D195" s="485">
        <v>0</v>
      </c>
      <c r="E195" s="485">
        <v>0</v>
      </c>
      <c r="F195" s="485">
        <v>0</v>
      </c>
      <c r="G195" s="485">
        <v>0</v>
      </c>
      <c r="H195" s="485">
        <v>0</v>
      </c>
      <c r="I195" s="485">
        <v>0</v>
      </c>
      <c r="J195" s="485">
        <v>0</v>
      </c>
      <c r="K195" s="485">
        <v>0</v>
      </c>
      <c r="L195" s="485">
        <v>0</v>
      </c>
      <c r="M195" s="485">
        <v>0</v>
      </c>
      <c r="N195" s="19">
        <f t="shared" si="30"/>
        <v>0</v>
      </c>
    </row>
    <row r="196" spans="1:14">
      <c r="A196" s="24" t="str">
        <f>Ontario!A196</f>
        <v>High Efficiency Clothes Washers</v>
      </c>
      <c r="B196" s="485">
        <v>0</v>
      </c>
      <c r="C196" s="485">
        <v>0</v>
      </c>
      <c r="D196" s="485">
        <v>0</v>
      </c>
      <c r="E196" s="485">
        <v>0</v>
      </c>
      <c r="F196" s="485">
        <v>0</v>
      </c>
      <c r="G196" s="485">
        <v>0</v>
      </c>
      <c r="H196" s="485">
        <v>0</v>
      </c>
      <c r="I196" s="485">
        <v>0</v>
      </c>
      <c r="J196" s="485">
        <v>0</v>
      </c>
      <c r="K196" s="485">
        <v>0</v>
      </c>
      <c r="L196" s="485">
        <v>0</v>
      </c>
      <c r="M196" s="485">
        <v>0</v>
      </c>
      <c r="N196" s="19">
        <f t="shared" si="30"/>
        <v>0</v>
      </c>
    </row>
    <row r="197" spans="1:14" hidden="1">
      <c r="A197" s="27" t="s">
        <v>47</v>
      </c>
      <c r="B197" s="485">
        <v>0</v>
      </c>
      <c r="C197" s="485">
        <v>0</v>
      </c>
      <c r="D197" s="485">
        <v>0</v>
      </c>
      <c r="E197" s="485">
        <v>0</v>
      </c>
      <c r="F197" s="485">
        <v>0</v>
      </c>
      <c r="G197" s="485">
        <v>0</v>
      </c>
      <c r="H197" s="485">
        <v>0</v>
      </c>
      <c r="I197" s="485">
        <v>0</v>
      </c>
      <c r="J197" s="485">
        <v>0</v>
      </c>
      <c r="K197" s="485">
        <v>0</v>
      </c>
      <c r="L197" s="485">
        <v>0</v>
      </c>
      <c r="M197" s="485">
        <v>0</v>
      </c>
      <c r="N197" s="19">
        <f t="shared" si="30"/>
        <v>0</v>
      </c>
    </row>
    <row r="198" spans="1:14">
      <c r="A198" s="24" t="str">
        <f>Ontario!A198</f>
        <v>Weather Based Irrigation Controllers (WBIC)</v>
      </c>
      <c r="B198" s="485">
        <v>0</v>
      </c>
      <c r="C198" s="485">
        <v>0</v>
      </c>
      <c r="D198" s="485">
        <v>0</v>
      </c>
      <c r="E198" s="485">
        <v>0</v>
      </c>
      <c r="F198" s="485">
        <v>0</v>
      </c>
      <c r="G198" s="485">
        <v>0</v>
      </c>
      <c r="H198" s="485">
        <v>0</v>
      </c>
      <c r="I198" s="485">
        <v>0</v>
      </c>
      <c r="J198" s="485">
        <v>0</v>
      </c>
      <c r="K198" s="485">
        <v>0</v>
      </c>
      <c r="L198" s="485">
        <v>0</v>
      </c>
      <c r="M198" s="485">
        <v>0</v>
      </c>
      <c r="N198" s="19">
        <f t="shared" si="30"/>
        <v>0</v>
      </c>
    </row>
    <row r="199" spans="1:14" ht="12.75" hidden="1" customHeight="1">
      <c r="A199" s="53" t="s">
        <v>108</v>
      </c>
      <c r="B199" s="485">
        <v>0</v>
      </c>
      <c r="C199" s="485">
        <v>0</v>
      </c>
      <c r="D199" s="485">
        <v>0</v>
      </c>
      <c r="E199" s="485">
        <v>0</v>
      </c>
      <c r="F199" s="485">
        <v>0</v>
      </c>
      <c r="G199" s="485">
        <v>0</v>
      </c>
      <c r="H199" s="485">
        <v>0</v>
      </c>
      <c r="I199" s="485">
        <v>0</v>
      </c>
      <c r="J199" s="485">
        <v>0</v>
      </c>
      <c r="K199" s="485">
        <v>0</v>
      </c>
      <c r="L199" s="485">
        <v>0</v>
      </c>
      <c r="M199" s="485">
        <v>0</v>
      </c>
      <c r="N199" s="19">
        <f t="shared" si="30"/>
        <v>0</v>
      </c>
    </row>
    <row r="200" spans="1:14">
      <c r="A200" s="24" t="str">
        <f>Ontario!A200</f>
        <v>Rotating Nozzles for Pop-up Spray Heads</v>
      </c>
      <c r="B200" s="485">
        <v>0</v>
      </c>
      <c r="C200" s="485">
        <v>0</v>
      </c>
      <c r="D200" s="485">
        <v>0</v>
      </c>
      <c r="E200" s="485">
        <v>0</v>
      </c>
      <c r="F200" s="485">
        <v>0</v>
      </c>
      <c r="G200" s="485">
        <v>0</v>
      </c>
      <c r="H200" s="485">
        <v>0</v>
      </c>
      <c r="I200" s="485">
        <v>0</v>
      </c>
      <c r="J200" s="485">
        <v>0</v>
      </c>
      <c r="K200" s="485">
        <v>0</v>
      </c>
      <c r="L200" s="485">
        <v>0</v>
      </c>
      <c r="M200" s="485">
        <v>0</v>
      </c>
      <c r="N200" s="19">
        <f t="shared" si="30"/>
        <v>0</v>
      </c>
    </row>
    <row r="201" spans="1:14">
      <c r="A201" s="24" t="str">
        <f>Ontario!A201</f>
        <v>Large Rotary Nozzles</v>
      </c>
      <c r="B201" s="485">
        <v>0</v>
      </c>
      <c r="C201" s="485">
        <v>0</v>
      </c>
      <c r="D201" s="485">
        <v>0</v>
      </c>
      <c r="E201" s="485">
        <v>0</v>
      </c>
      <c r="F201" s="485">
        <v>0</v>
      </c>
      <c r="G201" s="485">
        <v>0</v>
      </c>
      <c r="H201" s="485">
        <v>0</v>
      </c>
      <c r="I201" s="485">
        <v>0</v>
      </c>
      <c r="J201" s="485">
        <v>0</v>
      </c>
      <c r="K201" s="485">
        <v>0</v>
      </c>
      <c r="L201" s="485">
        <v>0</v>
      </c>
      <c r="M201" s="485">
        <v>0</v>
      </c>
      <c r="N201" s="19">
        <f t="shared" si="30"/>
        <v>0</v>
      </c>
    </row>
    <row r="202" spans="1:14" hidden="1">
      <c r="A202" s="24" t="s">
        <v>83</v>
      </c>
      <c r="B202" s="485">
        <v>0</v>
      </c>
      <c r="C202" s="485">
        <v>0</v>
      </c>
      <c r="D202" s="485">
        <v>0</v>
      </c>
      <c r="E202" s="485">
        <v>0</v>
      </c>
      <c r="F202" s="485">
        <v>0</v>
      </c>
      <c r="G202" s="485">
        <v>0</v>
      </c>
      <c r="H202" s="485">
        <v>0</v>
      </c>
      <c r="I202" s="485">
        <v>0</v>
      </c>
      <c r="J202" s="485">
        <v>0</v>
      </c>
      <c r="K202" s="485">
        <v>0</v>
      </c>
      <c r="L202" s="485">
        <v>0</v>
      </c>
      <c r="M202" s="485">
        <v>0</v>
      </c>
      <c r="N202" s="19">
        <f t="shared" si="30"/>
        <v>0</v>
      </c>
    </row>
    <row r="203" spans="1:14">
      <c r="A203" s="24" t="str">
        <f>Ontario!A203</f>
        <v xml:space="preserve">Central Computerized Irrigation Controller </v>
      </c>
      <c r="B203" s="485">
        <v>0</v>
      </c>
      <c r="C203" s="485">
        <v>0</v>
      </c>
      <c r="D203" s="485">
        <v>0</v>
      </c>
      <c r="E203" s="485">
        <v>0</v>
      </c>
      <c r="F203" s="485">
        <v>0</v>
      </c>
      <c r="G203" s="485">
        <v>0</v>
      </c>
      <c r="H203" s="485">
        <v>0</v>
      </c>
      <c r="I203" s="485">
        <v>0</v>
      </c>
      <c r="J203" s="485">
        <v>0</v>
      </c>
      <c r="K203" s="485">
        <v>0</v>
      </c>
      <c r="L203" s="485">
        <v>0</v>
      </c>
      <c r="M203" s="485">
        <v>0</v>
      </c>
      <c r="N203" s="19">
        <f>SUM(B203:M203)</f>
        <v>0</v>
      </c>
    </row>
    <row r="204" spans="1:14">
      <c r="A204" s="24" t="str">
        <f>Ontario!A204</f>
        <v>Laminar Flow Restrictor</v>
      </c>
      <c r="B204" s="485">
        <v>0</v>
      </c>
      <c r="C204" s="485">
        <v>0</v>
      </c>
      <c r="D204" s="485">
        <v>0</v>
      </c>
      <c r="E204" s="485">
        <v>0</v>
      </c>
      <c r="F204" s="485">
        <v>0</v>
      </c>
      <c r="G204" s="485">
        <v>0</v>
      </c>
      <c r="H204" s="485">
        <v>0</v>
      </c>
      <c r="I204" s="485">
        <v>0</v>
      </c>
      <c r="J204" s="485">
        <v>0</v>
      </c>
      <c r="K204" s="485">
        <v>0</v>
      </c>
      <c r="L204" s="485">
        <v>0</v>
      </c>
      <c r="M204" s="485">
        <v>0</v>
      </c>
      <c r="N204" s="19">
        <f>SUM(B204:M204)</f>
        <v>0</v>
      </c>
    </row>
    <row r="205" spans="1:14" ht="14" thickBot="1">
      <c r="A205" s="24" t="str">
        <f>Ontario!A205</f>
        <v>Air-Cooled Ice Machine</v>
      </c>
      <c r="B205" s="485">
        <v>0</v>
      </c>
      <c r="C205" s="485">
        <v>0</v>
      </c>
      <c r="D205" s="485">
        <v>0</v>
      </c>
      <c r="E205" s="485">
        <v>0</v>
      </c>
      <c r="F205" s="485">
        <v>0</v>
      </c>
      <c r="G205" s="485">
        <v>0</v>
      </c>
      <c r="H205" s="485">
        <v>0</v>
      </c>
      <c r="I205" s="485">
        <v>0</v>
      </c>
      <c r="J205" s="485">
        <v>0</v>
      </c>
      <c r="K205" s="485">
        <v>0</v>
      </c>
      <c r="L205" s="485">
        <v>0</v>
      </c>
      <c r="M205" s="485">
        <v>0</v>
      </c>
      <c r="N205" s="19">
        <f>SUM(B205:M205)</f>
        <v>0</v>
      </c>
    </row>
    <row r="206" spans="1:14" ht="14" thickBot="1">
      <c r="A206" s="30" t="str">
        <f>Ontario!A206</f>
        <v>IEUA Locally Implemented Commercial Programs</v>
      </c>
      <c r="B206" s="31"/>
      <c r="C206" s="31"/>
      <c r="D206" s="31"/>
      <c r="E206" s="31"/>
      <c r="F206" s="31"/>
      <c r="G206" s="31"/>
      <c r="H206" s="31"/>
      <c r="I206" s="31"/>
      <c r="J206" s="31"/>
      <c r="K206" s="31"/>
      <c r="L206" s="31"/>
      <c r="M206" s="31"/>
      <c r="N206" s="32"/>
    </row>
    <row r="207" spans="1:14">
      <c r="A207" s="24" t="str">
        <f>Ontario!A207</f>
        <v>Fontana Unified School Retrofit Program</v>
      </c>
      <c r="B207" s="485">
        <v>0</v>
      </c>
      <c r="C207" s="485">
        <v>0</v>
      </c>
      <c r="D207" s="485">
        <v>0</v>
      </c>
      <c r="E207" s="485">
        <v>0</v>
      </c>
      <c r="F207" s="485">
        <v>0</v>
      </c>
      <c r="G207" s="485">
        <v>0</v>
      </c>
      <c r="H207" s="485">
        <v>0</v>
      </c>
      <c r="I207" s="485">
        <v>0</v>
      </c>
      <c r="J207" s="485">
        <v>0</v>
      </c>
      <c r="K207" s="485">
        <v>0</v>
      </c>
      <c r="L207" s="485">
        <v>0</v>
      </c>
      <c r="M207" s="485">
        <v>0</v>
      </c>
      <c r="N207" s="19">
        <f t="shared" si="30"/>
        <v>0</v>
      </c>
    </row>
    <row r="208" spans="1:14" ht="14" thickBot="1">
      <c r="A208" s="24" t="str">
        <f>Ontario!A208</f>
        <v>FreeSprinklerNozzles.com Program</v>
      </c>
      <c r="B208" s="485">
        <v>0</v>
      </c>
      <c r="C208" s="485">
        <v>0</v>
      </c>
      <c r="D208" s="485">
        <v>0</v>
      </c>
      <c r="E208" s="485">
        <v>0</v>
      </c>
      <c r="F208" s="485">
        <v>0</v>
      </c>
      <c r="G208" s="485">
        <v>0</v>
      </c>
      <c r="H208" s="485">
        <v>0</v>
      </c>
      <c r="I208" s="485">
        <v>0</v>
      </c>
      <c r="J208" s="485">
        <v>0</v>
      </c>
      <c r="K208" s="485">
        <v>0</v>
      </c>
      <c r="L208" s="485">
        <v>0</v>
      </c>
      <c r="M208" s="485">
        <v>3340</v>
      </c>
      <c r="N208" s="19">
        <f t="shared" si="30"/>
        <v>3340</v>
      </c>
    </row>
    <row r="209" spans="1:14" ht="14" thickBot="1">
      <c r="A209" s="40" t="s">
        <v>60</v>
      </c>
      <c r="B209" s="42">
        <f>SUM(B193:B208)</f>
        <v>0</v>
      </c>
      <c r="C209" s="42">
        <f>SUM(C193:C208)</f>
        <v>0</v>
      </c>
      <c r="D209" s="42">
        <f t="shared" ref="D209:M209" si="31">SUM(D193:D208)</f>
        <v>0</v>
      </c>
      <c r="E209" s="42">
        <f t="shared" si="31"/>
        <v>0</v>
      </c>
      <c r="F209" s="42">
        <f t="shared" si="31"/>
        <v>0</v>
      </c>
      <c r="G209" s="42">
        <f t="shared" si="31"/>
        <v>0</v>
      </c>
      <c r="H209" s="42">
        <f t="shared" si="31"/>
        <v>2</v>
      </c>
      <c r="I209" s="42">
        <f t="shared" si="31"/>
        <v>0</v>
      </c>
      <c r="J209" s="42">
        <f t="shared" si="31"/>
        <v>0</v>
      </c>
      <c r="K209" s="42">
        <f t="shared" si="31"/>
        <v>0</v>
      </c>
      <c r="L209" s="42">
        <f t="shared" si="31"/>
        <v>0</v>
      </c>
      <c r="M209" s="42">
        <f t="shared" si="31"/>
        <v>3340</v>
      </c>
      <c r="N209" s="41">
        <f>SUM(N193:N208)</f>
        <v>3342</v>
      </c>
    </row>
    <row r="212" spans="1:14" ht="14" thickBot="1">
      <c r="B212" s="35" t="s">
        <v>35</v>
      </c>
      <c r="C212" s="35" t="s">
        <v>36</v>
      </c>
      <c r="D212" s="35" t="s">
        <v>37</v>
      </c>
      <c r="E212" s="35" t="s">
        <v>38</v>
      </c>
      <c r="F212" s="35" t="s">
        <v>39</v>
      </c>
      <c r="G212" s="35" t="s">
        <v>40</v>
      </c>
      <c r="H212" s="35" t="s">
        <v>41</v>
      </c>
      <c r="I212" s="35" t="s">
        <v>42</v>
      </c>
      <c r="J212" s="35" t="s">
        <v>43</v>
      </c>
      <c r="K212" s="35" t="s">
        <v>44</v>
      </c>
      <c r="L212" s="35" t="s">
        <v>45</v>
      </c>
      <c r="M212" s="35" t="s">
        <v>46</v>
      </c>
      <c r="N212" s="35" t="s">
        <v>10</v>
      </c>
    </row>
    <row r="213" spans="1:14" ht="17" thickBot="1">
      <c r="A213" s="23" t="s">
        <v>143</v>
      </c>
      <c r="B213" s="16"/>
      <c r="C213" s="16"/>
      <c r="D213" s="15"/>
      <c r="E213" s="15"/>
      <c r="F213" s="17"/>
      <c r="G213" s="17"/>
      <c r="H213" s="15"/>
      <c r="I213" s="15"/>
      <c r="J213" s="15"/>
      <c r="K213" s="15"/>
      <c r="L213" s="16"/>
      <c r="M213" s="16"/>
      <c r="N213" s="18"/>
    </row>
    <row r="214" spans="1:14" ht="14" thickBot="1">
      <c r="A214" s="30" t="str">
        <f>Ontario!A214</f>
        <v>SoCal Water$mart Residential Rebates</v>
      </c>
      <c r="B214" s="31"/>
      <c r="C214" s="31"/>
      <c r="D214" s="31"/>
      <c r="E214" s="31"/>
      <c r="F214" s="31"/>
      <c r="G214" s="31"/>
      <c r="H214" s="31"/>
      <c r="I214" s="31"/>
      <c r="J214" s="31"/>
      <c r="K214" s="31"/>
      <c r="L214" s="31"/>
      <c r="M214" s="31"/>
      <c r="N214" s="32"/>
    </row>
    <row r="215" spans="1:14">
      <c r="A215" s="24" t="str">
        <f>Ontario!A215</f>
        <v>High Efficiency Toilets (HET)</v>
      </c>
      <c r="B215" s="485">
        <v>2</v>
      </c>
      <c r="C215" s="485">
        <v>2</v>
      </c>
      <c r="D215" s="485">
        <v>0</v>
      </c>
      <c r="E215" s="485">
        <v>0</v>
      </c>
      <c r="F215" s="485">
        <v>0</v>
      </c>
      <c r="G215" s="485">
        <v>2</v>
      </c>
      <c r="H215" s="485">
        <v>0</v>
      </c>
      <c r="I215" s="485">
        <v>0</v>
      </c>
      <c r="J215" s="485">
        <v>0</v>
      </c>
      <c r="K215" s="485">
        <v>4</v>
      </c>
      <c r="L215" s="485">
        <v>2</v>
      </c>
      <c r="M215" s="485">
        <v>3</v>
      </c>
      <c r="N215" s="19">
        <f t="shared" ref="N215:N220" si="32">SUM(B215:M215)</f>
        <v>15</v>
      </c>
    </row>
    <row r="216" spans="1:14">
      <c r="A216" s="24" t="str">
        <f>Ontario!A216</f>
        <v>High Efficiency Clothes Washers (HECW)</v>
      </c>
      <c r="B216" s="485">
        <v>9</v>
      </c>
      <c r="C216" s="485">
        <v>2</v>
      </c>
      <c r="D216" s="485">
        <v>8</v>
      </c>
      <c r="E216" s="485">
        <v>10</v>
      </c>
      <c r="F216" s="485">
        <v>3</v>
      </c>
      <c r="G216" s="485">
        <v>5</v>
      </c>
      <c r="H216" s="485">
        <v>7</v>
      </c>
      <c r="I216" s="485">
        <v>6</v>
      </c>
      <c r="J216" s="485">
        <v>2</v>
      </c>
      <c r="K216" s="485">
        <v>5</v>
      </c>
      <c r="L216" s="485">
        <v>9</v>
      </c>
      <c r="M216" s="485">
        <v>4</v>
      </c>
      <c r="N216" s="19">
        <f t="shared" si="32"/>
        <v>70</v>
      </c>
    </row>
    <row r="217" spans="1:14">
      <c r="A217" s="24" t="str">
        <f>Ontario!A217</f>
        <v>Rotating Nozzles for Pop-up Spray Heads</v>
      </c>
      <c r="B217" s="485">
        <v>0</v>
      </c>
      <c r="C217" s="485">
        <v>0</v>
      </c>
      <c r="D217" s="485">
        <v>0</v>
      </c>
      <c r="E217" s="485">
        <v>0</v>
      </c>
      <c r="F217" s="485">
        <v>0</v>
      </c>
      <c r="G217" s="485">
        <v>0</v>
      </c>
      <c r="H217" s="485">
        <v>0</v>
      </c>
      <c r="I217" s="485">
        <v>0</v>
      </c>
      <c r="J217" s="485">
        <v>0</v>
      </c>
      <c r="K217" s="485">
        <v>0</v>
      </c>
      <c r="L217" s="485">
        <v>0</v>
      </c>
      <c r="M217" s="485">
        <v>0</v>
      </c>
      <c r="N217" s="19">
        <f t="shared" si="32"/>
        <v>0</v>
      </c>
    </row>
    <row r="218" spans="1:14">
      <c r="A218" s="24" t="str">
        <f>Ontario!A218</f>
        <v>Weather Based Irrigation Controllers (WBIC)</v>
      </c>
      <c r="B218" s="485">
        <v>0</v>
      </c>
      <c r="C218" s="485">
        <v>0</v>
      </c>
      <c r="D218" s="485">
        <v>0</v>
      </c>
      <c r="E218" s="485">
        <v>0</v>
      </c>
      <c r="F218" s="485">
        <v>0</v>
      </c>
      <c r="G218" s="485">
        <v>0</v>
      </c>
      <c r="H218" s="485">
        <v>0</v>
      </c>
      <c r="I218" s="485">
        <v>0</v>
      </c>
      <c r="J218" s="485">
        <v>0</v>
      </c>
      <c r="K218" s="485">
        <v>0</v>
      </c>
      <c r="L218" s="485">
        <v>0</v>
      </c>
      <c r="M218" s="485">
        <v>0</v>
      </c>
      <c r="N218" s="19">
        <f t="shared" si="32"/>
        <v>0</v>
      </c>
    </row>
    <row r="219" spans="1:14" ht="14" hidden="1" thickBot="1">
      <c r="A219" s="53" t="s">
        <v>123</v>
      </c>
      <c r="B219" s="485">
        <v>0</v>
      </c>
      <c r="C219" s="485">
        <v>0</v>
      </c>
      <c r="D219" s="485"/>
      <c r="E219" s="485">
        <v>0</v>
      </c>
      <c r="F219" s="485">
        <v>0</v>
      </c>
      <c r="G219" s="485">
        <v>0</v>
      </c>
      <c r="H219" s="485">
        <v>0</v>
      </c>
      <c r="I219" s="485">
        <v>0</v>
      </c>
      <c r="J219" s="485">
        <v>0</v>
      </c>
      <c r="K219" s="485">
        <v>0</v>
      </c>
      <c r="L219" s="485">
        <v>0</v>
      </c>
      <c r="M219" s="485">
        <v>0</v>
      </c>
      <c r="N219" s="19">
        <f t="shared" si="32"/>
        <v>0</v>
      </c>
    </row>
    <row r="220" spans="1:14" ht="14" thickBot="1">
      <c r="A220" s="53" t="s">
        <v>145</v>
      </c>
      <c r="B220" s="485">
        <v>0</v>
      </c>
      <c r="C220" s="485">
        <v>0</v>
      </c>
      <c r="D220" s="485">
        <v>0</v>
      </c>
      <c r="E220" s="485">
        <v>0</v>
      </c>
      <c r="F220" s="485">
        <v>0</v>
      </c>
      <c r="G220" s="485">
        <v>0</v>
      </c>
      <c r="H220" s="485">
        <v>0</v>
      </c>
      <c r="I220" s="485">
        <v>0</v>
      </c>
      <c r="J220" s="485">
        <v>0</v>
      </c>
      <c r="K220" s="485">
        <v>0</v>
      </c>
      <c r="L220" s="485">
        <v>0</v>
      </c>
      <c r="M220" s="485">
        <v>0</v>
      </c>
      <c r="N220" s="19">
        <f t="shared" si="32"/>
        <v>0</v>
      </c>
    </row>
    <row r="221" spans="1:14" ht="14" thickBot="1">
      <c r="A221" s="30" t="str">
        <f>Ontario!A221</f>
        <v>IEUA Locally Implemented Residential Programs</v>
      </c>
      <c r="B221" s="31"/>
      <c r="C221" s="31"/>
      <c r="D221" s="31"/>
      <c r="E221" s="31"/>
      <c r="F221" s="31"/>
      <c r="G221" s="31"/>
      <c r="H221" s="31"/>
      <c r="I221" s="31"/>
      <c r="J221" s="31"/>
      <c r="K221" s="31"/>
      <c r="L221" s="31"/>
      <c r="M221" s="31"/>
      <c r="N221" s="32"/>
    </row>
    <row r="222" spans="1:14">
      <c r="A222" s="24" t="str">
        <f>Ontario!A222</f>
        <v>FreeSprinklerNozzles.com Program</v>
      </c>
      <c r="B222" s="485">
        <v>325</v>
      </c>
      <c r="C222" s="485">
        <v>0</v>
      </c>
      <c r="D222" s="485">
        <v>0</v>
      </c>
      <c r="E222" s="485">
        <v>0</v>
      </c>
      <c r="F222" s="485">
        <v>0</v>
      </c>
      <c r="G222" s="485">
        <v>0</v>
      </c>
      <c r="H222" s="485">
        <v>0</v>
      </c>
      <c r="I222" s="485">
        <v>0</v>
      </c>
      <c r="J222" s="485">
        <v>0</v>
      </c>
      <c r="K222" s="485">
        <v>0</v>
      </c>
      <c r="L222" s="485">
        <v>0</v>
      </c>
      <c r="M222" s="485">
        <v>0</v>
      </c>
      <c r="N222" s="19">
        <f>SUM(B222:M222)</f>
        <v>325</v>
      </c>
    </row>
    <row r="223" spans="1:14">
      <c r="A223" s="24" t="str">
        <f>Ontario!A223</f>
        <v>Residential Landscape Retrofit Program</v>
      </c>
      <c r="B223" s="485">
        <v>0</v>
      </c>
      <c r="C223" s="485">
        <v>0</v>
      </c>
      <c r="D223" s="485">
        <v>0</v>
      </c>
      <c r="E223" s="485">
        <v>0</v>
      </c>
      <c r="F223" s="485">
        <v>0</v>
      </c>
      <c r="G223" s="485">
        <v>0</v>
      </c>
      <c r="H223" s="485">
        <v>0</v>
      </c>
      <c r="I223" s="485">
        <v>0</v>
      </c>
      <c r="J223" s="485">
        <v>0</v>
      </c>
      <c r="K223" s="485">
        <v>0</v>
      </c>
      <c r="L223" s="485">
        <v>0</v>
      </c>
      <c r="M223" s="485">
        <v>0</v>
      </c>
      <c r="N223" s="19">
        <f>SUM(B223:M223)</f>
        <v>0</v>
      </c>
    </row>
    <row r="224" spans="1:14" ht="14" thickBot="1">
      <c r="A224" s="24" t="str">
        <f>Ontario!A224</f>
        <v>Landscape Transformation Program</v>
      </c>
      <c r="B224" s="485">
        <v>0</v>
      </c>
      <c r="C224" s="485">
        <v>0</v>
      </c>
      <c r="D224" s="485">
        <v>0</v>
      </c>
      <c r="E224" s="485">
        <v>0</v>
      </c>
      <c r="F224" s="485">
        <v>0</v>
      </c>
      <c r="G224" s="485">
        <v>2</v>
      </c>
      <c r="H224" s="485">
        <v>1</v>
      </c>
      <c r="I224" s="485">
        <v>0</v>
      </c>
      <c r="J224" s="485">
        <v>1</v>
      </c>
      <c r="K224" s="485">
        <v>0</v>
      </c>
      <c r="L224" s="485">
        <v>2</v>
      </c>
      <c r="M224" s="485">
        <v>0</v>
      </c>
      <c r="N224" s="19">
        <f>SUM(B224:M224)</f>
        <v>6</v>
      </c>
    </row>
    <row r="225" spans="1:22" ht="14" thickBot="1">
      <c r="A225" s="40" t="s">
        <v>60</v>
      </c>
      <c r="B225" s="42">
        <f t="shared" ref="B225:G225" si="33">SUM(B215:B224)</f>
        <v>336</v>
      </c>
      <c r="C225" s="42">
        <f t="shared" si="33"/>
        <v>4</v>
      </c>
      <c r="D225" s="42">
        <f t="shared" si="33"/>
        <v>8</v>
      </c>
      <c r="E225" s="42">
        <f t="shared" si="33"/>
        <v>10</v>
      </c>
      <c r="F225" s="42">
        <f t="shared" si="33"/>
        <v>3</v>
      </c>
      <c r="G225" s="42">
        <f t="shared" si="33"/>
        <v>9</v>
      </c>
      <c r="H225" s="42">
        <f t="shared" ref="H225:M225" si="34">SUM(H215:H224)</f>
        <v>8</v>
      </c>
      <c r="I225" s="42">
        <f t="shared" si="34"/>
        <v>6</v>
      </c>
      <c r="J225" s="42">
        <f t="shared" si="34"/>
        <v>3</v>
      </c>
      <c r="K225" s="42">
        <f t="shared" si="34"/>
        <v>9</v>
      </c>
      <c r="L225" s="42">
        <f t="shared" si="34"/>
        <v>13</v>
      </c>
      <c r="M225" s="42">
        <f t="shared" si="34"/>
        <v>7</v>
      </c>
      <c r="N225" s="41">
        <f>SUM(N215:N224)</f>
        <v>416</v>
      </c>
    </row>
    <row r="226" spans="1:22" ht="14" hidden="1" thickBot="1">
      <c r="A226" s="30" t="str">
        <f>Ontario!A226</f>
        <v xml:space="preserve">IEUA High Efficiency Toilet (HET) Installation Prog. </v>
      </c>
      <c r="B226" s="31"/>
      <c r="C226" s="31"/>
      <c r="D226" s="31"/>
      <c r="E226" s="31"/>
      <c r="F226" s="31"/>
      <c r="G226" s="31"/>
      <c r="H226" s="31"/>
      <c r="I226" s="31"/>
      <c r="J226" s="31"/>
      <c r="K226" s="31"/>
      <c r="L226" s="31"/>
      <c r="M226" s="31"/>
      <c r="N226" s="32"/>
    </row>
    <row r="227" spans="1:22" hidden="1">
      <c r="A227" s="24" t="str">
        <f>Ontario!A227</f>
        <v>IEUA Multi-Family Direct Install Prog. (HET/ULFT)</v>
      </c>
      <c r="B227" s="103"/>
      <c r="C227" s="103"/>
      <c r="D227" s="103"/>
      <c r="E227" s="103"/>
      <c r="F227" s="103"/>
      <c r="G227" s="103"/>
      <c r="H227" s="103"/>
      <c r="I227" s="103"/>
      <c r="J227" s="103"/>
      <c r="K227" s="103"/>
      <c r="L227" s="103"/>
      <c r="M227" s="103"/>
      <c r="N227" s="19">
        <f>SUM(B227:M227)</f>
        <v>0</v>
      </c>
    </row>
    <row r="228" spans="1:22" ht="14" hidden="1" thickBot="1">
      <c r="A228" s="24" t="str">
        <f>Ontario!A228</f>
        <v>IEUA Single-Family Direct Install Prog. (HET/ULFT)</v>
      </c>
      <c r="B228" s="103"/>
      <c r="C228" s="103"/>
      <c r="D228" s="103"/>
      <c r="E228" s="103"/>
      <c r="F228" s="103"/>
      <c r="G228" s="103"/>
      <c r="H228" s="103"/>
      <c r="I228" s="103"/>
      <c r="J228" s="103"/>
      <c r="K228" s="103"/>
      <c r="L228" s="103"/>
      <c r="M228" s="103"/>
      <c r="N228" s="19">
        <f>SUM(B228:M228)</f>
        <v>0</v>
      </c>
    </row>
    <row r="229" spans="1:22" ht="14" hidden="1" thickBot="1">
      <c r="A229" s="40" t="s">
        <v>60</v>
      </c>
      <c r="B229" s="42">
        <f>SUM(B227:B228)</f>
        <v>0</v>
      </c>
      <c r="C229" s="42">
        <f t="shared" ref="C229:M229" si="35">SUM(C227:C228)</f>
        <v>0</v>
      </c>
      <c r="D229" s="42">
        <f t="shared" si="35"/>
        <v>0</v>
      </c>
      <c r="E229" s="42">
        <f t="shared" si="35"/>
        <v>0</v>
      </c>
      <c r="F229" s="42">
        <f t="shared" si="35"/>
        <v>0</v>
      </c>
      <c r="G229" s="42">
        <f t="shared" si="35"/>
        <v>0</v>
      </c>
      <c r="H229" s="42">
        <f t="shared" si="35"/>
        <v>0</v>
      </c>
      <c r="I229" s="42">
        <f t="shared" si="35"/>
        <v>0</v>
      </c>
      <c r="J229" s="42">
        <f t="shared" si="35"/>
        <v>0</v>
      </c>
      <c r="K229" s="42">
        <f t="shared" si="35"/>
        <v>0</v>
      </c>
      <c r="L229" s="42">
        <f t="shared" si="35"/>
        <v>0</v>
      </c>
      <c r="M229" s="42">
        <f t="shared" si="35"/>
        <v>0</v>
      </c>
      <c r="N229" s="41">
        <f>SUM(N227:N228)</f>
        <v>0</v>
      </c>
    </row>
    <row r="230" spans="1:22" ht="14" thickBot="1">
      <c r="A230" s="30" t="str">
        <f>Ontario!A230</f>
        <v>SoCal Water$mart Commercial Rebates</v>
      </c>
      <c r="B230" s="31"/>
      <c r="C230" s="31"/>
      <c r="D230" s="31"/>
      <c r="E230" s="31"/>
      <c r="F230" s="31"/>
      <c r="G230" s="31"/>
      <c r="H230" s="31"/>
      <c r="I230" s="31"/>
      <c r="J230" s="31"/>
      <c r="K230" s="31"/>
      <c r="L230" s="31"/>
      <c r="M230" s="31"/>
      <c r="N230" s="32"/>
    </row>
    <row r="231" spans="1:22">
      <c r="A231" s="24" t="str">
        <f>Ontario!A231</f>
        <v>High Efficiency Toilets (HET)</v>
      </c>
      <c r="B231" s="485">
        <v>0</v>
      </c>
      <c r="C231" s="485">
        <v>0</v>
      </c>
      <c r="D231" s="485">
        <v>0</v>
      </c>
      <c r="E231" s="485">
        <v>0</v>
      </c>
      <c r="F231" s="485">
        <v>0</v>
      </c>
      <c r="G231" s="485">
        <v>0</v>
      </c>
      <c r="H231" s="485">
        <v>0</v>
      </c>
      <c r="I231" s="485">
        <v>0</v>
      </c>
      <c r="J231" s="485">
        <v>0</v>
      </c>
      <c r="K231" s="485">
        <v>0</v>
      </c>
      <c r="L231" s="485">
        <v>0</v>
      </c>
      <c r="M231" s="485">
        <v>0</v>
      </c>
      <c r="N231" s="19">
        <v>0</v>
      </c>
    </row>
    <row r="232" spans="1:22">
      <c r="A232" s="24" t="str">
        <f>Ontario!A232</f>
        <v>Waterless Urinals</v>
      </c>
      <c r="B232" s="485">
        <v>0</v>
      </c>
      <c r="C232" s="485">
        <v>0</v>
      </c>
      <c r="D232" s="485">
        <v>0</v>
      </c>
      <c r="E232" s="485">
        <v>0</v>
      </c>
      <c r="F232" s="485">
        <v>0</v>
      </c>
      <c r="G232" s="485">
        <v>0</v>
      </c>
      <c r="H232" s="485">
        <v>0</v>
      </c>
      <c r="I232" s="485">
        <v>0</v>
      </c>
      <c r="J232" s="485">
        <v>0</v>
      </c>
      <c r="K232" s="485">
        <v>0</v>
      </c>
      <c r="L232" s="485">
        <v>0</v>
      </c>
      <c r="M232" s="485">
        <v>0</v>
      </c>
      <c r="N232" s="19">
        <f t="shared" ref="N232:N240" si="36">SUM(B232:M232)</f>
        <v>0</v>
      </c>
    </row>
    <row r="233" spans="1:22">
      <c r="A233" s="24" t="s">
        <v>140</v>
      </c>
      <c r="B233" s="485">
        <v>0</v>
      </c>
      <c r="C233" s="485">
        <v>0</v>
      </c>
      <c r="D233" s="485">
        <v>0</v>
      </c>
      <c r="E233" s="485">
        <v>0</v>
      </c>
      <c r="F233" s="485">
        <v>0</v>
      </c>
      <c r="G233" s="485">
        <v>0</v>
      </c>
      <c r="H233" s="485">
        <v>0</v>
      </c>
      <c r="I233" s="485">
        <v>0</v>
      </c>
      <c r="J233" s="485">
        <v>0</v>
      </c>
      <c r="K233" s="485">
        <v>0</v>
      </c>
      <c r="L233" s="485">
        <v>0</v>
      </c>
      <c r="M233" s="485">
        <v>0</v>
      </c>
      <c r="N233" s="19">
        <f t="shared" si="36"/>
        <v>0</v>
      </c>
    </row>
    <row r="234" spans="1:22" hidden="1">
      <c r="A234" s="24" t="str">
        <f>Ontario!A234</f>
        <v>High Efficiency Clothes Washers</v>
      </c>
      <c r="B234" s="485"/>
      <c r="C234" s="485"/>
      <c r="D234" s="485"/>
      <c r="E234" s="485"/>
      <c r="F234" s="485"/>
      <c r="G234" s="485"/>
      <c r="H234" s="485"/>
      <c r="I234" s="485"/>
      <c r="J234" s="485"/>
      <c r="K234" s="485"/>
      <c r="L234" s="485"/>
      <c r="M234" s="485"/>
      <c r="N234" s="19">
        <f t="shared" si="36"/>
        <v>0</v>
      </c>
    </row>
    <row r="235" spans="1:22" hidden="1">
      <c r="A235" s="27" t="s">
        <v>47</v>
      </c>
      <c r="B235" s="485"/>
      <c r="C235" s="485"/>
      <c r="D235" s="485"/>
      <c r="E235" s="485"/>
      <c r="F235" s="485"/>
      <c r="G235" s="485"/>
      <c r="H235" s="485"/>
      <c r="I235" s="485"/>
      <c r="J235" s="485"/>
      <c r="K235" s="485"/>
      <c r="L235" s="485"/>
      <c r="M235" s="485"/>
      <c r="N235" s="19">
        <f t="shared" si="36"/>
        <v>0</v>
      </c>
    </row>
    <row r="236" spans="1:22">
      <c r="A236" s="24" t="str">
        <f>Ontario!A236</f>
        <v>Weather Based Irrigation Controllers (WBIC)</v>
      </c>
      <c r="B236" s="485">
        <v>1</v>
      </c>
      <c r="C236" s="485">
        <v>0</v>
      </c>
      <c r="D236" s="485">
        <v>0</v>
      </c>
      <c r="E236" s="485">
        <v>0</v>
      </c>
      <c r="F236" s="485">
        <v>0</v>
      </c>
      <c r="G236" s="485">
        <v>0</v>
      </c>
      <c r="H236" s="485">
        <v>2</v>
      </c>
      <c r="I236" s="485">
        <v>0</v>
      </c>
      <c r="J236" s="485">
        <v>0</v>
      </c>
      <c r="K236" s="485">
        <v>0</v>
      </c>
      <c r="L236" s="485">
        <v>1</v>
      </c>
      <c r="M236" s="485">
        <v>0</v>
      </c>
      <c r="N236" s="19">
        <f t="shared" si="36"/>
        <v>4</v>
      </c>
    </row>
    <row r="237" spans="1:22" ht="12.75" hidden="1" customHeight="1">
      <c r="A237" s="53" t="s">
        <v>108</v>
      </c>
      <c r="B237" s="485"/>
      <c r="C237" s="485"/>
      <c r="D237" s="485"/>
      <c r="E237" s="485"/>
      <c r="F237" s="485"/>
      <c r="G237" s="485"/>
      <c r="H237" s="485"/>
      <c r="I237" s="485"/>
      <c r="J237" s="485"/>
      <c r="K237" s="485"/>
      <c r="L237" s="485"/>
      <c r="M237" s="485"/>
      <c r="N237" s="19">
        <f t="shared" si="36"/>
        <v>0</v>
      </c>
    </row>
    <row r="238" spans="1:22">
      <c r="A238" s="24" t="str">
        <f>Ontario!A238</f>
        <v>Rotating Nozzles for Pop-up Spray Heads</v>
      </c>
      <c r="B238" s="485">
        <v>23</v>
      </c>
      <c r="C238" s="485">
        <v>0</v>
      </c>
      <c r="D238" s="485">
        <v>0</v>
      </c>
      <c r="E238" s="485">
        <v>0</v>
      </c>
      <c r="F238" s="485">
        <v>0</v>
      </c>
      <c r="G238" s="485">
        <v>0</v>
      </c>
      <c r="H238" s="485">
        <v>0</v>
      </c>
      <c r="I238" s="485">
        <v>0</v>
      </c>
      <c r="J238" s="485">
        <v>0</v>
      </c>
      <c r="K238" s="485">
        <v>0</v>
      </c>
      <c r="L238" s="485">
        <v>30</v>
      </c>
      <c r="M238" s="485">
        <v>0</v>
      </c>
      <c r="N238" s="19">
        <f t="shared" si="36"/>
        <v>53</v>
      </c>
    </row>
    <row r="239" spans="1:22">
      <c r="A239" s="24" t="str">
        <f>Ontario!A239</f>
        <v>Large Rotary Nozzles</v>
      </c>
      <c r="B239" s="485">
        <v>0</v>
      </c>
      <c r="C239" s="485">
        <v>0</v>
      </c>
      <c r="D239" s="485">
        <v>0</v>
      </c>
      <c r="E239" s="485">
        <v>0</v>
      </c>
      <c r="F239" s="485">
        <v>0</v>
      </c>
      <c r="G239" s="485">
        <v>0</v>
      </c>
      <c r="H239" s="485">
        <v>0</v>
      </c>
      <c r="I239" s="485">
        <v>0</v>
      </c>
      <c r="J239" s="485">
        <v>0</v>
      </c>
      <c r="K239" s="485">
        <v>0</v>
      </c>
      <c r="L239" s="485">
        <v>0</v>
      </c>
      <c r="M239" s="485">
        <v>0</v>
      </c>
      <c r="N239" s="19">
        <f t="shared" si="36"/>
        <v>0</v>
      </c>
      <c r="V239" s="75"/>
    </row>
    <row r="240" spans="1:22" hidden="1">
      <c r="A240" s="24" t="s">
        <v>83</v>
      </c>
      <c r="B240" s="485"/>
      <c r="C240" s="485"/>
      <c r="D240" s="485"/>
      <c r="E240" s="485"/>
      <c r="F240" s="485"/>
      <c r="G240" s="485"/>
      <c r="H240" s="485"/>
      <c r="I240" s="485"/>
      <c r="J240" s="485"/>
      <c r="K240" s="485"/>
      <c r="L240" s="485"/>
      <c r="M240" s="485"/>
      <c r="N240" s="19">
        <f t="shared" si="36"/>
        <v>0</v>
      </c>
    </row>
    <row r="241" spans="1:14">
      <c r="A241" s="24" t="str">
        <f>Ontario!A241</f>
        <v xml:space="preserve">Central Computerized Irrigation Controller </v>
      </c>
      <c r="B241" s="485">
        <v>0</v>
      </c>
      <c r="C241" s="485">
        <v>0</v>
      </c>
      <c r="D241" s="485">
        <v>0</v>
      </c>
      <c r="E241" s="485">
        <v>0</v>
      </c>
      <c r="F241" s="485">
        <v>0</v>
      </c>
      <c r="G241" s="485">
        <v>0</v>
      </c>
      <c r="H241" s="485">
        <v>0</v>
      </c>
      <c r="I241" s="485">
        <v>0</v>
      </c>
      <c r="J241" s="485">
        <v>0</v>
      </c>
      <c r="K241" s="485">
        <v>0</v>
      </c>
      <c r="L241" s="485">
        <v>0</v>
      </c>
      <c r="M241" s="485">
        <v>0</v>
      </c>
      <c r="N241" s="19">
        <f>SUM(B241:M241)</f>
        <v>0</v>
      </c>
    </row>
    <row r="242" spans="1:14">
      <c r="A242" s="24" t="str">
        <f>Ontario!A242</f>
        <v>Laminar Flow Restrictor</v>
      </c>
      <c r="B242" s="485">
        <v>0</v>
      </c>
      <c r="C242" s="485">
        <v>0</v>
      </c>
      <c r="D242" s="485">
        <v>0</v>
      </c>
      <c r="E242" s="485">
        <v>0</v>
      </c>
      <c r="F242" s="485">
        <v>0</v>
      </c>
      <c r="G242" s="485">
        <v>0</v>
      </c>
      <c r="H242" s="485">
        <v>0</v>
      </c>
      <c r="I242" s="485">
        <v>0</v>
      </c>
      <c r="J242" s="485">
        <v>0</v>
      </c>
      <c r="K242" s="485">
        <v>0</v>
      </c>
      <c r="L242" s="485">
        <v>0</v>
      </c>
      <c r="M242" s="485">
        <v>0</v>
      </c>
      <c r="N242" s="19">
        <f>SUM(B242:M242)</f>
        <v>0</v>
      </c>
    </row>
    <row r="243" spans="1:14">
      <c r="A243" s="24" t="str">
        <f>Ontario!A243</f>
        <v>Air-Cooled Ice Machine</v>
      </c>
      <c r="B243" s="485">
        <v>0</v>
      </c>
      <c r="C243" s="485">
        <v>0</v>
      </c>
      <c r="D243" s="485">
        <v>0</v>
      </c>
      <c r="E243" s="485">
        <v>0</v>
      </c>
      <c r="F243" s="485">
        <v>0</v>
      </c>
      <c r="G243" s="485">
        <v>0</v>
      </c>
      <c r="H243" s="485">
        <v>0</v>
      </c>
      <c r="I243" s="485">
        <v>0</v>
      </c>
      <c r="J243" s="485">
        <v>0</v>
      </c>
      <c r="K243" s="485">
        <v>0</v>
      </c>
      <c r="L243" s="485">
        <v>0</v>
      </c>
      <c r="M243" s="485">
        <v>0</v>
      </c>
      <c r="N243" s="19">
        <f>SUM(B243:M243)</f>
        <v>0</v>
      </c>
    </row>
    <row r="244" spans="1:14" ht="14" thickBot="1">
      <c r="A244" s="24" t="s">
        <v>146</v>
      </c>
      <c r="B244" s="485">
        <v>0</v>
      </c>
      <c r="C244" s="485">
        <v>0</v>
      </c>
      <c r="D244" s="485">
        <v>0</v>
      </c>
      <c r="E244" s="485">
        <v>0</v>
      </c>
      <c r="F244" s="485">
        <v>0</v>
      </c>
      <c r="G244" s="485">
        <v>0</v>
      </c>
      <c r="H244" s="485">
        <v>0</v>
      </c>
      <c r="I244" s="485">
        <v>0</v>
      </c>
      <c r="J244" s="485">
        <v>0</v>
      </c>
      <c r="K244" s="485">
        <v>0</v>
      </c>
      <c r="L244" s="485">
        <v>0</v>
      </c>
      <c r="M244" s="485">
        <v>0</v>
      </c>
      <c r="N244" s="19">
        <f>SUM(B244:M244)</f>
        <v>0</v>
      </c>
    </row>
    <row r="245" spans="1:14" ht="14" thickBot="1">
      <c r="A245" s="30" t="str">
        <f>Ontario!A245</f>
        <v>IEUA Locally Implemented Commercial Programs</v>
      </c>
      <c r="B245" s="31"/>
      <c r="C245" s="31"/>
      <c r="D245" s="31"/>
      <c r="E245" s="31"/>
      <c r="F245" s="31"/>
      <c r="G245" s="31"/>
      <c r="H245" s="31"/>
      <c r="I245" s="31"/>
      <c r="J245" s="31"/>
      <c r="K245" s="31"/>
      <c r="L245" s="31"/>
      <c r="M245" s="31"/>
      <c r="N245" s="32"/>
    </row>
    <row r="246" spans="1:14" hidden="1">
      <c r="A246" s="24" t="str">
        <f>Ontario!A246</f>
        <v>Fontana Unified School Retrofit Program</v>
      </c>
      <c r="B246" s="103"/>
      <c r="C246" s="103"/>
      <c r="D246" s="103"/>
      <c r="E246" s="103"/>
      <c r="F246" s="103"/>
      <c r="G246" s="103"/>
      <c r="H246" s="103"/>
      <c r="I246" s="103"/>
      <c r="J246" s="103"/>
      <c r="K246" s="103"/>
      <c r="L246" s="103"/>
      <c r="M246" s="103"/>
      <c r="N246" s="19">
        <f>SUM(B246:M246)</f>
        <v>0</v>
      </c>
    </row>
    <row r="247" spans="1:14" ht="14" thickBot="1">
      <c r="A247" s="24" t="str">
        <f>Ontario!A247</f>
        <v>FreeSprinklerNozzles.com Program</v>
      </c>
      <c r="B247" s="485">
        <v>660</v>
      </c>
      <c r="C247" s="485">
        <v>0</v>
      </c>
      <c r="D247" s="485">
        <v>0</v>
      </c>
      <c r="E247" s="485">
        <v>0</v>
      </c>
      <c r="F247" s="485">
        <v>0</v>
      </c>
      <c r="G247" s="485">
        <v>0</v>
      </c>
      <c r="H247" s="485">
        <v>0</v>
      </c>
      <c r="I247" s="485">
        <v>0</v>
      </c>
      <c r="J247" s="485">
        <v>0</v>
      </c>
      <c r="K247" s="485">
        <v>0</v>
      </c>
      <c r="L247" s="485">
        <v>0</v>
      </c>
      <c r="M247" s="485">
        <v>0</v>
      </c>
      <c r="N247" s="19">
        <f>SUM(B247:M247)</f>
        <v>660</v>
      </c>
    </row>
    <row r="248" spans="1:14" ht="14" thickBot="1">
      <c r="A248" s="40" t="s">
        <v>60</v>
      </c>
      <c r="B248" s="42">
        <f>SUM(B231:B247)</f>
        <v>684</v>
      </c>
      <c r="C248" s="42">
        <f t="shared" ref="C248:M248" si="37">SUM(C231:C247)</f>
        <v>0</v>
      </c>
      <c r="D248" s="42">
        <f t="shared" si="37"/>
        <v>0</v>
      </c>
      <c r="E248" s="42">
        <f t="shared" si="37"/>
        <v>0</v>
      </c>
      <c r="F248" s="42">
        <f t="shared" si="37"/>
        <v>0</v>
      </c>
      <c r="G248" s="42">
        <f t="shared" si="37"/>
        <v>0</v>
      </c>
      <c r="H248" s="42">
        <f t="shared" si="37"/>
        <v>2</v>
      </c>
      <c r="I248" s="42">
        <f t="shared" si="37"/>
        <v>0</v>
      </c>
      <c r="J248" s="42">
        <f t="shared" si="37"/>
        <v>0</v>
      </c>
      <c r="K248" s="42">
        <f t="shared" si="37"/>
        <v>0</v>
      </c>
      <c r="L248" s="42">
        <f t="shared" si="37"/>
        <v>31</v>
      </c>
      <c r="M248" s="42">
        <f t="shared" si="37"/>
        <v>0</v>
      </c>
      <c r="N248" s="41">
        <f>SUM(N231:N247)</f>
        <v>717</v>
      </c>
    </row>
    <row r="250" spans="1:14" ht="14" thickBot="1">
      <c r="B250" s="35" t="s">
        <v>35</v>
      </c>
      <c r="C250" s="35" t="s">
        <v>36</v>
      </c>
      <c r="D250" s="35" t="s">
        <v>37</v>
      </c>
      <c r="E250" s="35" t="s">
        <v>38</v>
      </c>
      <c r="F250" s="35" t="s">
        <v>39</v>
      </c>
      <c r="G250" s="35" t="s">
        <v>40</v>
      </c>
      <c r="H250" s="35" t="s">
        <v>41</v>
      </c>
      <c r="I250" s="35" t="s">
        <v>42</v>
      </c>
      <c r="J250" s="35" t="s">
        <v>43</v>
      </c>
      <c r="K250" s="35" t="s">
        <v>44</v>
      </c>
      <c r="L250" s="35" t="s">
        <v>45</v>
      </c>
      <c r="M250" s="35" t="s">
        <v>46</v>
      </c>
      <c r="N250" s="35" t="s">
        <v>10</v>
      </c>
    </row>
    <row r="251" spans="1:14" ht="17" thickBot="1">
      <c r="A251" s="23" t="s">
        <v>152</v>
      </c>
      <c r="B251" s="16"/>
      <c r="C251" s="16"/>
      <c r="D251" s="15"/>
      <c r="E251" s="15"/>
      <c r="F251" s="17"/>
      <c r="G251" s="17"/>
      <c r="H251" s="15"/>
      <c r="I251" s="15"/>
      <c r="J251" s="15"/>
      <c r="K251" s="15"/>
      <c r="L251" s="16"/>
      <c r="M251" s="16"/>
      <c r="N251" s="18"/>
    </row>
    <row r="252" spans="1:14" ht="14" thickBot="1">
      <c r="A252" s="30" t="s">
        <v>129</v>
      </c>
      <c r="B252" s="31"/>
      <c r="C252" s="31"/>
      <c r="D252" s="31"/>
      <c r="E252" s="31"/>
      <c r="F252" s="31"/>
      <c r="G252" s="31"/>
      <c r="H252" s="31"/>
      <c r="I252" s="31"/>
      <c r="J252" s="31"/>
      <c r="K252" s="31"/>
      <c r="L252" s="31"/>
      <c r="M252" s="31"/>
      <c r="N252" s="32"/>
    </row>
    <row r="253" spans="1:14">
      <c r="A253" s="24" t="s">
        <v>29</v>
      </c>
      <c r="B253" s="485">
        <v>3</v>
      </c>
      <c r="C253" s="485">
        <v>2</v>
      </c>
      <c r="D253" s="485">
        <v>2</v>
      </c>
      <c r="E253" s="485">
        <v>3</v>
      </c>
      <c r="F253" s="485">
        <v>7</v>
      </c>
      <c r="G253" s="485">
        <v>2</v>
      </c>
      <c r="H253" s="485">
        <v>9</v>
      </c>
      <c r="I253" s="485">
        <v>15</v>
      </c>
      <c r="J253" s="485">
        <v>15</v>
      </c>
      <c r="K253" s="485">
        <v>16</v>
      </c>
      <c r="L253" s="485">
        <v>8</v>
      </c>
      <c r="M253" s="485">
        <v>7</v>
      </c>
      <c r="N253" s="19">
        <f t="shared" ref="N253:N258" si="38">SUM(B253:M253)</f>
        <v>89</v>
      </c>
    </row>
    <row r="254" spans="1:14">
      <c r="A254" s="24" t="s">
        <v>33</v>
      </c>
      <c r="B254" s="485">
        <v>5</v>
      </c>
      <c r="C254" s="485">
        <v>8</v>
      </c>
      <c r="D254" s="485">
        <v>5</v>
      </c>
      <c r="E254" s="485">
        <v>9</v>
      </c>
      <c r="F254" s="485">
        <v>10</v>
      </c>
      <c r="G254" s="485">
        <v>5</v>
      </c>
      <c r="H254" s="485">
        <v>8</v>
      </c>
      <c r="I254" s="485">
        <v>4</v>
      </c>
      <c r="J254" s="485">
        <v>19</v>
      </c>
      <c r="K254" s="485">
        <v>3</v>
      </c>
      <c r="L254" s="485">
        <v>7</v>
      </c>
      <c r="M254" s="485">
        <v>3</v>
      </c>
      <c r="N254" s="19">
        <f t="shared" si="38"/>
        <v>86</v>
      </c>
    </row>
    <row r="255" spans="1:14">
      <c r="A255" s="24" t="s">
        <v>56</v>
      </c>
      <c r="B255" s="485">
        <v>0</v>
      </c>
      <c r="C255" s="485">
        <v>30</v>
      </c>
      <c r="D255" s="485">
        <v>0</v>
      </c>
      <c r="E255" s="485">
        <v>0</v>
      </c>
      <c r="F255" s="485">
        <v>0</v>
      </c>
      <c r="G255" s="485">
        <v>0</v>
      </c>
      <c r="H255" s="485">
        <v>0</v>
      </c>
      <c r="I255" s="485">
        <v>0</v>
      </c>
      <c r="J255" s="485">
        <v>0</v>
      </c>
      <c r="K255" s="485">
        <v>52</v>
      </c>
      <c r="L255" s="485">
        <v>0</v>
      </c>
      <c r="M255" s="485">
        <v>0</v>
      </c>
      <c r="N255" s="19">
        <f t="shared" si="38"/>
        <v>82</v>
      </c>
    </row>
    <row r="256" spans="1:14">
      <c r="A256" s="54" t="s">
        <v>30</v>
      </c>
      <c r="B256" s="485">
        <v>0</v>
      </c>
      <c r="C256" s="485">
        <v>1</v>
      </c>
      <c r="D256" s="485">
        <v>0</v>
      </c>
      <c r="E256" s="485">
        <v>0</v>
      </c>
      <c r="F256" s="485">
        <v>0</v>
      </c>
      <c r="G256" s="485">
        <v>0</v>
      </c>
      <c r="H256" s="485">
        <v>0</v>
      </c>
      <c r="I256" s="485">
        <v>0</v>
      </c>
      <c r="J256" s="485">
        <v>0</v>
      </c>
      <c r="K256" s="485">
        <v>1</v>
      </c>
      <c r="L256" s="485">
        <v>0</v>
      </c>
      <c r="M256" s="485">
        <v>0</v>
      </c>
      <c r="N256" s="19">
        <f t="shared" si="38"/>
        <v>2</v>
      </c>
    </row>
    <row r="257" spans="1:14">
      <c r="A257" s="53" t="s">
        <v>146</v>
      </c>
      <c r="B257" s="485">
        <v>0</v>
      </c>
      <c r="C257" s="485">
        <v>0</v>
      </c>
      <c r="D257" s="485">
        <v>0</v>
      </c>
      <c r="E257" s="485">
        <v>0</v>
      </c>
      <c r="F257" s="485">
        <v>0</v>
      </c>
      <c r="G257" s="485">
        <v>0</v>
      </c>
      <c r="H257" s="485">
        <v>0</v>
      </c>
      <c r="I257" s="485">
        <v>0</v>
      </c>
      <c r="J257" s="485">
        <v>0</v>
      </c>
      <c r="K257" s="485">
        <v>0</v>
      </c>
      <c r="L257" s="485">
        <v>0</v>
      </c>
      <c r="M257" s="485">
        <v>0</v>
      </c>
      <c r="N257" s="19">
        <f t="shared" si="38"/>
        <v>0</v>
      </c>
    </row>
    <row r="258" spans="1:14" ht="14" thickBot="1">
      <c r="A258" s="53" t="s">
        <v>145</v>
      </c>
      <c r="B258" s="485">
        <v>0</v>
      </c>
      <c r="C258" s="485">
        <v>1</v>
      </c>
      <c r="D258" s="485">
        <v>4</v>
      </c>
      <c r="E258" s="485">
        <v>1</v>
      </c>
      <c r="F258" s="485">
        <v>4</v>
      </c>
      <c r="G258" s="485">
        <v>0</v>
      </c>
      <c r="H258" s="485">
        <v>0</v>
      </c>
      <c r="I258" s="485">
        <v>0</v>
      </c>
      <c r="J258" s="485">
        <v>0</v>
      </c>
      <c r="K258" s="485">
        <v>0</v>
      </c>
      <c r="L258" s="485">
        <v>0</v>
      </c>
      <c r="M258" s="485">
        <v>0</v>
      </c>
      <c r="N258" s="19">
        <f t="shared" si="38"/>
        <v>10</v>
      </c>
    </row>
    <row r="259" spans="1:14" ht="14" thickBot="1">
      <c r="A259" s="30" t="s">
        <v>130</v>
      </c>
      <c r="B259" s="31"/>
      <c r="C259" s="31"/>
      <c r="D259" s="31"/>
      <c r="E259" s="31"/>
      <c r="F259" s="31"/>
      <c r="G259" s="31"/>
      <c r="H259" s="31"/>
      <c r="I259" s="31"/>
      <c r="J259" s="31"/>
      <c r="K259" s="31"/>
      <c r="L259" s="31"/>
      <c r="M259" s="31"/>
      <c r="N259" s="32"/>
    </row>
    <row r="260" spans="1:14">
      <c r="A260" s="53" t="s">
        <v>113</v>
      </c>
      <c r="B260" s="485">
        <v>332</v>
      </c>
      <c r="C260" s="485">
        <v>0</v>
      </c>
      <c r="D260" s="485">
        <v>0</v>
      </c>
      <c r="E260" s="485">
        <v>0</v>
      </c>
      <c r="F260" s="485">
        <v>0</v>
      </c>
      <c r="G260" s="485">
        <v>0</v>
      </c>
      <c r="H260" s="485">
        <v>0</v>
      </c>
      <c r="I260" s="485">
        <v>0</v>
      </c>
      <c r="J260" s="485">
        <v>0</v>
      </c>
      <c r="K260" s="485">
        <v>0</v>
      </c>
      <c r="L260" s="485">
        <v>0</v>
      </c>
      <c r="M260" s="485">
        <v>0</v>
      </c>
      <c r="N260" s="19">
        <f>SUM(B260:M260)</f>
        <v>332</v>
      </c>
    </row>
    <row r="261" spans="1:14">
      <c r="A261" s="53" t="s">
        <v>114</v>
      </c>
      <c r="B261" s="485">
        <v>0</v>
      </c>
      <c r="C261" s="485">
        <v>0</v>
      </c>
      <c r="D261" s="485">
        <v>0</v>
      </c>
      <c r="E261" s="485">
        <v>0</v>
      </c>
      <c r="F261" s="485">
        <v>0</v>
      </c>
      <c r="G261" s="485">
        <v>0</v>
      </c>
      <c r="H261" s="485">
        <v>8</v>
      </c>
      <c r="I261" s="485">
        <v>5</v>
      </c>
      <c r="J261" s="485">
        <v>0</v>
      </c>
      <c r="K261" s="485">
        <v>0</v>
      </c>
      <c r="L261" s="485">
        <v>3</v>
      </c>
      <c r="M261" s="485">
        <v>16</v>
      </c>
      <c r="N261" s="19">
        <f>SUM(B261:M261)</f>
        <v>32</v>
      </c>
    </row>
    <row r="262" spans="1:14">
      <c r="A262" s="53" t="s">
        <v>133</v>
      </c>
      <c r="B262" s="485">
        <v>1</v>
      </c>
      <c r="C262" s="485">
        <v>1</v>
      </c>
      <c r="D262" s="485">
        <v>0</v>
      </c>
      <c r="E262" s="485">
        <v>0</v>
      </c>
      <c r="F262" s="485">
        <v>3</v>
      </c>
      <c r="G262" s="485">
        <v>1</v>
      </c>
      <c r="H262" s="485">
        <v>0</v>
      </c>
      <c r="I262" s="485">
        <v>5</v>
      </c>
      <c r="J262" s="485">
        <v>1</v>
      </c>
      <c r="K262" s="485">
        <v>2</v>
      </c>
      <c r="L262" s="485">
        <v>0</v>
      </c>
      <c r="M262" s="485">
        <v>3</v>
      </c>
      <c r="N262" s="19">
        <f>SUM(B262:M262)</f>
        <v>17</v>
      </c>
    </row>
    <row r="263" spans="1:14" ht="14" thickBot="1">
      <c r="A263" s="53" t="s">
        <v>163</v>
      </c>
      <c r="B263" s="485">
        <v>0</v>
      </c>
      <c r="C263" s="485">
        <v>0</v>
      </c>
      <c r="D263" s="485">
        <v>0</v>
      </c>
      <c r="E263" s="485">
        <v>0</v>
      </c>
      <c r="F263" s="485">
        <v>0</v>
      </c>
      <c r="G263" s="485">
        <v>0</v>
      </c>
      <c r="H263" s="485">
        <v>0</v>
      </c>
      <c r="I263" s="485">
        <v>0</v>
      </c>
      <c r="J263" s="485">
        <v>0</v>
      </c>
      <c r="K263" s="485">
        <v>0</v>
      </c>
      <c r="L263" s="485">
        <v>0</v>
      </c>
      <c r="M263" s="485">
        <v>0</v>
      </c>
      <c r="N263" s="19">
        <f>SUM(B263:M263)</f>
        <v>0</v>
      </c>
    </row>
    <row r="264" spans="1:14" ht="14" thickBot="1">
      <c r="A264" s="40" t="s">
        <v>60</v>
      </c>
      <c r="B264" s="42">
        <f t="shared" ref="B264:L264" si="39">SUM(B253:B263)</f>
        <v>341</v>
      </c>
      <c r="C264" s="42">
        <f t="shared" si="39"/>
        <v>43</v>
      </c>
      <c r="D264" s="42">
        <f t="shared" si="39"/>
        <v>11</v>
      </c>
      <c r="E264" s="42">
        <f t="shared" si="39"/>
        <v>13</v>
      </c>
      <c r="F264" s="42">
        <f t="shared" si="39"/>
        <v>24</v>
      </c>
      <c r="G264" s="42">
        <f t="shared" si="39"/>
        <v>8</v>
      </c>
      <c r="H264" s="42">
        <f t="shared" si="39"/>
        <v>25</v>
      </c>
      <c r="I264" s="42">
        <f t="shared" si="39"/>
        <v>29</v>
      </c>
      <c r="J264" s="42">
        <f t="shared" si="39"/>
        <v>35</v>
      </c>
      <c r="K264" s="42">
        <f t="shared" si="39"/>
        <v>74</v>
      </c>
      <c r="L264" s="42">
        <f t="shared" si="39"/>
        <v>18</v>
      </c>
      <c r="M264" s="42">
        <f>SUM(M253:M263)</f>
        <v>29</v>
      </c>
      <c r="N264" s="41">
        <f>SUM(N253:N263)</f>
        <v>650</v>
      </c>
    </row>
    <row r="265" spans="1:14" ht="14" hidden="1" thickBot="1">
      <c r="A265" s="30" t="s">
        <v>131</v>
      </c>
      <c r="B265" s="31"/>
      <c r="C265" s="31"/>
      <c r="D265" s="31"/>
      <c r="E265" s="31"/>
      <c r="F265" s="31"/>
      <c r="G265" s="31"/>
      <c r="H265" s="31"/>
      <c r="I265" s="31"/>
      <c r="J265" s="31"/>
      <c r="K265" s="31"/>
      <c r="L265" s="31"/>
      <c r="M265" s="31"/>
      <c r="N265" s="32"/>
    </row>
    <row r="266" spans="1:14" ht="14" hidden="1" thickBot="1">
      <c r="A266" s="53" t="s">
        <v>105</v>
      </c>
      <c r="B266" s="103"/>
      <c r="C266" s="103"/>
      <c r="D266" s="103"/>
      <c r="E266" s="103"/>
      <c r="F266" s="103"/>
      <c r="G266" s="103"/>
      <c r="H266" s="103"/>
      <c r="I266" s="103"/>
      <c r="J266" s="103"/>
      <c r="K266" s="103"/>
      <c r="L266" s="103"/>
      <c r="M266" s="103"/>
      <c r="N266" s="19"/>
    </row>
    <row r="267" spans="1:14" ht="14" hidden="1" thickBot="1">
      <c r="A267" s="53" t="s">
        <v>120</v>
      </c>
      <c r="B267" s="103"/>
      <c r="C267" s="103"/>
      <c r="D267" s="103"/>
      <c r="E267" s="103"/>
      <c r="F267" s="103"/>
      <c r="G267" s="103"/>
      <c r="H267" s="103"/>
      <c r="I267" s="103"/>
      <c r="J267" s="103"/>
      <c r="K267" s="103"/>
      <c r="L267" s="103"/>
      <c r="M267" s="103"/>
      <c r="N267" s="19"/>
    </row>
    <row r="268" spans="1:14" ht="14" hidden="1" thickBot="1">
      <c r="A268" s="40" t="s">
        <v>60</v>
      </c>
      <c r="B268" s="42"/>
      <c r="C268" s="42"/>
      <c r="D268" s="42"/>
      <c r="E268" s="42"/>
      <c r="F268" s="42"/>
      <c r="G268" s="42"/>
      <c r="H268" s="42"/>
      <c r="I268" s="42"/>
      <c r="J268" s="42"/>
      <c r="K268" s="42"/>
      <c r="L268" s="42"/>
      <c r="M268" s="42"/>
      <c r="N268" s="41"/>
    </row>
    <row r="269" spans="1:14" ht="14" thickBot="1">
      <c r="A269" s="30" t="s">
        <v>134</v>
      </c>
      <c r="B269" s="31"/>
      <c r="C269" s="31"/>
      <c r="D269" s="31"/>
      <c r="E269" s="31"/>
      <c r="F269" s="31"/>
      <c r="G269" s="31"/>
      <c r="H269" s="31"/>
      <c r="I269" s="31"/>
      <c r="J269" s="31"/>
      <c r="K269" s="31"/>
      <c r="L269" s="31"/>
      <c r="M269" s="31"/>
      <c r="N269" s="32"/>
    </row>
    <row r="270" spans="1:14">
      <c r="A270" s="24" t="s">
        <v>29</v>
      </c>
      <c r="B270" s="485">
        <v>0</v>
      </c>
      <c r="C270" s="485">
        <v>0</v>
      </c>
      <c r="D270" s="485">
        <v>0</v>
      </c>
      <c r="E270" s="485">
        <v>0</v>
      </c>
      <c r="F270" s="485">
        <v>200</v>
      </c>
      <c r="G270" s="485">
        <v>0</v>
      </c>
      <c r="H270" s="485">
        <v>0</v>
      </c>
      <c r="I270" s="485">
        <v>0</v>
      </c>
      <c r="J270" s="485">
        <v>0</v>
      </c>
      <c r="K270" s="485">
        <v>0</v>
      </c>
      <c r="L270" s="485">
        <v>0</v>
      </c>
      <c r="M270" s="485">
        <v>0</v>
      </c>
      <c r="N270" s="19">
        <f>SUM(B270:M270)</f>
        <v>200</v>
      </c>
    </row>
    <row r="271" spans="1:14">
      <c r="A271" s="24" t="s">
        <v>51</v>
      </c>
      <c r="B271" s="485">
        <v>0</v>
      </c>
      <c r="C271" s="485">
        <v>0</v>
      </c>
      <c r="D271" s="485">
        <v>0</v>
      </c>
      <c r="E271" s="485">
        <v>0</v>
      </c>
      <c r="F271" s="485">
        <v>0</v>
      </c>
      <c r="G271" s="485">
        <v>0</v>
      </c>
      <c r="H271" s="485">
        <v>0</v>
      </c>
      <c r="I271" s="485">
        <v>0</v>
      </c>
      <c r="J271" s="485">
        <v>0</v>
      </c>
      <c r="K271" s="485">
        <v>0</v>
      </c>
      <c r="L271" s="485">
        <v>0</v>
      </c>
      <c r="M271" s="485">
        <v>0</v>
      </c>
      <c r="N271" s="19">
        <f t="shared" ref="N271:N283" si="40">SUM(B271:M271)</f>
        <v>0</v>
      </c>
    </row>
    <row r="272" spans="1:14">
      <c r="A272" s="26" t="s">
        <v>140</v>
      </c>
      <c r="B272" s="485">
        <v>0</v>
      </c>
      <c r="C272" s="485">
        <v>0</v>
      </c>
      <c r="D272" s="485">
        <v>0</v>
      </c>
      <c r="E272" s="485">
        <v>0</v>
      </c>
      <c r="F272" s="485">
        <v>0</v>
      </c>
      <c r="G272" s="485">
        <v>0</v>
      </c>
      <c r="H272" s="485">
        <v>0</v>
      </c>
      <c r="I272" s="485">
        <v>0</v>
      </c>
      <c r="J272" s="485">
        <v>0</v>
      </c>
      <c r="K272" s="485">
        <v>0</v>
      </c>
      <c r="L272" s="485">
        <v>0</v>
      </c>
      <c r="M272" s="485">
        <v>0</v>
      </c>
      <c r="N272" s="19">
        <f t="shared" si="40"/>
        <v>0</v>
      </c>
    </row>
    <row r="273" spans="1:14" hidden="1">
      <c r="A273" s="26" t="s">
        <v>13</v>
      </c>
      <c r="B273" s="485"/>
      <c r="C273" s="485"/>
      <c r="D273" s="485"/>
      <c r="E273" s="485"/>
      <c r="F273" s="485"/>
      <c r="G273" s="485"/>
      <c r="H273" s="485"/>
      <c r="I273" s="485"/>
      <c r="J273" s="485"/>
      <c r="K273" s="485"/>
      <c r="L273" s="485"/>
      <c r="M273" s="485"/>
      <c r="N273" s="19">
        <f t="shared" si="40"/>
        <v>0</v>
      </c>
    </row>
    <row r="274" spans="1:14" hidden="1">
      <c r="A274" s="27" t="s">
        <v>47</v>
      </c>
      <c r="B274" s="485"/>
      <c r="C274" s="485"/>
      <c r="D274" s="485"/>
      <c r="E274" s="485"/>
      <c r="F274" s="485"/>
      <c r="G274" s="485"/>
      <c r="H274" s="485"/>
      <c r="I274" s="485"/>
      <c r="J274" s="485"/>
      <c r="K274" s="485"/>
      <c r="L274" s="485"/>
      <c r="M274" s="485"/>
      <c r="N274" s="19">
        <f t="shared" si="40"/>
        <v>0</v>
      </c>
    </row>
    <row r="275" spans="1:14">
      <c r="A275" s="53" t="s">
        <v>30</v>
      </c>
      <c r="B275" s="485">
        <v>3</v>
      </c>
      <c r="C275" s="485">
        <v>0</v>
      </c>
      <c r="D275" s="485">
        <v>0</v>
      </c>
      <c r="E275" s="485">
        <v>0</v>
      </c>
      <c r="F275" s="485">
        <v>0</v>
      </c>
      <c r="G275" s="485">
        <v>0</v>
      </c>
      <c r="H275" s="485">
        <v>8</v>
      </c>
      <c r="I275" s="485">
        <v>3</v>
      </c>
      <c r="J275" s="485">
        <v>2</v>
      </c>
      <c r="K275" s="485">
        <v>0</v>
      </c>
      <c r="L275" s="485">
        <v>4</v>
      </c>
      <c r="M275" s="485">
        <v>3</v>
      </c>
      <c r="N275" s="19">
        <f t="shared" si="40"/>
        <v>23</v>
      </c>
    </row>
    <row r="276" spans="1:14" hidden="1">
      <c r="A276" s="53" t="s">
        <v>108</v>
      </c>
      <c r="B276" s="485"/>
      <c r="C276" s="485"/>
      <c r="D276" s="485"/>
      <c r="E276" s="485"/>
      <c r="F276" s="485"/>
      <c r="G276" s="485"/>
      <c r="H276" s="485"/>
      <c r="I276" s="485"/>
      <c r="J276" s="485"/>
      <c r="K276" s="485"/>
      <c r="L276" s="485"/>
      <c r="M276" s="485"/>
      <c r="N276" s="19">
        <f t="shared" si="40"/>
        <v>0</v>
      </c>
    </row>
    <row r="277" spans="1:14">
      <c r="A277" s="24" t="s">
        <v>56</v>
      </c>
      <c r="B277" s="485">
        <v>1488</v>
      </c>
      <c r="C277" s="485">
        <v>0</v>
      </c>
      <c r="D277" s="485">
        <v>0</v>
      </c>
      <c r="E277" s="485">
        <v>0</v>
      </c>
      <c r="F277" s="485">
        <v>0</v>
      </c>
      <c r="G277" s="485">
        <v>0</v>
      </c>
      <c r="H277" s="485">
        <v>0</v>
      </c>
      <c r="I277" s="485">
        <v>0</v>
      </c>
      <c r="J277" s="485">
        <v>0</v>
      </c>
      <c r="K277" s="485">
        <v>0</v>
      </c>
      <c r="L277" s="485">
        <v>0</v>
      </c>
      <c r="M277" s="485">
        <v>1563</v>
      </c>
      <c r="N277" s="19">
        <f t="shared" si="40"/>
        <v>3051</v>
      </c>
    </row>
    <row r="278" spans="1:14">
      <c r="A278" s="54" t="s">
        <v>89</v>
      </c>
      <c r="B278" s="485">
        <v>0</v>
      </c>
      <c r="C278" s="485">
        <v>0</v>
      </c>
      <c r="D278" s="485">
        <v>0</v>
      </c>
      <c r="E278" s="485">
        <v>0</v>
      </c>
      <c r="F278" s="485">
        <v>0</v>
      </c>
      <c r="G278" s="485">
        <v>0</v>
      </c>
      <c r="H278" s="485">
        <v>0</v>
      </c>
      <c r="I278" s="485">
        <v>0</v>
      </c>
      <c r="J278" s="485">
        <v>0</v>
      </c>
      <c r="K278" s="485">
        <v>0</v>
      </c>
      <c r="L278" s="485">
        <v>0</v>
      </c>
      <c r="M278" s="485">
        <v>0</v>
      </c>
      <c r="N278" s="19">
        <f t="shared" si="40"/>
        <v>0</v>
      </c>
    </row>
    <row r="279" spans="1:14" hidden="1">
      <c r="A279" s="24" t="s">
        <v>83</v>
      </c>
      <c r="B279" s="485"/>
      <c r="C279" s="485"/>
      <c r="D279" s="485"/>
      <c r="E279" s="485"/>
      <c r="F279" s="485"/>
      <c r="G279" s="485"/>
      <c r="H279" s="485"/>
      <c r="I279" s="485"/>
      <c r="J279" s="485"/>
      <c r="K279" s="485"/>
      <c r="L279" s="485"/>
      <c r="M279" s="485"/>
      <c r="N279" s="19">
        <f t="shared" si="40"/>
        <v>0</v>
      </c>
    </row>
    <row r="280" spans="1:14">
      <c r="A280" s="54" t="s">
        <v>124</v>
      </c>
      <c r="B280" s="485">
        <v>0</v>
      </c>
      <c r="C280" s="485">
        <v>0</v>
      </c>
      <c r="D280" s="485">
        <v>0</v>
      </c>
      <c r="E280" s="485">
        <v>0</v>
      </c>
      <c r="F280" s="485">
        <v>0</v>
      </c>
      <c r="G280" s="485">
        <v>0</v>
      </c>
      <c r="H280" s="485">
        <v>0</v>
      </c>
      <c r="I280" s="485">
        <v>0</v>
      </c>
      <c r="J280" s="485">
        <v>0</v>
      </c>
      <c r="K280" s="485">
        <v>0</v>
      </c>
      <c r="L280" s="485">
        <v>0</v>
      </c>
      <c r="M280" s="485">
        <v>0</v>
      </c>
      <c r="N280" s="19">
        <f t="shared" si="40"/>
        <v>0</v>
      </c>
    </row>
    <row r="281" spans="1:14">
      <c r="A281" s="54" t="s">
        <v>127</v>
      </c>
      <c r="B281" s="485">
        <v>0</v>
      </c>
      <c r="C281" s="485">
        <v>0</v>
      </c>
      <c r="D281" s="485">
        <v>0</v>
      </c>
      <c r="E281" s="485">
        <v>0</v>
      </c>
      <c r="F281" s="485">
        <v>0</v>
      </c>
      <c r="G281" s="485">
        <v>0</v>
      </c>
      <c r="H281" s="485">
        <v>0</v>
      </c>
      <c r="I281" s="485">
        <v>0</v>
      </c>
      <c r="J281" s="485">
        <v>0</v>
      </c>
      <c r="K281" s="485">
        <v>0</v>
      </c>
      <c r="L281" s="485">
        <v>0</v>
      </c>
      <c r="M281" s="485">
        <v>0</v>
      </c>
      <c r="N281" s="19">
        <f t="shared" si="40"/>
        <v>0</v>
      </c>
    </row>
    <row r="282" spans="1:14">
      <c r="A282" s="54" t="s">
        <v>128</v>
      </c>
      <c r="B282" s="485">
        <v>0</v>
      </c>
      <c r="C282" s="485">
        <v>0</v>
      </c>
      <c r="D282" s="485">
        <v>0</v>
      </c>
      <c r="E282" s="485">
        <v>0</v>
      </c>
      <c r="F282" s="485">
        <v>0</v>
      </c>
      <c r="G282" s="485">
        <v>0</v>
      </c>
      <c r="H282" s="485">
        <v>0</v>
      </c>
      <c r="I282" s="485">
        <v>0</v>
      </c>
      <c r="J282" s="485">
        <v>0</v>
      </c>
      <c r="K282" s="485">
        <v>0</v>
      </c>
      <c r="L282" s="485">
        <v>0</v>
      </c>
      <c r="M282" s="485">
        <v>0</v>
      </c>
      <c r="N282" s="19">
        <f t="shared" si="40"/>
        <v>0</v>
      </c>
    </row>
    <row r="283" spans="1:14" ht="14" thickBot="1">
      <c r="A283" s="54" t="s">
        <v>146</v>
      </c>
      <c r="B283" s="485">
        <v>3</v>
      </c>
      <c r="C283" s="485">
        <v>0</v>
      </c>
      <c r="D283" s="485">
        <v>0</v>
      </c>
      <c r="E283" s="485">
        <v>0</v>
      </c>
      <c r="F283" s="485">
        <v>0</v>
      </c>
      <c r="G283" s="485">
        <v>0</v>
      </c>
      <c r="H283" s="485">
        <v>0</v>
      </c>
      <c r="I283" s="485">
        <v>0</v>
      </c>
      <c r="J283" s="485">
        <v>0</v>
      </c>
      <c r="K283" s="485">
        <v>0</v>
      </c>
      <c r="L283" s="485">
        <v>0</v>
      </c>
      <c r="M283" s="485">
        <v>0</v>
      </c>
      <c r="N283" s="19">
        <f t="shared" si="40"/>
        <v>3</v>
      </c>
    </row>
    <row r="284" spans="1:14" ht="14" thickBot="1">
      <c r="A284" s="30" t="s">
        <v>132</v>
      </c>
      <c r="B284" s="31"/>
      <c r="C284" s="31"/>
      <c r="D284" s="31"/>
      <c r="E284" s="31"/>
      <c r="F284" s="31"/>
      <c r="G284" s="31"/>
      <c r="H284" s="31"/>
      <c r="I284" s="31"/>
      <c r="J284" s="31"/>
      <c r="K284" s="31"/>
      <c r="L284" s="31"/>
      <c r="M284" s="31"/>
      <c r="N284" s="32"/>
    </row>
    <row r="285" spans="1:14" hidden="1">
      <c r="A285" s="54" t="s">
        <v>115</v>
      </c>
      <c r="B285" s="103"/>
      <c r="C285" s="103"/>
      <c r="D285" s="103"/>
      <c r="E285" s="103"/>
      <c r="F285" s="103"/>
      <c r="G285" s="103"/>
      <c r="H285" s="103"/>
      <c r="I285" s="103"/>
      <c r="J285" s="103"/>
      <c r="K285" s="103"/>
      <c r="L285" s="103"/>
      <c r="M285" s="103"/>
      <c r="N285" s="19"/>
    </row>
    <row r="286" spans="1:14" ht="14" thickBot="1">
      <c r="A286" s="24" t="s">
        <v>113</v>
      </c>
      <c r="B286" s="485">
        <v>0</v>
      </c>
      <c r="C286" s="485">
        <v>0</v>
      </c>
      <c r="D286" s="485">
        <v>0</v>
      </c>
      <c r="E286" s="485">
        <v>0</v>
      </c>
      <c r="F286" s="485">
        <v>0</v>
      </c>
      <c r="G286" s="485">
        <v>0</v>
      </c>
      <c r="H286" s="485">
        <v>0</v>
      </c>
      <c r="I286" s="485">
        <v>0</v>
      </c>
      <c r="J286" s="485">
        <v>0</v>
      </c>
      <c r="K286" s="485">
        <v>0</v>
      </c>
      <c r="L286" s="485">
        <v>0</v>
      </c>
      <c r="M286" s="485">
        <v>0</v>
      </c>
      <c r="N286" s="19">
        <f>SUM(B286:M286)</f>
        <v>0</v>
      </c>
    </row>
    <row r="287" spans="1:14" ht="14" thickBot="1">
      <c r="A287" s="40" t="s">
        <v>60</v>
      </c>
      <c r="B287" s="42">
        <f>SUM(B270:B286)</f>
        <v>1494</v>
      </c>
      <c r="C287" s="42">
        <f t="shared" ref="C287:M287" si="41">SUM(C270:C286)</f>
        <v>0</v>
      </c>
      <c r="D287" s="42">
        <f t="shared" si="41"/>
        <v>0</v>
      </c>
      <c r="E287" s="42">
        <f t="shared" si="41"/>
        <v>0</v>
      </c>
      <c r="F287" s="42">
        <f t="shared" si="41"/>
        <v>200</v>
      </c>
      <c r="G287" s="42">
        <f t="shared" si="41"/>
        <v>0</v>
      </c>
      <c r="H287" s="42">
        <f t="shared" si="41"/>
        <v>8</v>
      </c>
      <c r="I287" s="42">
        <f t="shared" si="41"/>
        <v>3</v>
      </c>
      <c r="J287" s="42">
        <f t="shared" si="41"/>
        <v>2</v>
      </c>
      <c r="K287" s="42">
        <f t="shared" si="41"/>
        <v>0</v>
      </c>
      <c r="L287" s="42">
        <f t="shared" si="41"/>
        <v>4</v>
      </c>
      <c r="M287" s="42">
        <f t="shared" si="41"/>
        <v>1566</v>
      </c>
      <c r="N287" s="41">
        <f>SUM(N270:N286)</f>
        <v>3277</v>
      </c>
    </row>
    <row r="289" spans="1:14" ht="14" thickBot="1">
      <c r="B289" s="35" t="s">
        <v>35</v>
      </c>
      <c r="C289" s="35" t="s">
        <v>36</v>
      </c>
      <c r="D289" s="35" t="s">
        <v>37</v>
      </c>
      <c r="E289" s="35" t="s">
        <v>38</v>
      </c>
      <c r="F289" s="35" t="s">
        <v>39</v>
      </c>
      <c r="G289" s="35" t="s">
        <v>40</v>
      </c>
      <c r="H289" s="35" t="s">
        <v>41</v>
      </c>
      <c r="I289" s="35" t="s">
        <v>42</v>
      </c>
      <c r="J289" s="35" t="s">
        <v>43</v>
      </c>
      <c r="K289" s="35" t="s">
        <v>44</v>
      </c>
      <c r="L289" s="35" t="s">
        <v>45</v>
      </c>
      <c r="M289" s="35" t="s">
        <v>46</v>
      </c>
      <c r="N289" s="35" t="s">
        <v>10</v>
      </c>
    </row>
    <row r="290" spans="1:14" ht="17" thickBot="1">
      <c r="A290" s="23" t="s">
        <v>160</v>
      </c>
      <c r="B290" s="16"/>
      <c r="C290" s="16"/>
      <c r="D290" s="15"/>
      <c r="E290" s="15"/>
      <c r="F290" s="17"/>
      <c r="G290" s="17"/>
      <c r="H290" s="15"/>
      <c r="I290" s="15"/>
      <c r="J290" s="15"/>
      <c r="K290" s="15"/>
      <c r="L290" s="16"/>
      <c r="M290" s="16"/>
      <c r="N290" s="18"/>
    </row>
    <row r="291" spans="1:14" ht="14" thickBot="1">
      <c r="A291" s="30" t="s">
        <v>129</v>
      </c>
      <c r="B291" s="31"/>
      <c r="C291" s="31"/>
      <c r="D291" s="31"/>
      <c r="E291" s="31"/>
      <c r="F291" s="31"/>
      <c r="G291" s="31"/>
      <c r="H291" s="31"/>
      <c r="I291" s="31"/>
      <c r="J291" s="31"/>
      <c r="K291" s="31"/>
      <c r="L291" s="31"/>
      <c r="M291" s="31"/>
      <c r="N291" s="32"/>
    </row>
    <row r="292" spans="1:14">
      <c r="A292" s="24" t="s">
        <v>29</v>
      </c>
      <c r="B292" s="485">
        <v>19</v>
      </c>
      <c r="C292" s="485">
        <v>16</v>
      </c>
      <c r="D292" s="485">
        <v>22</v>
      </c>
      <c r="E292" s="485">
        <v>89</v>
      </c>
      <c r="F292" s="485">
        <v>16</v>
      </c>
      <c r="G292" s="485">
        <v>11</v>
      </c>
      <c r="H292" s="485">
        <v>1</v>
      </c>
      <c r="I292" s="485">
        <v>3</v>
      </c>
      <c r="J292" s="485">
        <v>6</v>
      </c>
      <c r="K292" s="485">
        <v>0</v>
      </c>
      <c r="L292" s="485">
        <v>0</v>
      </c>
      <c r="M292" s="485">
        <v>0</v>
      </c>
      <c r="N292" s="19">
        <f>SUM(B292:M292)</f>
        <v>183</v>
      </c>
    </row>
    <row r="293" spans="1:14">
      <c r="A293" s="24" t="s">
        <v>33</v>
      </c>
      <c r="B293" s="485">
        <v>9</v>
      </c>
      <c r="C293" s="485">
        <v>1</v>
      </c>
      <c r="D293" s="485">
        <v>5</v>
      </c>
      <c r="E293" s="485">
        <v>7</v>
      </c>
      <c r="F293" s="485">
        <v>1</v>
      </c>
      <c r="G293" s="485">
        <v>2</v>
      </c>
      <c r="H293" s="485">
        <v>1</v>
      </c>
      <c r="I293" s="485">
        <v>10</v>
      </c>
      <c r="J293" s="485">
        <v>9</v>
      </c>
      <c r="K293" s="485">
        <v>4</v>
      </c>
      <c r="L293" s="485">
        <v>4</v>
      </c>
      <c r="M293" s="485">
        <v>23</v>
      </c>
      <c r="N293" s="19">
        <f t="shared" ref="N293:N302" si="42">SUM(B293:M293)</f>
        <v>76</v>
      </c>
    </row>
    <row r="294" spans="1:14">
      <c r="A294" s="24" t="s">
        <v>56</v>
      </c>
      <c r="B294" s="485">
        <v>0</v>
      </c>
      <c r="C294" s="485">
        <v>19</v>
      </c>
      <c r="D294" s="485">
        <v>27</v>
      </c>
      <c r="E294" s="485">
        <v>56</v>
      </c>
      <c r="F294" s="485">
        <v>0</v>
      </c>
      <c r="G294" s="485">
        <v>0</v>
      </c>
      <c r="H294" s="485">
        <v>0</v>
      </c>
      <c r="I294" s="485">
        <v>0</v>
      </c>
      <c r="J294" s="485">
        <v>0</v>
      </c>
      <c r="K294" s="485">
        <v>0</v>
      </c>
      <c r="L294" s="485">
        <v>0</v>
      </c>
      <c r="M294" s="485">
        <v>0</v>
      </c>
      <c r="N294" s="19">
        <f t="shared" si="42"/>
        <v>102</v>
      </c>
    </row>
    <row r="295" spans="1:14">
      <c r="A295" s="54" t="s">
        <v>30</v>
      </c>
      <c r="B295" s="485">
        <v>1</v>
      </c>
      <c r="C295" s="485">
        <v>2</v>
      </c>
      <c r="D295" s="485">
        <v>0</v>
      </c>
      <c r="E295" s="485">
        <v>2</v>
      </c>
      <c r="F295" s="485">
        <v>1</v>
      </c>
      <c r="G295" s="485">
        <v>0</v>
      </c>
      <c r="H295" s="485">
        <v>1</v>
      </c>
      <c r="I295" s="485">
        <v>1</v>
      </c>
      <c r="J295" s="485">
        <v>1</v>
      </c>
      <c r="K295" s="485">
        <v>0</v>
      </c>
      <c r="L295" s="485">
        <v>0</v>
      </c>
      <c r="M295" s="485">
        <v>3</v>
      </c>
      <c r="N295" s="19">
        <f t="shared" si="42"/>
        <v>12</v>
      </c>
    </row>
    <row r="296" spans="1:14">
      <c r="A296" s="53" t="s">
        <v>146</v>
      </c>
      <c r="B296" s="485">
        <v>0</v>
      </c>
      <c r="C296" s="485">
        <v>0</v>
      </c>
      <c r="D296" s="485">
        <v>3</v>
      </c>
      <c r="E296" s="485">
        <v>1</v>
      </c>
      <c r="F296" s="485">
        <v>1</v>
      </c>
      <c r="G296" s="485">
        <v>5</v>
      </c>
      <c r="H296" s="485">
        <v>10</v>
      </c>
      <c r="I296" s="485">
        <v>3</v>
      </c>
      <c r="J296" s="485">
        <v>2</v>
      </c>
      <c r="K296" s="485">
        <v>0</v>
      </c>
      <c r="L296" s="485">
        <v>0</v>
      </c>
      <c r="M296" s="485">
        <v>0</v>
      </c>
      <c r="N296" s="19">
        <f t="shared" si="42"/>
        <v>25</v>
      </c>
    </row>
    <row r="297" spans="1:14">
      <c r="A297" s="53" t="s">
        <v>145</v>
      </c>
      <c r="B297" s="485">
        <v>0</v>
      </c>
      <c r="C297" s="485">
        <v>0</v>
      </c>
      <c r="D297" s="485">
        <v>1</v>
      </c>
      <c r="E297" s="485">
        <v>3</v>
      </c>
      <c r="F297" s="485">
        <v>2</v>
      </c>
      <c r="G297" s="485">
        <v>0</v>
      </c>
      <c r="H297" s="485">
        <v>0</v>
      </c>
      <c r="I297" s="485">
        <v>0</v>
      </c>
      <c r="J297" s="485">
        <v>4</v>
      </c>
      <c r="K297" s="485">
        <v>4</v>
      </c>
      <c r="L297" s="485">
        <v>2</v>
      </c>
      <c r="M297" s="485">
        <v>0</v>
      </c>
      <c r="N297" s="19">
        <f t="shared" si="42"/>
        <v>16</v>
      </c>
    </row>
    <row r="298" spans="1:14" ht="14" thickBot="1">
      <c r="A298" s="53" t="s">
        <v>164</v>
      </c>
      <c r="B298" s="485">
        <v>0</v>
      </c>
      <c r="C298" s="485">
        <v>0</v>
      </c>
      <c r="D298" s="485">
        <v>0</v>
      </c>
      <c r="E298" s="485">
        <v>0</v>
      </c>
      <c r="F298" s="485">
        <v>0</v>
      </c>
      <c r="G298" s="485">
        <v>0</v>
      </c>
      <c r="H298" s="485">
        <v>0</v>
      </c>
      <c r="I298" s="485">
        <v>0</v>
      </c>
      <c r="J298" s="485">
        <v>0</v>
      </c>
      <c r="K298" s="485">
        <v>0</v>
      </c>
      <c r="L298" s="485">
        <v>0</v>
      </c>
      <c r="M298" s="485">
        <v>0</v>
      </c>
      <c r="N298" s="19">
        <f t="shared" si="42"/>
        <v>0</v>
      </c>
    </row>
    <row r="299" spans="1:14" ht="14" thickBot="1">
      <c r="A299" s="30" t="s">
        <v>130</v>
      </c>
      <c r="B299" s="31"/>
      <c r="C299" s="31"/>
      <c r="D299" s="31"/>
      <c r="E299" s="31"/>
      <c r="F299" s="31"/>
      <c r="G299" s="31"/>
      <c r="H299" s="31"/>
      <c r="I299" s="31"/>
      <c r="J299" s="31"/>
      <c r="K299" s="31"/>
      <c r="L299" s="31"/>
      <c r="M299" s="31"/>
      <c r="N299" s="138"/>
    </row>
    <row r="300" spans="1:14">
      <c r="A300" s="53" t="s">
        <v>113</v>
      </c>
      <c r="B300" s="485">
        <v>0</v>
      </c>
      <c r="C300" s="485">
        <v>0</v>
      </c>
      <c r="D300" s="485">
        <v>0</v>
      </c>
      <c r="E300" s="485">
        <v>0</v>
      </c>
      <c r="F300" s="485">
        <v>0</v>
      </c>
      <c r="G300" s="485">
        <v>0</v>
      </c>
      <c r="H300" s="485">
        <v>0</v>
      </c>
      <c r="I300" s="485">
        <v>0</v>
      </c>
      <c r="J300" s="485">
        <v>0</v>
      </c>
      <c r="K300" s="485">
        <v>0</v>
      </c>
      <c r="L300" s="485">
        <v>0</v>
      </c>
      <c r="M300" s="485">
        <v>108</v>
      </c>
      <c r="N300" s="19">
        <f t="shared" si="42"/>
        <v>108</v>
      </c>
    </row>
    <row r="301" spans="1:14">
      <c r="A301" s="53" t="s">
        <v>114</v>
      </c>
      <c r="B301" s="485">
        <v>8</v>
      </c>
      <c r="C301" s="485">
        <v>4</v>
      </c>
      <c r="D301" s="485">
        <v>4</v>
      </c>
      <c r="E301" s="485">
        <v>0</v>
      </c>
      <c r="F301" s="485">
        <v>0</v>
      </c>
      <c r="G301" s="485">
        <v>5</v>
      </c>
      <c r="H301" s="485">
        <v>9</v>
      </c>
      <c r="I301" s="485">
        <v>2</v>
      </c>
      <c r="J301" s="485">
        <v>2</v>
      </c>
      <c r="K301" s="485">
        <v>3</v>
      </c>
      <c r="L301" s="485">
        <v>1</v>
      </c>
      <c r="M301" s="485">
        <v>0</v>
      </c>
      <c r="N301" s="19">
        <f t="shared" si="42"/>
        <v>38</v>
      </c>
    </row>
    <row r="302" spans="1:14">
      <c r="A302" s="53" t="s">
        <v>133</v>
      </c>
      <c r="B302" s="485">
        <v>2</v>
      </c>
      <c r="C302" s="485">
        <v>0</v>
      </c>
      <c r="D302" s="485">
        <v>1</v>
      </c>
      <c r="E302" s="485">
        <v>0</v>
      </c>
      <c r="F302" s="485">
        <v>0</v>
      </c>
      <c r="G302" s="485">
        <v>0</v>
      </c>
      <c r="H302" s="485">
        <v>0</v>
      </c>
      <c r="I302" s="485">
        <v>0</v>
      </c>
      <c r="J302" s="485">
        <v>0</v>
      </c>
      <c r="K302" s="485">
        <v>0</v>
      </c>
      <c r="L302" s="485">
        <v>0</v>
      </c>
      <c r="M302" s="485">
        <v>0</v>
      </c>
      <c r="N302" s="19">
        <f t="shared" si="42"/>
        <v>3</v>
      </c>
    </row>
    <row r="303" spans="1:14" ht="14" thickBot="1">
      <c r="A303" s="53" t="s">
        <v>163</v>
      </c>
      <c r="B303" s="485">
        <v>0</v>
      </c>
      <c r="C303" s="485">
        <v>0</v>
      </c>
      <c r="D303" s="485">
        <v>0</v>
      </c>
      <c r="E303" s="485">
        <v>0</v>
      </c>
      <c r="F303" s="485">
        <v>0</v>
      </c>
      <c r="G303" s="485">
        <v>0</v>
      </c>
      <c r="H303" s="485">
        <v>0</v>
      </c>
      <c r="I303" s="485">
        <v>0</v>
      </c>
      <c r="J303" s="485">
        <v>0</v>
      </c>
      <c r="K303" s="485">
        <v>0</v>
      </c>
      <c r="L303" s="485">
        <v>0</v>
      </c>
      <c r="M303" s="485">
        <v>0</v>
      </c>
      <c r="N303" s="19">
        <f>SUM(B303:M303)</f>
        <v>0</v>
      </c>
    </row>
    <row r="304" spans="1:14" ht="14" thickBot="1">
      <c r="A304" s="40" t="s">
        <v>60</v>
      </c>
      <c r="B304" s="42">
        <f t="shared" ref="B304:K304" si="43">SUM(B292:B303)</f>
        <v>39</v>
      </c>
      <c r="C304" s="42">
        <f t="shared" si="43"/>
        <v>42</v>
      </c>
      <c r="D304" s="42">
        <f t="shared" si="43"/>
        <v>63</v>
      </c>
      <c r="E304" s="42">
        <f t="shared" si="43"/>
        <v>158</v>
      </c>
      <c r="F304" s="42">
        <f t="shared" si="43"/>
        <v>21</v>
      </c>
      <c r="G304" s="42">
        <f t="shared" si="43"/>
        <v>23</v>
      </c>
      <c r="H304" s="42">
        <f t="shared" si="43"/>
        <v>22</v>
      </c>
      <c r="I304" s="42">
        <f t="shared" si="43"/>
        <v>19</v>
      </c>
      <c r="J304" s="42">
        <f t="shared" si="43"/>
        <v>24</v>
      </c>
      <c r="K304" s="42">
        <f t="shared" si="43"/>
        <v>11</v>
      </c>
      <c r="L304" s="42">
        <f>SUM(L292:L303)</f>
        <v>7</v>
      </c>
      <c r="M304" s="42">
        <f>SUM(M292:M303)</f>
        <v>134</v>
      </c>
      <c r="N304" s="41">
        <f>SUM(N292:N303)</f>
        <v>563</v>
      </c>
    </row>
    <row r="305" spans="1:14" ht="14" thickBot="1">
      <c r="A305" s="40"/>
      <c r="B305" s="42"/>
      <c r="C305" s="42"/>
      <c r="D305" s="42"/>
      <c r="E305" s="42"/>
      <c r="F305" s="42"/>
      <c r="G305" s="42"/>
      <c r="H305" s="42"/>
      <c r="I305" s="42"/>
      <c r="J305" s="42"/>
      <c r="K305" s="42"/>
      <c r="L305" s="42"/>
      <c r="M305" s="42"/>
      <c r="N305" s="41"/>
    </row>
    <row r="306" spans="1:14" ht="14" thickBot="1">
      <c r="A306" s="30" t="s">
        <v>134</v>
      </c>
      <c r="B306" s="31"/>
      <c r="C306" s="31"/>
      <c r="D306" s="31"/>
      <c r="E306" s="31"/>
      <c r="F306" s="31"/>
      <c r="G306" s="31"/>
      <c r="H306" s="31"/>
      <c r="I306" s="31"/>
      <c r="J306" s="31"/>
      <c r="K306" s="31"/>
      <c r="L306" s="31"/>
      <c r="M306" s="31"/>
      <c r="N306" s="32"/>
    </row>
    <row r="307" spans="1:14">
      <c r="A307" s="24" t="s">
        <v>29</v>
      </c>
      <c r="B307" s="485">
        <v>0</v>
      </c>
      <c r="C307" s="485">
        <v>0</v>
      </c>
      <c r="D307" s="485">
        <v>0</v>
      </c>
      <c r="E307" s="485">
        <v>0</v>
      </c>
      <c r="F307" s="485">
        <v>0</v>
      </c>
      <c r="G307" s="485">
        <v>160</v>
      </c>
      <c r="H307" s="485">
        <v>5</v>
      </c>
      <c r="I307" s="485">
        <v>0</v>
      </c>
      <c r="J307" s="485">
        <v>0</v>
      </c>
      <c r="K307" s="485">
        <f>45+43</f>
        <v>88</v>
      </c>
      <c r="L307" s="485">
        <v>0</v>
      </c>
      <c r="M307" s="485">
        <v>0</v>
      </c>
      <c r="N307" s="19">
        <f>SUM(B307:M307)</f>
        <v>253</v>
      </c>
    </row>
    <row r="308" spans="1:14">
      <c r="A308" s="54" t="s">
        <v>161</v>
      </c>
      <c r="B308" s="485">
        <v>0</v>
      </c>
      <c r="C308" s="485">
        <v>0</v>
      </c>
      <c r="D308" s="485">
        <v>0</v>
      </c>
      <c r="E308" s="485">
        <v>0</v>
      </c>
      <c r="F308" s="485">
        <v>0</v>
      </c>
      <c r="G308" s="485">
        <v>0</v>
      </c>
      <c r="H308" s="485">
        <v>0</v>
      </c>
      <c r="I308" s="485">
        <v>0</v>
      </c>
      <c r="J308" s="485">
        <v>0</v>
      </c>
      <c r="K308" s="485">
        <v>0</v>
      </c>
      <c r="L308" s="485">
        <v>0</v>
      </c>
      <c r="M308" s="485">
        <v>0</v>
      </c>
      <c r="N308" s="19">
        <f t="shared" ref="N308:N317" si="44">SUM(B308:M308)</f>
        <v>0</v>
      </c>
    </row>
    <row r="309" spans="1:14">
      <c r="A309" s="26" t="s">
        <v>140</v>
      </c>
      <c r="B309" s="485">
        <v>0</v>
      </c>
      <c r="C309" s="485">
        <v>0</v>
      </c>
      <c r="D309" s="485">
        <v>0</v>
      </c>
      <c r="E309" s="485">
        <v>0</v>
      </c>
      <c r="F309" s="485">
        <v>0</v>
      </c>
      <c r="G309" s="485">
        <v>0</v>
      </c>
      <c r="H309" s="485">
        <v>0</v>
      </c>
      <c r="I309" s="485">
        <v>0</v>
      </c>
      <c r="J309" s="485">
        <v>0</v>
      </c>
      <c r="K309" s="485">
        <v>0</v>
      </c>
      <c r="L309" s="485">
        <v>0</v>
      </c>
      <c r="M309" s="485">
        <v>0</v>
      </c>
      <c r="N309" s="19">
        <f t="shared" si="44"/>
        <v>0</v>
      </c>
    </row>
    <row r="310" spans="1:14">
      <c r="A310" s="53" t="s">
        <v>30</v>
      </c>
      <c r="B310" s="485">
        <v>0</v>
      </c>
      <c r="C310" s="485">
        <v>2</v>
      </c>
      <c r="D310" s="485">
        <v>14</v>
      </c>
      <c r="E310" s="485">
        <v>1</v>
      </c>
      <c r="F310" s="485">
        <v>5</v>
      </c>
      <c r="G310" s="485">
        <v>3</v>
      </c>
      <c r="H310" s="485">
        <v>0</v>
      </c>
      <c r="I310" s="485">
        <v>1</v>
      </c>
      <c r="J310" s="485">
        <v>2</v>
      </c>
      <c r="K310" s="485">
        <v>0</v>
      </c>
      <c r="L310" s="485">
        <v>1</v>
      </c>
      <c r="M310" s="485">
        <v>0</v>
      </c>
      <c r="N310" s="19">
        <f t="shared" si="44"/>
        <v>29</v>
      </c>
    </row>
    <row r="311" spans="1:14">
      <c r="A311" s="24" t="s">
        <v>56</v>
      </c>
      <c r="B311" s="485">
        <v>0</v>
      </c>
      <c r="C311" s="485">
        <v>0</v>
      </c>
      <c r="D311" s="485">
        <v>5350</v>
      </c>
      <c r="E311" s="485">
        <v>0</v>
      </c>
      <c r="F311" s="485">
        <v>0</v>
      </c>
      <c r="G311" s="485">
        <v>0</v>
      </c>
      <c r="H311" s="485">
        <v>0</v>
      </c>
      <c r="I311" s="485">
        <v>0</v>
      </c>
      <c r="J311" s="485">
        <v>0</v>
      </c>
      <c r="K311" s="485">
        <v>0</v>
      </c>
      <c r="L311" s="485">
        <v>0</v>
      </c>
      <c r="M311" s="485">
        <v>0</v>
      </c>
      <c r="N311" s="19">
        <f t="shared" si="44"/>
        <v>5350</v>
      </c>
    </row>
    <row r="312" spans="1:14">
      <c r="A312" s="54" t="s">
        <v>89</v>
      </c>
      <c r="B312" s="485">
        <v>0</v>
      </c>
      <c r="C312" s="485">
        <v>0</v>
      </c>
      <c r="D312" s="485">
        <v>0</v>
      </c>
      <c r="E312" s="485">
        <v>0</v>
      </c>
      <c r="F312" s="485">
        <v>0</v>
      </c>
      <c r="G312" s="485">
        <v>0</v>
      </c>
      <c r="H312" s="485">
        <v>0</v>
      </c>
      <c r="I312" s="485">
        <v>0</v>
      </c>
      <c r="J312" s="485">
        <v>0</v>
      </c>
      <c r="K312" s="485">
        <v>0</v>
      </c>
      <c r="L312" s="485">
        <v>0</v>
      </c>
      <c r="M312" s="485">
        <v>0</v>
      </c>
      <c r="N312" s="19">
        <f t="shared" si="44"/>
        <v>0</v>
      </c>
    </row>
    <row r="313" spans="1:14">
      <c r="A313" s="54" t="s">
        <v>124</v>
      </c>
      <c r="B313" s="485">
        <v>0</v>
      </c>
      <c r="C313" s="485">
        <v>0</v>
      </c>
      <c r="D313" s="485">
        <v>0</v>
      </c>
      <c r="E313" s="485">
        <v>0</v>
      </c>
      <c r="F313" s="485">
        <v>0</v>
      </c>
      <c r="G313" s="485">
        <v>0</v>
      </c>
      <c r="H313" s="485">
        <v>0</v>
      </c>
      <c r="I313" s="485">
        <v>0</v>
      </c>
      <c r="J313" s="485">
        <v>0</v>
      </c>
      <c r="K313" s="485">
        <v>0</v>
      </c>
      <c r="L313" s="485">
        <v>0</v>
      </c>
      <c r="M313" s="485">
        <v>0</v>
      </c>
      <c r="N313" s="19">
        <f t="shared" si="44"/>
        <v>0</v>
      </c>
    </row>
    <row r="314" spans="1:14">
      <c r="A314" s="54" t="s">
        <v>127</v>
      </c>
      <c r="B314" s="485">
        <v>0</v>
      </c>
      <c r="C314" s="485">
        <v>0</v>
      </c>
      <c r="D314" s="485">
        <v>0</v>
      </c>
      <c r="E314" s="485">
        <v>0</v>
      </c>
      <c r="F314" s="485">
        <v>0</v>
      </c>
      <c r="G314" s="485">
        <v>0</v>
      </c>
      <c r="H314" s="485">
        <v>0</v>
      </c>
      <c r="I314" s="485">
        <v>0</v>
      </c>
      <c r="J314" s="485">
        <v>0</v>
      </c>
      <c r="K314" s="485">
        <v>0</v>
      </c>
      <c r="L314" s="485">
        <v>0</v>
      </c>
      <c r="M314" s="485">
        <v>0</v>
      </c>
      <c r="N314" s="19">
        <f t="shared" si="44"/>
        <v>0</v>
      </c>
    </row>
    <row r="315" spans="1:14">
      <c r="A315" s="54" t="s">
        <v>128</v>
      </c>
      <c r="B315" s="485">
        <v>0</v>
      </c>
      <c r="C315" s="485">
        <v>0</v>
      </c>
      <c r="D315" s="485">
        <v>0</v>
      </c>
      <c r="E315" s="485">
        <v>0</v>
      </c>
      <c r="F315" s="485">
        <v>0</v>
      </c>
      <c r="G315" s="485">
        <v>0</v>
      </c>
      <c r="H315" s="485">
        <v>0</v>
      </c>
      <c r="I315" s="485">
        <v>0</v>
      </c>
      <c r="J315" s="485">
        <v>0</v>
      </c>
      <c r="K315" s="485">
        <v>0</v>
      </c>
      <c r="L315" s="485">
        <v>0</v>
      </c>
      <c r="M315" s="485">
        <v>0</v>
      </c>
      <c r="N315" s="19">
        <f t="shared" si="44"/>
        <v>0</v>
      </c>
    </row>
    <row r="316" spans="1:14">
      <c r="A316" s="54" t="s">
        <v>146</v>
      </c>
      <c r="B316" s="485">
        <v>0</v>
      </c>
      <c r="C316" s="485">
        <v>1</v>
      </c>
      <c r="D316" s="485">
        <v>0</v>
      </c>
      <c r="E316" s="485">
        <v>0</v>
      </c>
      <c r="F316" s="485">
        <v>0</v>
      </c>
      <c r="G316" s="485">
        <v>3</v>
      </c>
      <c r="H316" s="485">
        <v>2</v>
      </c>
      <c r="I316" s="485">
        <v>0</v>
      </c>
      <c r="J316" s="485">
        <v>3</v>
      </c>
      <c r="K316" s="485">
        <v>2</v>
      </c>
      <c r="L316" s="485">
        <v>0</v>
      </c>
      <c r="M316" s="485">
        <v>0</v>
      </c>
      <c r="N316" s="19">
        <f t="shared" si="44"/>
        <v>11</v>
      </c>
    </row>
    <row r="317" spans="1:14">
      <c r="A317" s="53" t="s">
        <v>164</v>
      </c>
      <c r="B317" s="485">
        <v>0</v>
      </c>
      <c r="C317" s="485">
        <v>0</v>
      </c>
      <c r="D317" s="485">
        <v>0</v>
      </c>
      <c r="E317" s="485">
        <v>0</v>
      </c>
      <c r="F317" s="485">
        <v>0</v>
      </c>
      <c r="G317" s="485">
        <v>0</v>
      </c>
      <c r="H317" s="485">
        <v>0</v>
      </c>
      <c r="I317" s="485">
        <v>0</v>
      </c>
      <c r="J317" s="485">
        <v>0</v>
      </c>
      <c r="K317" s="485">
        <v>0</v>
      </c>
      <c r="L317" s="485">
        <v>0</v>
      </c>
      <c r="M317" s="485">
        <v>0</v>
      </c>
      <c r="N317" s="19">
        <f t="shared" si="44"/>
        <v>0</v>
      </c>
    </row>
    <row r="318" spans="1:14" ht="14" thickBot="1">
      <c r="A318" s="54" t="s">
        <v>165</v>
      </c>
      <c r="B318" s="485">
        <v>0</v>
      </c>
      <c r="C318" s="485">
        <v>0</v>
      </c>
      <c r="D318" s="485">
        <v>0</v>
      </c>
      <c r="E318" s="485">
        <v>0</v>
      </c>
      <c r="F318" s="485">
        <v>0</v>
      </c>
      <c r="G318" s="485">
        <v>0</v>
      </c>
      <c r="H318" s="485">
        <v>0</v>
      </c>
      <c r="I318" s="485">
        <v>0</v>
      </c>
      <c r="J318" s="485">
        <v>0</v>
      </c>
      <c r="K318" s="485">
        <v>0</v>
      </c>
      <c r="L318" s="485">
        <v>2206</v>
      </c>
      <c r="M318" s="485">
        <v>0</v>
      </c>
      <c r="N318" s="19">
        <f>SUM(B318:M318)</f>
        <v>2206</v>
      </c>
    </row>
    <row r="319" spans="1:14" ht="14" thickBot="1">
      <c r="A319" s="30" t="s">
        <v>132</v>
      </c>
      <c r="B319" s="31"/>
      <c r="C319" s="31"/>
      <c r="D319" s="31"/>
      <c r="E319" s="31"/>
      <c r="F319" s="31"/>
      <c r="G319" s="31"/>
      <c r="H319" s="31"/>
      <c r="I319" s="31"/>
      <c r="J319" s="31"/>
      <c r="K319" s="31"/>
      <c r="L319" s="31"/>
      <c r="M319" s="31"/>
      <c r="N319" s="32"/>
    </row>
    <row r="320" spans="1:14" ht="14" thickBot="1">
      <c r="A320" s="24" t="s">
        <v>113</v>
      </c>
      <c r="B320" s="485">
        <v>0</v>
      </c>
      <c r="C320" s="485">
        <v>0</v>
      </c>
      <c r="D320" s="485">
        <v>0</v>
      </c>
      <c r="E320" s="485">
        <v>0</v>
      </c>
      <c r="F320" s="485">
        <v>0</v>
      </c>
      <c r="G320" s="485">
        <v>0</v>
      </c>
      <c r="H320" s="485">
        <v>0</v>
      </c>
      <c r="I320" s="485">
        <v>0</v>
      </c>
      <c r="J320" s="485">
        <v>0</v>
      </c>
      <c r="K320" s="485">
        <v>0</v>
      </c>
      <c r="L320" s="485">
        <v>0</v>
      </c>
      <c r="M320" s="485">
        <v>0</v>
      </c>
      <c r="N320" s="19">
        <f>SUM(B320:M320)</f>
        <v>0</v>
      </c>
    </row>
    <row r="321" spans="1:15" ht="14" thickBot="1">
      <c r="A321" s="40" t="s">
        <v>60</v>
      </c>
      <c r="B321" s="42">
        <f t="shared" ref="B321:L321" si="45">SUM(B307:B320)</f>
        <v>0</v>
      </c>
      <c r="C321" s="42">
        <f t="shared" si="45"/>
        <v>3</v>
      </c>
      <c r="D321" s="42">
        <f t="shared" si="45"/>
        <v>5364</v>
      </c>
      <c r="E321" s="42">
        <f t="shared" si="45"/>
        <v>1</v>
      </c>
      <c r="F321" s="42">
        <f t="shared" si="45"/>
        <v>5</v>
      </c>
      <c r="G321" s="42">
        <f t="shared" si="45"/>
        <v>166</v>
      </c>
      <c r="H321" s="42">
        <f t="shared" si="45"/>
        <v>7</v>
      </c>
      <c r="I321" s="42">
        <f t="shared" si="45"/>
        <v>1</v>
      </c>
      <c r="J321" s="42">
        <f t="shared" si="45"/>
        <v>5</v>
      </c>
      <c r="K321" s="42">
        <f t="shared" si="45"/>
        <v>90</v>
      </c>
      <c r="L321" s="42">
        <f t="shared" si="45"/>
        <v>2207</v>
      </c>
      <c r="M321" s="42">
        <f>SUM(M307:M320)</f>
        <v>0</v>
      </c>
      <c r="N321" s="41">
        <f>SUM(N307:N320)</f>
        <v>7849</v>
      </c>
    </row>
    <row r="322" spans="1:15">
      <c r="A322" s="1"/>
      <c r="B322" s="2"/>
      <c r="C322" s="2"/>
      <c r="D322" s="2"/>
      <c r="E322" s="2"/>
      <c r="F322" s="2"/>
      <c r="G322" s="2"/>
      <c r="H322" s="2"/>
      <c r="I322" s="2"/>
      <c r="J322" s="2"/>
      <c r="K322" s="2"/>
      <c r="L322" s="2"/>
      <c r="M322" s="2"/>
      <c r="N322" s="2"/>
    </row>
    <row r="323" spans="1:15" ht="14" thickBot="1">
      <c r="B323" s="35" t="s">
        <v>35</v>
      </c>
      <c r="C323" s="35" t="s">
        <v>36</v>
      </c>
      <c r="D323" s="35" t="s">
        <v>37</v>
      </c>
      <c r="E323" s="35" t="s">
        <v>38</v>
      </c>
      <c r="F323" s="35" t="s">
        <v>39</v>
      </c>
      <c r="G323" s="35" t="s">
        <v>40</v>
      </c>
      <c r="H323" s="35" t="s">
        <v>41</v>
      </c>
      <c r="I323" s="35" t="s">
        <v>42</v>
      </c>
      <c r="J323" s="35" t="s">
        <v>43</v>
      </c>
      <c r="K323" s="35" t="s">
        <v>44</v>
      </c>
      <c r="L323" s="35" t="s">
        <v>45</v>
      </c>
      <c r="M323" s="35" t="s">
        <v>46</v>
      </c>
      <c r="N323" s="35" t="s">
        <v>10</v>
      </c>
      <c r="O323" s="2"/>
    </row>
    <row r="324" spans="1:15" ht="17" thickBot="1">
      <c r="A324" s="23" t="s">
        <v>181</v>
      </c>
      <c r="B324" s="16"/>
      <c r="C324" s="16"/>
      <c r="D324" s="15"/>
      <c r="E324" s="15"/>
      <c r="F324" s="17"/>
      <c r="G324" s="17"/>
      <c r="H324" s="15"/>
      <c r="I324" s="15"/>
      <c r="J324" s="15"/>
      <c r="K324" s="15"/>
      <c r="L324" s="16"/>
      <c r="M324" s="16"/>
      <c r="N324" s="18"/>
      <c r="O324" s="2"/>
    </row>
    <row r="325" spans="1:15" ht="14" thickBot="1">
      <c r="A325" s="30" t="s">
        <v>129</v>
      </c>
      <c r="B325" s="31"/>
      <c r="C325" s="31"/>
      <c r="D325" s="31"/>
      <c r="E325" s="31"/>
      <c r="F325" s="31"/>
      <c r="G325" s="31"/>
      <c r="H325" s="31"/>
      <c r="I325" s="31"/>
      <c r="J325" s="31"/>
      <c r="K325" s="31"/>
      <c r="L325" s="31"/>
      <c r="M325" s="31"/>
      <c r="N325" s="32"/>
    </row>
    <row r="326" spans="1:15">
      <c r="A326" s="24" t="s">
        <v>29</v>
      </c>
      <c r="B326" s="485">
        <v>0</v>
      </c>
      <c r="C326" s="485">
        <v>0</v>
      </c>
      <c r="D326" s="485">
        <v>4</v>
      </c>
      <c r="E326" s="485">
        <v>3</v>
      </c>
      <c r="F326" s="485">
        <v>27</v>
      </c>
      <c r="G326" s="485">
        <v>0</v>
      </c>
      <c r="H326" s="485">
        <v>0</v>
      </c>
      <c r="I326" s="485">
        <v>0</v>
      </c>
      <c r="J326" s="485">
        <v>3</v>
      </c>
      <c r="K326" s="485">
        <v>3</v>
      </c>
      <c r="L326" s="485">
        <v>0</v>
      </c>
      <c r="M326" s="485">
        <v>0</v>
      </c>
      <c r="N326" s="19">
        <f t="shared" ref="N326:N333" si="46">SUM(B326:M326)</f>
        <v>40</v>
      </c>
    </row>
    <row r="327" spans="1:15">
      <c r="A327" s="24" t="s">
        <v>33</v>
      </c>
      <c r="B327" s="485">
        <v>10</v>
      </c>
      <c r="C327" s="485">
        <v>1</v>
      </c>
      <c r="D327" s="485">
        <v>10</v>
      </c>
      <c r="E327" s="485">
        <v>8</v>
      </c>
      <c r="F327" s="485">
        <v>3</v>
      </c>
      <c r="G327" s="485">
        <v>2</v>
      </c>
      <c r="H327" s="485">
        <v>3</v>
      </c>
      <c r="I327" s="485">
        <v>16</v>
      </c>
      <c r="J327" s="485">
        <v>10</v>
      </c>
      <c r="K327" s="485">
        <v>5</v>
      </c>
      <c r="L327" s="485">
        <v>3</v>
      </c>
      <c r="M327" s="485">
        <v>6</v>
      </c>
      <c r="N327" s="19">
        <f t="shared" si="46"/>
        <v>77</v>
      </c>
    </row>
    <row r="328" spans="1:15">
      <c r="A328" s="24" t="s">
        <v>56</v>
      </c>
      <c r="B328" s="485">
        <v>0</v>
      </c>
      <c r="C328" s="485">
        <v>0</v>
      </c>
      <c r="D328" s="485">
        <v>0</v>
      </c>
      <c r="E328" s="485">
        <v>0</v>
      </c>
      <c r="F328" s="485">
        <v>0</v>
      </c>
      <c r="G328" s="485">
        <v>0</v>
      </c>
      <c r="H328" s="485">
        <v>0</v>
      </c>
      <c r="I328" s="485">
        <v>0</v>
      </c>
      <c r="J328" s="485">
        <v>0</v>
      </c>
      <c r="K328" s="485">
        <v>0</v>
      </c>
      <c r="L328" s="485">
        <v>0</v>
      </c>
      <c r="M328" s="485">
        <v>0</v>
      </c>
      <c r="N328" s="19">
        <f t="shared" si="46"/>
        <v>0</v>
      </c>
    </row>
    <row r="329" spans="1:15">
      <c r="A329" s="54" t="s">
        <v>30</v>
      </c>
      <c r="B329" s="485">
        <v>5</v>
      </c>
      <c r="C329" s="485">
        <v>4</v>
      </c>
      <c r="D329" s="485">
        <v>2</v>
      </c>
      <c r="E329" s="485">
        <v>1</v>
      </c>
      <c r="F329" s="485">
        <v>0</v>
      </c>
      <c r="G329" s="485">
        <v>1</v>
      </c>
      <c r="H329" s="485">
        <v>0</v>
      </c>
      <c r="I329" s="485">
        <v>1</v>
      </c>
      <c r="J329" s="485">
        <v>2</v>
      </c>
      <c r="K329" s="485">
        <v>1</v>
      </c>
      <c r="L329" s="485">
        <v>4</v>
      </c>
      <c r="M329" s="485">
        <v>1</v>
      </c>
      <c r="N329" s="19">
        <f t="shared" si="46"/>
        <v>22</v>
      </c>
    </row>
    <row r="330" spans="1:15">
      <c r="A330" s="53" t="s">
        <v>146</v>
      </c>
      <c r="B330" s="485">
        <v>0</v>
      </c>
      <c r="C330" s="485">
        <v>0</v>
      </c>
      <c r="D330" s="485">
        <v>0</v>
      </c>
      <c r="E330" s="485">
        <v>0</v>
      </c>
      <c r="F330" s="485">
        <v>1</v>
      </c>
      <c r="G330" s="485">
        <v>0</v>
      </c>
      <c r="H330" s="485">
        <v>2</v>
      </c>
      <c r="I330" s="485">
        <v>4</v>
      </c>
      <c r="J330" s="485">
        <v>5</v>
      </c>
      <c r="K330" s="485">
        <v>3</v>
      </c>
      <c r="L330" s="485">
        <v>0</v>
      </c>
      <c r="M330" s="485">
        <v>0</v>
      </c>
      <c r="N330" s="19">
        <f t="shared" si="46"/>
        <v>15</v>
      </c>
    </row>
    <row r="331" spans="1:15">
      <c r="A331" s="53" t="s">
        <v>145</v>
      </c>
      <c r="B331" s="485">
        <v>1</v>
      </c>
      <c r="C331" s="485">
        <v>0</v>
      </c>
      <c r="D331" s="485">
        <v>0</v>
      </c>
      <c r="E331" s="485">
        <v>0</v>
      </c>
      <c r="F331" s="485">
        <v>6</v>
      </c>
      <c r="G331" s="485">
        <v>0</v>
      </c>
      <c r="H331" s="485">
        <v>0</v>
      </c>
      <c r="I331" s="485">
        <v>0</v>
      </c>
      <c r="J331" s="485">
        <v>0</v>
      </c>
      <c r="K331" s="485">
        <v>0</v>
      </c>
      <c r="L331" s="485">
        <v>0</v>
      </c>
      <c r="M331" s="485">
        <v>0</v>
      </c>
      <c r="N331" s="19">
        <f t="shared" si="46"/>
        <v>7</v>
      </c>
    </row>
    <row r="332" spans="1:15">
      <c r="A332" s="53" t="s">
        <v>187</v>
      </c>
      <c r="B332" s="485">
        <v>0</v>
      </c>
      <c r="C332" s="485">
        <v>0</v>
      </c>
      <c r="D332" s="485">
        <v>0</v>
      </c>
      <c r="E332" s="485">
        <v>0</v>
      </c>
      <c r="F332" s="485">
        <v>0</v>
      </c>
      <c r="G332" s="485">
        <v>0</v>
      </c>
      <c r="H332" s="485">
        <v>0</v>
      </c>
      <c r="I332" s="485">
        <v>0</v>
      </c>
      <c r="J332" s="485">
        <v>0</v>
      </c>
      <c r="K332" s="485">
        <v>0</v>
      </c>
      <c r="L332" s="485">
        <v>0</v>
      </c>
      <c r="M332" s="485">
        <v>0</v>
      </c>
      <c r="N332" s="19">
        <f t="shared" si="46"/>
        <v>0</v>
      </c>
    </row>
    <row r="333" spans="1:15" ht="14" thickBot="1">
      <c r="A333" s="53" t="s">
        <v>164</v>
      </c>
      <c r="B333" s="485">
        <v>0</v>
      </c>
      <c r="C333" s="485">
        <v>0</v>
      </c>
      <c r="D333" s="485">
        <v>0</v>
      </c>
      <c r="E333" s="485">
        <v>0</v>
      </c>
      <c r="F333" s="485">
        <v>0</v>
      </c>
      <c r="G333" s="485">
        <v>0</v>
      </c>
      <c r="H333" s="485">
        <v>0</v>
      </c>
      <c r="I333" s="485">
        <v>0</v>
      </c>
      <c r="J333" s="485">
        <v>0</v>
      </c>
      <c r="K333" s="485">
        <v>0</v>
      </c>
      <c r="L333" s="485">
        <v>0</v>
      </c>
      <c r="M333" s="485">
        <v>0</v>
      </c>
      <c r="N333" s="19">
        <f t="shared" si="46"/>
        <v>0</v>
      </c>
    </row>
    <row r="334" spans="1:15" ht="14" thickBot="1">
      <c r="A334" s="30" t="s">
        <v>130</v>
      </c>
      <c r="B334" s="31"/>
      <c r="C334" s="31"/>
      <c r="D334" s="31"/>
      <c r="E334" s="31"/>
      <c r="F334" s="31"/>
      <c r="G334" s="31"/>
      <c r="H334" s="31"/>
      <c r="I334" s="31"/>
      <c r="J334" s="31"/>
      <c r="K334" s="31"/>
      <c r="L334" s="31"/>
      <c r="M334" s="31"/>
      <c r="N334" s="138"/>
    </row>
    <row r="335" spans="1:15">
      <c r="A335" s="53" t="s">
        <v>113</v>
      </c>
      <c r="B335" s="485">
        <v>0</v>
      </c>
      <c r="C335" s="485">
        <v>0</v>
      </c>
      <c r="D335" s="485">
        <v>25</v>
      </c>
      <c r="E335" s="485">
        <v>0</v>
      </c>
      <c r="F335" s="485">
        <v>0</v>
      </c>
      <c r="G335" s="485">
        <v>0</v>
      </c>
      <c r="H335" s="485">
        <v>0</v>
      </c>
      <c r="I335" s="485">
        <v>0</v>
      </c>
      <c r="J335" s="485">
        <v>0</v>
      </c>
      <c r="K335" s="485">
        <v>100</v>
      </c>
      <c r="L335" s="485">
        <v>50</v>
      </c>
      <c r="M335" s="485">
        <v>25</v>
      </c>
      <c r="N335" s="19">
        <f>SUM(B335:M335)</f>
        <v>200</v>
      </c>
    </row>
    <row r="336" spans="1:15">
      <c r="A336" s="53" t="s">
        <v>114</v>
      </c>
      <c r="B336" s="485">
        <v>0</v>
      </c>
      <c r="C336" s="485">
        <v>0</v>
      </c>
      <c r="D336" s="485">
        <v>0</v>
      </c>
      <c r="E336" s="485">
        <v>0</v>
      </c>
      <c r="F336" s="485">
        <v>0</v>
      </c>
      <c r="G336" s="485">
        <v>0</v>
      </c>
      <c r="H336" s="485">
        <v>0</v>
      </c>
      <c r="I336" s="485">
        <v>0</v>
      </c>
      <c r="J336" s="485">
        <v>0</v>
      </c>
      <c r="K336" s="485">
        <v>0</v>
      </c>
      <c r="L336" s="485">
        <v>1</v>
      </c>
      <c r="M336" s="485">
        <v>0</v>
      </c>
      <c r="N336" s="19">
        <f>SUM(B336:M336)</f>
        <v>1</v>
      </c>
    </row>
    <row r="337" spans="1:14">
      <c r="A337" s="53" t="s">
        <v>189</v>
      </c>
      <c r="B337" s="485">
        <v>0</v>
      </c>
      <c r="C337" s="485">
        <v>0</v>
      </c>
      <c r="D337" s="485">
        <v>0</v>
      </c>
      <c r="E337" s="485">
        <v>0</v>
      </c>
      <c r="F337" s="485">
        <v>0</v>
      </c>
      <c r="G337" s="485">
        <v>0</v>
      </c>
      <c r="H337" s="485">
        <v>0</v>
      </c>
      <c r="I337" s="485">
        <v>0</v>
      </c>
      <c r="J337" s="485">
        <v>0</v>
      </c>
      <c r="K337" s="485">
        <v>0</v>
      </c>
      <c r="L337" s="485">
        <v>0</v>
      </c>
      <c r="M337" s="485">
        <v>0</v>
      </c>
      <c r="N337" s="19">
        <f>SUM(B337:M337)</f>
        <v>0</v>
      </c>
    </row>
    <row r="338" spans="1:14" ht="14" thickBot="1">
      <c r="A338" s="53" t="s">
        <v>163</v>
      </c>
      <c r="B338" s="485">
        <v>0</v>
      </c>
      <c r="C338" s="485">
        <v>0</v>
      </c>
      <c r="D338" s="485">
        <v>0</v>
      </c>
      <c r="E338" s="485">
        <v>0</v>
      </c>
      <c r="F338" s="485">
        <v>0</v>
      </c>
      <c r="G338" s="485">
        <v>0</v>
      </c>
      <c r="H338" s="485">
        <v>0</v>
      </c>
      <c r="I338" s="485">
        <v>0</v>
      </c>
      <c r="J338" s="485">
        <v>0</v>
      </c>
      <c r="K338" s="485">
        <v>0</v>
      </c>
      <c r="L338" s="485">
        <v>0</v>
      </c>
      <c r="M338" s="485">
        <v>0</v>
      </c>
      <c r="N338" s="19">
        <f>SUM(B338:M338)</f>
        <v>0</v>
      </c>
    </row>
    <row r="339" spans="1:14" ht="14" thickBot="1">
      <c r="A339" s="40" t="s">
        <v>60</v>
      </c>
      <c r="B339" s="42">
        <f t="shared" ref="B339:M339" si="47">SUM(B326:B338)</f>
        <v>16</v>
      </c>
      <c r="C339" s="42">
        <f t="shared" si="47"/>
        <v>5</v>
      </c>
      <c r="D339" s="42">
        <f t="shared" si="47"/>
        <v>41</v>
      </c>
      <c r="E339" s="42">
        <f t="shared" si="47"/>
        <v>12</v>
      </c>
      <c r="F339" s="42">
        <f t="shared" si="47"/>
        <v>37</v>
      </c>
      <c r="G339" s="42">
        <f t="shared" si="47"/>
        <v>3</v>
      </c>
      <c r="H339" s="42">
        <f t="shared" si="47"/>
        <v>5</v>
      </c>
      <c r="I339" s="42">
        <f t="shared" si="47"/>
        <v>21</v>
      </c>
      <c r="J339" s="42">
        <f t="shared" si="47"/>
        <v>20</v>
      </c>
      <c r="K339" s="42">
        <f t="shared" si="47"/>
        <v>112</v>
      </c>
      <c r="L339" s="42">
        <f t="shared" si="47"/>
        <v>58</v>
      </c>
      <c r="M339" s="42">
        <f t="shared" si="47"/>
        <v>32</v>
      </c>
      <c r="N339" s="41"/>
    </row>
    <row r="340" spans="1:14" ht="14" thickBot="1">
      <c r="A340" s="30" t="s">
        <v>134</v>
      </c>
      <c r="B340" s="31"/>
      <c r="C340" s="31"/>
      <c r="D340" s="31"/>
      <c r="E340" s="31"/>
      <c r="F340" s="31"/>
      <c r="G340" s="31"/>
      <c r="H340" s="31"/>
      <c r="I340" s="31"/>
      <c r="J340" s="31"/>
      <c r="K340" s="31"/>
      <c r="L340" s="31"/>
      <c r="M340" s="31"/>
      <c r="N340" s="32"/>
    </row>
    <row r="341" spans="1:14">
      <c r="A341" s="24" t="s">
        <v>29</v>
      </c>
      <c r="B341" s="485">
        <v>0</v>
      </c>
      <c r="C341" s="485">
        <v>0</v>
      </c>
      <c r="D341" s="485">
        <v>105</v>
      </c>
      <c r="E341" s="485">
        <v>0</v>
      </c>
      <c r="F341" s="485">
        <v>0</v>
      </c>
      <c r="G341" s="485">
        <v>0</v>
      </c>
      <c r="H341" s="485">
        <v>0</v>
      </c>
      <c r="I341" s="485">
        <v>5</v>
      </c>
      <c r="J341" s="485">
        <v>0</v>
      </c>
      <c r="K341" s="485">
        <v>0</v>
      </c>
      <c r="L341" s="485">
        <v>0</v>
      </c>
      <c r="M341" s="485">
        <v>0</v>
      </c>
      <c r="N341" s="19">
        <f t="shared" ref="N341:N352" si="48">SUM(B341:M341)</f>
        <v>110</v>
      </c>
    </row>
    <row r="342" spans="1:14">
      <c r="A342" s="54" t="s">
        <v>161</v>
      </c>
      <c r="B342" s="485">
        <v>0</v>
      </c>
      <c r="C342" s="485">
        <v>0</v>
      </c>
      <c r="D342" s="485">
        <v>0</v>
      </c>
      <c r="E342" s="485">
        <v>0</v>
      </c>
      <c r="F342" s="485">
        <v>0</v>
      </c>
      <c r="G342" s="485">
        <v>0</v>
      </c>
      <c r="H342" s="485">
        <v>0</v>
      </c>
      <c r="I342" s="485">
        <v>0</v>
      </c>
      <c r="J342" s="485">
        <v>0</v>
      </c>
      <c r="K342" s="485">
        <v>0</v>
      </c>
      <c r="L342" s="485">
        <v>0</v>
      </c>
      <c r="M342" s="485">
        <v>0</v>
      </c>
      <c r="N342" s="19">
        <f t="shared" si="48"/>
        <v>0</v>
      </c>
    </row>
    <row r="343" spans="1:14">
      <c r="A343" s="26" t="s">
        <v>140</v>
      </c>
      <c r="B343" s="485">
        <v>0</v>
      </c>
      <c r="C343" s="485">
        <v>0</v>
      </c>
      <c r="D343" s="485">
        <v>0</v>
      </c>
      <c r="E343" s="485">
        <v>0</v>
      </c>
      <c r="F343" s="485">
        <v>0</v>
      </c>
      <c r="G343" s="485">
        <v>0</v>
      </c>
      <c r="H343" s="485">
        <v>0</v>
      </c>
      <c r="I343" s="485">
        <v>0</v>
      </c>
      <c r="J343" s="485">
        <v>0</v>
      </c>
      <c r="K343" s="485">
        <v>0</v>
      </c>
      <c r="L343" s="485">
        <v>0</v>
      </c>
      <c r="M343" s="485">
        <v>0</v>
      </c>
      <c r="N343" s="19">
        <f t="shared" si="48"/>
        <v>0</v>
      </c>
    </row>
    <row r="344" spans="1:14">
      <c r="A344" s="53" t="s">
        <v>30</v>
      </c>
      <c r="B344" s="485">
        <v>0</v>
      </c>
      <c r="C344" s="485">
        <v>0</v>
      </c>
      <c r="D344" s="485">
        <v>0</v>
      </c>
      <c r="E344" s="485">
        <v>0</v>
      </c>
      <c r="F344" s="485">
        <v>0</v>
      </c>
      <c r="G344" s="485">
        <v>0</v>
      </c>
      <c r="H344" s="485">
        <v>0</v>
      </c>
      <c r="I344" s="485">
        <v>0</v>
      </c>
      <c r="J344" s="485">
        <v>0</v>
      </c>
      <c r="K344" s="485">
        <v>0</v>
      </c>
      <c r="L344" s="485">
        <v>0</v>
      </c>
      <c r="M344" s="485">
        <v>0</v>
      </c>
      <c r="N344" s="19">
        <f t="shared" si="48"/>
        <v>0</v>
      </c>
    </row>
    <row r="345" spans="1:14">
      <c r="A345" s="24" t="s">
        <v>56</v>
      </c>
      <c r="B345" s="485">
        <v>0</v>
      </c>
      <c r="C345" s="485">
        <v>0</v>
      </c>
      <c r="D345" s="485">
        <v>0</v>
      </c>
      <c r="E345" s="485">
        <v>0</v>
      </c>
      <c r="F345" s="485">
        <v>0</v>
      </c>
      <c r="G345" s="485">
        <v>0</v>
      </c>
      <c r="H345" s="485">
        <v>0</v>
      </c>
      <c r="I345" s="485">
        <v>0</v>
      </c>
      <c r="J345" s="485">
        <v>0</v>
      </c>
      <c r="K345" s="485">
        <v>0</v>
      </c>
      <c r="L345" s="485">
        <v>0</v>
      </c>
      <c r="M345" s="485">
        <v>0</v>
      </c>
      <c r="N345" s="19">
        <f t="shared" si="48"/>
        <v>0</v>
      </c>
    </row>
    <row r="346" spans="1:14">
      <c r="A346" s="54" t="s">
        <v>89</v>
      </c>
      <c r="B346" s="485">
        <v>0</v>
      </c>
      <c r="C346" s="485">
        <v>0</v>
      </c>
      <c r="D346" s="485">
        <v>0</v>
      </c>
      <c r="E346" s="485">
        <v>0</v>
      </c>
      <c r="F346" s="485">
        <v>0</v>
      </c>
      <c r="G346" s="485">
        <v>0</v>
      </c>
      <c r="H346" s="485">
        <v>0</v>
      </c>
      <c r="I346" s="485">
        <v>0</v>
      </c>
      <c r="J346" s="485">
        <v>0</v>
      </c>
      <c r="K346" s="485">
        <v>0</v>
      </c>
      <c r="L346" s="485">
        <v>0</v>
      </c>
      <c r="M346" s="485">
        <v>0</v>
      </c>
      <c r="N346" s="19">
        <f t="shared" si="48"/>
        <v>0</v>
      </c>
    </row>
    <row r="347" spans="1:14">
      <c r="A347" s="54" t="s">
        <v>124</v>
      </c>
      <c r="B347" s="485">
        <v>0</v>
      </c>
      <c r="C347" s="485">
        <v>0</v>
      </c>
      <c r="D347" s="485">
        <v>0</v>
      </c>
      <c r="E347" s="485">
        <v>0</v>
      </c>
      <c r="F347" s="485">
        <v>0</v>
      </c>
      <c r="G347" s="485">
        <v>0</v>
      </c>
      <c r="H347" s="485">
        <v>0</v>
      </c>
      <c r="I347" s="485">
        <v>0</v>
      </c>
      <c r="J347" s="485">
        <v>0</v>
      </c>
      <c r="K347" s="485">
        <v>0</v>
      </c>
      <c r="L347" s="485">
        <v>0</v>
      </c>
      <c r="M347" s="485">
        <v>0</v>
      </c>
      <c r="N347" s="19">
        <f t="shared" si="48"/>
        <v>0</v>
      </c>
    </row>
    <row r="348" spans="1:14">
      <c r="A348" s="54" t="s">
        <v>127</v>
      </c>
      <c r="B348" s="485">
        <v>0</v>
      </c>
      <c r="C348" s="485">
        <v>0</v>
      </c>
      <c r="D348" s="485">
        <v>0</v>
      </c>
      <c r="E348" s="485">
        <v>0</v>
      </c>
      <c r="F348" s="485">
        <v>0</v>
      </c>
      <c r="G348" s="485">
        <v>0</v>
      </c>
      <c r="H348" s="485">
        <v>0</v>
      </c>
      <c r="I348" s="485">
        <v>0</v>
      </c>
      <c r="J348" s="485">
        <v>0</v>
      </c>
      <c r="K348" s="485">
        <v>0</v>
      </c>
      <c r="L348" s="485">
        <v>0</v>
      </c>
      <c r="M348" s="485">
        <v>0</v>
      </c>
      <c r="N348" s="19">
        <f t="shared" si="48"/>
        <v>0</v>
      </c>
    </row>
    <row r="349" spans="1:14">
      <c r="A349" s="54" t="s">
        <v>128</v>
      </c>
      <c r="B349" s="485">
        <v>0</v>
      </c>
      <c r="C349" s="485">
        <v>0</v>
      </c>
      <c r="D349" s="485">
        <v>0</v>
      </c>
      <c r="E349" s="485">
        <v>0</v>
      </c>
      <c r="F349" s="485">
        <v>0</v>
      </c>
      <c r="G349" s="485">
        <v>0</v>
      </c>
      <c r="H349" s="485">
        <v>0</v>
      </c>
      <c r="I349" s="485">
        <v>0</v>
      </c>
      <c r="J349" s="485">
        <v>0</v>
      </c>
      <c r="K349" s="485">
        <v>0</v>
      </c>
      <c r="L349" s="485">
        <v>0</v>
      </c>
      <c r="M349" s="485">
        <v>0</v>
      </c>
      <c r="N349" s="19">
        <f t="shared" si="48"/>
        <v>0</v>
      </c>
    </row>
    <row r="350" spans="1:14">
      <c r="A350" s="54" t="s">
        <v>146</v>
      </c>
      <c r="B350" s="485">
        <v>0</v>
      </c>
      <c r="C350" s="485">
        <v>0</v>
      </c>
      <c r="D350" s="485">
        <v>0</v>
      </c>
      <c r="E350" s="485">
        <v>3</v>
      </c>
      <c r="F350" s="485">
        <v>1</v>
      </c>
      <c r="G350" s="485">
        <v>0</v>
      </c>
      <c r="H350" s="485">
        <v>0</v>
      </c>
      <c r="I350" s="485">
        <v>0</v>
      </c>
      <c r="J350" s="485">
        <v>0</v>
      </c>
      <c r="K350" s="485">
        <v>0</v>
      </c>
      <c r="L350" s="485">
        <v>0</v>
      </c>
      <c r="M350" s="485">
        <v>0</v>
      </c>
      <c r="N350" s="19">
        <f t="shared" si="48"/>
        <v>4</v>
      </c>
    </row>
    <row r="351" spans="1:14">
      <c r="A351" s="53" t="s">
        <v>164</v>
      </c>
      <c r="B351" s="485">
        <v>0</v>
      </c>
      <c r="C351" s="485">
        <v>0</v>
      </c>
      <c r="D351" s="485">
        <v>0</v>
      </c>
      <c r="E351" s="485">
        <v>0</v>
      </c>
      <c r="F351" s="485">
        <v>0</v>
      </c>
      <c r="G351" s="485">
        <v>0</v>
      </c>
      <c r="H351" s="485">
        <v>0</v>
      </c>
      <c r="I351" s="485">
        <v>0</v>
      </c>
      <c r="J351" s="485">
        <v>0</v>
      </c>
      <c r="K351" s="485">
        <v>0</v>
      </c>
      <c r="L351" s="485">
        <v>0</v>
      </c>
      <c r="M351" s="485">
        <v>0</v>
      </c>
      <c r="N351" s="19">
        <f t="shared" si="48"/>
        <v>0</v>
      </c>
    </row>
    <row r="352" spans="1:14" ht="14" thickBot="1">
      <c r="A352" s="54" t="s">
        <v>165</v>
      </c>
      <c r="B352" s="485">
        <v>0</v>
      </c>
      <c r="C352" s="485">
        <v>0</v>
      </c>
      <c r="D352" s="485">
        <v>0</v>
      </c>
      <c r="E352" s="485">
        <v>0</v>
      </c>
      <c r="F352" s="485">
        <v>0</v>
      </c>
      <c r="G352" s="485">
        <v>0</v>
      </c>
      <c r="H352" s="485">
        <v>0</v>
      </c>
      <c r="I352" s="485">
        <v>0</v>
      </c>
      <c r="J352" s="485">
        <v>0</v>
      </c>
      <c r="K352" s="485">
        <v>0</v>
      </c>
      <c r="L352" s="485">
        <v>0</v>
      </c>
      <c r="M352" s="485">
        <v>0</v>
      </c>
      <c r="N352" s="19">
        <f t="shared" si="48"/>
        <v>0</v>
      </c>
    </row>
    <row r="353" spans="1:14" ht="14" thickBot="1">
      <c r="A353" s="30" t="s">
        <v>132</v>
      </c>
      <c r="B353" s="31"/>
      <c r="C353" s="31"/>
      <c r="D353" s="31"/>
      <c r="E353" s="31"/>
      <c r="F353" s="31"/>
      <c r="G353" s="31"/>
      <c r="H353" s="31"/>
      <c r="I353" s="31"/>
      <c r="J353" s="31"/>
      <c r="K353" s="31"/>
      <c r="L353" s="31"/>
      <c r="M353" s="31"/>
      <c r="N353" s="32"/>
    </row>
    <row r="354" spans="1:14" ht="14" thickBot="1">
      <c r="A354" s="24" t="s">
        <v>113</v>
      </c>
      <c r="B354" s="485">
        <v>0</v>
      </c>
      <c r="C354" s="485">
        <v>0</v>
      </c>
      <c r="D354" s="485">
        <v>0</v>
      </c>
      <c r="E354" s="485">
        <v>0</v>
      </c>
      <c r="F354" s="485">
        <v>0</v>
      </c>
      <c r="G354" s="485">
        <v>0</v>
      </c>
      <c r="H354" s="485">
        <v>0</v>
      </c>
      <c r="I354" s="485">
        <v>0</v>
      </c>
      <c r="J354" s="485">
        <v>0</v>
      </c>
      <c r="K354" s="485">
        <v>0</v>
      </c>
      <c r="L354" s="485">
        <v>0</v>
      </c>
      <c r="M354" s="485">
        <v>0</v>
      </c>
      <c r="N354" s="19">
        <f>SUM(B354:M354)</f>
        <v>0</v>
      </c>
    </row>
    <row r="355" spans="1:14" ht="14" thickBot="1">
      <c r="A355" s="40" t="s">
        <v>60</v>
      </c>
      <c r="B355" s="42">
        <f t="shared" ref="B355:M355" si="49">SUM(B341:B354)</f>
        <v>0</v>
      </c>
      <c r="C355" s="42">
        <f t="shared" si="49"/>
        <v>0</v>
      </c>
      <c r="D355" s="42">
        <f t="shared" si="49"/>
        <v>105</v>
      </c>
      <c r="E355" s="42">
        <f t="shared" si="49"/>
        <v>3</v>
      </c>
      <c r="F355" s="42">
        <f t="shared" si="49"/>
        <v>1</v>
      </c>
      <c r="G355" s="42">
        <f t="shared" si="49"/>
        <v>0</v>
      </c>
      <c r="H355" s="42">
        <f t="shared" si="49"/>
        <v>0</v>
      </c>
      <c r="I355" s="42">
        <f t="shared" si="49"/>
        <v>5</v>
      </c>
      <c r="J355" s="42">
        <f t="shared" si="49"/>
        <v>0</v>
      </c>
      <c r="K355" s="42">
        <f t="shared" si="49"/>
        <v>0</v>
      </c>
      <c r="L355" s="42">
        <f t="shared" si="49"/>
        <v>0</v>
      </c>
      <c r="M355" s="42">
        <f t="shared" si="49"/>
        <v>0</v>
      </c>
      <c r="N355" s="41"/>
    </row>
    <row r="357" spans="1:14" ht="14" thickBot="1">
      <c r="B357" s="35" t="s">
        <v>35</v>
      </c>
      <c r="C357" s="35" t="s">
        <v>36</v>
      </c>
      <c r="D357" s="35" t="s">
        <v>37</v>
      </c>
      <c r="E357" s="35" t="s">
        <v>38</v>
      </c>
      <c r="F357" s="35" t="s">
        <v>39</v>
      </c>
      <c r="G357" s="35" t="s">
        <v>40</v>
      </c>
      <c r="H357" s="35" t="s">
        <v>41</v>
      </c>
      <c r="I357" s="35" t="s">
        <v>42</v>
      </c>
      <c r="J357" s="35" t="s">
        <v>43</v>
      </c>
      <c r="K357" s="35" t="s">
        <v>44</v>
      </c>
      <c r="L357" s="35" t="s">
        <v>45</v>
      </c>
      <c r="M357" s="35" t="s">
        <v>46</v>
      </c>
      <c r="N357" s="35" t="s">
        <v>10</v>
      </c>
    </row>
    <row r="358" spans="1:14" ht="17" thickBot="1">
      <c r="A358" s="23" t="s">
        <v>193</v>
      </c>
      <c r="B358" s="16"/>
      <c r="C358" s="16"/>
      <c r="D358" s="15"/>
      <c r="E358" s="15"/>
      <c r="F358" s="17"/>
      <c r="G358" s="17"/>
      <c r="H358" s="15"/>
      <c r="I358" s="15"/>
      <c r="J358" s="15"/>
      <c r="K358" s="15"/>
      <c r="L358" s="16"/>
      <c r="M358" s="16"/>
      <c r="N358" s="18"/>
    </row>
    <row r="359" spans="1:14" ht="14" thickBot="1">
      <c r="A359" s="30" t="s">
        <v>129</v>
      </c>
      <c r="B359" s="31"/>
      <c r="C359" s="31"/>
      <c r="D359" s="31"/>
      <c r="E359" s="31"/>
      <c r="F359" s="31"/>
      <c r="G359" s="31"/>
      <c r="H359" s="31"/>
      <c r="I359" s="31"/>
      <c r="J359" s="31"/>
      <c r="K359" s="31"/>
      <c r="L359" s="31"/>
      <c r="M359" s="31"/>
      <c r="N359" s="32"/>
    </row>
    <row r="360" spans="1:14">
      <c r="A360" s="24" t="s">
        <v>29</v>
      </c>
      <c r="B360" s="485">
        <v>1</v>
      </c>
      <c r="C360" s="485">
        <v>0</v>
      </c>
      <c r="D360" s="485">
        <v>0</v>
      </c>
      <c r="E360" s="485">
        <v>0</v>
      </c>
      <c r="F360" s="485">
        <v>3</v>
      </c>
      <c r="G360" s="485">
        <v>2</v>
      </c>
      <c r="H360" s="485">
        <v>0</v>
      </c>
      <c r="I360" s="485">
        <v>1</v>
      </c>
      <c r="J360" s="485">
        <v>0</v>
      </c>
      <c r="K360" s="485">
        <v>0</v>
      </c>
      <c r="L360" s="485">
        <v>0</v>
      </c>
      <c r="M360" s="485">
        <v>0</v>
      </c>
      <c r="N360" s="19">
        <f t="shared" ref="N360:N367" si="50">SUM(B360:M360)</f>
        <v>7</v>
      </c>
    </row>
    <row r="361" spans="1:14">
      <c r="A361" s="24" t="s">
        <v>33</v>
      </c>
      <c r="B361" s="485">
        <v>10</v>
      </c>
      <c r="C361" s="485">
        <v>6</v>
      </c>
      <c r="D361" s="485">
        <v>3</v>
      </c>
      <c r="E361" s="485">
        <v>5</v>
      </c>
      <c r="F361" s="485">
        <v>6</v>
      </c>
      <c r="G361" s="485">
        <v>5</v>
      </c>
      <c r="H361" s="485">
        <v>5</v>
      </c>
      <c r="I361" s="485">
        <v>9</v>
      </c>
      <c r="J361" s="485">
        <v>10</v>
      </c>
      <c r="K361" s="485">
        <v>0</v>
      </c>
      <c r="L361" s="485">
        <v>0</v>
      </c>
      <c r="M361" s="485">
        <v>8</v>
      </c>
      <c r="N361" s="19">
        <f t="shared" si="50"/>
        <v>67</v>
      </c>
    </row>
    <row r="362" spans="1:14">
      <c r="A362" s="24" t="s">
        <v>56</v>
      </c>
      <c r="B362" s="485">
        <v>30</v>
      </c>
      <c r="C362" s="485">
        <v>0</v>
      </c>
      <c r="D362" s="485">
        <v>0</v>
      </c>
      <c r="E362" s="485">
        <v>0</v>
      </c>
      <c r="F362" s="485">
        <v>0</v>
      </c>
      <c r="G362" s="485">
        <v>0</v>
      </c>
      <c r="H362" s="485">
        <v>0</v>
      </c>
      <c r="I362" s="485">
        <v>0</v>
      </c>
      <c r="J362" s="485">
        <v>0</v>
      </c>
      <c r="K362" s="485">
        <v>0</v>
      </c>
      <c r="L362" s="485">
        <v>0</v>
      </c>
      <c r="M362" s="485">
        <v>0</v>
      </c>
      <c r="N362" s="19">
        <f t="shared" si="50"/>
        <v>30</v>
      </c>
    </row>
    <row r="363" spans="1:14">
      <c r="A363" s="54" t="s">
        <v>30</v>
      </c>
      <c r="B363" s="485">
        <v>7</v>
      </c>
      <c r="C363" s="485">
        <v>0</v>
      </c>
      <c r="D363" s="485">
        <v>2</v>
      </c>
      <c r="E363" s="485">
        <v>0</v>
      </c>
      <c r="F363" s="485">
        <v>3</v>
      </c>
      <c r="G363" s="485">
        <v>0</v>
      </c>
      <c r="H363" s="485">
        <v>1</v>
      </c>
      <c r="I363" s="485">
        <v>1</v>
      </c>
      <c r="J363" s="485">
        <v>0</v>
      </c>
      <c r="K363" s="485">
        <v>0</v>
      </c>
      <c r="L363" s="485">
        <v>0</v>
      </c>
      <c r="M363" s="485">
        <v>10</v>
      </c>
      <c r="N363" s="19">
        <f t="shared" si="50"/>
        <v>24</v>
      </c>
    </row>
    <row r="364" spans="1:14">
      <c r="A364" s="53" t="s">
        <v>146</v>
      </c>
      <c r="B364" s="485">
        <v>0</v>
      </c>
      <c r="C364" s="485">
        <v>0</v>
      </c>
      <c r="D364" s="485">
        <v>0</v>
      </c>
      <c r="E364" s="485">
        <v>0</v>
      </c>
      <c r="F364" s="485">
        <v>0</v>
      </c>
      <c r="G364" s="485">
        <v>0</v>
      </c>
      <c r="H364" s="485">
        <v>0</v>
      </c>
      <c r="I364" s="485">
        <v>0</v>
      </c>
      <c r="J364" s="485">
        <v>0</v>
      </c>
      <c r="K364" s="485">
        <v>0</v>
      </c>
      <c r="L364" s="485">
        <v>0</v>
      </c>
      <c r="M364" s="485">
        <v>0</v>
      </c>
      <c r="N364" s="19">
        <f t="shared" si="50"/>
        <v>0</v>
      </c>
    </row>
    <row r="365" spans="1:14">
      <c r="A365" s="53" t="s">
        <v>145</v>
      </c>
      <c r="B365" s="485">
        <v>2</v>
      </c>
      <c r="C365" s="485">
        <v>0</v>
      </c>
      <c r="D365" s="485">
        <v>0</v>
      </c>
      <c r="E365" s="485">
        <v>0</v>
      </c>
      <c r="F365" s="485">
        <v>0</v>
      </c>
      <c r="G365" s="485">
        <v>0</v>
      </c>
      <c r="H365" s="485">
        <v>0</v>
      </c>
      <c r="I365" s="485">
        <v>0</v>
      </c>
      <c r="J365" s="485">
        <v>0</v>
      </c>
      <c r="K365" s="485">
        <v>0</v>
      </c>
      <c r="L365" s="485">
        <v>0</v>
      </c>
      <c r="M365" s="485">
        <v>0</v>
      </c>
      <c r="N365" s="19">
        <f t="shared" si="50"/>
        <v>2</v>
      </c>
    </row>
    <row r="366" spans="1:14">
      <c r="A366" s="53" t="s">
        <v>187</v>
      </c>
      <c r="B366" s="485">
        <v>0</v>
      </c>
      <c r="C366" s="485">
        <v>0</v>
      </c>
      <c r="D366" s="485">
        <v>0</v>
      </c>
      <c r="E366" s="485">
        <v>0</v>
      </c>
      <c r="F366" s="485">
        <v>0</v>
      </c>
      <c r="G366" s="485">
        <v>0</v>
      </c>
      <c r="H366" s="485">
        <v>0</v>
      </c>
      <c r="I366" s="485">
        <v>0</v>
      </c>
      <c r="J366" s="485">
        <v>0</v>
      </c>
      <c r="K366" s="485">
        <v>0</v>
      </c>
      <c r="L366" s="485">
        <v>0</v>
      </c>
      <c r="M366" s="485">
        <v>0</v>
      </c>
      <c r="N366" s="19">
        <f t="shared" si="50"/>
        <v>0</v>
      </c>
    </row>
    <row r="367" spans="1:14" ht="14" thickBot="1">
      <c r="A367" s="53" t="s">
        <v>164</v>
      </c>
      <c r="B367" s="485">
        <v>0</v>
      </c>
      <c r="C367" s="485">
        <v>0</v>
      </c>
      <c r="D367" s="485">
        <v>0</v>
      </c>
      <c r="E367" s="485">
        <v>0</v>
      </c>
      <c r="F367" s="485">
        <v>0</v>
      </c>
      <c r="G367" s="485">
        <v>0</v>
      </c>
      <c r="H367" s="485">
        <v>0</v>
      </c>
      <c r="I367" s="485">
        <v>0</v>
      </c>
      <c r="J367" s="485">
        <v>0</v>
      </c>
      <c r="K367" s="485">
        <v>0</v>
      </c>
      <c r="L367" s="485">
        <v>0</v>
      </c>
      <c r="M367" s="485">
        <v>0</v>
      </c>
      <c r="N367" s="19">
        <f t="shared" si="50"/>
        <v>0</v>
      </c>
    </row>
    <row r="368" spans="1:14" ht="14" thickBot="1">
      <c r="A368" s="30" t="s">
        <v>130</v>
      </c>
      <c r="B368" s="31"/>
      <c r="C368" s="31"/>
      <c r="D368" s="31"/>
      <c r="E368" s="31"/>
      <c r="F368" s="31"/>
      <c r="G368" s="31"/>
      <c r="H368" s="31"/>
      <c r="I368" s="31"/>
      <c r="J368" s="31"/>
      <c r="K368" s="31"/>
      <c r="L368" s="31"/>
      <c r="M368" s="31"/>
      <c r="N368" s="138"/>
    </row>
    <row r="369" spans="1:14">
      <c r="A369" s="53" t="s">
        <v>113</v>
      </c>
      <c r="B369" s="485">
        <v>0</v>
      </c>
      <c r="C369" s="485">
        <v>8</v>
      </c>
      <c r="D369" s="485">
        <v>0</v>
      </c>
      <c r="E369" s="485">
        <v>50</v>
      </c>
      <c r="F369" s="485">
        <v>0</v>
      </c>
      <c r="G369" s="485">
        <v>0</v>
      </c>
      <c r="H369" s="485">
        <v>0</v>
      </c>
      <c r="I369" s="485">
        <v>0</v>
      </c>
      <c r="J369" s="485">
        <v>0</v>
      </c>
      <c r="K369" s="485">
        <v>43</v>
      </c>
      <c r="L369" s="485">
        <v>0</v>
      </c>
      <c r="M369" s="485">
        <v>50</v>
      </c>
      <c r="N369" s="19">
        <f>SUM(B369:M369)</f>
        <v>151</v>
      </c>
    </row>
    <row r="370" spans="1:14">
      <c r="A370" s="53" t="s">
        <v>114</v>
      </c>
      <c r="B370" s="485">
        <v>0</v>
      </c>
      <c r="C370" s="485">
        <v>0</v>
      </c>
      <c r="D370" s="485">
        <v>0</v>
      </c>
      <c r="E370" s="485">
        <v>0</v>
      </c>
      <c r="F370" s="485">
        <v>0</v>
      </c>
      <c r="G370" s="485">
        <v>0</v>
      </c>
      <c r="H370" s="485">
        <v>0</v>
      </c>
      <c r="I370" s="485">
        <v>0</v>
      </c>
      <c r="J370" s="485">
        <v>0</v>
      </c>
      <c r="K370" s="485">
        <v>0</v>
      </c>
      <c r="L370" s="485">
        <v>2</v>
      </c>
      <c r="M370" s="485">
        <v>0</v>
      </c>
      <c r="N370" s="19">
        <f>SUM(B370:M370)</f>
        <v>2</v>
      </c>
    </row>
    <row r="371" spans="1:14">
      <c r="A371" s="53" t="s">
        <v>189</v>
      </c>
      <c r="B371" s="485">
        <v>2</v>
      </c>
      <c r="C371" s="485">
        <v>1</v>
      </c>
      <c r="D371" s="485">
        <v>0</v>
      </c>
      <c r="E371" s="485">
        <v>0</v>
      </c>
      <c r="F371" s="485">
        <v>1</v>
      </c>
      <c r="G371" s="485">
        <v>0</v>
      </c>
      <c r="H371" s="485">
        <v>0</v>
      </c>
      <c r="I371" s="485">
        <v>0</v>
      </c>
      <c r="J371" s="485">
        <v>0</v>
      </c>
      <c r="K371" s="485">
        <v>0</v>
      </c>
      <c r="L371" s="485">
        <v>0</v>
      </c>
      <c r="M371" s="485">
        <v>0</v>
      </c>
      <c r="N371" s="19">
        <f>SUM(B371:M371)</f>
        <v>4</v>
      </c>
    </row>
    <row r="372" spans="1:14" ht="14" thickBot="1">
      <c r="A372" s="53" t="s">
        <v>163</v>
      </c>
      <c r="B372" s="485">
        <v>0</v>
      </c>
      <c r="C372" s="485">
        <v>0</v>
      </c>
      <c r="D372" s="485">
        <v>0</v>
      </c>
      <c r="E372" s="485">
        <v>0</v>
      </c>
      <c r="F372" s="485">
        <v>1</v>
      </c>
      <c r="G372" s="485">
        <v>0</v>
      </c>
      <c r="H372" s="485">
        <v>0</v>
      </c>
      <c r="I372" s="485">
        <v>0</v>
      </c>
      <c r="J372" s="485">
        <v>6</v>
      </c>
      <c r="K372" s="485">
        <v>0</v>
      </c>
      <c r="L372" s="485">
        <v>0</v>
      </c>
      <c r="M372" s="485">
        <v>0</v>
      </c>
      <c r="N372" s="19">
        <f>SUM(B372:M372)</f>
        <v>7</v>
      </c>
    </row>
    <row r="373" spans="1:14" ht="14" thickBot="1">
      <c r="A373" s="40" t="s">
        <v>60</v>
      </c>
      <c r="B373" s="42">
        <f t="shared" ref="B373:M373" si="51">SUM(B360:B372)</f>
        <v>52</v>
      </c>
      <c r="C373" s="42">
        <f t="shared" si="51"/>
        <v>15</v>
      </c>
      <c r="D373" s="42">
        <f t="shared" si="51"/>
        <v>5</v>
      </c>
      <c r="E373" s="42">
        <f t="shared" si="51"/>
        <v>55</v>
      </c>
      <c r="F373" s="42">
        <f t="shared" si="51"/>
        <v>14</v>
      </c>
      <c r="G373" s="42">
        <f t="shared" si="51"/>
        <v>7</v>
      </c>
      <c r="H373" s="42">
        <f t="shared" si="51"/>
        <v>6</v>
      </c>
      <c r="I373" s="42">
        <f t="shared" si="51"/>
        <v>11</v>
      </c>
      <c r="J373" s="42">
        <f t="shared" si="51"/>
        <v>16</v>
      </c>
      <c r="K373" s="42">
        <f t="shared" si="51"/>
        <v>43</v>
      </c>
      <c r="L373" s="42">
        <f t="shared" si="51"/>
        <v>2</v>
      </c>
      <c r="M373" s="42">
        <f t="shared" si="51"/>
        <v>68</v>
      </c>
      <c r="N373" s="41"/>
    </row>
    <row r="374" spans="1:14" ht="14" thickBot="1">
      <c r="A374" s="30" t="s">
        <v>134</v>
      </c>
      <c r="B374" s="31"/>
      <c r="C374" s="31"/>
      <c r="D374" s="31"/>
      <c r="E374" s="31"/>
      <c r="F374" s="31"/>
      <c r="G374" s="31"/>
      <c r="H374" s="31"/>
      <c r="I374" s="31"/>
      <c r="J374" s="31"/>
      <c r="K374" s="31"/>
      <c r="L374" s="31"/>
      <c r="M374" s="31"/>
      <c r="N374" s="32"/>
    </row>
    <row r="375" spans="1:14">
      <c r="A375" s="24" t="s">
        <v>29</v>
      </c>
      <c r="B375" s="485">
        <v>0</v>
      </c>
      <c r="C375" s="485">
        <v>0</v>
      </c>
      <c r="D375" s="485">
        <v>0</v>
      </c>
      <c r="E375" s="485">
        <v>0</v>
      </c>
      <c r="F375" s="485">
        <v>0</v>
      </c>
      <c r="G375" s="485">
        <v>0</v>
      </c>
      <c r="H375" s="485">
        <v>1</v>
      </c>
      <c r="I375" s="485">
        <v>0</v>
      </c>
      <c r="J375" s="485">
        <v>0</v>
      </c>
      <c r="K375" s="485">
        <v>0</v>
      </c>
      <c r="L375" s="485">
        <v>0</v>
      </c>
      <c r="M375" s="485">
        <v>79</v>
      </c>
      <c r="N375" s="19">
        <f t="shared" ref="N375:N386" si="52">SUM(B375:M375)</f>
        <v>80</v>
      </c>
    </row>
    <row r="376" spans="1:14">
      <c r="A376" s="54" t="s">
        <v>161</v>
      </c>
      <c r="B376" s="485">
        <v>0</v>
      </c>
      <c r="C376" s="485">
        <v>0</v>
      </c>
      <c r="D376" s="485">
        <v>0</v>
      </c>
      <c r="E376" s="485">
        <v>0</v>
      </c>
      <c r="F376" s="485">
        <v>0</v>
      </c>
      <c r="G376" s="485">
        <v>0</v>
      </c>
      <c r="H376" s="485">
        <v>0</v>
      </c>
      <c r="I376" s="485">
        <v>0</v>
      </c>
      <c r="J376" s="485">
        <v>0</v>
      </c>
      <c r="K376" s="485">
        <v>0</v>
      </c>
      <c r="L376" s="485">
        <v>0</v>
      </c>
      <c r="M376" s="485">
        <v>0</v>
      </c>
      <c r="N376" s="19">
        <f t="shared" si="52"/>
        <v>0</v>
      </c>
    </row>
    <row r="377" spans="1:14">
      <c r="A377" s="26" t="s">
        <v>140</v>
      </c>
      <c r="B377" s="485">
        <v>0</v>
      </c>
      <c r="C377" s="485">
        <v>0</v>
      </c>
      <c r="D377" s="485">
        <v>0</v>
      </c>
      <c r="E377" s="485">
        <v>0</v>
      </c>
      <c r="F377" s="485">
        <v>0</v>
      </c>
      <c r="G377" s="485">
        <v>0</v>
      </c>
      <c r="H377" s="485">
        <v>0</v>
      </c>
      <c r="I377" s="485">
        <v>0</v>
      </c>
      <c r="J377" s="485">
        <v>0</v>
      </c>
      <c r="K377" s="485">
        <v>0</v>
      </c>
      <c r="L377" s="485">
        <v>0</v>
      </c>
      <c r="M377" s="485">
        <v>0</v>
      </c>
      <c r="N377" s="19">
        <f t="shared" si="52"/>
        <v>0</v>
      </c>
    </row>
    <row r="378" spans="1:14">
      <c r="A378" s="53" t="s">
        <v>30</v>
      </c>
      <c r="B378" s="485">
        <v>0</v>
      </c>
      <c r="C378" s="485">
        <v>0</v>
      </c>
      <c r="D378" s="485">
        <v>0</v>
      </c>
      <c r="E378" s="485">
        <v>0</v>
      </c>
      <c r="F378" s="485">
        <v>0</v>
      </c>
      <c r="G378" s="485">
        <v>0</v>
      </c>
      <c r="H378" s="485">
        <v>0</v>
      </c>
      <c r="I378" s="485">
        <v>0</v>
      </c>
      <c r="J378" s="485">
        <v>0</v>
      </c>
      <c r="K378" s="485">
        <v>0</v>
      </c>
      <c r="L378" s="485">
        <v>2</v>
      </c>
      <c r="M378" s="485">
        <v>0</v>
      </c>
      <c r="N378" s="19">
        <f t="shared" si="52"/>
        <v>2</v>
      </c>
    </row>
    <row r="379" spans="1:14">
      <c r="A379" s="24" t="s">
        <v>56</v>
      </c>
      <c r="B379" s="485">
        <v>0</v>
      </c>
      <c r="C379" s="485">
        <v>0</v>
      </c>
      <c r="D379" s="485">
        <v>0</v>
      </c>
      <c r="E379" s="485">
        <v>0</v>
      </c>
      <c r="F379" s="485">
        <v>0</v>
      </c>
      <c r="G379" s="485">
        <v>0</v>
      </c>
      <c r="H379" s="485">
        <v>0</v>
      </c>
      <c r="I379" s="485">
        <v>0</v>
      </c>
      <c r="J379" s="485">
        <v>0</v>
      </c>
      <c r="K379" s="485">
        <v>0</v>
      </c>
      <c r="L379" s="485">
        <v>0</v>
      </c>
      <c r="M379" s="485">
        <v>0</v>
      </c>
      <c r="N379" s="19">
        <f t="shared" si="52"/>
        <v>0</v>
      </c>
    </row>
    <row r="380" spans="1:14">
      <c r="A380" s="54" t="s">
        <v>89</v>
      </c>
      <c r="B380" s="485">
        <v>0</v>
      </c>
      <c r="C380" s="485">
        <v>0</v>
      </c>
      <c r="D380" s="485">
        <v>0</v>
      </c>
      <c r="E380" s="485">
        <v>0</v>
      </c>
      <c r="F380" s="485">
        <v>0</v>
      </c>
      <c r="G380" s="485">
        <v>0</v>
      </c>
      <c r="H380" s="485">
        <v>0</v>
      </c>
      <c r="I380" s="485">
        <v>0</v>
      </c>
      <c r="J380" s="485">
        <v>0</v>
      </c>
      <c r="K380" s="485">
        <v>0</v>
      </c>
      <c r="L380" s="485">
        <v>0</v>
      </c>
      <c r="M380" s="485">
        <v>0</v>
      </c>
      <c r="N380" s="19">
        <f t="shared" si="52"/>
        <v>0</v>
      </c>
    </row>
    <row r="381" spans="1:14">
      <c r="A381" s="54" t="s">
        <v>124</v>
      </c>
      <c r="B381" s="485">
        <v>0</v>
      </c>
      <c r="C381" s="485">
        <v>0</v>
      </c>
      <c r="D381" s="485">
        <v>0</v>
      </c>
      <c r="E381" s="485">
        <v>0</v>
      </c>
      <c r="F381" s="485">
        <v>0</v>
      </c>
      <c r="G381" s="485">
        <v>0</v>
      </c>
      <c r="H381" s="485">
        <v>0</v>
      </c>
      <c r="I381" s="485">
        <v>0</v>
      </c>
      <c r="J381" s="485">
        <v>0</v>
      </c>
      <c r="K381" s="485">
        <v>0</v>
      </c>
      <c r="L381" s="485">
        <v>0</v>
      </c>
      <c r="M381" s="485">
        <v>0</v>
      </c>
      <c r="N381" s="19">
        <f t="shared" si="52"/>
        <v>0</v>
      </c>
    </row>
    <row r="382" spans="1:14">
      <c r="A382" s="54" t="s">
        <v>127</v>
      </c>
      <c r="B382" s="485">
        <v>0</v>
      </c>
      <c r="C382" s="485">
        <v>0</v>
      </c>
      <c r="D382" s="485">
        <v>0</v>
      </c>
      <c r="E382" s="485">
        <v>0</v>
      </c>
      <c r="F382" s="485">
        <v>0</v>
      </c>
      <c r="G382" s="485">
        <v>0</v>
      </c>
      <c r="H382" s="485">
        <v>0</v>
      </c>
      <c r="I382" s="485">
        <v>0</v>
      </c>
      <c r="J382" s="485">
        <v>0</v>
      </c>
      <c r="K382" s="485">
        <v>0</v>
      </c>
      <c r="L382" s="485">
        <v>0</v>
      </c>
      <c r="M382" s="485">
        <v>0</v>
      </c>
      <c r="N382" s="19">
        <f t="shared" si="52"/>
        <v>0</v>
      </c>
    </row>
    <row r="383" spans="1:14">
      <c r="A383" s="54" t="s">
        <v>128</v>
      </c>
      <c r="B383" s="485">
        <v>0</v>
      </c>
      <c r="C383" s="485">
        <v>0</v>
      </c>
      <c r="D383" s="485">
        <v>0</v>
      </c>
      <c r="E383" s="485">
        <v>0</v>
      </c>
      <c r="F383" s="485">
        <v>0</v>
      </c>
      <c r="G383" s="485">
        <v>0</v>
      </c>
      <c r="H383" s="485">
        <v>0</v>
      </c>
      <c r="I383" s="485">
        <v>0</v>
      </c>
      <c r="J383" s="485">
        <v>0</v>
      </c>
      <c r="K383" s="485">
        <v>0</v>
      </c>
      <c r="L383" s="485">
        <v>0</v>
      </c>
      <c r="M383" s="485">
        <v>0</v>
      </c>
      <c r="N383" s="19">
        <f t="shared" si="52"/>
        <v>0</v>
      </c>
    </row>
    <row r="384" spans="1:14">
      <c r="A384" s="54" t="s">
        <v>146</v>
      </c>
      <c r="B384" s="485">
        <v>0</v>
      </c>
      <c r="C384" s="485">
        <v>0</v>
      </c>
      <c r="D384" s="485">
        <v>0</v>
      </c>
      <c r="E384" s="485">
        <v>0</v>
      </c>
      <c r="F384" s="485">
        <v>0</v>
      </c>
      <c r="G384" s="485">
        <v>0</v>
      </c>
      <c r="H384" s="485">
        <v>0</v>
      </c>
      <c r="I384" s="485">
        <v>0</v>
      </c>
      <c r="J384" s="485">
        <v>0</v>
      </c>
      <c r="K384" s="485">
        <v>0</v>
      </c>
      <c r="L384" s="485">
        <v>0</v>
      </c>
      <c r="M384" s="485">
        <v>0</v>
      </c>
      <c r="N384" s="19">
        <f t="shared" si="52"/>
        <v>0</v>
      </c>
    </row>
    <row r="385" spans="1:14">
      <c r="A385" s="53" t="s">
        <v>164</v>
      </c>
      <c r="B385" s="485">
        <v>0</v>
      </c>
      <c r="C385" s="485">
        <v>0</v>
      </c>
      <c r="D385" s="485">
        <v>0</v>
      </c>
      <c r="E385" s="485">
        <v>0</v>
      </c>
      <c r="F385" s="485">
        <v>0</v>
      </c>
      <c r="G385" s="485">
        <v>0</v>
      </c>
      <c r="H385" s="485">
        <v>0</v>
      </c>
      <c r="I385" s="485">
        <v>0</v>
      </c>
      <c r="J385" s="485">
        <v>0</v>
      </c>
      <c r="K385" s="485">
        <v>0</v>
      </c>
      <c r="L385" s="485">
        <v>0</v>
      </c>
      <c r="M385" s="485">
        <v>0</v>
      </c>
      <c r="N385" s="19">
        <f t="shared" si="52"/>
        <v>0</v>
      </c>
    </row>
    <row r="386" spans="1:14" ht="14" thickBot="1">
      <c r="A386" s="54" t="s">
        <v>165</v>
      </c>
      <c r="B386" s="485">
        <v>0</v>
      </c>
      <c r="C386" s="485">
        <v>0</v>
      </c>
      <c r="D386" s="485">
        <v>0</v>
      </c>
      <c r="E386" s="485">
        <v>0</v>
      </c>
      <c r="F386" s="485">
        <v>0</v>
      </c>
      <c r="G386" s="485">
        <v>0</v>
      </c>
      <c r="H386" s="485">
        <v>0</v>
      </c>
      <c r="I386" s="485">
        <v>0</v>
      </c>
      <c r="J386" s="485">
        <v>0</v>
      </c>
      <c r="K386" s="485">
        <v>0</v>
      </c>
      <c r="L386" s="485">
        <v>0</v>
      </c>
      <c r="M386" s="485">
        <v>0</v>
      </c>
      <c r="N386" s="19">
        <f t="shared" si="52"/>
        <v>0</v>
      </c>
    </row>
    <row r="387" spans="1:14" ht="14" thickBot="1">
      <c r="A387" s="30" t="s">
        <v>132</v>
      </c>
      <c r="B387" s="31"/>
      <c r="C387" s="31"/>
      <c r="D387" s="31"/>
      <c r="E387" s="31"/>
      <c r="F387" s="31"/>
      <c r="G387" s="31"/>
      <c r="H387" s="31"/>
      <c r="I387" s="31"/>
      <c r="J387" s="31"/>
      <c r="K387" s="31"/>
      <c r="L387" s="31"/>
      <c r="M387" s="31"/>
      <c r="N387" s="32"/>
    </row>
    <row r="388" spans="1:14" ht="14" thickBot="1">
      <c r="A388" s="24" t="s">
        <v>113</v>
      </c>
      <c r="B388" s="485">
        <v>0</v>
      </c>
      <c r="C388" s="485">
        <v>0</v>
      </c>
      <c r="D388" s="485">
        <v>0</v>
      </c>
      <c r="E388" s="485">
        <v>0</v>
      </c>
      <c r="F388" s="485">
        <v>0</v>
      </c>
      <c r="G388" s="485">
        <v>0</v>
      </c>
      <c r="H388" s="485">
        <v>0</v>
      </c>
      <c r="I388" s="485">
        <v>0</v>
      </c>
      <c r="J388" s="485">
        <v>0</v>
      </c>
      <c r="K388" s="485">
        <v>0</v>
      </c>
      <c r="L388" s="485">
        <v>0</v>
      </c>
      <c r="M388" s="485">
        <v>0</v>
      </c>
      <c r="N388" s="19">
        <f>SUM(B388:M388)</f>
        <v>0</v>
      </c>
    </row>
    <row r="389" spans="1:14" ht="14" thickBot="1">
      <c r="A389" s="40" t="s">
        <v>60</v>
      </c>
      <c r="B389" s="42">
        <f t="shared" ref="B389:M389" si="53">SUM(B375:B388)</f>
        <v>0</v>
      </c>
      <c r="C389" s="42">
        <f t="shared" si="53"/>
        <v>0</v>
      </c>
      <c r="D389" s="42">
        <f t="shared" si="53"/>
        <v>0</v>
      </c>
      <c r="E389" s="42">
        <f t="shared" si="53"/>
        <v>0</v>
      </c>
      <c r="F389" s="42">
        <f t="shared" si="53"/>
        <v>0</v>
      </c>
      <c r="G389" s="42">
        <f t="shared" si="53"/>
        <v>0</v>
      </c>
      <c r="H389" s="42">
        <f t="shared" si="53"/>
        <v>1</v>
      </c>
      <c r="I389" s="42">
        <f t="shared" si="53"/>
        <v>0</v>
      </c>
      <c r="J389" s="42">
        <f t="shared" si="53"/>
        <v>0</v>
      </c>
      <c r="K389" s="42">
        <f t="shared" si="53"/>
        <v>0</v>
      </c>
      <c r="L389" s="42">
        <f t="shared" si="53"/>
        <v>2</v>
      </c>
      <c r="M389" s="42">
        <f t="shared" si="53"/>
        <v>79</v>
      </c>
      <c r="N389" s="41"/>
    </row>
    <row r="391" spans="1:14" ht="14" thickBot="1">
      <c r="B391" s="35" t="s">
        <v>35</v>
      </c>
      <c r="C391" s="35" t="s">
        <v>36</v>
      </c>
      <c r="D391" s="35" t="s">
        <v>37</v>
      </c>
      <c r="E391" s="35" t="s">
        <v>38</v>
      </c>
      <c r="F391" s="35" t="s">
        <v>39</v>
      </c>
      <c r="G391" s="35" t="s">
        <v>40</v>
      </c>
      <c r="H391" s="35" t="s">
        <v>41</v>
      </c>
      <c r="I391" s="35" t="s">
        <v>42</v>
      </c>
      <c r="J391" s="35" t="s">
        <v>43</v>
      </c>
      <c r="K391" s="35" t="s">
        <v>44</v>
      </c>
      <c r="L391" s="35" t="s">
        <v>45</v>
      </c>
      <c r="M391" s="35" t="s">
        <v>46</v>
      </c>
      <c r="N391" s="35" t="s">
        <v>10</v>
      </c>
    </row>
    <row r="392" spans="1:14" ht="17" thickBot="1">
      <c r="A392" s="23" t="s">
        <v>207</v>
      </c>
      <c r="B392" s="16"/>
      <c r="C392" s="16"/>
      <c r="D392" s="15"/>
      <c r="E392" s="15"/>
      <c r="F392" s="17"/>
      <c r="G392" s="17"/>
      <c r="H392" s="15"/>
      <c r="I392" s="15"/>
      <c r="J392" s="15"/>
      <c r="K392" s="15"/>
      <c r="L392" s="16"/>
      <c r="M392" s="16"/>
      <c r="N392" s="18"/>
    </row>
    <row r="393" spans="1:14" ht="14" thickBot="1">
      <c r="A393" s="30" t="s">
        <v>129</v>
      </c>
      <c r="B393" s="31"/>
      <c r="C393" s="31"/>
      <c r="D393" s="31"/>
      <c r="E393" s="31"/>
      <c r="F393" s="31"/>
      <c r="G393" s="31"/>
      <c r="H393" s="31"/>
      <c r="I393" s="31"/>
      <c r="J393" s="31"/>
      <c r="K393" s="31"/>
      <c r="L393" s="31"/>
      <c r="M393" s="31"/>
      <c r="N393" s="32"/>
    </row>
    <row r="394" spans="1:14">
      <c r="A394" s="24" t="s">
        <v>29</v>
      </c>
      <c r="B394" s="485">
        <v>0</v>
      </c>
      <c r="C394" s="485">
        <v>0</v>
      </c>
      <c r="D394" s="485">
        <v>1</v>
      </c>
      <c r="E394" s="485">
        <v>2</v>
      </c>
      <c r="F394" s="485">
        <v>5</v>
      </c>
      <c r="G394" s="485">
        <v>0</v>
      </c>
      <c r="H394" s="485">
        <v>0</v>
      </c>
      <c r="I394" s="485">
        <v>2</v>
      </c>
      <c r="J394" s="485">
        <v>0</v>
      </c>
      <c r="K394" s="485">
        <v>1</v>
      </c>
      <c r="L394" s="485">
        <v>0</v>
      </c>
      <c r="M394" s="485">
        <v>9</v>
      </c>
      <c r="N394" s="19">
        <f t="shared" ref="N394:N401" si="54">SUM(B394:M394)</f>
        <v>20</v>
      </c>
    </row>
    <row r="395" spans="1:14">
      <c r="A395" s="24" t="s">
        <v>33</v>
      </c>
      <c r="B395" s="485">
        <v>4</v>
      </c>
      <c r="C395" s="485">
        <v>5</v>
      </c>
      <c r="D395" s="485">
        <v>13</v>
      </c>
      <c r="E395" s="485">
        <v>0</v>
      </c>
      <c r="F395" s="485">
        <v>7</v>
      </c>
      <c r="G395" s="485">
        <v>2</v>
      </c>
      <c r="H395" s="485">
        <v>4</v>
      </c>
      <c r="I395" s="485">
        <v>4</v>
      </c>
      <c r="J395" s="485">
        <v>4</v>
      </c>
      <c r="K395" s="485">
        <v>2</v>
      </c>
      <c r="L395" s="485">
        <v>8</v>
      </c>
      <c r="M395" s="485">
        <v>10</v>
      </c>
      <c r="N395" s="19">
        <f t="shared" si="54"/>
        <v>63</v>
      </c>
    </row>
    <row r="396" spans="1:14">
      <c r="A396" s="24" t="s">
        <v>56</v>
      </c>
      <c r="B396" s="485">
        <v>0</v>
      </c>
      <c r="C396" s="485">
        <v>0</v>
      </c>
      <c r="D396" s="485">
        <v>0</v>
      </c>
      <c r="E396" s="485">
        <v>0</v>
      </c>
      <c r="F396" s="485">
        <v>0</v>
      </c>
      <c r="G396" s="485">
        <v>0</v>
      </c>
      <c r="H396" s="485">
        <v>0</v>
      </c>
      <c r="I396" s="485">
        <v>0</v>
      </c>
      <c r="J396" s="485">
        <v>0</v>
      </c>
      <c r="K396" s="485">
        <v>0</v>
      </c>
      <c r="L396" s="485">
        <v>0</v>
      </c>
      <c r="M396" s="485">
        <v>0</v>
      </c>
      <c r="N396" s="19">
        <f t="shared" si="54"/>
        <v>0</v>
      </c>
    </row>
    <row r="397" spans="1:14">
      <c r="A397" s="54" t="s">
        <v>30</v>
      </c>
      <c r="B397" s="485">
        <v>3</v>
      </c>
      <c r="C397" s="485">
        <v>3</v>
      </c>
      <c r="D397" s="485">
        <v>0</v>
      </c>
      <c r="E397" s="485">
        <v>3</v>
      </c>
      <c r="F397" s="485">
        <v>0</v>
      </c>
      <c r="G397" s="485">
        <v>3</v>
      </c>
      <c r="H397" s="485">
        <v>4</v>
      </c>
      <c r="I397" s="485">
        <v>1</v>
      </c>
      <c r="J397" s="485">
        <v>1</v>
      </c>
      <c r="K397" s="485">
        <v>2</v>
      </c>
      <c r="L397" s="485">
        <v>2</v>
      </c>
      <c r="M397" s="485">
        <v>4</v>
      </c>
      <c r="N397" s="19">
        <f t="shared" si="54"/>
        <v>26</v>
      </c>
    </row>
    <row r="398" spans="1:14">
      <c r="A398" s="53" t="s">
        <v>146</v>
      </c>
      <c r="B398" s="485">
        <v>0</v>
      </c>
      <c r="C398" s="485">
        <v>0</v>
      </c>
      <c r="D398" s="485">
        <v>0</v>
      </c>
      <c r="E398" s="485">
        <v>0</v>
      </c>
      <c r="F398" s="485">
        <v>0</v>
      </c>
      <c r="G398" s="485">
        <v>0</v>
      </c>
      <c r="H398" s="485">
        <v>0</v>
      </c>
      <c r="I398" s="485">
        <v>0</v>
      </c>
      <c r="J398" s="485">
        <v>1</v>
      </c>
      <c r="K398" s="485">
        <v>1</v>
      </c>
      <c r="L398" s="485">
        <v>0</v>
      </c>
      <c r="M398" s="485">
        <v>1</v>
      </c>
      <c r="N398" s="19">
        <f t="shared" si="54"/>
        <v>3</v>
      </c>
    </row>
    <row r="399" spans="1:14">
      <c r="A399" s="53" t="s">
        <v>145</v>
      </c>
      <c r="B399" s="485">
        <v>0</v>
      </c>
      <c r="C399" s="485">
        <v>0</v>
      </c>
      <c r="D399" s="485">
        <v>0</v>
      </c>
      <c r="E399" s="485">
        <v>0</v>
      </c>
      <c r="F399" s="485">
        <v>0</v>
      </c>
      <c r="G399" s="485">
        <v>0</v>
      </c>
      <c r="H399" s="485">
        <v>0</v>
      </c>
      <c r="I399" s="485">
        <v>1</v>
      </c>
      <c r="J399" s="485">
        <v>0</v>
      </c>
      <c r="K399" s="485">
        <v>0</v>
      </c>
      <c r="L399" s="485">
        <v>0</v>
      </c>
      <c r="M399" s="485">
        <v>0</v>
      </c>
      <c r="N399" s="19">
        <f t="shared" si="54"/>
        <v>1</v>
      </c>
    </row>
    <row r="400" spans="1:14">
      <c r="A400" s="53" t="s">
        <v>187</v>
      </c>
      <c r="B400" s="485">
        <v>0</v>
      </c>
      <c r="C400" s="485">
        <v>0</v>
      </c>
      <c r="D400" s="485">
        <v>0</v>
      </c>
      <c r="E400" s="485">
        <v>0</v>
      </c>
      <c r="F400" s="485">
        <v>0</v>
      </c>
      <c r="G400" s="485">
        <v>0</v>
      </c>
      <c r="H400" s="485">
        <v>0</v>
      </c>
      <c r="I400" s="485">
        <v>0</v>
      </c>
      <c r="J400" s="485">
        <v>0</v>
      </c>
      <c r="K400" s="485">
        <v>0</v>
      </c>
      <c r="L400" s="485">
        <v>0</v>
      </c>
      <c r="M400" s="485">
        <v>0</v>
      </c>
      <c r="N400" s="19">
        <f t="shared" si="54"/>
        <v>0</v>
      </c>
    </row>
    <row r="401" spans="1:14" ht="14" thickBot="1">
      <c r="A401" s="53" t="s">
        <v>164</v>
      </c>
      <c r="B401" s="485">
        <v>0</v>
      </c>
      <c r="C401" s="485">
        <v>0</v>
      </c>
      <c r="D401" s="485">
        <v>0</v>
      </c>
      <c r="E401" s="485">
        <v>0</v>
      </c>
      <c r="F401" s="485">
        <v>0</v>
      </c>
      <c r="G401" s="485">
        <v>0</v>
      </c>
      <c r="H401" s="485">
        <v>0</v>
      </c>
      <c r="I401" s="485">
        <v>0</v>
      </c>
      <c r="J401" s="485">
        <v>0</v>
      </c>
      <c r="K401" s="485">
        <v>0</v>
      </c>
      <c r="L401" s="485">
        <v>0</v>
      </c>
      <c r="M401" s="485">
        <v>0</v>
      </c>
      <c r="N401" s="19">
        <f t="shared" si="54"/>
        <v>0</v>
      </c>
    </row>
    <row r="402" spans="1:14" ht="14" thickBot="1">
      <c r="A402" s="30" t="s">
        <v>130</v>
      </c>
      <c r="B402" s="31"/>
      <c r="C402" s="31"/>
      <c r="D402" s="31"/>
      <c r="E402" s="31"/>
      <c r="F402" s="31"/>
      <c r="G402" s="31"/>
      <c r="H402" s="31"/>
      <c r="I402" s="31"/>
      <c r="J402" s="31"/>
      <c r="K402" s="31"/>
      <c r="L402" s="31"/>
      <c r="M402" s="31"/>
      <c r="N402" s="138"/>
    </row>
    <row r="403" spans="1:14">
      <c r="A403" s="53" t="s">
        <v>208</v>
      </c>
      <c r="B403" s="485">
        <v>0</v>
      </c>
      <c r="C403" s="485">
        <v>0</v>
      </c>
      <c r="D403" s="485">
        <v>0</v>
      </c>
      <c r="E403" s="485">
        <v>0</v>
      </c>
      <c r="F403" s="485">
        <v>0</v>
      </c>
      <c r="G403" s="485">
        <v>0</v>
      </c>
      <c r="H403" s="485">
        <v>0</v>
      </c>
      <c r="I403" s="485">
        <v>0</v>
      </c>
      <c r="J403" s="485">
        <v>0</v>
      </c>
      <c r="K403" s="485">
        <v>1</v>
      </c>
      <c r="L403" s="485">
        <v>0</v>
      </c>
      <c r="M403" s="485">
        <v>0</v>
      </c>
      <c r="N403" s="19">
        <f>SUM(B403:M403)</f>
        <v>1</v>
      </c>
    </row>
    <row r="404" spans="1:14">
      <c r="A404" s="53" t="s">
        <v>114</v>
      </c>
      <c r="B404" s="485">
        <v>0</v>
      </c>
      <c r="C404" s="520">
        <v>0</v>
      </c>
      <c r="D404" s="485">
        <v>0</v>
      </c>
      <c r="E404" s="485">
        <v>0</v>
      </c>
      <c r="F404" s="485">
        <v>0</v>
      </c>
      <c r="G404" s="485">
        <v>0</v>
      </c>
      <c r="H404" s="485">
        <v>0</v>
      </c>
      <c r="I404" s="485">
        <v>0</v>
      </c>
      <c r="J404" s="485">
        <v>0</v>
      </c>
      <c r="K404" s="485">
        <v>0</v>
      </c>
      <c r="L404" s="485">
        <v>0</v>
      </c>
      <c r="M404" s="485">
        <v>0</v>
      </c>
      <c r="N404" s="19">
        <f>SUM(B404:M404)</f>
        <v>0</v>
      </c>
    </row>
    <row r="405" spans="1:14">
      <c r="A405" s="53" t="s">
        <v>189</v>
      </c>
      <c r="B405" s="485">
        <v>0</v>
      </c>
      <c r="C405" s="485">
        <v>0</v>
      </c>
      <c r="D405" s="485">
        <v>1</v>
      </c>
      <c r="E405" s="485">
        <v>0</v>
      </c>
      <c r="F405" s="485">
        <v>0</v>
      </c>
      <c r="G405" s="485">
        <v>0</v>
      </c>
      <c r="H405" s="485">
        <v>0</v>
      </c>
      <c r="I405" s="485">
        <v>0</v>
      </c>
      <c r="J405" s="485">
        <v>0</v>
      </c>
      <c r="K405" s="485">
        <v>1</v>
      </c>
      <c r="L405" s="485">
        <v>0</v>
      </c>
      <c r="M405" s="485">
        <v>0</v>
      </c>
      <c r="N405" s="19">
        <f>SUM(B405:M405)</f>
        <v>2</v>
      </c>
    </row>
    <row r="406" spans="1:14" ht="14" thickBot="1">
      <c r="A406" s="53" t="s">
        <v>163</v>
      </c>
      <c r="B406" s="485">
        <v>0</v>
      </c>
      <c r="C406" s="485">
        <v>0</v>
      </c>
      <c r="D406" s="485">
        <v>0</v>
      </c>
      <c r="E406" s="485">
        <v>0</v>
      </c>
      <c r="F406" s="485">
        <v>0</v>
      </c>
      <c r="G406" s="485">
        <v>0</v>
      </c>
      <c r="H406" s="485">
        <v>0</v>
      </c>
      <c r="I406" s="485">
        <v>0</v>
      </c>
      <c r="J406" s="485">
        <v>0</v>
      </c>
      <c r="K406" s="485">
        <v>0</v>
      </c>
      <c r="L406" s="485">
        <v>0</v>
      </c>
      <c r="M406" s="485">
        <v>0</v>
      </c>
      <c r="N406" s="19">
        <f>SUM(B406:M406)</f>
        <v>0</v>
      </c>
    </row>
    <row r="407" spans="1:14" ht="14" thickBot="1">
      <c r="A407" s="40" t="s">
        <v>60</v>
      </c>
      <c r="B407" s="42">
        <f t="shared" ref="B407:M407" si="55">SUM(B394:B406)</f>
        <v>7</v>
      </c>
      <c r="C407" s="42">
        <f>SUM(C394:C406)</f>
        <v>8</v>
      </c>
      <c r="D407" s="42">
        <f t="shared" si="55"/>
        <v>15</v>
      </c>
      <c r="E407" s="42">
        <f t="shared" si="55"/>
        <v>5</v>
      </c>
      <c r="F407" s="42">
        <f t="shared" si="55"/>
        <v>12</v>
      </c>
      <c r="G407" s="42">
        <f t="shared" si="55"/>
        <v>5</v>
      </c>
      <c r="H407" s="42">
        <f t="shared" si="55"/>
        <v>8</v>
      </c>
      <c r="I407" s="42">
        <f t="shared" si="55"/>
        <v>8</v>
      </c>
      <c r="J407" s="42">
        <f t="shared" si="55"/>
        <v>6</v>
      </c>
      <c r="K407" s="42">
        <f t="shared" si="55"/>
        <v>8</v>
      </c>
      <c r="L407" s="42">
        <f t="shared" si="55"/>
        <v>10</v>
      </c>
      <c r="M407" s="42">
        <f t="shared" si="55"/>
        <v>24</v>
      </c>
      <c r="N407" s="41"/>
    </row>
    <row r="408" spans="1:14" ht="14" thickBot="1">
      <c r="A408" s="30" t="s">
        <v>134</v>
      </c>
      <c r="B408" s="31"/>
      <c r="C408" s="31"/>
      <c r="D408" s="31"/>
      <c r="E408" s="31"/>
      <c r="F408" s="31"/>
      <c r="G408" s="31"/>
      <c r="H408" s="31"/>
      <c r="I408" s="31"/>
      <c r="J408" s="31"/>
      <c r="K408" s="31"/>
      <c r="L408" s="31"/>
      <c r="M408" s="31"/>
      <c r="N408" s="32"/>
    </row>
    <row r="409" spans="1:14">
      <c r="A409" s="24" t="s">
        <v>29</v>
      </c>
      <c r="B409" s="485">
        <v>0</v>
      </c>
      <c r="C409" s="485">
        <v>0</v>
      </c>
      <c r="D409" s="485">
        <v>0</v>
      </c>
      <c r="E409" s="485">
        <v>0</v>
      </c>
      <c r="F409" s="485">
        <v>0</v>
      </c>
      <c r="G409" s="485">
        <v>0</v>
      </c>
      <c r="H409" s="485">
        <v>0</v>
      </c>
      <c r="I409" s="485">
        <v>0</v>
      </c>
      <c r="J409" s="485">
        <v>0</v>
      </c>
      <c r="K409" s="485">
        <v>0</v>
      </c>
      <c r="L409" s="485">
        <v>0</v>
      </c>
      <c r="M409" s="485">
        <v>0</v>
      </c>
      <c r="N409" s="19">
        <f t="shared" ref="N409:N420" si="56">SUM(B409:M409)</f>
        <v>0</v>
      </c>
    </row>
    <row r="410" spans="1:14">
      <c r="A410" s="54" t="s">
        <v>161</v>
      </c>
      <c r="B410" s="485">
        <v>0</v>
      </c>
      <c r="C410" s="485">
        <v>0</v>
      </c>
      <c r="D410" s="485">
        <v>0</v>
      </c>
      <c r="E410" s="485">
        <v>0</v>
      </c>
      <c r="F410" s="485">
        <v>0</v>
      </c>
      <c r="G410" s="485">
        <v>0</v>
      </c>
      <c r="H410" s="485">
        <v>0</v>
      </c>
      <c r="I410" s="485">
        <v>0</v>
      </c>
      <c r="J410" s="485">
        <v>0</v>
      </c>
      <c r="K410" s="485">
        <v>0</v>
      </c>
      <c r="L410" s="485">
        <v>0</v>
      </c>
      <c r="M410" s="485">
        <v>0</v>
      </c>
      <c r="N410" s="19">
        <f t="shared" si="56"/>
        <v>0</v>
      </c>
    </row>
    <row r="411" spans="1:14">
      <c r="A411" s="26" t="s">
        <v>140</v>
      </c>
      <c r="B411" s="485">
        <v>0</v>
      </c>
      <c r="C411" s="485">
        <v>0</v>
      </c>
      <c r="D411" s="485">
        <v>0</v>
      </c>
      <c r="E411" s="485">
        <v>0</v>
      </c>
      <c r="F411" s="485">
        <v>0</v>
      </c>
      <c r="G411" s="485">
        <v>0</v>
      </c>
      <c r="H411" s="485">
        <v>0</v>
      </c>
      <c r="I411" s="485">
        <v>0</v>
      </c>
      <c r="J411" s="485">
        <v>0</v>
      </c>
      <c r="K411" s="485">
        <v>0</v>
      </c>
      <c r="L411" s="485">
        <v>0</v>
      </c>
      <c r="M411" s="485">
        <v>0</v>
      </c>
      <c r="N411" s="19">
        <f t="shared" si="56"/>
        <v>0</v>
      </c>
    </row>
    <row r="412" spans="1:14">
      <c r="A412" s="53" t="s">
        <v>30</v>
      </c>
      <c r="B412" s="485">
        <v>0</v>
      </c>
      <c r="C412" s="485">
        <v>0</v>
      </c>
      <c r="D412" s="485">
        <v>0</v>
      </c>
      <c r="E412" s="485">
        <v>0</v>
      </c>
      <c r="F412" s="485">
        <v>0</v>
      </c>
      <c r="G412" s="485">
        <v>0</v>
      </c>
      <c r="H412" s="485">
        <v>3</v>
      </c>
      <c r="I412" s="485">
        <v>0</v>
      </c>
      <c r="J412" s="485">
        <v>1</v>
      </c>
      <c r="K412" s="485">
        <v>0</v>
      </c>
      <c r="L412" s="485">
        <v>0</v>
      </c>
      <c r="M412" s="485">
        <v>0</v>
      </c>
      <c r="N412" s="19">
        <f t="shared" si="56"/>
        <v>4</v>
      </c>
    </row>
    <row r="413" spans="1:14">
      <c r="A413" s="24" t="s">
        <v>56</v>
      </c>
      <c r="B413" s="485">
        <v>0</v>
      </c>
      <c r="C413" s="485">
        <v>0</v>
      </c>
      <c r="D413" s="485">
        <v>0</v>
      </c>
      <c r="E413" s="485">
        <v>0</v>
      </c>
      <c r="F413" s="485">
        <v>0</v>
      </c>
      <c r="G413" s="485">
        <v>0</v>
      </c>
      <c r="H413" s="485">
        <v>0</v>
      </c>
      <c r="I413" s="485">
        <v>0</v>
      </c>
      <c r="J413" s="485">
        <v>0</v>
      </c>
      <c r="K413" s="485">
        <v>0</v>
      </c>
      <c r="L413" s="485">
        <v>0</v>
      </c>
      <c r="M413" s="485">
        <v>0</v>
      </c>
      <c r="N413" s="19">
        <f t="shared" si="56"/>
        <v>0</v>
      </c>
    </row>
    <row r="414" spans="1:14">
      <c r="A414" s="54" t="s">
        <v>89</v>
      </c>
      <c r="B414" s="485">
        <v>0</v>
      </c>
      <c r="C414" s="485">
        <v>0</v>
      </c>
      <c r="D414" s="485">
        <v>0</v>
      </c>
      <c r="E414" s="485">
        <v>0</v>
      </c>
      <c r="F414" s="485">
        <v>0</v>
      </c>
      <c r="G414" s="485">
        <v>0</v>
      </c>
      <c r="H414" s="485">
        <v>0</v>
      </c>
      <c r="I414" s="485">
        <v>0</v>
      </c>
      <c r="J414" s="485">
        <v>0</v>
      </c>
      <c r="K414" s="485">
        <v>0</v>
      </c>
      <c r="L414" s="485">
        <v>0</v>
      </c>
      <c r="M414" s="485">
        <v>0</v>
      </c>
      <c r="N414" s="19">
        <f t="shared" si="56"/>
        <v>0</v>
      </c>
    </row>
    <row r="415" spans="1:14">
      <c r="A415" s="54" t="s">
        <v>124</v>
      </c>
      <c r="B415" s="485">
        <v>0</v>
      </c>
      <c r="C415" s="485">
        <v>0</v>
      </c>
      <c r="D415" s="485">
        <v>0</v>
      </c>
      <c r="E415" s="485">
        <v>0</v>
      </c>
      <c r="F415" s="485">
        <v>0</v>
      </c>
      <c r="G415" s="485">
        <v>0</v>
      </c>
      <c r="H415" s="485">
        <v>0</v>
      </c>
      <c r="I415" s="485">
        <v>0</v>
      </c>
      <c r="J415" s="485">
        <v>0</v>
      </c>
      <c r="K415" s="485">
        <v>0</v>
      </c>
      <c r="L415" s="485">
        <v>0</v>
      </c>
      <c r="M415" s="485">
        <v>0</v>
      </c>
      <c r="N415" s="19">
        <f t="shared" si="56"/>
        <v>0</v>
      </c>
    </row>
    <row r="416" spans="1:14">
      <c r="A416" s="54" t="s">
        <v>127</v>
      </c>
      <c r="B416" s="485">
        <v>0</v>
      </c>
      <c r="C416" s="485">
        <v>0</v>
      </c>
      <c r="D416" s="485">
        <v>0</v>
      </c>
      <c r="E416" s="485">
        <v>0</v>
      </c>
      <c r="F416" s="485">
        <v>0</v>
      </c>
      <c r="G416" s="485">
        <v>0</v>
      </c>
      <c r="H416" s="485">
        <v>0</v>
      </c>
      <c r="I416" s="485">
        <v>0</v>
      </c>
      <c r="J416" s="485">
        <v>0</v>
      </c>
      <c r="K416" s="485">
        <v>0</v>
      </c>
      <c r="L416" s="485">
        <v>0</v>
      </c>
      <c r="M416" s="485">
        <v>0</v>
      </c>
      <c r="N416" s="19">
        <f t="shared" si="56"/>
        <v>0</v>
      </c>
    </row>
    <row r="417" spans="1:14">
      <c r="A417" s="54" t="s">
        <v>128</v>
      </c>
      <c r="B417" s="485">
        <v>0</v>
      </c>
      <c r="C417" s="485">
        <v>0</v>
      </c>
      <c r="D417" s="485">
        <v>0</v>
      </c>
      <c r="E417" s="485">
        <v>0</v>
      </c>
      <c r="F417" s="485">
        <v>0</v>
      </c>
      <c r="G417" s="485">
        <v>0</v>
      </c>
      <c r="H417" s="485">
        <v>0</v>
      </c>
      <c r="I417" s="485">
        <v>0</v>
      </c>
      <c r="J417" s="485">
        <v>0</v>
      </c>
      <c r="K417" s="485">
        <v>0</v>
      </c>
      <c r="L417" s="485">
        <v>0</v>
      </c>
      <c r="M417" s="485">
        <v>0</v>
      </c>
      <c r="N417" s="19">
        <f t="shared" si="56"/>
        <v>0</v>
      </c>
    </row>
    <row r="418" spans="1:14">
      <c r="A418" s="54" t="s">
        <v>146</v>
      </c>
      <c r="B418" s="485">
        <v>0</v>
      </c>
      <c r="C418" s="485">
        <v>0</v>
      </c>
      <c r="D418" s="485">
        <v>0</v>
      </c>
      <c r="E418" s="485">
        <v>0</v>
      </c>
      <c r="F418" s="485">
        <v>0</v>
      </c>
      <c r="G418" s="485">
        <v>0</v>
      </c>
      <c r="H418" s="485">
        <v>0</v>
      </c>
      <c r="I418" s="485">
        <v>0</v>
      </c>
      <c r="J418" s="485">
        <v>0</v>
      </c>
      <c r="K418" s="485">
        <v>0</v>
      </c>
      <c r="L418" s="485">
        <v>0</v>
      </c>
      <c r="M418" s="485">
        <v>0</v>
      </c>
      <c r="N418" s="19">
        <f t="shared" si="56"/>
        <v>0</v>
      </c>
    </row>
    <row r="419" spans="1:14">
      <c r="A419" s="53" t="s">
        <v>164</v>
      </c>
      <c r="B419" s="485">
        <v>0</v>
      </c>
      <c r="C419" s="485">
        <v>0</v>
      </c>
      <c r="D419" s="485">
        <v>0</v>
      </c>
      <c r="E419" s="485">
        <v>0</v>
      </c>
      <c r="F419" s="485">
        <v>0</v>
      </c>
      <c r="G419" s="485">
        <v>0</v>
      </c>
      <c r="H419" s="485">
        <v>0</v>
      </c>
      <c r="I419" s="485">
        <v>0</v>
      </c>
      <c r="J419" s="485">
        <v>0</v>
      </c>
      <c r="K419" s="485">
        <v>0</v>
      </c>
      <c r="L419" s="485">
        <v>0</v>
      </c>
      <c r="M419" s="485">
        <v>0</v>
      </c>
      <c r="N419" s="19">
        <f t="shared" si="56"/>
        <v>0</v>
      </c>
    </row>
    <row r="420" spans="1:14" ht="14" thickBot="1">
      <c r="A420" s="54" t="s">
        <v>165</v>
      </c>
      <c r="B420" s="485">
        <v>0</v>
      </c>
      <c r="C420" s="485">
        <v>0</v>
      </c>
      <c r="D420" s="485">
        <v>0</v>
      </c>
      <c r="E420" s="485">
        <v>0</v>
      </c>
      <c r="F420" s="485">
        <v>0</v>
      </c>
      <c r="G420" s="485">
        <v>0</v>
      </c>
      <c r="H420" s="485">
        <v>0</v>
      </c>
      <c r="I420" s="485">
        <v>0</v>
      </c>
      <c r="J420" s="485">
        <v>0</v>
      </c>
      <c r="K420" s="485">
        <v>0</v>
      </c>
      <c r="L420" s="485">
        <v>0</v>
      </c>
      <c r="M420" s="485">
        <v>0</v>
      </c>
      <c r="N420" s="19">
        <f t="shared" si="56"/>
        <v>0</v>
      </c>
    </row>
    <row r="421" spans="1:14" ht="14" hidden="1" thickBot="1">
      <c r="A421" s="30" t="s">
        <v>132</v>
      </c>
      <c r="B421" s="31"/>
      <c r="C421" s="31"/>
      <c r="D421" s="31"/>
      <c r="E421" s="31"/>
      <c r="F421" s="31"/>
      <c r="G421" s="31"/>
      <c r="H421" s="31"/>
      <c r="I421" s="31"/>
      <c r="J421" s="31"/>
      <c r="K421" s="31"/>
      <c r="L421" s="31"/>
      <c r="M421" s="31"/>
      <c r="N421" s="32"/>
    </row>
    <row r="422" spans="1:14" ht="14" hidden="1" thickBot="1">
      <c r="A422" s="53"/>
      <c r="B422" s="485"/>
      <c r="C422" s="485"/>
      <c r="D422" s="485"/>
      <c r="E422" s="485"/>
      <c r="F422" s="485"/>
      <c r="G422" s="485"/>
      <c r="H422" s="485"/>
      <c r="I422" s="485"/>
      <c r="J422" s="485"/>
      <c r="K422" s="485"/>
      <c r="L422" s="485"/>
      <c r="M422" s="485"/>
      <c r="N422" s="19">
        <f>SUM(B422:M422)</f>
        <v>0</v>
      </c>
    </row>
    <row r="423" spans="1:14" ht="14" thickBot="1">
      <c r="A423" s="40" t="s">
        <v>60</v>
      </c>
      <c r="B423" s="42">
        <f t="shared" ref="B423:M423" si="57">SUM(B409:B422)</f>
        <v>0</v>
      </c>
      <c r="C423" s="42">
        <f t="shared" si="57"/>
        <v>0</v>
      </c>
      <c r="D423" s="42">
        <f t="shared" si="57"/>
        <v>0</v>
      </c>
      <c r="E423" s="42">
        <f t="shared" si="57"/>
        <v>0</v>
      </c>
      <c r="F423" s="42">
        <f t="shared" si="57"/>
        <v>0</v>
      </c>
      <c r="G423" s="42">
        <f t="shared" si="57"/>
        <v>0</v>
      </c>
      <c r="H423" s="42">
        <f t="shared" si="57"/>
        <v>3</v>
      </c>
      <c r="I423" s="42">
        <f t="shared" si="57"/>
        <v>0</v>
      </c>
      <c r="J423" s="42">
        <f t="shared" si="57"/>
        <v>1</v>
      </c>
      <c r="K423" s="42">
        <f t="shared" si="57"/>
        <v>0</v>
      </c>
      <c r="L423" s="42">
        <f t="shared" si="57"/>
        <v>0</v>
      </c>
      <c r="M423" s="42">
        <f t="shared" si="57"/>
        <v>0</v>
      </c>
      <c r="N423" s="41"/>
    </row>
    <row r="425" spans="1:14" ht="14" thickBot="1">
      <c r="B425" s="35" t="s">
        <v>35</v>
      </c>
      <c r="C425" s="35" t="s">
        <v>36</v>
      </c>
      <c r="D425" s="35" t="s">
        <v>37</v>
      </c>
      <c r="E425" s="35" t="s">
        <v>38</v>
      </c>
      <c r="F425" s="35" t="s">
        <v>39</v>
      </c>
      <c r="G425" s="35" t="s">
        <v>40</v>
      </c>
      <c r="H425" s="35" t="s">
        <v>41</v>
      </c>
      <c r="I425" s="35" t="s">
        <v>42</v>
      </c>
      <c r="J425" s="35" t="s">
        <v>43</v>
      </c>
      <c r="K425" s="35" t="s">
        <v>44</v>
      </c>
      <c r="L425" s="35" t="s">
        <v>45</v>
      </c>
      <c r="M425" s="35" t="s">
        <v>46</v>
      </c>
      <c r="N425" s="35" t="s">
        <v>10</v>
      </c>
    </row>
    <row r="426" spans="1:14" ht="17" thickBot="1">
      <c r="A426" s="23" t="s">
        <v>217</v>
      </c>
      <c r="B426" s="16"/>
      <c r="C426" s="16"/>
      <c r="D426" s="15"/>
      <c r="E426" s="15"/>
      <c r="F426" s="17"/>
      <c r="G426" s="17"/>
      <c r="H426" s="15"/>
      <c r="I426" s="15"/>
      <c r="J426" s="15"/>
      <c r="K426" s="15"/>
      <c r="L426" s="16"/>
      <c r="M426" s="16"/>
      <c r="N426" s="18"/>
    </row>
    <row r="427" spans="1:14" ht="14" thickBot="1">
      <c r="A427" s="30" t="s">
        <v>129</v>
      </c>
      <c r="B427" s="31"/>
      <c r="C427" s="31"/>
      <c r="D427" s="31"/>
      <c r="E427" s="31"/>
      <c r="F427" s="31"/>
      <c r="G427" s="31"/>
      <c r="H427" s="31"/>
      <c r="I427" s="31"/>
      <c r="J427" s="31"/>
      <c r="K427" s="31"/>
      <c r="L427" s="31"/>
      <c r="M427" s="31"/>
      <c r="N427" s="32"/>
    </row>
    <row r="428" spans="1:14">
      <c r="A428" s="24" t="s">
        <v>29</v>
      </c>
      <c r="B428" s="485"/>
      <c r="C428" s="485">
        <v>2</v>
      </c>
      <c r="D428" s="485">
        <v>5</v>
      </c>
      <c r="E428" s="485"/>
      <c r="F428" s="485"/>
      <c r="G428" s="485"/>
      <c r="H428" s="485"/>
      <c r="I428" s="485"/>
      <c r="J428" s="485"/>
      <c r="K428" s="485"/>
      <c r="L428" s="485"/>
      <c r="M428" s="485"/>
      <c r="N428" s="19">
        <f t="shared" ref="N428:N435" si="58">SUM(B428:M428)</f>
        <v>7</v>
      </c>
    </row>
    <row r="429" spans="1:14">
      <c r="A429" s="24" t="s">
        <v>33</v>
      </c>
      <c r="B429" s="485">
        <v>2</v>
      </c>
      <c r="C429" s="485">
        <v>4</v>
      </c>
      <c r="D429" s="485">
        <v>4</v>
      </c>
      <c r="E429" s="485">
        <v>1</v>
      </c>
      <c r="F429" s="485">
        <v>5</v>
      </c>
      <c r="G429" s="485">
        <v>3</v>
      </c>
      <c r="H429" s="485">
        <v>4</v>
      </c>
      <c r="I429" s="485">
        <v>8</v>
      </c>
      <c r="J429" s="485">
        <v>9</v>
      </c>
      <c r="K429" s="485">
        <v>3</v>
      </c>
      <c r="L429" s="485">
        <v>7</v>
      </c>
      <c r="M429" s="485">
        <v>2</v>
      </c>
      <c r="N429" s="19">
        <f t="shared" si="58"/>
        <v>52</v>
      </c>
    </row>
    <row r="430" spans="1:14">
      <c r="A430" s="24" t="s">
        <v>56</v>
      </c>
      <c r="B430" s="485"/>
      <c r="C430" s="485"/>
      <c r="D430" s="485"/>
      <c r="E430" s="485"/>
      <c r="F430" s="485"/>
      <c r="G430" s="485"/>
      <c r="H430" s="485"/>
      <c r="I430" s="485"/>
      <c r="J430" s="485"/>
      <c r="K430" s="485"/>
      <c r="L430" s="485"/>
      <c r="M430" s="485"/>
      <c r="N430" s="19">
        <f t="shared" si="58"/>
        <v>0</v>
      </c>
    </row>
    <row r="431" spans="1:14">
      <c r="A431" s="54" t="s">
        <v>30</v>
      </c>
      <c r="B431" s="485">
        <v>3</v>
      </c>
      <c r="C431" s="485">
        <v>11</v>
      </c>
      <c r="D431" s="485">
        <v>4</v>
      </c>
      <c r="E431" s="485">
        <v>3</v>
      </c>
      <c r="F431" s="485"/>
      <c r="G431" s="485">
        <v>3</v>
      </c>
      <c r="H431" s="485">
        <v>4</v>
      </c>
      <c r="I431" s="485">
        <v>4</v>
      </c>
      <c r="J431" s="485">
        <v>1</v>
      </c>
      <c r="K431" s="485">
        <v>1</v>
      </c>
      <c r="L431" s="485">
        <v>3</v>
      </c>
      <c r="M431" s="485">
        <v>3</v>
      </c>
      <c r="N431" s="19">
        <f t="shared" si="58"/>
        <v>40</v>
      </c>
    </row>
    <row r="432" spans="1:14">
      <c r="A432" s="53" t="s">
        <v>146</v>
      </c>
      <c r="B432" s="485"/>
      <c r="C432" s="485"/>
      <c r="D432" s="485"/>
      <c r="E432" s="485">
        <v>1</v>
      </c>
      <c r="F432" s="485">
        <v>2</v>
      </c>
      <c r="G432" s="485"/>
      <c r="H432" s="485">
        <v>2</v>
      </c>
      <c r="I432" s="485"/>
      <c r="J432" s="485"/>
      <c r="K432" s="485"/>
      <c r="L432" s="485"/>
      <c r="M432" s="485"/>
      <c r="N432" s="19">
        <f t="shared" si="58"/>
        <v>5</v>
      </c>
    </row>
    <row r="433" spans="1:14">
      <c r="A433" s="53" t="s">
        <v>145</v>
      </c>
      <c r="B433" s="485"/>
      <c r="C433" s="485"/>
      <c r="D433" s="485"/>
      <c r="E433" s="485"/>
      <c r="F433" s="485"/>
      <c r="G433" s="485"/>
      <c r="H433" s="485"/>
      <c r="I433" s="485"/>
      <c r="J433" s="485"/>
      <c r="K433" s="485"/>
      <c r="L433" s="485"/>
      <c r="M433" s="485"/>
      <c r="N433" s="19">
        <f t="shared" si="58"/>
        <v>0</v>
      </c>
    </row>
    <row r="434" spans="1:14">
      <c r="A434" s="53" t="s">
        <v>187</v>
      </c>
      <c r="B434" s="485"/>
      <c r="C434" s="485"/>
      <c r="D434" s="485"/>
      <c r="E434" s="485"/>
      <c r="F434" s="485"/>
      <c r="G434" s="485"/>
      <c r="H434" s="485"/>
      <c r="I434" s="485"/>
      <c r="J434" s="485"/>
      <c r="K434" s="485"/>
      <c r="L434" s="485"/>
      <c r="M434" s="485"/>
      <c r="N434" s="19">
        <f t="shared" si="58"/>
        <v>0</v>
      </c>
    </row>
    <row r="435" spans="1:14" ht="14" thickBot="1">
      <c r="A435" s="53" t="s">
        <v>164</v>
      </c>
      <c r="B435" s="485"/>
      <c r="C435" s="485"/>
      <c r="D435" s="485"/>
      <c r="E435" s="485"/>
      <c r="F435" s="485"/>
      <c r="G435" s="485"/>
      <c r="H435" s="485"/>
      <c r="I435" s="485"/>
      <c r="J435" s="485"/>
      <c r="K435" s="485"/>
      <c r="L435" s="485"/>
      <c r="M435" s="485"/>
      <c r="N435" s="19">
        <f t="shared" si="58"/>
        <v>0</v>
      </c>
    </row>
    <row r="436" spans="1:14" ht="14" thickBot="1">
      <c r="A436" s="30" t="s">
        <v>130</v>
      </c>
      <c r="B436" s="31"/>
      <c r="C436" s="31"/>
      <c r="D436" s="31"/>
      <c r="E436" s="31"/>
      <c r="F436" s="31"/>
      <c r="G436" s="31"/>
      <c r="H436" s="31"/>
      <c r="I436" s="31"/>
      <c r="J436" s="31"/>
      <c r="K436" s="31"/>
      <c r="L436" s="31"/>
      <c r="M436" s="31"/>
      <c r="N436" s="138"/>
    </row>
    <row r="437" spans="1:14">
      <c r="A437" s="53" t="s">
        <v>208</v>
      </c>
      <c r="B437" s="485">
        <v>0</v>
      </c>
      <c r="C437" s="485">
        <v>1</v>
      </c>
      <c r="D437" s="485"/>
      <c r="E437" s="485"/>
      <c r="F437" s="485"/>
      <c r="G437" s="485"/>
      <c r="H437" s="485"/>
      <c r="I437" s="485"/>
      <c r="J437" s="485">
        <v>1</v>
      </c>
      <c r="K437" s="485"/>
      <c r="L437" s="485">
        <v>0</v>
      </c>
      <c r="M437" s="485">
        <v>3</v>
      </c>
      <c r="N437" s="19">
        <f>SUM(B437:M437)</f>
        <v>5</v>
      </c>
    </row>
    <row r="438" spans="1:14">
      <c r="A438" s="53" t="s">
        <v>114</v>
      </c>
      <c r="B438" s="485">
        <v>0</v>
      </c>
      <c r="C438" s="520">
        <v>0</v>
      </c>
      <c r="D438" s="485">
        <v>0</v>
      </c>
      <c r="E438" s="485">
        <v>0</v>
      </c>
      <c r="F438" s="485">
        <v>0</v>
      </c>
      <c r="G438" s="485">
        <v>0</v>
      </c>
      <c r="H438" s="485">
        <v>0</v>
      </c>
      <c r="I438" s="485">
        <v>0</v>
      </c>
      <c r="J438" s="485">
        <v>0</v>
      </c>
      <c r="K438" s="485">
        <v>0</v>
      </c>
      <c r="L438" s="485">
        <v>0</v>
      </c>
      <c r="M438" s="485">
        <v>1</v>
      </c>
      <c r="N438" s="19">
        <f>SUM(B438:M438)</f>
        <v>1</v>
      </c>
    </row>
    <row r="439" spans="1:14">
      <c r="A439" s="53" t="s">
        <v>189</v>
      </c>
      <c r="B439" s="485">
        <v>0</v>
      </c>
      <c r="C439" s="485">
        <v>1</v>
      </c>
      <c r="D439" s="485">
        <v>0</v>
      </c>
      <c r="E439" s="485">
        <v>0</v>
      </c>
      <c r="F439" s="485">
        <v>0</v>
      </c>
      <c r="G439" s="485">
        <v>0</v>
      </c>
      <c r="H439" s="485">
        <v>0</v>
      </c>
      <c r="I439" s="485">
        <v>2</v>
      </c>
      <c r="J439" s="485">
        <v>0</v>
      </c>
      <c r="K439" s="485">
        <v>0</v>
      </c>
      <c r="L439" s="485">
        <v>0</v>
      </c>
      <c r="M439" s="485">
        <v>1</v>
      </c>
      <c r="N439" s="19">
        <f>SUM(B439:M439)</f>
        <v>4</v>
      </c>
    </row>
    <row r="440" spans="1:14">
      <c r="A440" s="53" t="s">
        <v>163</v>
      </c>
      <c r="B440" s="485">
        <v>0</v>
      </c>
      <c r="C440" s="485">
        <v>0</v>
      </c>
      <c r="D440" s="485">
        <v>0</v>
      </c>
      <c r="E440" s="485">
        <v>0</v>
      </c>
      <c r="F440" s="485">
        <v>1</v>
      </c>
      <c r="G440" s="485">
        <v>1</v>
      </c>
      <c r="H440" s="485">
        <v>0</v>
      </c>
      <c r="I440" s="485">
        <v>0</v>
      </c>
      <c r="J440" s="485">
        <v>0</v>
      </c>
      <c r="K440" s="485">
        <v>0</v>
      </c>
      <c r="L440" s="485">
        <v>0</v>
      </c>
      <c r="M440" s="485">
        <v>0</v>
      </c>
      <c r="N440" s="19">
        <f>SUM(B440:M440)</f>
        <v>2</v>
      </c>
    </row>
    <row r="441" spans="1:14" ht="14" thickBot="1">
      <c r="A441" s="53" t="s">
        <v>227</v>
      </c>
      <c r="B441" s="485"/>
      <c r="C441" s="485"/>
      <c r="D441" s="485"/>
      <c r="E441" s="485"/>
      <c r="F441" s="485"/>
      <c r="G441" s="485"/>
      <c r="H441" s="485"/>
      <c r="I441" s="485"/>
      <c r="J441" s="485"/>
      <c r="K441" s="485"/>
      <c r="L441" s="485"/>
      <c r="M441" s="485"/>
      <c r="N441" s="19">
        <f>SUM(B441:M441)</f>
        <v>0</v>
      </c>
    </row>
    <row r="442" spans="1:14" ht="14" thickBot="1">
      <c r="A442" s="40" t="s">
        <v>60</v>
      </c>
      <c r="B442" s="42">
        <f>SUM(B428:B441)</f>
        <v>5</v>
      </c>
      <c r="C442" s="42">
        <f t="shared" ref="C442:M442" si="59">SUM(C428:C441)</f>
        <v>19</v>
      </c>
      <c r="D442" s="42">
        <f t="shared" si="59"/>
        <v>13</v>
      </c>
      <c r="E442" s="42">
        <f t="shared" si="59"/>
        <v>5</v>
      </c>
      <c r="F442" s="42">
        <f t="shared" si="59"/>
        <v>8</v>
      </c>
      <c r="G442" s="42">
        <f t="shared" si="59"/>
        <v>7</v>
      </c>
      <c r="H442" s="42">
        <f t="shared" si="59"/>
        <v>10</v>
      </c>
      <c r="I442" s="42">
        <f t="shared" si="59"/>
        <v>14</v>
      </c>
      <c r="J442" s="42">
        <f>SUM(J428:J441)</f>
        <v>11</v>
      </c>
      <c r="K442" s="42">
        <f t="shared" si="59"/>
        <v>4</v>
      </c>
      <c r="L442" s="42">
        <f t="shared" si="59"/>
        <v>10</v>
      </c>
      <c r="M442" s="42">
        <f t="shared" si="59"/>
        <v>10</v>
      </c>
      <c r="N442" s="41"/>
    </row>
    <row r="443" spans="1:14" ht="14" thickBot="1">
      <c r="A443" s="30" t="s">
        <v>134</v>
      </c>
      <c r="B443" s="31"/>
      <c r="C443" s="31"/>
      <c r="D443" s="31"/>
      <c r="E443" s="31"/>
      <c r="F443" s="31"/>
      <c r="G443" s="31"/>
      <c r="H443" s="31"/>
      <c r="I443" s="31"/>
      <c r="J443" s="31"/>
      <c r="K443" s="31"/>
      <c r="L443" s="31"/>
      <c r="M443" s="31"/>
      <c r="N443" s="32"/>
    </row>
    <row r="444" spans="1:14">
      <c r="A444" s="24" t="s">
        <v>29</v>
      </c>
      <c r="B444" s="485"/>
      <c r="C444" s="485"/>
      <c r="D444" s="485"/>
      <c r="E444" s="485"/>
      <c r="F444" s="485"/>
      <c r="G444" s="485"/>
      <c r="H444" s="485"/>
      <c r="I444" s="485"/>
      <c r="J444" s="485"/>
      <c r="K444" s="485"/>
      <c r="L444" s="485"/>
      <c r="M444" s="485"/>
      <c r="N444" s="19">
        <f t="shared" ref="N444:N455" si="60">SUM(B444:M444)</f>
        <v>0</v>
      </c>
    </row>
    <row r="445" spans="1:14">
      <c r="A445" s="54" t="s">
        <v>161</v>
      </c>
      <c r="B445" s="485"/>
      <c r="C445" s="485"/>
      <c r="D445" s="485"/>
      <c r="E445" s="485"/>
      <c r="F445" s="485"/>
      <c r="G445" s="485"/>
      <c r="H445" s="485"/>
      <c r="I445" s="485"/>
      <c r="J445" s="485"/>
      <c r="K445" s="485"/>
      <c r="L445" s="485"/>
      <c r="M445" s="485"/>
      <c r="N445" s="19">
        <f t="shared" si="60"/>
        <v>0</v>
      </c>
    </row>
    <row r="446" spans="1:14">
      <c r="A446" s="26" t="s">
        <v>140</v>
      </c>
      <c r="B446" s="485"/>
      <c r="C446" s="485"/>
      <c r="D446" s="485"/>
      <c r="E446" s="485"/>
      <c r="F446" s="485"/>
      <c r="G446" s="485"/>
      <c r="H446" s="485"/>
      <c r="I446" s="485"/>
      <c r="J446" s="485"/>
      <c r="K446" s="485"/>
      <c r="L446" s="485"/>
      <c r="M446" s="485"/>
      <c r="N446" s="19">
        <f t="shared" si="60"/>
        <v>0</v>
      </c>
    </row>
    <row r="447" spans="1:14">
      <c r="A447" s="53" t="s">
        <v>30</v>
      </c>
      <c r="B447" s="485"/>
      <c r="C447" s="485"/>
      <c r="D447" s="485"/>
      <c r="E447" s="485"/>
      <c r="F447" s="485"/>
      <c r="G447" s="485"/>
      <c r="H447" s="485"/>
      <c r="I447" s="485">
        <v>51</v>
      </c>
      <c r="J447" s="485"/>
      <c r="K447" s="485"/>
      <c r="L447" s="485">
        <v>8</v>
      </c>
      <c r="M447" s="485"/>
      <c r="N447" s="19">
        <f t="shared" si="60"/>
        <v>59</v>
      </c>
    </row>
    <row r="448" spans="1:14">
      <c r="A448" s="24" t="s">
        <v>56</v>
      </c>
      <c r="B448" s="485"/>
      <c r="C448" s="485"/>
      <c r="D448" s="485"/>
      <c r="E448" s="485"/>
      <c r="F448" s="485"/>
      <c r="G448" s="485"/>
      <c r="H448" s="485"/>
      <c r="I448" s="485"/>
      <c r="J448" s="485"/>
      <c r="K448" s="485"/>
      <c r="L448" s="485"/>
      <c r="M448" s="485"/>
      <c r="N448" s="19">
        <f t="shared" si="60"/>
        <v>0</v>
      </c>
    </row>
    <row r="449" spans="1:14">
      <c r="A449" s="54" t="s">
        <v>89</v>
      </c>
      <c r="B449" s="485"/>
      <c r="C449" s="485"/>
      <c r="D449" s="485"/>
      <c r="E449" s="485"/>
      <c r="F449" s="485"/>
      <c r="G449" s="485"/>
      <c r="H449" s="485"/>
      <c r="I449" s="485"/>
      <c r="J449" s="485"/>
      <c r="K449" s="485"/>
      <c r="L449" s="485"/>
      <c r="M449" s="485"/>
      <c r="N449" s="19">
        <f t="shared" si="60"/>
        <v>0</v>
      </c>
    </row>
    <row r="450" spans="1:14">
      <c r="A450" s="54" t="s">
        <v>124</v>
      </c>
      <c r="B450" s="485"/>
      <c r="C450" s="485"/>
      <c r="D450" s="485"/>
      <c r="E450" s="485"/>
      <c r="F450" s="485"/>
      <c r="G450" s="485"/>
      <c r="H450" s="485"/>
      <c r="I450" s="485"/>
      <c r="J450" s="485"/>
      <c r="K450" s="485"/>
      <c r="L450" s="485"/>
      <c r="M450" s="485"/>
      <c r="N450" s="19">
        <f t="shared" si="60"/>
        <v>0</v>
      </c>
    </row>
    <row r="451" spans="1:14">
      <c r="A451" s="54" t="s">
        <v>127</v>
      </c>
      <c r="B451" s="485"/>
      <c r="C451" s="485"/>
      <c r="D451" s="485"/>
      <c r="E451" s="485"/>
      <c r="F451" s="485"/>
      <c r="G451" s="485"/>
      <c r="H451" s="485"/>
      <c r="I451" s="485"/>
      <c r="J451" s="485"/>
      <c r="K451" s="485"/>
      <c r="L451" s="485"/>
      <c r="M451" s="485"/>
      <c r="N451" s="19">
        <f t="shared" si="60"/>
        <v>0</v>
      </c>
    </row>
    <row r="452" spans="1:14">
      <c r="A452" s="54" t="s">
        <v>128</v>
      </c>
      <c r="B452" s="485"/>
      <c r="C452" s="485"/>
      <c r="D452" s="485"/>
      <c r="E452" s="485"/>
      <c r="F452" s="485"/>
      <c r="G452" s="485"/>
      <c r="H452" s="485"/>
      <c r="I452" s="485"/>
      <c r="J452" s="485"/>
      <c r="K452" s="485"/>
      <c r="L452" s="485"/>
      <c r="M452" s="485"/>
      <c r="N452" s="19">
        <f t="shared" si="60"/>
        <v>0</v>
      </c>
    </row>
    <row r="453" spans="1:14">
      <c r="A453" s="54" t="s">
        <v>146</v>
      </c>
      <c r="B453" s="485"/>
      <c r="C453" s="485"/>
      <c r="D453" s="485"/>
      <c r="E453" s="485"/>
      <c r="F453" s="485"/>
      <c r="G453" s="485"/>
      <c r="H453" s="485"/>
      <c r="I453" s="485"/>
      <c r="J453" s="485"/>
      <c r="K453" s="485"/>
      <c r="L453" s="485"/>
      <c r="M453" s="485"/>
      <c r="N453" s="19">
        <f t="shared" si="60"/>
        <v>0</v>
      </c>
    </row>
    <row r="454" spans="1:14">
      <c r="A454" s="53" t="s">
        <v>164</v>
      </c>
      <c r="B454" s="485"/>
      <c r="C454" s="485"/>
      <c r="D454" s="485"/>
      <c r="E454" s="485"/>
      <c r="F454" s="485"/>
      <c r="G454" s="485"/>
      <c r="H454" s="485"/>
      <c r="I454" s="485"/>
      <c r="J454" s="485"/>
      <c r="K454" s="485"/>
      <c r="L454" s="485"/>
      <c r="M454" s="485"/>
      <c r="N454" s="19">
        <f t="shared" si="60"/>
        <v>0</v>
      </c>
    </row>
    <row r="455" spans="1:14" ht="14" thickBot="1">
      <c r="A455" s="54" t="s">
        <v>165</v>
      </c>
      <c r="B455" s="485"/>
      <c r="C455" s="485"/>
      <c r="D455" s="485"/>
      <c r="E455" s="485"/>
      <c r="F455" s="485"/>
      <c r="G455" s="485"/>
      <c r="H455" s="485"/>
      <c r="I455" s="485"/>
      <c r="J455" s="485"/>
      <c r="K455" s="485"/>
      <c r="L455" s="485"/>
      <c r="M455" s="485"/>
      <c r="N455" s="19">
        <f t="shared" si="60"/>
        <v>0</v>
      </c>
    </row>
    <row r="456" spans="1:14" ht="14" thickBot="1">
      <c r="A456" s="30" t="s">
        <v>132</v>
      </c>
      <c r="B456" s="31"/>
      <c r="C456" s="31"/>
      <c r="D456" s="31"/>
      <c r="E456" s="31"/>
      <c r="F456" s="31"/>
      <c r="G456" s="31"/>
      <c r="H456" s="31"/>
      <c r="I456" s="31"/>
      <c r="J456" s="31"/>
      <c r="K456" s="31"/>
      <c r="L456" s="31"/>
      <c r="M456" s="31"/>
      <c r="N456" s="32"/>
    </row>
    <row r="457" spans="1:14" ht="14" thickBot="1">
      <c r="A457" s="53" t="s">
        <v>133</v>
      </c>
      <c r="B457" s="485"/>
      <c r="C457" s="485"/>
      <c r="D457" s="485"/>
      <c r="E457" s="485"/>
      <c r="F457" s="485"/>
      <c r="G457" s="485"/>
      <c r="H457" s="485"/>
      <c r="I457" s="485"/>
      <c r="J457" s="485"/>
      <c r="K457" s="485"/>
      <c r="L457" s="485"/>
      <c r="M457" s="485"/>
      <c r="N457" s="19">
        <f>SUM(B457:M457)</f>
        <v>0</v>
      </c>
    </row>
    <row r="458" spans="1:14" ht="14" thickBot="1">
      <c r="A458" s="40" t="s">
        <v>60</v>
      </c>
      <c r="B458" s="42">
        <f t="shared" ref="B458:M458" si="61">SUM(B444:B457)</f>
        <v>0</v>
      </c>
      <c r="C458" s="42">
        <f t="shared" si="61"/>
        <v>0</v>
      </c>
      <c r="D458" s="42">
        <f t="shared" si="61"/>
        <v>0</v>
      </c>
      <c r="E458" s="42">
        <f t="shared" si="61"/>
        <v>0</v>
      </c>
      <c r="F458" s="42">
        <f t="shared" si="61"/>
        <v>0</v>
      </c>
      <c r="G458" s="42">
        <f t="shared" si="61"/>
        <v>0</v>
      </c>
      <c r="H458" s="42">
        <f t="shared" si="61"/>
        <v>0</v>
      </c>
      <c r="I458" s="42">
        <f t="shared" si="61"/>
        <v>51</v>
      </c>
      <c r="J458" s="42">
        <f t="shared" si="61"/>
        <v>0</v>
      </c>
      <c r="K458" s="42">
        <f t="shared" si="61"/>
        <v>0</v>
      </c>
      <c r="L458" s="42">
        <f t="shared" si="61"/>
        <v>8</v>
      </c>
      <c r="M458" s="42">
        <f t="shared" si="61"/>
        <v>0</v>
      </c>
      <c r="N458" s="41"/>
    </row>
  </sheetData>
  <printOptions gridLines="1"/>
  <pageMargins left="0.75" right="0.75" top="1" bottom="1" header="0.5" footer="0.5"/>
  <pageSetup scale="7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CC55F-7D20-8F4A-A093-71A03C46579B}">
  <dimension ref="A1:A5"/>
  <sheetViews>
    <sheetView workbookViewId="0">
      <selection activeCell="E24" sqref="E24"/>
    </sheetView>
  </sheetViews>
  <sheetFormatPr baseColWidth="10" defaultRowHeight="13"/>
  <sheetData>
    <row r="1" spans="1:1">
      <c r="A1" t="s">
        <v>230</v>
      </c>
    </row>
    <row r="2" spans="1:1" ht="18">
      <c r="A2" s="620" t="s">
        <v>231</v>
      </c>
    </row>
    <row r="4" spans="1:1">
      <c r="A4" s="255" t="s">
        <v>232</v>
      </c>
    </row>
    <row r="5" spans="1:1">
      <c r="A5" s="255" t="s">
        <v>233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0000"/>
    <pageSetUpPr fitToPage="1"/>
  </sheetPr>
  <dimension ref="A1:U650"/>
  <sheetViews>
    <sheetView view="pageBreakPreview" zoomScale="75" zoomScaleNormal="90" zoomScaleSheetLayoutView="75" zoomScalePageLayoutView="70" workbookViewId="0">
      <selection activeCell="L6" sqref="L6"/>
    </sheetView>
  </sheetViews>
  <sheetFormatPr baseColWidth="10" defaultColWidth="9.1640625" defaultRowHeight="16"/>
  <cols>
    <col min="1" max="1" width="57.33203125" style="61" customWidth="1"/>
    <col min="2" max="4" width="8.83203125" style="61" customWidth="1"/>
    <col min="5" max="5" width="9.5" style="61" customWidth="1"/>
    <col min="6" max="7" width="8.83203125" style="226" customWidth="1"/>
    <col min="8" max="8" width="17.1640625" style="226" customWidth="1"/>
    <col min="9" max="12" width="17.1640625" style="61" customWidth="1"/>
    <col min="13" max="14" width="8.83203125" style="61" customWidth="1"/>
    <col min="15" max="21" width="9.1640625" style="135"/>
    <col min="22" max="16384" width="9.1640625" style="61"/>
  </cols>
  <sheetData>
    <row r="1" spans="1:21" s="178" customFormat="1">
      <c r="A1" s="63"/>
      <c r="B1" s="64"/>
      <c r="C1" s="64"/>
      <c r="D1" s="64"/>
      <c r="E1" s="64"/>
      <c r="F1" s="200"/>
      <c r="G1" s="200"/>
      <c r="H1" s="200"/>
      <c r="I1" s="670" t="s">
        <v>0</v>
      </c>
      <c r="J1" s="670"/>
      <c r="K1" s="670"/>
      <c r="L1" s="670"/>
      <c r="M1" s="64"/>
      <c r="N1" s="65"/>
      <c r="O1" s="610"/>
      <c r="P1" s="610"/>
      <c r="Q1" s="610"/>
      <c r="R1" s="610"/>
      <c r="S1" s="610"/>
      <c r="T1" s="610"/>
      <c r="U1" s="610"/>
    </row>
    <row r="2" spans="1:21" customFormat="1">
      <c r="A2" s="62"/>
      <c r="B2" s="671" t="s">
        <v>1</v>
      </c>
      <c r="C2" s="671"/>
      <c r="D2" s="671" t="s">
        <v>2</v>
      </c>
      <c r="E2" s="671"/>
      <c r="F2" s="672" t="s">
        <v>3</v>
      </c>
      <c r="G2" s="672"/>
      <c r="H2" s="586" t="s">
        <v>3</v>
      </c>
      <c r="I2" s="78" t="s">
        <v>135</v>
      </c>
      <c r="J2" s="66"/>
      <c r="K2" s="66"/>
      <c r="L2" s="79"/>
      <c r="M2" s="891" t="s">
        <v>228</v>
      </c>
      <c r="N2" s="892"/>
      <c r="O2" s="75"/>
      <c r="P2" s="75"/>
      <c r="Q2" s="75"/>
      <c r="R2" s="75"/>
      <c r="S2" s="75"/>
      <c r="T2" s="75"/>
      <c r="U2" s="75"/>
    </row>
    <row r="3" spans="1:21" customFormat="1" ht="19" thickBot="1">
      <c r="A3" s="67" t="s">
        <v>5</v>
      </c>
      <c r="B3" s="675" t="s">
        <v>6</v>
      </c>
      <c r="C3" s="675"/>
      <c r="D3" s="675" t="s">
        <v>7</v>
      </c>
      <c r="E3" s="675"/>
      <c r="F3" s="676" t="s">
        <v>7</v>
      </c>
      <c r="G3" s="676"/>
      <c r="H3" s="588" t="s">
        <v>58</v>
      </c>
      <c r="I3" s="589" t="s">
        <v>136</v>
      </c>
      <c r="J3" s="587" t="s">
        <v>8</v>
      </c>
      <c r="K3" s="587" t="s">
        <v>9</v>
      </c>
      <c r="L3" s="187" t="s">
        <v>10</v>
      </c>
      <c r="M3" s="675" t="s">
        <v>229</v>
      </c>
      <c r="N3" s="678"/>
      <c r="O3" s="75"/>
      <c r="P3" s="75"/>
      <c r="Q3" s="75"/>
      <c r="R3" s="75"/>
      <c r="S3" s="75"/>
      <c r="T3" s="75"/>
      <c r="U3" s="75"/>
    </row>
    <row r="4" spans="1:21" customFormat="1" ht="24" thickBot="1">
      <c r="A4" s="60" t="s">
        <v>218</v>
      </c>
      <c r="B4" s="679"/>
      <c r="C4" s="680"/>
      <c r="D4" s="681"/>
      <c r="E4" s="682"/>
      <c r="F4" s="683"/>
      <c r="G4" s="684"/>
      <c r="H4" s="595"/>
      <c r="I4" s="118"/>
      <c r="J4" s="118"/>
      <c r="K4" s="118"/>
      <c r="L4" s="119"/>
      <c r="M4" s="685"/>
      <c r="N4" s="686"/>
      <c r="O4" s="75"/>
      <c r="P4" s="75"/>
      <c r="Q4" s="75"/>
      <c r="R4" s="75"/>
      <c r="S4" s="75"/>
      <c r="T4" s="75"/>
      <c r="U4" s="75"/>
    </row>
    <row r="5" spans="1:21" s="530" customFormat="1" ht="17" thickBot="1">
      <c r="A5" s="73" t="s">
        <v>129</v>
      </c>
      <c r="B5" s="662"/>
      <c r="C5" s="663"/>
      <c r="D5" s="663"/>
      <c r="E5" s="663"/>
      <c r="F5" s="687"/>
      <c r="G5" s="687"/>
      <c r="H5" s="591"/>
      <c r="I5" s="590"/>
      <c r="J5" s="590"/>
      <c r="K5" s="590"/>
      <c r="L5" s="590"/>
      <c r="M5" s="688"/>
      <c r="N5" s="689"/>
      <c r="O5" s="135"/>
      <c r="P5" s="135"/>
      <c r="Q5" s="135"/>
      <c r="R5" s="135"/>
      <c r="S5" s="135"/>
      <c r="T5" s="135"/>
      <c r="U5" s="135"/>
    </row>
    <row r="6" spans="1:21" s="75" customFormat="1" ht="13">
      <c r="A6" s="52" t="s">
        <v>29</v>
      </c>
      <c r="B6" s="668">
        <f>Ontario!N428</f>
        <v>160</v>
      </c>
      <c r="C6" s="669"/>
      <c r="D6" s="664">
        <f>F6*325900</f>
        <v>1282742.3999999999</v>
      </c>
      <c r="E6" s="639"/>
      <c r="F6" s="667">
        <f>0.0246*B6</f>
        <v>3.9359999999999999</v>
      </c>
      <c r="G6" s="639"/>
      <c r="H6" s="596">
        <f>F6*20</f>
        <v>78.72</v>
      </c>
      <c r="I6" s="107">
        <v>0</v>
      </c>
      <c r="J6" s="107">
        <f>B6*60</f>
        <v>9600</v>
      </c>
      <c r="K6" s="107">
        <f>B6*40</f>
        <v>6400</v>
      </c>
      <c r="L6" s="108">
        <f>K6+J6+I6</f>
        <v>16000</v>
      </c>
      <c r="M6" s="634">
        <f>J6/(F6*830)</f>
        <v>2.9385836027034968</v>
      </c>
      <c r="N6" s="635"/>
    </row>
    <row r="7" spans="1:21" s="75" customFormat="1" ht="13">
      <c r="A7" s="52" t="s">
        <v>33</v>
      </c>
      <c r="B7" s="638">
        <f>Ontario!N429</f>
        <v>63</v>
      </c>
      <c r="C7" s="639"/>
      <c r="D7" s="664">
        <f t="shared" ref="D7" si="0">F7*325900</f>
        <v>708343.65</v>
      </c>
      <c r="E7" s="639"/>
      <c r="F7" s="667">
        <f>0.0345*B7</f>
        <v>2.1735000000000002</v>
      </c>
      <c r="G7" s="639"/>
      <c r="H7" s="596">
        <f>F7*14</f>
        <v>30.429000000000002</v>
      </c>
      <c r="I7" s="107">
        <v>1580</v>
      </c>
      <c r="J7" s="107">
        <f>B7*75</f>
        <v>4725</v>
      </c>
      <c r="K7" s="107">
        <f>B7*85</f>
        <v>5355</v>
      </c>
      <c r="L7" s="108">
        <f>K7+J7+I7</f>
        <v>11660</v>
      </c>
      <c r="M7" s="634">
        <f t="shared" ref="M7:M10" si="1">J7/(F7*830)</f>
        <v>2.6191723415400734</v>
      </c>
      <c r="N7" s="635"/>
    </row>
    <row r="8" spans="1:21" s="75" customFormat="1" ht="13">
      <c r="A8" s="130" t="s">
        <v>198</v>
      </c>
      <c r="B8" s="638">
        <f>Ontario!N430</f>
        <v>0</v>
      </c>
      <c r="C8" s="639"/>
      <c r="D8" s="664">
        <f>F8*325900</f>
        <v>0</v>
      </c>
      <c r="E8" s="639"/>
      <c r="F8" s="665">
        <f>0.0044*0</f>
        <v>0</v>
      </c>
      <c r="G8" s="666"/>
      <c r="H8" s="596">
        <f>F8*5</f>
        <v>0</v>
      </c>
      <c r="I8" s="107">
        <f>0*0</f>
        <v>0</v>
      </c>
      <c r="J8" s="107">
        <f>3*0</f>
        <v>0</v>
      </c>
      <c r="K8" s="107">
        <f>2*0</f>
        <v>0</v>
      </c>
      <c r="L8" s="108">
        <f>K8+J8+I8</f>
        <v>0</v>
      </c>
      <c r="M8" s="634">
        <v>0</v>
      </c>
      <c r="N8" s="635"/>
    </row>
    <row r="9" spans="1:21" s="75" customFormat="1" ht="13">
      <c r="A9" s="52" t="s">
        <v>52</v>
      </c>
      <c r="B9" s="638">
        <f>Ontario!N431</f>
        <v>36</v>
      </c>
      <c r="C9" s="639"/>
      <c r="D9" s="664">
        <f>F9*325900</f>
        <v>485721.36</v>
      </c>
      <c r="E9" s="639"/>
      <c r="F9" s="667">
        <f>0.0414*B9</f>
        <v>1.4903999999999999</v>
      </c>
      <c r="G9" s="639"/>
      <c r="H9" s="596">
        <f>F9*10</f>
        <v>14.904</v>
      </c>
      <c r="I9" s="107">
        <v>0</v>
      </c>
      <c r="J9" s="107">
        <f>B9*80</f>
        <v>2880</v>
      </c>
      <c r="K9" s="107">
        <f>B9*80</f>
        <v>2880</v>
      </c>
      <c r="L9" s="108">
        <f>K9+J9+I9</f>
        <v>5760</v>
      </c>
      <c r="M9" s="634">
        <f t="shared" si="1"/>
        <v>2.3281531924800651</v>
      </c>
      <c r="N9" s="635"/>
    </row>
    <row r="10" spans="1:21" s="75" customFormat="1" ht="13">
      <c r="A10" s="130" t="s">
        <v>221</v>
      </c>
      <c r="B10" s="638">
        <f>Ontario!N432</f>
        <v>11</v>
      </c>
      <c r="C10" s="639"/>
      <c r="D10" s="650">
        <f>F10*325900</f>
        <v>781267</v>
      </c>
      <c r="E10" s="651"/>
      <c r="F10" s="652">
        <f>18169*43/325900</f>
        <v>2.3972598956735194</v>
      </c>
      <c r="G10" s="651"/>
      <c r="H10" s="592">
        <f>F10*10</f>
        <v>23.972598956735194</v>
      </c>
      <c r="I10" s="107">
        <v>6497.5</v>
      </c>
      <c r="J10" s="107">
        <v>14269</v>
      </c>
      <c r="K10" s="107">
        <v>36338</v>
      </c>
      <c r="L10" s="108">
        <f t="shared" ref="L10:L13" si="2">K10+J10+I10</f>
        <v>57104.5</v>
      </c>
      <c r="M10" s="634">
        <f t="shared" si="1"/>
        <v>7.1713402022396089</v>
      </c>
      <c r="N10" s="635"/>
    </row>
    <row r="11" spans="1:21" s="75" customFormat="1" ht="13">
      <c r="A11" s="130" t="s">
        <v>147</v>
      </c>
      <c r="B11" s="638">
        <f>Ontario!N433</f>
        <v>0</v>
      </c>
      <c r="C11" s="639"/>
      <c r="D11" s="664">
        <f t="shared" ref="D11" si="3">F11*325900</f>
        <v>0</v>
      </c>
      <c r="E11" s="639"/>
      <c r="F11" s="665">
        <f>0.0019*B11</f>
        <v>0</v>
      </c>
      <c r="G11" s="666"/>
      <c r="H11" s="596">
        <f>F11*5</f>
        <v>0</v>
      </c>
      <c r="I11" s="107">
        <v>0</v>
      </c>
      <c r="J11" s="107">
        <f>B11*0</f>
        <v>0</v>
      </c>
      <c r="K11" s="107">
        <f>B11*35</f>
        <v>0</v>
      </c>
      <c r="L11" s="108">
        <f t="shared" si="2"/>
        <v>0</v>
      </c>
      <c r="M11" s="634">
        <v>0</v>
      </c>
      <c r="N11" s="635"/>
    </row>
    <row r="12" spans="1:21" s="75" customFormat="1" ht="13">
      <c r="A12" s="130" t="s">
        <v>187</v>
      </c>
      <c r="B12" s="638">
        <f>Ontario!N434</f>
        <v>0</v>
      </c>
      <c r="C12" s="639"/>
      <c r="D12" s="664">
        <f>F12*325900</f>
        <v>0</v>
      </c>
      <c r="E12" s="639"/>
      <c r="F12" s="665">
        <v>0</v>
      </c>
      <c r="G12" s="666"/>
      <c r="H12" s="596">
        <v>0</v>
      </c>
      <c r="I12" s="107">
        <v>0</v>
      </c>
      <c r="J12" s="107">
        <f>B12*0</f>
        <v>0</v>
      </c>
      <c r="K12" s="107">
        <f>B12*300</f>
        <v>0</v>
      </c>
      <c r="L12" s="108">
        <f t="shared" si="2"/>
        <v>0</v>
      </c>
      <c r="M12" s="634">
        <v>0</v>
      </c>
      <c r="N12" s="635"/>
    </row>
    <row r="13" spans="1:21" s="75" customFormat="1" ht="14" thickBot="1">
      <c r="A13" s="130" t="s">
        <v>166</v>
      </c>
      <c r="B13" s="653">
        <f>Ontario!N435</f>
        <v>0</v>
      </c>
      <c r="C13" s="641"/>
      <c r="D13" s="664">
        <f t="shared" ref="D13" si="4">F13*325900</f>
        <v>0</v>
      </c>
      <c r="E13" s="639"/>
      <c r="F13" s="665">
        <f>0.0414*B13</f>
        <v>0</v>
      </c>
      <c r="G13" s="666"/>
      <c r="H13" s="596">
        <f>F13*10</f>
        <v>0</v>
      </c>
      <c r="I13" s="107">
        <v>0</v>
      </c>
      <c r="J13" s="107">
        <f t="shared" ref="J13" si="5">B13*65</f>
        <v>0</v>
      </c>
      <c r="K13" s="107">
        <f t="shared" ref="K13" si="6">B13*40</f>
        <v>0</v>
      </c>
      <c r="L13" s="108">
        <f t="shared" si="2"/>
        <v>0</v>
      </c>
      <c r="M13" s="634">
        <v>0</v>
      </c>
      <c r="N13" s="635"/>
    </row>
    <row r="14" spans="1:21" s="530" customFormat="1" ht="17" thickBot="1">
      <c r="A14" s="73" t="s">
        <v>130</v>
      </c>
      <c r="B14" s="662"/>
      <c r="C14" s="663"/>
      <c r="D14" s="663"/>
      <c r="E14" s="663"/>
      <c r="F14" s="663"/>
      <c r="G14" s="663"/>
      <c r="H14" s="590"/>
      <c r="I14" s="117"/>
      <c r="J14" s="117"/>
      <c r="K14" s="117"/>
      <c r="L14" s="117"/>
      <c r="M14" s="117"/>
      <c r="N14" s="540"/>
      <c r="O14" s="135"/>
      <c r="P14" s="135"/>
      <c r="Q14" s="135"/>
      <c r="R14" s="135"/>
      <c r="S14" s="135"/>
      <c r="T14" s="135"/>
      <c r="U14" s="135"/>
    </row>
    <row r="15" spans="1:21" s="75" customFormat="1" ht="13">
      <c r="A15" s="53" t="s">
        <v>208</v>
      </c>
      <c r="B15" s="638">
        <f>Ontario!N437</f>
        <v>62</v>
      </c>
      <c r="C15" s="639"/>
      <c r="D15" s="664">
        <f>F15*325900</f>
        <v>4687745.6000000006</v>
      </c>
      <c r="E15" s="639"/>
      <c r="F15" s="893">
        <f>B15*0.232</f>
        <v>14.384</v>
      </c>
      <c r="G15" s="894"/>
      <c r="H15" s="619">
        <f>F15*2</f>
        <v>28.768000000000001</v>
      </c>
      <c r="I15" s="107">
        <v>0</v>
      </c>
      <c r="J15" s="107">
        <f>L15-K15</f>
        <v>9696.0292251925675</v>
      </c>
      <c r="K15" s="107">
        <v>12575</v>
      </c>
      <c r="L15" s="108">
        <v>22271.029225192568</v>
      </c>
      <c r="M15" s="634">
        <f t="shared" ref="M15:M18" si="7">J15/(F15*830)</f>
        <v>0.81214981381526385</v>
      </c>
      <c r="N15" s="635"/>
    </row>
    <row r="16" spans="1:21" s="74" customFormat="1" ht="13">
      <c r="A16" s="130" t="s">
        <v>225</v>
      </c>
      <c r="B16" s="638">
        <f>Ontario!N438</f>
        <v>8</v>
      </c>
      <c r="C16" s="639"/>
      <c r="D16" s="650">
        <f>F16*325900</f>
        <v>234191.74000000002</v>
      </c>
      <c r="E16" s="651"/>
      <c r="F16" s="652">
        <f>(0.0414*13)+(0.0044*41)</f>
        <v>0.71860000000000002</v>
      </c>
      <c r="G16" s="651"/>
      <c r="H16" s="614">
        <f>((0.0414*13)*10)+((0.0044*41)*5)</f>
        <v>6.2839999999999998</v>
      </c>
      <c r="I16" s="107">
        <v>233.97</v>
      </c>
      <c r="J16" s="107">
        <f>L16-K16-I16</f>
        <v>3627.0664115247487</v>
      </c>
      <c r="K16" s="107">
        <v>3393.25</v>
      </c>
      <c r="L16" s="108">
        <v>7254.2864115247485</v>
      </c>
      <c r="M16" s="634">
        <f t="shared" si="7"/>
        <v>6.0812128193118964</v>
      </c>
      <c r="N16" s="635"/>
      <c r="O16" s="75"/>
      <c r="P16" s="75"/>
      <c r="Q16" s="75"/>
      <c r="R16" s="75"/>
      <c r="S16" s="75"/>
      <c r="T16" s="75"/>
      <c r="U16" s="75"/>
    </row>
    <row r="17" spans="1:21" s="75" customFormat="1" ht="13">
      <c r="A17" s="130" t="s">
        <v>223</v>
      </c>
      <c r="B17" s="638">
        <f>Ontario!N439</f>
        <v>78</v>
      </c>
      <c r="C17" s="639"/>
      <c r="D17" s="650">
        <f>F17*325900</f>
        <v>1187318.8799999999</v>
      </c>
      <c r="E17" s="651"/>
      <c r="F17" s="652">
        <f>0.0414*88</f>
        <v>3.6431999999999998</v>
      </c>
      <c r="G17" s="651"/>
      <c r="H17" s="592">
        <f>F17*10</f>
        <v>36.431999999999995</v>
      </c>
      <c r="I17" s="107">
        <v>0</v>
      </c>
      <c r="J17" s="107">
        <f>L17-K17</f>
        <v>28096.635276448607</v>
      </c>
      <c r="K17" s="107">
        <v>23938</v>
      </c>
      <c r="L17" s="108">
        <v>52034.635276448607</v>
      </c>
      <c r="M17" s="634">
        <f t="shared" si="7"/>
        <v>9.2916578290925926</v>
      </c>
      <c r="N17" s="635"/>
    </row>
    <row r="18" spans="1:21" s="75" customFormat="1" ht="13">
      <c r="A18" s="130" t="s">
        <v>163</v>
      </c>
      <c r="B18" s="638">
        <f>Ontario!N440</f>
        <v>14</v>
      </c>
      <c r="C18" s="639"/>
      <c r="D18" s="652">
        <f>F18*325900</f>
        <v>62963.88</v>
      </c>
      <c r="E18" s="651"/>
      <c r="F18" s="650">
        <f>B18*0.0138</f>
        <v>0.19319999999999998</v>
      </c>
      <c r="G18" s="651"/>
      <c r="H18" s="592">
        <f>F18*10</f>
        <v>1.9319999999999999</v>
      </c>
      <c r="I18" s="107">
        <v>0</v>
      </c>
      <c r="J18" s="139">
        <f>L18-K18</f>
        <v>3556.7200000000003</v>
      </c>
      <c r="K18" s="139">
        <v>3694.2</v>
      </c>
      <c r="L18" s="108">
        <v>7250.92</v>
      </c>
      <c r="M18" s="634">
        <f t="shared" si="7"/>
        <v>22.180149168100979</v>
      </c>
      <c r="N18" s="635"/>
    </row>
    <row r="19" spans="1:21" s="75" customFormat="1" ht="14" thickBot="1">
      <c r="A19" s="53" t="s">
        <v>227</v>
      </c>
      <c r="B19" s="638">
        <f>Ontario!N441</f>
        <v>0</v>
      </c>
      <c r="C19" s="639"/>
      <c r="D19" s="654">
        <f>F19*325900</f>
        <v>0</v>
      </c>
      <c r="E19" s="655"/>
      <c r="F19" s="654">
        <f>B19*0.075</f>
        <v>0</v>
      </c>
      <c r="G19" s="655"/>
      <c r="H19" s="615">
        <f>F19*10</f>
        <v>0</v>
      </c>
      <c r="I19" s="139">
        <v>0</v>
      </c>
      <c r="J19" s="139">
        <v>0</v>
      </c>
      <c r="K19" s="139">
        <v>0</v>
      </c>
      <c r="L19" s="108">
        <f>SUM(I19:K19)</f>
        <v>0</v>
      </c>
      <c r="M19" s="634">
        <v>0</v>
      </c>
      <c r="N19" s="635"/>
    </row>
    <row r="20" spans="1:21" customFormat="1" ht="14" thickBot="1">
      <c r="A20" s="40" t="s">
        <v>60</v>
      </c>
      <c r="B20" s="657">
        <f>SUM(B6:C19)</f>
        <v>432</v>
      </c>
      <c r="C20" s="658"/>
      <c r="D20" s="657">
        <f t="shared" ref="D20" si="8">SUM(D6:E19)</f>
        <v>9430294.5099999998</v>
      </c>
      <c r="E20" s="658"/>
      <c r="F20" s="657">
        <f>SUM(F6:G19)</f>
        <v>28.936159895673519</v>
      </c>
      <c r="G20" s="658"/>
      <c r="H20" s="593">
        <f>SUM(H6:H19)</f>
        <v>221.44159895673516</v>
      </c>
      <c r="I20" s="606">
        <f>SUM(I6:I19)</f>
        <v>8311.4699999999993</v>
      </c>
      <c r="J20" s="617">
        <f t="shared" ref="J20:K20" si="9">SUM(J6:J19)</f>
        <v>76450.450913165929</v>
      </c>
      <c r="K20" s="617">
        <f t="shared" si="9"/>
        <v>94573.45</v>
      </c>
      <c r="L20" s="617">
        <f>SUM(L6:L19)</f>
        <v>179335.37091316594</v>
      </c>
      <c r="M20" s="660"/>
      <c r="N20" s="661"/>
      <c r="O20" s="75"/>
      <c r="P20" s="75"/>
      <c r="Q20" s="75"/>
      <c r="R20" s="75"/>
      <c r="S20" s="75"/>
      <c r="T20" s="75"/>
      <c r="U20" s="75"/>
    </row>
    <row r="21" spans="1:21" s="530" customFormat="1" ht="17" thickBot="1">
      <c r="A21" s="73" t="s">
        <v>134</v>
      </c>
      <c r="B21" s="662"/>
      <c r="C21" s="663"/>
      <c r="D21" s="663"/>
      <c r="E21" s="663"/>
      <c r="F21" s="663"/>
      <c r="G21" s="663"/>
      <c r="H21" s="590"/>
      <c r="I21" s="603"/>
      <c r="J21" s="603"/>
      <c r="K21" s="603"/>
      <c r="L21" s="603"/>
      <c r="M21" s="603"/>
      <c r="N21" s="604"/>
      <c r="O21" s="135"/>
      <c r="P21" s="135"/>
      <c r="Q21" s="135"/>
      <c r="R21" s="135"/>
      <c r="S21" s="135"/>
      <c r="T21" s="135"/>
      <c r="U21" s="135"/>
    </row>
    <row r="22" spans="1:21" customFormat="1" ht="13">
      <c r="A22" s="51" t="s">
        <v>29</v>
      </c>
      <c r="B22" s="628">
        <f>Ontario!N444</f>
        <v>762</v>
      </c>
      <c r="C22" s="629"/>
      <c r="D22" s="636">
        <f>F22*325900</f>
        <v>6109060.6800000006</v>
      </c>
      <c r="E22" s="629"/>
      <c r="F22" s="895">
        <f>0.0246*B22</f>
        <v>18.745200000000001</v>
      </c>
      <c r="G22" s="629"/>
      <c r="H22" s="597">
        <f>F22*20</f>
        <v>374.904</v>
      </c>
      <c r="I22" s="97">
        <v>0</v>
      </c>
      <c r="J22" s="96">
        <f>B22*60</f>
        <v>45720</v>
      </c>
      <c r="K22" s="96">
        <f>B22*40</f>
        <v>30480</v>
      </c>
      <c r="L22" s="108">
        <f t="shared" ref="L22:L25" si="10">K22+J22+I22</f>
        <v>76200</v>
      </c>
      <c r="M22" s="634">
        <f>J22/(F22*830)</f>
        <v>2.9385836027034968</v>
      </c>
      <c r="N22" s="635"/>
      <c r="O22" s="75"/>
      <c r="P22" s="75"/>
      <c r="Q22" s="75"/>
      <c r="R22" s="75"/>
      <c r="S22" s="75"/>
      <c r="T22" s="75"/>
      <c r="U22" s="555"/>
    </row>
    <row r="23" spans="1:21" customFormat="1" ht="13">
      <c r="A23" s="51" t="s">
        <v>51</v>
      </c>
      <c r="B23" s="628">
        <f>Ontario!N445</f>
        <v>0</v>
      </c>
      <c r="C23" s="629"/>
      <c r="D23" s="636">
        <f>F23*325900</f>
        <v>0</v>
      </c>
      <c r="E23" s="629"/>
      <c r="F23" s="895">
        <f>0.1227*B23</f>
        <v>0</v>
      </c>
      <c r="G23" s="629"/>
      <c r="H23" s="597">
        <f>F23*20</f>
        <v>0</v>
      </c>
      <c r="I23" s="97">
        <v>0</v>
      </c>
      <c r="J23" s="96">
        <f>B23*200</f>
        <v>0</v>
      </c>
      <c r="K23" s="96">
        <f>B23*200</f>
        <v>0</v>
      </c>
      <c r="L23" s="108">
        <f t="shared" si="10"/>
        <v>0</v>
      </c>
      <c r="M23" s="634">
        <v>0</v>
      </c>
      <c r="N23" s="635"/>
      <c r="O23" s="75"/>
      <c r="P23" s="75"/>
      <c r="Q23" s="75"/>
      <c r="R23" s="75"/>
      <c r="S23" s="75"/>
      <c r="T23" s="75"/>
      <c r="U23" s="75"/>
    </row>
    <row r="24" spans="1:21" customFormat="1" ht="13">
      <c r="A24" s="1" t="s">
        <v>140</v>
      </c>
      <c r="B24" s="628">
        <f>Ontario!N446</f>
        <v>0</v>
      </c>
      <c r="C24" s="629"/>
      <c r="D24" s="636">
        <f>F24*325900</f>
        <v>0</v>
      </c>
      <c r="E24" s="629"/>
      <c r="F24" s="895">
        <f>0.644*B24</f>
        <v>0</v>
      </c>
      <c r="G24" s="629"/>
      <c r="H24" s="597">
        <f>F24*5</f>
        <v>0</v>
      </c>
      <c r="I24" s="97">
        <v>0</v>
      </c>
      <c r="J24" s="96">
        <f>B24*375</f>
        <v>0</v>
      </c>
      <c r="K24" s="96">
        <f>B24*625</f>
        <v>0</v>
      </c>
      <c r="L24" s="108">
        <f t="shared" si="10"/>
        <v>0</v>
      </c>
      <c r="M24" s="634">
        <v>0</v>
      </c>
      <c r="N24" s="635"/>
      <c r="O24" s="75"/>
      <c r="P24" s="75"/>
      <c r="Q24" s="75"/>
      <c r="R24" s="75"/>
      <c r="S24" s="75"/>
      <c r="T24" s="75"/>
      <c r="U24" s="75"/>
    </row>
    <row r="25" spans="1:21" customFormat="1" ht="13">
      <c r="A25" s="130" t="s">
        <v>30</v>
      </c>
      <c r="B25" s="628">
        <f>Ontario!N447</f>
        <v>7</v>
      </c>
      <c r="C25" s="629"/>
      <c r="D25" s="636">
        <f t="shared" ref="D25:D33" si="11">F25*325900</f>
        <v>29428.77</v>
      </c>
      <c r="E25" s="629"/>
      <c r="F25" s="896">
        <f>0.0129*B25</f>
        <v>9.0300000000000005E-2</v>
      </c>
      <c r="G25" s="897"/>
      <c r="H25" s="597">
        <f>F25*10</f>
        <v>0.90300000000000002</v>
      </c>
      <c r="I25" s="97">
        <v>0</v>
      </c>
      <c r="J25" s="96">
        <f>B25*15</f>
        <v>105</v>
      </c>
      <c r="K25" s="96">
        <f>B25*35</f>
        <v>245</v>
      </c>
      <c r="L25" s="108">
        <f t="shared" si="10"/>
        <v>350</v>
      </c>
      <c r="M25" s="634">
        <f t="shared" ref="M25:M33" si="12">J25/(F25*830)</f>
        <v>1.4009526478005043</v>
      </c>
      <c r="N25" s="635"/>
      <c r="O25" s="75"/>
      <c r="P25" s="75"/>
      <c r="Q25" s="75"/>
      <c r="R25" s="75"/>
      <c r="S25" s="75"/>
      <c r="T25" s="75"/>
      <c r="U25" s="75"/>
    </row>
    <row r="26" spans="1:21" customFormat="1" ht="13">
      <c r="A26" s="130" t="s">
        <v>198</v>
      </c>
      <c r="B26" s="628">
        <f>Ontario!N448</f>
        <v>0</v>
      </c>
      <c r="C26" s="629"/>
      <c r="D26" s="636">
        <f t="shared" si="11"/>
        <v>0</v>
      </c>
      <c r="E26" s="629"/>
      <c r="F26" s="632">
        <f>0.0044*0</f>
        <v>0</v>
      </c>
      <c r="G26" s="633"/>
      <c r="H26" s="597">
        <f>F26*5</f>
        <v>0</v>
      </c>
      <c r="I26" s="97">
        <v>0</v>
      </c>
      <c r="J26" s="96">
        <v>0</v>
      </c>
      <c r="K26" s="96">
        <v>0</v>
      </c>
      <c r="L26" s="108">
        <v>0</v>
      </c>
      <c r="M26" s="634">
        <v>0</v>
      </c>
      <c r="N26" s="635"/>
      <c r="O26" s="75"/>
      <c r="P26" s="75"/>
      <c r="Q26" s="75"/>
      <c r="R26" s="75"/>
      <c r="S26" s="75"/>
      <c r="T26" s="75"/>
      <c r="U26" s="75"/>
    </row>
    <row r="27" spans="1:21" customFormat="1" ht="13">
      <c r="A27" s="130" t="s">
        <v>89</v>
      </c>
      <c r="B27" s="628">
        <f>Ontario!N449</f>
        <v>0</v>
      </c>
      <c r="C27" s="629"/>
      <c r="D27" s="636">
        <f t="shared" si="11"/>
        <v>0</v>
      </c>
      <c r="E27" s="629"/>
      <c r="F27" s="895">
        <f>0.018*B27</f>
        <v>0</v>
      </c>
      <c r="G27" s="629"/>
      <c r="H27" s="597">
        <f>F27*10</f>
        <v>0</v>
      </c>
      <c r="I27" s="97">
        <v>0</v>
      </c>
      <c r="J27" s="96">
        <f>B27*5</f>
        <v>0</v>
      </c>
      <c r="K27" s="96">
        <f>B27*13</f>
        <v>0</v>
      </c>
      <c r="L27" s="108">
        <f t="shared" ref="L27:L33" si="13">K27+J27+I27</f>
        <v>0</v>
      </c>
      <c r="M27" s="634">
        <v>0</v>
      </c>
      <c r="N27" s="635"/>
      <c r="O27" s="75"/>
      <c r="P27" s="75"/>
      <c r="Q27" s="75"/>
      <c r="R27" s="75"/>
      <c r="S27" s="75"/>
      <c r="T27" s="75"/>
      <c r="U27" s="75"/>
    </row>
    <row r="28" spans="1:21" customFormat="1" ht="13">
      <c r="A28" s="132" t="s">
        <v>124</v>
      </c>
      <c r="B28" s="628">
        <f>Ontario!N450</f>
        <v>0</v>
      </c>
      <c r="C28" s="629"/>
      <c r="D28" s="636">
        <f t="shared" si="11"/>
        <v>0</v>
      </c>
      <c r="E28" s="629"/>
      <c r="F28" s="895">
        <f>0.0129*B28</f>
        <v>0</v>
      </c>
      <c r="G28" s="629"/>
      <c r="H28" s="597">
        <f>F28*10</f>
        <v>0</v>
      </c>
      <c r="I28" s="97">
        <v>0</v>
      </c>
      <c r="J28" s="96">
        <f>B28*15</f>
        <v>0</v>
      </c>
      <c r="K28" s="96">
        <f>B28*35</f>
        <v>0</v>
      </c>
      <c r="L28" s="108">
        <f t="shared" si="13"/>
        <v>0</v>
      </c>
      <c r="M28" s="634">
        <v>0</v>
      </c>
      <c r="N28" s="635"/>
      <c r="O28" s="75"/>
      <c r="P28" s="75"/>
      <c r="Q28" s="75"/>
      <c r="R28" s="75"/>
      <c r="S28" s="75"/>
      <c r="T28" s="75"/>
      <c r="U28" s="75"/>
    </row>
    <row r="29" spans="1:21" s="44" customFormat="1" ht="13">
      <c r="A29" s="133" t="s">
        <v>127</v>
      </c>
      <c r="B29" s="628">
        <f>Ontario!N451</f>
        <v>1241</v>
      </c>
      <c r="C29" s="629"/>
      <c r="D29" s="636">
        <f t="shared" si="11"/>
        <v>9302163.6999999993</v>
      </c>
      <c r="E29" s="629"/>
      <c r="F29" s="895">
        <f>0.023*B29</f>
        <v>28.542999999999999</v>
      </c>
      <c r="G29" s="629"/>
      <c r="H29" s="597">
        <f>F29*5</f>
        <v>142.715</v>
      </c>
      <c r="I29" s="97">
        <v>0</v>
      </c>
      <c r="J29" s="96">
        <f>B29*10</f>
        <v>12410</v>
      </c>
      <c r="K29" s="96">
        <f>B29*10</f>
        <v>12410</v>
      </c>
      <c r="L29" s="108">
        <f t="shared" si="13"/>
        <v>24820</v>
      </c>
      <c r="M29" s="634">
        <f t="shared" si="12"/>
        <v>0.52383446830801472</v>
      </c>
      <c r="N29" s="635"/>
      <c r="O29" s="75"/>
      <c r="P29" s="75"/>
      <c r="Q29" s="75"/>
      <c r="R29" s="75"/>
      <c r="S29" s="75"/>
      <c r="T29" s="75"/>
      <c r="U29" s="75"/>
    </row>
    <row r="30" spans="1:21" s="44" customFormat="1" ht="13">
      <c r="A30" s="133" t="s">
        <v>128</v>
      </c>
      <c r="B30" s="628">
        <f>Ontario!N452</f>
        <v>0</v>
      </c>
      <c r="C30" s="629"/>
      <c r="D30" s="636">
        <f t="shared" si="11"/>
        <v>0</v>
      </c>
      <c r="E30" s="629"/>
      <c r="F30" s="898">
        <f>B30*0.154</f>
        <v>0</v>
      </c>
      <c r="G30" s="899"/>
      <c r="H30" s="600">
        <f>F30*10</f>
        <v>0</v>
      </c>
      <c r="I30" s="97">
        <v>0</v>
      </c>
      <c r="J30" s="96">
        <f>B30*1000</f>
        <v>0</v>
      </c>
      <c r="K30" s="96">
        <f>B30*1000</f>
        <v>0</v>
      </c>
      <c r="L30" s="108">
        <f t="shared" si="13"/>
        <v>0</v>
      </c>
      <c r="M30" s="634">
        <v>0</v>
      </c>
      <c r="N30" s="635"/>
      <c r="O30" s="75"/>
      <c r="P30" s="75"/>
      <c r="Q30" s="75"/>
      <c r="R30" s="75"/>
      <c r="S30" s="75"/>
      <c r="T30" s="75"/>
      <c r="U30" s="75"/>
    </row>
    <row r="31" spans="1:21" s="44" customFormat="1" ht="13">
      <c r="A31" s="133" t="s">
        <v>222</v>
      </c>
      <c r="B31" s="628">
        <f>Ontario!N453</f>
        <v>5</v>
      </c>
      <c r="C31" s="629"/>
      <c r="D31" s="630">
        <f t="shared" si="11"/>
        <v>1412077.0000000002</v>
      </c>
      <c r="E31" s="631"/>
      <c r="F31" s="652">
        <f>32839*43/325900</f>
        <v>4.332853636084689</v>
      </c>
      <c r="G31" s="651"/>
      <c r="H31" s="592">
        <f>F31*10</f>
        <v>43.32853636084689</v>
      </c>
      <c r="I31" s="97">
        <f>SUM(3191+5220)</f>
        <v>8411</v>
      </c>
      <c r="J31" s="96">
        <v>27619</v>
      </c>
      <c r="K31" s="96">
        <v>65678</v>
      </c>
      <c r="L31" s="108">
        <f>K31+J31+I31</f>
        <v>101708</v>
      </c>
      <c r="M31" s="634">
        <f t="shared" si="12"/>
        <v>7.6799048408491934</v>
      </c>
      <c r="N31" s="635"/>
      <c r="O31" s="75"/>
      <c r="P31" s="75"/>
      <c r="Q31" s="75"/>
      <c r="R31" s="75"/>
      <c r="S31" s="75"/>
      <c r="T31" s="75"/>
      <c r="U31" s="75"/>
    </row>
    <row r="32" spans="1:21" s="44" customFormat="1" ht="13">
      <c r="A32" s="133" t="s">
        <v>166</v>
      </c>
      <c r="B32" s="628">
        <f>Ontario!N454</f>
        <v>0</v>
      </c>
      <c r="C32" s="629"/>
      <c r="D32" s="630">
        <f t="shared" si="11"/>
        <v>0</v>
      </c>
      <c r="E32" s="631"/>
      <c r="F32" s="632">
        <f t="shared" ref="F32" si="14">0.0129*B32</f>
        <v>0</v>
      </c>
      <c r="G32" s="633"/>
      <c r="H32" s="594">
        <f>F32*10</f>
        <v>0</v>
      </c>
      <c r="I32" s="97">
        <v>0</v>
      </c>
      <c r="J32" s="96">
        <f>B32*15</f>
        <v>0</v>
      </c>
      <c r="K32" s="96">
        <f>B32*35</f>
        <v>0</v>
      </c>
      <c r="L32" s="108">
        <f t="shared" si="13"/>
        <v>0</v>
      </c>
      <c r="M32" s="634">
        <v>0</v>
      </c>
      <c r="N32" s="635"/>
      <c r="O32" s="75"/>
      <c r="P32" s="75"/>
      <c r="Q32" s="75"/>
      <c r="R32" s="75"/>
      <c r="S32" s="75"/>
      <c r="T32" s="75"/>
      <c r="U32" s="75"/>
    </row>
    <row r="33" spans="1:21" s="44" customFormat="1" ht="14" thickBot="1">
      <c r="A33" s="133" t="s">
        <v>165</v>
      </c>
      <c r="B33" s="900">
        <f>Ontario!N455</f>
        <v>166</v>
      </c>
      <c r="C33" s="901"/>
      <c r="D33" s="636">
        <f t="shared" si="11"/>
        <v>227217.47999999998</v>
      </c>
      <c r="E33" s="629"/>
      <c r="F33" s="664">
        <f>(B33*0.0084)/2</f>
        <v>0.69719999999999993</v>
      </c>
      <c r="G33" s="639"/>
      <c r="H33" s="596">
        <f>F33*10</f>
        <v>6.9719999999999995</v>
      </c>
      <c r="I33" s="97">
        <v>0</v>
      </c>
      <c r="J33" s="96">
        <f>B33*5</f>
        <v>830</v>
      </c>
      <c r="K33" s="96">
        <f>B33*5</f>
        <v>830</v>
      </c>
      <c r="L33" s="108">
        <f t="shared" si="13"/>
        <v>1660</v>
      </c>
      <c r="M33" s="634">
        <f t="shared" si="12"/>
        <v>1.434308663224326</v>
      </c>
      <c r="N33" s="635"/>
      <c r="O33" s="75"/>
      <c r="P33" s="75"/>
      <c r="Q33" s="75"/>
      <c r="R33" s="75"/>
      <c r="S33" s="75"/>
      <c r="T33" s="75"/>
      <c r="U33" s="75"/>
    </row>
    <row r="34" spans="1:21" ht="16.5" hidden="1" customHeight="1" thickBot="1">
      <c r="A34" s="457" t="s">
        <v>132</v>
      </c>
      <c r="B34" s="637"/>
      <c r="C34" s="637"/>
      <c r="D34" s="637"/>
      <c r="E34" s="637"/>
      <c r="F34" s="632">
        <f t="shared" ref="F34:F35" si="15">0.0129*B34</f>
        <v>0</v>
      </c>
      <c r="G34" s="633"/>
      <c r="H34" s="598"/>
      <c r="I34" s="518"/>
      <c r="J34" s="518"/>
      <c r="K34" s="518"/>
      <c r="L34" s="518"/>
      <c r="M34" s="518"/>
      <c r="N34" s="519"/>
    </row>
    <row r="35" spans="1:21" s="75" customFormat="1" ht="13.5" hidden="1" customHeight="1" thickBot="1">
      <c r="A35" s="53" t="s">
        <v>133</v>
      </c>
      <c r="B35" s="638"/>
      <c r="C35" s="639"/>
      <c r="D35" s="640">
        <f>F35*325900</f>
        <v>0</v>
      </c>
      <c r="E35" s="641"/>
      <c r="F35" s="632">
        <f t="shared" si="15"/>
        <v>0</v>
      </c>
      <c r="G35" s="633"/>
      <c r="H35" s="596">
        <f>F35*5</f>
        <v>0</v>
      </c>
      <c r="I35" s="121">
        <v>0</v>
      </c>
      <c r="J35" s="121">
        <f>L35-K35</f>
        <v>0</v>
      </c>
      <c r="K35" s="121">
        <f>B35*2</f>
        <v>0</v>
      </c>
      <c r="L35" s="108">
        <v>0</v>
      </c>
      <c r="M35" s="634">
        <f>IF(ISERROR(L35/(F35*771)),0,L35/(F35*771))</f>
        <v>0</v>
      </c>
      <c r="N35" s="635"/>
    </row>
    <row r="36" spans="1:21" customFormat="1" ht="14" thickBot="1">
      <c r="A36" s="40" t="s">
        <v>60</v>
      </c>
      <c r="B36" s="642">
        <f>SUM(B22:C35)</f>
        <v>2181</v>
      </c>
      <c r="C36" s="643"/>
      <c r="D36" s="644">
        <f>SUM(D22:E35)</f>
        <v>17079947.629999999</v>
      </c>
      <c r="E36" s="643"/>
      <c r="F36" s="645">
        <f>SUM(F22:G35)</f>
        <v>52.408553636084697</v>
      </c>
      <c r="G36" s="643"/>
      <c r="H36" s="585">
        <f>SUM(H22:H35)</f>
        <v>568.82253636084693</v>
      </c>
      <c r="I36" s="605">
        <f>SUM(I22:I35)</f>
        <v>8411</v>
      </c>
      <c r="J36" s="605">
        <f>SUM(J22:J35)</f>
        <v>86684</v>
      </c>
      <c r="K36" s="605">
        <f>SUM(K22:K35)</f>
        <v>109643</v>
      </c>
      <c r="L36" s="605">
        <f>SUM(L22:L35)</f>
        <v>204738</v>
      </c>
      <c r="M36" s="646"/>
      <c r="N36" s="647"/>
      <c r="O36" s="75"/>
      <c r="P36" s="75"/>
      <c r="Q36" s="75"/>
      <c r="R36" s="75"/>
      <c r="S36" s="75"/>
      <c r="T36" s="75"/>
      <c r="U36" s="75"/>
    </row>
    <row r="37" spans="1:21" s="530" customFormat="1" ht="17" thickBot="1">
      <c r="A37" s="531" t="s">
        <v>17</v>
      </c>
      <c r="B37" s="621">
        <f>SUM(,B20,B36)</f>
        <v>2613</v>
      </c>
      <c r="C37" s="622"/>
      <c r="D37" s="623">
        <f>SUM(,D20,D36)</f>
        <v>26510242.140000001</v>
      </c>
      <c r="E37" s="622"/>
      <c r="F37" s="623">
        <f>SUM(,F20,F36)</f>
        <v>81.344713531758217</v>
      </c>
      <c r="G37" s="622"/>
      <c r="H37" s="584">
        <f>SUM(H20,H36)</f>
        <v>790.26413531758203</v>
      </c>
      <c r="I37" s="533">
        <f>SUM(,I20,I36)</f>
        <v>16722.47</v>
      </c>
      <c r="J37" s="533">
        <f>SUM(,J20,J36)</f>
        <v>163134.45091316593</v>
      </c>
      <c r="K37" s="533">
        <f>SUM(,K20,K36)</f>
        <v>204216.45</v>
      </c>
      <c r="L37" s="533">
        <f>SUM(,L20,L36)</f>
        <v>384073.37091316597</v>
      </c>
      <c r="M37" s="624"/>
      <c r="N37" s="625"/>
      <c r="O37" s="135"/>
      <c r="P37" s="135"/>
      <c r="Q37" s="135"/>
      <c r="R37" s="135"/>
      <c r="S37" s="135"/>
      <c r="T37" s="135"/>
      <c r="U37" s="135"/>
    </row>
    <row r="38" spans="1:21" customFormat="1" ht="13">
      <c r="A38" s="39"/>
      <c r="B38" s="602"/>
      <c r="C38" s="602"/>
      <c r="D38" s="602"/>
      <c r="E38" s="602"/>
      <c r="F38" s="601"/>
      <c r="G38" s="601"/>
      <c r="H38" s="601"/>
      <c r="I38" s="14"/>
      <c r="J38" s="14"/>
      <c r="K38" s="14"/>
      <c r="L38" s="14"/>
      <c r="M38" s="599"/>
      <c r="N38" s="599"/>
      <c r="O38" s="75"/>
      <c r="P38" s="75"/>
      <c r="Q38" s="75"/>
      <c r="R38" s="75"/>
      <c r="S38" s="75"/>
      <c r="T38" s="75"/>
      <c r="U38" s="75"/>
    </row>
    <row r="39" spans="1:21" customFormat="1" ht="15">
      <c r="A39" s="5" t="s">
        <v>18</v>
      </c>
      <c r="B39" s="626" t="s">
        <v>59</v>
      </c>
      <c r="C39" s="626"/>
      <c r="D39" s="626"/>
      <c r="E39" s="626"/>
      <c r="F39" s="601"/>
      <c r="G39" s="601"/>
      <c r="H39" s="601"/>
      <c r="I39" s="14"/>
      <c r="J39" s="14"/>
      <c r="K39" s="14"/>
      <c r="L39" s="14"/>
      <c r="M39" s="599"/>
      <c r="N39" s="599"/>
      <c r="O39" s="75"/>
      <c r="P39" s="75"/>
      <c r="Q39" s="75"/>
      <c r="R39" s="75"/>
      <c r="S39" s="75"/>
      <c r="T39" s="75"/>
      <c r="U39" s="75"/>
    </row>
    <row r="40" spans="1:21" customFormat="1" ht="14" thickBot="1">
      <c r="B40" s="627" t="s">
        <v>19</v>
      </c>
      <c r="C40" s="627"/>
      <c r="D40" s="627"/>
      <c r="E40" s="627"/>
      <c r="F40" s="601"/>
      <c r="G40" s="601"/>
      <c r="H40" s="601"/>
      <c r="I40" s="14"/>
      <c r="J40" s="14"/>
      <c r="K40" s="14"/>
      <c r="L40" s="14"/>
      <c r="N40" s="599"/>
      <c r="O40" s="75"/>
      <c r="P40" s="75"/>
      <c r="Q40" s="75"/>
      <c r="R40" s="75"/>
      <c r="S40" s="75"/>
      <c r="T40" s="75"/>
      <c r="U40" s="75"/>
    </row>
    <row r="41" spans="1:21" s="178" customFormat="1">
      <c r="A41" s="63"/>
      <c r="B41" s="64"/>
      <c r="C41" s="64"/>
      <c r="D41" s="64"/>
      <c r="E41" s="64"/>
      <c r="F41" s="200"/>
      <c r="G41" s="200"/>
      <c r="H41" s="200"/>
      <c r="I41" s="670" t="s">
        <v>0</v>
      </c>
      <c r="J41" s="670"/>
      <c r="K41" s="670"/>
      <c r="L41" s="670"/>
      <c r="M41" s="64"/>
      <c r="N41" s="65"/>
      <c r="O41" s="610"/>
      <c r="P41" s="610"/>
      <c r="Q41" s="610"/>
      <c r="R41" s="610"/>
      <c r="S41" s="610"/>
      <c r="T41" s="610"/>
      <c r="U41" s="610"/>
    </row>
    <row r="42" spans="1:21" customFormat="1">
      <c r="A42" s="62"/>
      <c r="B42" s="671" t="s">
        <v>1</v>
      </c>
      <c r="C42" s="671"/>
      <c r="D42" s="671" t="s">
        <v>2</v>
      </c>
      <c r="E42" s="671"/>
      <c r="F42" s="672" t="s">
        <v>3</v>
      </c>
      <c r="G42" s="672"/>
      <c r="H42" s="504" t="s">
        <v>3</v>
      </c>
      <c r="I42" s="78" t="s">
        <v>135</v>
      </c>
      <c r="J42" s="66"/>
      <c r="K42" s="66"/>
      <c r="L42" s="79"/>
      <c r="M42" s="673" t="s">
        <v>4</v>
      </c>
      <c r="N42" s="674"/>
      <c r="O42" s="75"/>
      <c r="P42" s="75"/>
      <c r="Q42" s="75"/>
      <c r="R42" s="75"/>
      <c r="S42" s="75"/>
      <c r="T42" s="75"/>
      <c r="U42" s="75"/>
    </row>
    <row r="43" spans="1:21" customFormat="1" ht="19" thickBot="1">
      <c r="A43" s="67" t="s">
        <v>5</v>
      </c>
      <c r="B43" s="675" t="s">
        <v>6</v>
      </c>
      <c r="C43" s="675"/>
      <c r="D43" s="675" t="s">
        <v>7</v>
      </c>
      <c r="E43" s="675"/>
      <c r="F43" s="676" t="s">
        <v>7</v>
      </c>
      <c r="G43" s="676"/>
      <c r="H43" s="506" t="s">
        <v>58</v>
      </c>
      <c r="I43" s="508" t="s">
        <v>136</v>
      </c>
      <c r="J43" s="505" t="s">
        <v>8</v>
      </c>
      <c r="K43" s="505" t="s">
        <v>9</v>
      </c>
      <c r="L43" s="187" t="s">
        <v>10</v>
      </c>
      <c r="M43" s="677" t="s">
        <v>103</v>
      </c>
      <c r="N43" s="678"/>
      <c r="O43" s="75"/>
      <c r="P43" s="75"/>
      <c r="Q43" s="75"/>
      <c r="R43" s="75"/>
      <c r="S43" s="75"/>
      <c r="T43" s="75"/>
      <c r="U43" s="75"/>
    </row>
    <row r="44" spans="1:21" customFormat="1" ht="24" thickBot="1">
      <c r="A44" s="60" t="s">
        <v>206</v>
      </c>
      <c r="B44" s="679"/>
      <c r="C44" s="680"/>
      <c r="D44" s="681"/>
      <c r="E44" s="682"/>
      <c r="F44" s="683"/>
      <c r="G44" s="684"/>
      <c r="H44" s="513"/>
      <c r="I44" s="118"/>
      <c r="J44" s="118"/>
      <c r="K44" s="118"/>
      <c r="L44" s="119"/>
      <c r="M44" s="685"/>
      <c r="N44" s="686"/>
      <c r="O44" s="75"/>
      <c r="P44" s="75"/>
      <c r="Q44" s="75"/>
      <c r="R44" s="75"/>
      <c r="S44" s="75"/>
      <c r="T44" s="75"/>
      <c r="U44" s="75"/>
    </row>
    <row r="45" spans="1:21" s="530" customFormat="1" ht="17" thickBot="1">
      <c r="A45" s="73" t="s">
        <v>129</v>
      </c>
      <c r="B45" s="662"/>
      <c r="C45" s="663"/>
      <c r="D45" s="663"/>
      <c r="E45" s="663"/>
      <c r="F45" s="687"/>
      <c r="G45" s="687"/>
      <c r="H45" s="529"/>
      <c r="I45" s="521"/>
      <c r="J45" s="521"/>
      <c r="K45" s="521"/>
      <c r="L45" s="521"/>
      <c r="M45" s="688"/>
      <c r="N45" s="689"/>
      <c r="O45" s="135"/>
      <c r="P45" s="135"/>
      <c r="Q45" s="135"/>
      <c r="R45" s="135"/>
      <c r="S45" s="135"/>
      <c r="T45" s="135"/>
      <c r="U45" s="135"/>
    </row>
    <row r="46" spans="1:21" s="75" customFormat="1" ht="13">
      <c r="A46" s="52" t="s">
        <v>29</v>
      </c>
      <c r="B46" s="668">
        <f>Ontario!N394</f>
        <v>54</v>
      </c>
      <c r="C46" s="669"/>
      <c r="D46" s="664">
        <f>F46*325900</f>
        <v>432925.56</v>
      </c>
      <c r="E46" s="639"/>
      <c r="F46" s="665">
        <f>0.0246*B46</f>
        <v>1.3284</v>
      </c>
      <c r="G46" s="666"/>
      <c r="H46" s="511">
        <f>F46*20</f>
        <v>26.568000000000001</v>
      </c>
      <c r="I46" s="107">
        <v>0</v>
      </c>
      <c r="J46" s="107">
        <f>B46*60</f>
        <v>3240</v>
      </c>
      <c r="K46" s="107">
        <f>B46*40</f>
        <v>2160</v>
      </c>
      <c r="L46" s="108">
        <f>K46+J46+I46</f>
        <v>5400</v>
      </c>
      <c r="M46" s="634">
        <f t="shared" ref="M46:M53" si="16">IF(ISERROR(L46/(F46*771)),0,L46/(F46*799))</f>
        <v>5.0876603884937479</v>
      </c>
      <c r="N46" s="635"/>
    </row>
    <row r="47" spans="1:21" s="75" customFormat="1" ht="13">
      <c r="A47" s="52" t="s">
        <v>33</v>
      </c>
      <c r="B47" s="638">
        <f>Ontario!N395</f>
        <v>123</v>
      </c>
      <c r="C47" s="639"/>
      <c r="D47" s="664">
        <f t="shared" ref="D47" si="17">F47*325900</f>
        <v>1382956.65</v>
      </c>
      <c r="E47" s="639"/>
      <c r="F47" s="665">
        <f>0.0345*B47</f>
        <v>4.2435</v>
      </c>
      <c r="G47" s="666"/>
      <c r="H47" s="511">
        <f>F47*14</f>
        <v>59.408999999999999</v>
      </c>
      <c r="I47" s="107">
        <f>0*B47</f>
        <v>0</v>
      </c>
      <c r="J47" s="107">
        <f>B47*75</f>
        <v>9225</v>
      </c>
      <c r="K47" s="107">
        <f>B47*85</f>
        <v>10455</v>
      </c>
      <c r="L47" s="108">
        <f t="shared" ref="L47:L53" si="18">K47+J47+I47</f>
        <v>19680</v>
      </c>
      <c r="M47" s="634">
        <f t="shared" si="16"/>
        <v>5.804356895394605</v>
      </c>
      <c r="N47" s="635"/>
    </row>
    <row r="48" spans="1:21" s="75" customFormat="1" ht="13">
      <c r="A48" s="130" t="s">
        <v>198</v>
      </c>
      <c r="B48" s="638">
        <f>Ontario!N396</f>
        <v>0</v>
      </c>
      <c r="C48" s="639"/>
      <c r="D48" s="664">
        <f>F48*325900</f>
        <v>0</v>
      </c>
      <c r="E48" s="639"/>
      <c r="F48" s="665">
        <f>0.0044*0</f>
        <v>0</v>
      </c>
      <c r="G48" s="666"/>
      <c r="H48" s="582">
        <f>F48*5</f>
        <v>0</v>
      </c>
      <c r="I48" s="107">
        <f>0*0</f>
        <v>0</v>
      </c>
      <c r="J48" s="107">
        <f t="shared" ref="J48:K48" si="19">0*0</f>
        <v>0</v>
      </c>
      <c r="K48" s="107">
        <f t="shared" si="19"/>
        <v>0</v>
      </c>
      <c r="L48" s="108">
        <f t="shared" si="18"/>
        <v>0</v>
      </c>
      <c r="M48" s="634">
        <f t="shared" si="16"/>
        <v>0</v>
      </c>
      <c r="N48" s="635"/>
    </row>
    <row r="49" spans="1:21" s="75" customFormat="1" ht="13">
      <c r="A49" s="52" t="s">
        <v>52</v>
      </c>
      <c r="B49" s="638">
        <f>Ontario!N397</f>
        <v>38</v>
      </c>
      <c r="C49" s="639"/>
      <c r="D49" s="664">
        <f>F49*325900</f>
        <v>512705.88</v>
      </c>
      <c r="E49" s="639"/>
      <c r="F49" s="665">
        <f>0.0414*B49</f>
        <v>1.5731999999999999</v>
      </c>
      <c r="G49" s="666"/>
      <c r="H49" s="511">
        <f>F49*10</f>
        <v>15.731999999999999</v>
      </c>
      <c r="I49" s="107">
        <v>0</v>
      </c>
      <c r="J49" s="107">
        <f>B49*80</f>
        <v>3040</v>
      </c>
      <c r="K49" s="107">
        <f>B49*80</f>
        <v>3040</v>
      </c>
      <c r="L49" s="108">
        <f>K49+J49+I49</f>
        <v>6080</v>
      </c>
      <c r="M49" s="634">
        <f t="shared" si="16"/>
        <v>4.8369640794955053</v>
      </c>
      <c r="N49" s="635"/>
    </row>
    <row r="50" spans="1:21" s="75" customFormat="1" ht="13">
      <c r="A50" s="130" t="s">
        <v>210</v>
      </c>
      <c r="B50" s="638">
        <f>Ontario!N398</f>
        <v>4</v>
      </c>
      <c r="C50" s="639"/>
      <c r="D50" s="650">
        <f>F50*325900</f>
        <v>318888.00078</v>
      </c>
      <c r="E50" s="651"/>
      <c r="F50" s="652">
        <v>0.97848420000000003</v>
      </c>
      <c r="G50" s="651"/>
      <c r="H50" s="503">
        <f>F50*10</f>
        <v>9.7848420000000011</v>
      </c>
      <c r="I50" s="107">
        <v>0</v>
      </c>
      <c r="J50" s="107">
        <v>4890</v>
      </c>
      <c r="K50" s="107">
        <v>8732</v>
      </c>
      <c r="L50" s="108">
        <f t="shared" si="18"/>
        <v>13622</v>
      </c>
      <c r="M50" s="634">
        <f t="shared" si="16"/>
        <v>17.423695767154143</v>
      </c>
      <c r="N50" s="635"/>
    </row>
    <row r="51" spans="1:21" s="75" customFormat="1" ht="13">
      <c r="A51" s="130" t="s">
        <v>147</v>
      </c>
      <c r="B51" s="638">
        <f>Ontario!N399</f>
        <v>0</v>
      </c>
      <c r="C51" s="639"/>
      <c r="D51" s="664">
        <f t="shared" ref="D51:D53" si="20">F51*325900</f>
        <v>0</v>
      </c>
      <c r="E51" s="639"/>
      <c r="F51" s="665">
        <f>0.0019*B51</f>
        <v>0</v>
      </c>
      <c r="G51" s="666"/>
      <c r="H51" s="511">
        <f>F51*5</f>
        <v>0</v>
      </c>
      <c r="I51" s="107">
        <v>0</v>
      </c>
      <c r="J51" s="107">
        <f>B51*0</f>
        <v>0</v>
      </c>
      <c r="K51" s="107">
        <f>B51*35</f>
        <v>0</v>
      </c>
      <c r="L51" s="108">
        <f t="shared" si="18"/>
        <v>0</v>
      </c>
      <c r="M51" s="634">
        <f t="shared" si="16"/>
        <v>0</v>
      </c>
      <c r="N51" s="635"/>
    </row>
    <row r="52" spans="1:21" s="75" customFormat="1" ht="13">
      <c r="A52" s="130" t="s">
        <v>187</v>
      </c>
      <c r="B52" s="638">
        <f>Ontario!N400</f>
        <v>1</v>
      </c>
      <c r="C52" s="639"/>
      <c r="D52" s="664">
        <f>F52*325900</f>
        <v>0</v>
      </c>
      <c r="E52" s="639"/>
      <c r="F52" s="665">
        <v>0</v>
      </c>
      <c r="G52" s="666"/>
      <c r="H52" s="511">
        <v>0</v>
      </c>
      <c r="I52" s="107">
        <v>0</v>
      </c>
      <c r="J52" s="107">
        <f>B52*0</f>
        <v>0</v>
      </c>
      <c r="K52" s="107">
        <f>B52*300</f>
        <v>300</v>
      </c>
      <c r="L52" s="108">
        <f t="shared" si="18"/>
        <v>300</v>
      </c>
      <c r="M52" s="634">
        <f t="shared" si="16"/>
        <v>0</v>
      </c>
      <c r="N52" s="635"/>
    </row>
    <row r="53" spans="1:21" s="75" customFormat="1" ht="14" thickBot="1">
      <c r="A53" s="130" t="s">
        <v>166</v>
      </c>
      <c r="B53" s="653">
        <f>Ontario!N401</f>
        <v>0</v>
      </c>
      <c r="C53" s="641"/>
      <c r="D53" s="664">
        <f t="shared" si="20"/>
        <v>0</v>
      </c>
      <c r="E53" s="639"/>
      <c r="F53" s="665">
        <f>0.0414*B53</f>
        <v>0</v>
      </c>
      <c r="G53" s="666"/>
      <c r="H53" s="511">
        <f>F53*10</f>
        <v>0</v>
      </c>
      <c r="I53" s="107">
        <v>0</v>
      </c>
      <c r="J53" s="107">
        <f t="shared" ref="J53" si="21">B53*65</f>
        <v>0</v>
      </c>
      <c r="K53" s="107">
        <f t="shared" ref="K53" si="22">B53*40</f>
        <v>0</v>
      </c>
      <c r="L53" s="108">
        <f t="shared" si="18"/>
        <v>0</v>
      </c>
      <c r="M53" s="634">
        <f t="shared" si="16"/>
        <v>0</v>
      </c>
      <c r="N53" s="635"/>
    </row>
    <row r="54" spans="1:21" s="530" customFormat="1" ht="17" thickBot="1">
      <c r="A54" s="73" t="s">
        <v>130</v>
      </c>
      <c r="B54" s="662"/>
      <c r="C54" s="663"/>
      <c r="D54" s="663"/>
      <c r="E54" s="663"/>
      <c r="F54" s="663"/>
      <c r="G54" s="663"/>
      <c r="H54" s="521"/>
      <c r="I54" s="117"/>
      <c r="J54" s="117"/>
      <c r="K54" s="117"/>
      <c r="L54" s="117"/>
      <c r="M54" s="117"/>
      <c r="N54" s="540"/>
      <c r="O54" s="135"/>
      <c r="P54" s="135"/>
      <c r="Q54" s="135"/>
      <c r="R54" s="135"/>
      <c r="S54" s="135"/>
      <c r="T54" s="135"/>
      <c r="U54" s="135"/>
    </row>
    <row r="55" spans="1:21" s="75" customFormat="1" ht="13">
      <c r="A55" s="53" t="s">
        <v>214</v>
      </c>
      <c r="B55" s="638">
        <f>Ontario!N403</f>
        <v>67</v>
      </c>
      <c r="C55" s="639"/>
      <c r="D55" s="664">
        <f>F55*325900</f>
        <v>976917.84</v>
      </c>
      <c r="E55" s="639"/>
      <c r="F55" s="667">
        <v>2.9975999999999998</v>
      </c>
      <c r="G55" s="639"/>
      <c r="H55" s="511">
        <f>F55*5</f>
        <v>14.988</v>
      </c>
      <c r="I55" s="107">
        <f>B55*541.27</f>
        <v>36265.089999999997</v>
      </c>
      <c r="J55" s="107">
        <v>0</v>
      </c>
      <c r="K55" s="107">
        <v>0</v>
      </c>
      <c r="L55" s="108">
        <f>I55+J55+K55</f>
        <v>36265.089999999997</v>
      </c>
      <c r="M55" s="634">
        <f>IF(ISERROR(L55/(F55*771)),0,L55/(F55*799))</f>
        <v>15.141479057254982</v>
      </c>
      <c r="N55" s="635"/>
    </row>
    <row r="56" spans="1:21" s="74" customFormat="1" ht="13">
      <c r="A56" s="130" t="s">
        <v>209</v>
      </c>
      <c r="B56" s="638">
        <f>Ontario!N404</f>
        <v>9</v>
      </c>
      <c r="C56" s="639"/>
      <c r="D56" s="650">
        <f>F56*325900</f>
        <v>316774.8</v>
      </c>
      <c r="E56" s="651"/>
      <c r="F56" s="652">
        <v>0.97199999999999998</v>
      </c>
      <c r="G56" s="651"/>
      <c r="H56" s="581">
        <v>7.3440000000000003</v>
      </c>
      <c r="I56" s="107">
        <f>(B56*922.51)*0.49</f>
        <v>4068.2691</v>
      </c>
      <c r="J56" s="107">
        <f>(B56*922.5)*0</f>
        <v>0</v>
      </c>
      <c r="K56" s="107">
        <f>(B56*922.51)*0.51</f>
        <v>4234.3208999999997</v>
      </c>
      <c r="L56" s="108">
        <f t="shared" ref="L56:L58" si="23">K56+J56+I56</f>
        <v>8302.59</v>
      </c>
      <c r="M56" s="634">
        <f>IF(ISERROR(L56/(F56*771)),0,L56/(F56*799))</f>
        <v>10.690562276920225</v>
      </c>
      <c r="N56" s="635"/>
      <c r="O56" s="75"/>
      <c r="P56" s="75"/>
      <c r="Q56" s="75"/>
      <c r="R56" s="75"/>
      <c r="S56" s="75"/>
      <c r="T56" s="75"/>
      <c r="U56" s="75"/>
    </row>
    <row r="57" spans="1:21" s="75" customFormat="1" ht="13">
      <c r="A57" s="130" t="s">
        <v>216</v>
      </c>
      <c r="B57" s="638">
        <f>Ontario!N405</f>
        <v>67</v>
      </c>
      <c r="C57" s="639"/>
      <c r="D57" s="650">
        <f>F57*325900</f>
        <v>957950.46</v>
      </c>
      <c r="E57" s="651"/>
      <c r="F57" s="652">
        <f>0.0414*71</f>
        <v>2.9394</v>
      </c>
      <c r="G57" s="651"/>
      <c r="H57" s="503">
        <f>F57*10</f>
        <v>29.393999999999998</v>
      </c>
      <c r="I57" s="107">
        <v>0</v>
      </c>
      <c r="J57" s="107">
        <f>(B57*674.7)*0.62</f>
        <v>28027.038</v>
      </c>
      <c r="K57" s="107">
        <f>(B57*674.7)*0.38</f>
        <v>17177.862000000001</v>
      </c>
      <c r="L57" s="108">
        <f>K57+J57+I57</f>
        <v>45204.9</v>
      </c>
      <c r="M57" s="634">
        <f>IF(ISERROR(L57/(F57*771)),0,L57/(F57*799))</f>
        <v>19.247753302569219</v>
      </c>
      <c r="N57" s="635"/>
    </row>
    <row r="58" spans="1:21" s="75" customFormat="1" ht="14" thickBot="1">
      <c r="A58" s="130" t="s">
        <v>163</v>
      </c>
      <c r="B58" s="653">
        <f>Ontario!N406</f>
        <v>11</v>
      </c>
      <c r="C58" s="641"/>
      <c r="D58" s="654">
        <f>F58*325900</f>
        <v>423018.2</v>
      </c>
      <c r="E58" s="655"/>
      <c r="F58" s="656">
        <f>B58*0.118</f>
        <v>1.298</v>
      </c>
      <c r="G58" s="655"/>
      <c r="H58" s="583">
        <f>F58*10</f>
        <v>12.98</v>
      </c>
      <c r="I58" s="107">
        <v>0</v>
      </c>
      <c r="J58" s="139">
        <f>(B58*520.03)*0.51</f>
        <v>2917.3683000000001</v>
      </c>
      <c r="K58" s="139">
        <f>(B58*520.03)*0.49</f>
        <v>2802.9616999999998</v>
      </c>
      <c r="L58" s="108">
        <f t="shared" si="23"/>
        <v>5720.33</v>
      </c>
      <c r="M58" s="634">
        <f>IF(ISERROR(L58/(F58*771)),0,L58/(F58*799))</f>
        <v>5.5156869816083658</v>
      </c>
      <c r="N58" s="635"/>
    </row>
    <row r="59" spans="1:21" customFormat="1" ht="14" thickBot="1">
      <c r="A59" s="40" t="s">
        <v>60</v>
      </c>
      <c r="B59" s="657">
        <f>SUM(B46:C58)</f>
        <v>374</v>
      </c>
      <c r="C59" s="658"/>
      <c r="D59" s="659">
        <f>SUM(D46:E58)</f>
        <v>5322137.3907799991</v>
      </c>
      <c r="E59" s="658"/>
      <c r="F59" s="657">
        <v>8.309800000000001</v>
      </c>
      <c r="G59" s="658"/>
      <c r="H59" s="509">
        <f>SUM(H46:H58)</f>
        <v>176.19984199999999</v>
      </c>
      <c r="I59" s="517">
        <f>SUM(I46:I58)</f>
        <v>40333.359099999994</v>
      </c>
      <c r="J59" s="517">
        <f>SUM(J46:J58)</f>
        <v>51339.406300000002</v>
      </c>
      <c r="K59" s="517">
        <f>SUM(K46:K58)</f>
        <v>48902.1446</v>
      </c>
      <c r="L59" s="517">
        <f>SUM(L46:L58)</f>
        <v>140574.90999999997</v>
      </c>
      <c r="M59" s="660">
        <f t="shared" ref="M59" si="24">IF(ISERROR(L59/(F59*744)),0,L59/(F59*744))</f>
        <v>22.737583516495739</v>
      </c>
      <c r="N59" s="661"/>
      <c r="O59" s="75"/>
      <c r="P59" s="75"/>
      <c r="Q59" s="75"/>
      <c r="R59" s="75"/>
      <c r="S59" s="75"/>
      <c r="T59" s="75"/>
      <c r="U59" s="75"/>
    </row>
    <row r="60" spans="1:21" s="530" customFormat="1" ht="17" thickBot="1">
      <c r="A60" s="73" t="s">
        <v>134</v>
      </c>
      <c r="B60" s="662"/>
      <c r="C60" s="663"/>
      <c r="D60" s="663"/>
      <c r="E60" s="663"/>
      <c r="F60" s="663"/>
      <c r="G60" s="663"/>
      <c r="H60" s="521"/>
      <c r="I60" s="444"/>
      <c r="J60" s="444"/>
      <c r="K60" s="444"/>
      <c r="L60" s="444"/>
      <c r="M60" s="444"/>
      <c r="N60" s="445"/>
      <c r="O60" s="135"/>
      <c r="P60" s="135"/>
      <c r="Q60" s="135"/>
      <c r="R60" s="135"/>
      <c r="S60" s="135"/>
      <c r="T60" s="135"/>
      <c r="U60" s="135"/>
    </row>
    <row r="61" spans="1:21" customFormat="1" ht="13">
      <c r="A61" s="51" t="s">
        <v>29</v>
      </c>
      <c r="B61" s="628">
        <f>Ontario!N409</f>
        <v>234</v>
      </c>
      <c r="C61" s="629"/>
      <c r="D61" s="636">
        <f>F61*325900</f>
        <v>1876010.76</v>
      </c>
      <c r="E61" s="629"/>
      <c r="F61" s="632">
        <f>0.0246*B61</f>
        <v>5.7564000000000002</v>
      </c>
      <c r="G61" s="633"/>
      <c r="H61" s="510">
        <f>F61*20</f>
        <v>115.128</v>
      </c>
      <c r="I61" s="97">
        <v>0</v>
      </c>
      <c r="J61" s="96">
        <f>B61*60</f>
        <v>14040</v>
      </c>
      <c r="K61" s="96">
        <f>B61*40</f>
        <v>9360</v>
      </c>
      <c r="L61" s="108">
        <f t="shared" ref="L61:L70" si="25">K61+J61+I61</f>
        <v>23400</v>
      </c>
      <c r="M61" s="634">
        <f t="shared" ref="M61:M72" si="26">IF(ISERROR(L61/(F61*771)),0,L61/(F61*799))</f>
        <v>5.087660388493747</v>
      </c>
      <c r="N61" s="635"/>
      <c r="O61" s="75"/>
      <c r="P61" s="75"/>
      <c r="Q61" s="75"/>
      <c r="R61" s="75"/>
      <c r="S61" s="75"/>
      <c r="T61" s="75"/>
      <c r="U61" s="555"/>
    </row>
    <row r="62" spans="1:21" customFormat="1" ht="13">
      <c r="A62" s="51" t="s">
        <v>51</v>
      </c>
      <c r="B62" s="628">
        <f>Ontario!N410</f>
        <v>0</v>
      </c>
      <c r="C62" s="629"/>
      <c r="D62" s="636">
        <f>F62*325900</f>
        <v>0</v>
      </c>
      <c r="E62" s="629"/>
      <c r="F62" s="632">
        <f>0.1227*B62</f>
        <v>0</v>
      </c>
      <c r="G62" s="633"/>
      <c r="H62" s="510">
        <f>F62*20</f>
        <v>0</v>
      </c>
      <c r="I62" s="97">
        <v>0</v>
      </c>
      <c r="J62" s="96">
        <f>B62*200</f>
        <v>0</v>
      </c>
      <c r="K62" s="96">
        <f>B62*200</f>
        <v>0</v>
      </c>
      <c r="L62" s="108">
        <f t="shared" si="25"/>
        <v>0</v>
      </c>
      <c r="M62" s="634">
        <f t="shared" si="26"/>
        <v>0</v>
      </c>
      <c r="N62" s="635"/>
      <c r="O62" s="75"/>
      <c r="P62" s="75"/>
      <c r="Q62" s="75"/>
      <c r="R62" s="75"/>
      <c r="S62" s="75"/>
      <c r="T62" s="75"/>
      <c r="U62" s="75"/>
    </row>
    <row r="63" spans="1:21" customFormat="1" ht="13">
      <c r="A63" s="1" t="s">
        <v>140</v>
      </c>
      <c r="B63" s="628">
        <f>Ontario!N411</f>
        <v>1</v>
      </c>
      <c r="C63" s="629"/>
      <c r="D63" s="636">
        <f>F63*325900</f>
        <v>209879.6</v>
      </c>
      <c r="E63" s="629"/>
      <c r="F63" s="632">
        <f>0.644*B63</f>
        <v>0.64400000000000002</v>
      </c>
      <c r="G63" s="633"/>
      <c r="H63" s="510">
        <f>F63*5</f>
        <v>3.22</v>
      </c>
      <c r="I63" s="97">
        <v>0</v>
      </c>
      <c r="J63" s="96">
        <f>B63*375</f>
        <v>375</v>
      </c>
      <c r="K63" s="96">
        <f>B63*625</f>
        <v>625</v>
      </c>
      <c r="L63" s="108">
        <f t="shared" si="25"/>
        <v>1000</v>
      </c>
      <c r="M63" s="634">
        <f t="shared" si="26"/>
        <v>1.9434230676544437</v>
      </c>
      <c r="N63" s="635"/>
      <c r="O63" s="75"/>
      <c r="P63" s="75"/>
      <c r="Q63" s="75"/>
      <c r="R63" s="75"/>
      <c r="S63" s="75"/>
      <c r="T63" s="75"/>
      <c r="U63" s="75"/>
    </row>
    <row r="64" spans="1:21" customFormat="1" ht="13">
      <c r="A64" s="130" t="s">
        <v>30</v>
      </c>
      <c r="B64" s="628">
        <f>Ontario!N412</f>
        <v>23</v>
      </c>
      <c r="C64" s="629"/>
      <c r="D64" s="636">
        <f t="shared" ref="D64:D72" si="27">F64*325900</f>
        <v>96694.530000000013</v>
      </c>
      <c r="E64" s="629"/>
      <c r="F64" s="648">
        <f>0.0129*B64</f>
        <v>0.29670000000000002</v>
      </c>
      <c r="G64" s="649"/>
      <c r="H64" s="510">
        <f>F64*10</f>
        <v>2.9670000000000001</v>
      </c>
      <c r="I64" s="97">
        <v>0</v>
      </c>
      <c r="J64" s="96">
        <f>B64*15</f>
        <v>345</v>
      </c>
      <c r="K64" s="96">
        <f>B64*35</f>
        <v>805</v>
      </c>
      <c r="L64" s="108">
        <f t="shared" si="25"/>
        <v>1150</v>
      </c>
      <c r="M64" s="634">
        <f t="shared" si="26"/>
        <v>4.8510250215870609</v>
      </c>
      <c r="N64" s="635"/>
      <c r="O64" s="75"/>
      <c r="P64" s="75"/>
      <c r="Q64" s="75"/>
      <c r="R64" s="75"/>
      <c r="S64" s="75"/>
      <c r="T64" s="75"/>
      <c r="U64" s="75"/>
    </row>
    <row r="65" spans="1:21" customFormat="1" ht="13">
      <c r="A65" s="130" t="s">
        <v>212</v>
      </c>
      <c r="B65" s="628">
        <f>Ontario!N413</f>
        <v>1</v>
      </c>
      <c r="C65" s="629"/>
      <c r="D65" s="636">
        <f t="shared" si="27"/>
        <v>0</v>
      </c>
      <c r="E65" s="629"/>
      <c r="F65" s="632">
        <f>0.0044*0</f>
        <v>0</v>
      </c>
      <c r="G65" s="633"/>
      <c r="H65" s="510">
        <f>F65*5</f>
        <v>0</v>
      </c>
      <c r="I65" s="97">
        <v>0</v>
      </c>
      <c r="J65" s="96">
        <f>1*3</f>
        <v>3</v>
      </c>
      <c r="K65" s="96">
        <f>1*2</f>
        <v>2</v>
      </c>
      <c r="L65" s="108">
        <f>K65+J65+I65</f>
        <v>5</v>
      </c>
      <c r="M65" s="634">
        <f t="shared" si="26"/>
        <v>0</v>
      </c>
      <c r="N65" s="635"/>
      <c r="O65" s="75"/>
      <c r="P65" s="75"/>
      <c r="Q65" s="75"/>
      <c r="R65" s="75"/>
      <c r="S65" s="75"/>
      <c r="T65" s="75"/>
      <c r="U65" s="75"/>
    </row>
    <row r="66" spans="1:21" customFormat="1" ht="13">
      <c r="A66" s="130" t="s">
        <v>89</v>
      </c>
      <c r="B66" s="628">
        <f>Ontario!N414</f>
        <v>0</v>
      </c>
      <c r="C66" s="629"/>
      <c r="D66" s="636">
        <f t="shared" si="27"/>
        <v>0</v>
      </c>
      <c r="E66" s="629"/>
      <c r="F66" s="632">
        <f>0.018*B66</f>
        <v>0</v>
      </c>
      <c r="G66" s="633"/>
      <c r="H66" s="510">
        <f>F66*10</f>
        <v>0</v>
      </c>
      <c r="I66" s="97">
        <v>0</v>
      </c>
      <c r="J66" s="96">
        <f>B66*5</f>
        <v>0</v>
      </c>
      <c r="K66" s="96">
        <f>B66*13</f>
        <v>0</v>
      </c>
      <c r="L66" s="108">
        <f t="shared" si="25"/>
        <v>0</v>
      </c>
      <c r="M66" s="634">
        <f t="shared" si="26"/>
        <v>0</v>
      </c>
      <c r="N66" s="635"/>
      <c r="O66" s="75"/>
      <c r="P66" s="75"/>
      <c r="Q66" s="75"/>
      <c r="R66" s="75"/>
      <c r="S66" s="75"/>
      <c r="T66" s="75"/>
      <c r="U66" s="75"/>
    </row>
    <row r="67" spans="1:21" customFormat="1" ht="13">
      <c r="A67" s="132" t="s">
        <v>124</v>
      </c>
      <c r="B67" s="628">
        <f>Ontario!N415</f>
        <v>0</v>
      </c>
      <c r="C67" s="629"/>
      <c r="D67" s="636">
        <f t="shared" si="27"/>
        <v>0</v>
      </c>
      <c r="E67" s="629"/>
      <c r="F67" s="632">
        <f>0.0129*B67</f>
        <v>0</v>
      </c>
      <c r="G67" s="633"/>
      <c r="H67" s="510">
        <f>F67*10</f>
        <v>0</v>
      </c>
      <c r="I67" s="97">
        <v>0</v>
      </c>
      <c r="J67" s="96">
        <f>B67*15</f>
        <v>0</v>
      </c>
      <c r="K67" s="96">
        <f>B67*35</f>
        <v>0</v>
      </c>
      <c r="L67" s="108">
        <f t="shared" si="25"/>
        <v>0</v>
      </c>
      <c r="M67" s="634">
        <f t="shared" si="26"/>
        <v>0</v>
      </c>
      <c r="N67" s="635"/>
      <c r="O67" s="75"/>
      <c r="P67" s="75"/>
      <c r="Q67" s="75"/>
      <c r="R67" s="75"/>
      <c r="S67" s="75"/>
      <c r="T67" s="75"/>
      <c r="U67" s="75"/>
    </row>
    <row r="68" spans="1:21" s="44" customFormat="1" ht="13">
      <c r="A68" s="133" t="s">
        <v>127</v>
      </c>
      <c r="B68" s="628">
        <f>Ontario!N416</f>
        <v>0</v>
      </c>
      <c r="C68" s="629"/>
      <c r="D68" s="636">
        <f t="shared" si="27"/>
        <v>0</v>
      </c>
      <c r="E68" s="629"/>
      <c r="F68" s="632">
        <f t="shared" ref="F68:F74" si="28">0.0129*B68</f>
        <v>0</v>
      </c>
      <c r="G68" s="633"/>
      <c r="H68" s="510">
        <f>F68*5</f>
        <v>0</v>
      </c>
      <c r="I68" s="97">
        <v>0</v>
      </c>
      <c r="J68" s="96">
        <f>B68*10</f>
        <v>0</v>
      </c>
      <c r="K68" s="96">
        <f>B68*10</f>
        <v>0</v>
      </c>
      <c r="L68" s="108">
        <f t="shared" si="25"/>
        <v>0</v>
      </c>
      <c r="M68" s="634">
        <f t="shared" si="26"/>
        <v>0</v>
      </c>
      <c r="N68" s="635"/>
      <c r="O68" s="75"/>
      <c r="P68" s="75"/>
      <c r="Q68" s="75"/>
      <c r="R68" s="75"/>
      <c r="S68" s="75"/>
      <c r="T68" s="75"/>
      <c r="U68" s="75"/>
    </row>
    <row r="69" spans="1:21" s="44" customFormat="1" ht="13">
      <c r="A69" s="133" t="s">
        <v>128</v>
      </c>
      <c r="B69" s="628">
        <f>Ontario!N417</f>
        <v>0</v>
      </c>
      <c r="C69" s="629"/>
      <c r="D69" s="636">
        <f t="shared" si="27"/>
        <v>0</v>
      </c>
      <c r="E69" s="629"/>
      <c r="F69" s="632">
        <f t="shared" si="28"/>
        <v>0</v>
      </c>
      <c r="G69" s="633"/>
      <c r="H69" s="516">
        <f>F69*10</f>
        <v>0</v>
      </c>
      <c r="I69" s="97">
        <v>0</v>
      </c>
      <c r="J69" s="96">
        <f>B69*1000</f>
        <v>0</v>
      </c>
      <c r="K69" s="96">
        <f>B69*1000</f>
        <v>0</v>
      </c>
      <c r="L69" s="108">
        <f t="shared" si="25"/>
        <v>0</v>
      </c>
      <c r="M69" s="634">
        <f t="shared" si="26"/>
        <v>0</v>
      </c>
      <c r="N69" s="635"/>
      <c r="O69" s="75"/>
      <c r="P69" s="75"/>
      <c r="Q69" s="75"/>
      <c r="R69" s="75"/>
      <c r="S69" s="75"/>
      <c r="T69" s="75"/>
      <c r="U69" s="75"/>
    </row>
    <row r="70" spans="1:21" s="44" customFormat="1" ht="13">
      <c r="A70" s="133" t="s">
        <v>186</v>
      </c>
      <c r="B70" s="628">
        <f>Ontario!N418</f>
        <v>0</v>
      </c>
      <c r="C70" s="629"/>
      <c r="D70" s="630">
        <f t="shared" si="27"/>
        <v>0</v>
      </c>
      <c r="E70" s="631"/>
      <c r="F70" s="632">
        <v>0</v>
      </c>
      <c r="G70" s="633"/>
      <c r="H70" s="503">
        <f>F70*10</f>
        <v>0</v>
      </c>
      <c r="I70" s="97">
        <v>0</v>
      </c>
      <c r="J70" s="96">
        <v>0</v>
      </c>
      <c r="K70" s="96">
        <v>0</v>
      </c>
      <c r="L70" s="108">
        <f t="shared" si="25"/>
        <v>0</v>
      </c>
      <c r="M70" s="634">
        <f t="shared" si="26"/>
        <v>0</v>
      </c>
      <c r="N70" s="635"/>
      <c r="O70" s="75"/>
      <c r="P70" s="75"/>
      <c r="Q70" s="75"/>
      <c r="R70" s="75"/>
      <c r="S70" s="75"/>
      <c r="T70" s="75"/>
      <c r="U70" s="75"/>
    </row>
    <row r="71" spans="1:21" s="44" customFormat="1" ht="13">
      <c r="A71" s="133" t="s">
        <v>166</v>
      </c>
      <c r="B71" s="628">
        <f>Ontario!N419</f>
        <v>0</v>
      </c>
      <c r="C71" s="629"/>
      <c r="D71" s="630">
        <f t="shared" si="27"/>
        <v>0</v>
      </c>
      <c r="E71" s="631"/>
      <c r="F71" s="632">
        <f t="shared" si="28"/>
        <v>0</v>
      </c>
      <c r="G71" s="633"/>
      <c r="H71" s="501">
        <f>F71*10</f>
        <v>0</v>
      </c>
      <c r="I71" s="97">
        <v>0</v>
      </c>
      <c r="J71" s="96">
        <f>B71*15</f>
        <v>0</v>
      </c>
      <c r="K71" s="96">
        <f>B71*35</f>
        <v>0</v>
      </c>
      <c r="L71" s="108">
        <f t="shared" ref="L71:L72" si="29">K71+J71+I71</f>
        <v>0</v>
      </c>
      <c r="M71" s="634">
        <f t="shared" si="26"/>
        <v>0</v>
      </c>
      <c r="N71" s="635"/>
      <c r="O71" s="75"/>
      <c r="P71" s="75"/>
      <c r="Q71" s="75"/>
      <c r="R71" s="75"/>
      <c r="S71" s="75"/>
      <c r="T71" s="75"/>
      <c r="U71" s="75"/>
    </row>
    <row r="72" spans="1:21" s="44" customFormat="1" ht="14" thickBot="1">
      <c r="A72" s="133" t="s">
        <v>165</v>
      </c>
      <c r="B72" s="628">
        <f>Ontario!N420</f>
        <v>0</v>
      </c>
      <c r="C72" s="629"/>
      <c r="D72" s="636">
        <f t="shared" si="27"/>
        <v>0</v>
      </c>
      <c r="E72" s="629"/>
      <c r="F72" s="632">
        <f t="shared" si="28"/>
        <v>0</v>
      </c>
      <c r="G72" s="633"/>
      <c r="H72" s="511">
        <f>F72*10</f>
        <v>0</v>
      </c>
      <c r="I72" s="97">
        <v>0</v>
      </c>
      <c r="J72" s="96">
        <f>B72*5</f>
        <v>0</v>
      </c>
      <c r="K72" s="96">
        <f>B72*5</f>
        <v>0</v>
      </c>
      <c r="L72" s="108">
        <f t="shared" si="29"/>
        <v>0</v>
      </c>
      <c r="M72" s="634">
        <f t="shared" si="26"/>
        <v>0</v>
      </c>
      <c r="N72" s="635"/>
      <c r="O72" s="75"/>
      <c r="P72" s="75"/>
      <c r="Q72" s="75"/>
      <c r="R72" s="75"/>
      <c r="S72" s="75"/>
      <c r="T72" s="75"/>
      <c r="U72" s="75"/>
    </row>
    <row r="73" spans="1:21" ht="16.5" hidden="1" customHeight="1" thickBot="1">
      <c r="A73" s="457" t="s">
        <v>132</v>
      </c>
      <c r="B73" s="637"/>
      <c r="C73" s="637"/>
      <c r="D73" s="637"/>
      <c r="E73" s="637"/>
      <c r="F73" s="632">
        <f t="shared" si="28"/>
        <v>0</v>
      </c>
      <c r="G73" s="633"/>
      <c r="H73" s="502"/>
      <c r="I73" s="518"/>
      <c r="J73" s="518"/>
      <c r="K73" s="518"/>
      <c r="L73" s="518"/>
      <c r="M73" s="518"/>
      <c r="N73" s="519"/>
    </row>
    <row r="74" spans="1:21" s="75" customFormat="1" ht="13.5" hidden="1" customHeight="1" thickBot="1">
      <c r="A74" s="53" t="s">
        <v>133</v>
      </c>
      <c r="B74" s="638">
        <f>Ontario!N422</f>
        <v>0</v>
      </c>
      <c r="C74" s="639"/>
      <c r="D74" s="640">
        <f>F74*325900</f>
        <v>0</v>
      </c>
      <c r="E74" s="641"/>
      <c r="F74" s="632">
        <f t="shared" si="28"/>
        <v>0</v>
      </c>
      <c r="G74" s="633"/>
      <c r="H74" s="511">
        <f>F74*5</f>
        <v>0</v>
      </c>
      <c r="I74" s="121">
        <v>0</v>
      </c>
      <c r="J74" s="121">
        <f>L74-K74</f>
        <v>0</v>
      </c>
      <c r="K74" s="121">
        <f>B74*2</f>
        <v>0</v>
      </c>
      <c r="L74" s="108">
        <v>0</v>
      </c>
      <c r="M74" s="634">
        <f>IF(ISERROR(L74/(F74*771)),0,L74/(F74*771))</f>
        <v>0</v>
      </c>
      <c r="N74" s="635"/>
    </row>
    <row r="75" spans="1:21" customFormat="1" ht="14" thickBot="1">
      <c r="A75" s="40" t="s">
        <v>60</v>
      </c>
      <c r="B75" s="642">
        <f>SUM(B61:C74)</f>
        <v>259</v>
      </c>
      <c r="C75" s="643"/>
      <c r="D75" s="644">
        <f>SUM(D61:E74)</f>
        <v>2182584.89</v>
      </c>
      <c r="E75" s="643"/>
      <c r="F75" s="645">
        <f>SUM(F61:G74)</f>
        <v>6.6971000000000007</v>
      </c>
      <c r="G75" s="643"/>
      <c r="H75" s="507">
        <f>SUM(H61:H74)</f>
        <v>121.315</v>
      </c>
      <c r="I75" s="93">
        <f>SUM(I61:I74)</f>
        <v>0</v>
      </c>
      <c r="J75" s="93">
        <f>SUM(J61:J74)</f>
        <v>14763</v>
      </c>
      <c r="K75" s="93">
        <f>SUM(K61:K74)</f>
        <v>10792</v>
      </c>
      <c r="L75" s="93">
        <f>SUM(L61:L74)</f>
        <v>25555</v>
      </c>
      <c r="M75" s="646"/>
      <c r="N75" s="647"/>
      <c r="O75" s="75"/>
      <c r="P75" s="75"/>
      <c r="Q75" s="75"/>
      <c r="R75" s="75"/>
      <c r="S75" s="75"/>
      <c r="T75" s="75"/>
      <c r="U75" s="75"/>
    </row>
    <row r="76" spans="1:21" s="530" customFormat="1" ht="17" thickBot="1">
      <c r="A76" s="531" t="s">
        <v>17</v>
      </c>
      <c r="B76" s="621">
        <f>SUM(,B59,B75)</f>
        <v>633</v>
      </c>
      <c r="C76" s="622"/>
      <c r="D76" s="623">
        <f>SUM(,D59,D75)</f>
        <v>7504722.2807799987</v>
      </c>
      <c r="E76" s="622"/>
      <c r="F76" s="623">
        <f>SUM(,F59,F75)</f>
        <v>15.006900000000002</v>
      </c>
      <c r="G76" s="622"/>
      <c r="H76" s="532">
        <f>SUM(H59,H75)</f>
        <v>297.51484199999999</v>
      </c>
      <c r="I76" s="533">
        <f>SUM(,I59,I75)</f>
        <v>40333.359099999994</v>
      </c>
      <c r="J76" s="533">
        <f>SUM(,J59,J75)</f>
        <v>66102.406300000002</v>
      </c>
      <c r="K76" s="533">
        <f>SUM(,K59,K75)</f>
        <v>59694.1446</v>
      </c>
      <c r="L76" s="533">
        <f>SUM(,L59,L75)</f>
        <v>166129.90999999997</v>
      </c>
      <c r="M76" s="624"/>
      <c r="N76" s="625"/>
      <c r="O76" s="135"/>
      <c r="P76" s="135"/>
      <c r="Q76" s="135"/>
      <c r="R76" s="135"/>
      <c r="S76" s="135"/>
      <c r="T76" s="135"/>
      <c r="U76" s="135"/>
    </row>
    <row r="77" spans="1:21" customFormat="1" ht="13">
      <c r="A77" s="39"/>
      <c r="B77" s="514"/>
      <c r="C77" s="514"/>
      <c r="D77" s="514"/>
      <c r="E77" s="514"/>
      <c r="F77" s="515"/>
      <c r="G77" s="515"/>
      <c r="H77" s="515"/>
      <c r="I77" s="14"/>
      <c r="J77" s="14"/>
      <c r="K77" s="14"/>
      <c r="L77" s="14"/>
      <c r="M77" s="512"/>
      <c r="N77" s="512"/>
      <c r="O77" s="75"/>
      <c r="P77" s="75"/>
      <c r="Q77" s="75"/>
      <c r="R77" s="75"/>
      <c r="S77" s="75"/>
      <c r="T77" s="75"/>
      <c r="U77" s="75"/>
    </row>
    <row r="78" spans="1:21" customFormat="1" ht="15">
      <c r="A78" s="5" t="s">
        <v>18</v>
      </c>
      <c r="B78" s="626" t="s">
        <v>59</v>
      </c>
      <c r="C78" s="626"/>
      <c r="D78" s="626"/>
      <c r="E78" s="626"/>
      <c r="F78" s="515"/>
      <c r="G78" s="515"/>
      <c r="H78" s="515"/>
      <c r="I78" s="14"/>
      <c r="J78" s="14"/>
      <c r="K78" s="14"/>
      <c r="L78" s="14"/>
      <c r="M78" s="512"/>
      <c r="N78" s="512"/>
      <c r="O78" s="75"/>
      <c r="P78" s="75"/>
      <c r="Q78" s="75"/>
      <c r="R78" s="75"/>
      <c r="S78" s="75"/>
      <c r="T78" s="75"/>
      <c r="U78" s="75"/>
    </row>
    <row r="79" spans="1:21" customFormat="1" ht="13">
      <c r="B79" s="627" t="s">
        <v>19</v>
      </c>
      <c r="C79" s="627"/>
      <c r="D79" s="627"/>
      <c r="E79" s="627"/>
      <c r="F79" s="515"/>
      <c r="G79" s="515"/>
      <c r="H79" s="515"/>
      <c r="I79" s="14"/>
      <c r="J79" s="14"/>
      <c r="K79" s="14"/>
      <c r="L79" s="14"/>
      <c r="N79" s="512"/>
      <c r="O79" s="75"/>
      <c r="P79" s="75"/>
      <c r="Q79" s="75"/>
      <c r="R79" s="75"/>
      <c r="S79" s="75"/>
      <c r="T79" s="75"/>
      <c r="U79" s="75"/>
    </row>
    <row r="80" spans="1:21" customFormat="1" ht="14" thickBot="1">
      <c r="B80" s="512"/>
      <c r="C80" s="512"/>
      <c r="D80" s="512"/>
      <c r="E80" s="512"/>
      <c r="F80" s="515"/>
      <c r="G80" s="515"/>
      <c r="H80" s="515"/>
      <c r="I80" s="14"/>
      <c r="J80" s="14"/>
      <c r="K80" s="14"/>
      <c r="L80" s="14"/>
      <c r="N80" s="512"/>
      <c r="O80" s="75"/>
      <c r="P80" s="75"/>
      <c r="Q80" s="75"/>
      <c r="R80" s="75"/>
      <c r="S80" s="75"/>
      <c r="T80" s="75"/>
      <c r="U80" s="75"/>
    </row>
    <row r="81" spans="1:21">
      <c r="A81" s="63"/>
      <c r="B81" s="64"/>
      <c r="C81" s="64"/>
      <c r="D81" s="64"/>
      <c r="E81" s="64"/>
      <c r="F81" s="200"/>
      <c r="G81" s="200"/>
      <c r="H81" s="200"/>
      <c r="I81" s="670" t="s">
        <v>0</v>
      </c>
      <c r="J81" s="670"/>
      <c r="K81" s="670"/>
      <c r="L81" s="670"/>
      <c r="M81" s="64"/>
      <c r="N81" s="65"/>
    </row>
    <row r="82" spans="1:21">
      <c r="A82" s="62"/>
      <c r="B82" s="671" t="s">
        <v>1</v>
      </c>
      <c r="C82" s="671"/>
      <c r="D82" s="671" t="s">
        <v>2</v>
      </c>
      <c r="E82" s="671"/>
      <c r="F82" s="672" t="s">
        <v>3</v>
      </c>
      <c r="G82" s="672"/>
      <c r="H82" s="447" t="s">
        <v>3</v>
      </c>
      <c r="I82" s="78" t="s">
        <v>135</v>
      </c>
      <c r="J82" s="66"/>
      <c r="K82" s="66"/>
      <c r="L82" s="79"/>
      <c r="M82" s="673" t="s">
        <v>4</v>
      </c>
      <c r="N82" s="674"/>
    </row>
    <row r="83" spans="1:21" ht="19" thickBot="1">
      <c r="A83" s="67" t="s">
        <v>5</v>
      </c>
      <c r="B83" s="675" t="s">
        <v>6</v>
      </c>
      <c r="C83" s="675"/>
      <c r="D83" s="675" t="s">
        <v>7</v>
      </c>
      <c r="E83" s="675"/>
      <c r="F83" s="676" t="s">
        <v>7</v>
      </c>
      <c r="G83" s="676"/>
      <c r="H83" s="449" t="s">
        <v>58</v>
      </c>
      <c r="I83" s="450" t="s">
        <v>136</v>
      </c>
      <c r="J83" s="448" t="s">
        <v>8</v>
      </c>
      <c r="K83" s="448" t="s">
        <v>9</v>
      </c>
      <c r="L83" s="187" t="s">
        <v>10</v>
      </c>
      <c r="M83" s="677" t="s">
        <v>103</v>
      </c>
      <c r="N83" s="678"/>
    </row>
    <row r="84" spans="1:21" ht="24" thickBot="1">
      <c r="A84" s="60" t="s">
        <v>194</v>
      </c>
      <c r="B84" s="823"/>
      <c r="C84" s="824"/>
      <c r="D84" s="825"/>
      <c r="E84" s="826"/>
      <c r="F84" s="827"/>
      <c r="G84" s="828"/>
      <c r="H84" s="451"/>
      <c r="I84" s="402"/>
      <c r="J84" s="402"/>
      <c r="K84" s="402"/>
      <c r="L84" s="331"/>
      <c r="M84" s="829"/>
      <c r="N84" s="830"/>
    </row>
    <row r="85" spans="1:21" s="530" customFormat="1" ht="17" thickBot="1">
      <c r="A85" s="73" t="s">
        <v>129</v>
      </c>
      <c r="B85" s="662"/>
      <c r="C85" s="663"/>
      <c r="D85" s="663"/>
      <c r="E85" s="663"/>
      <c r="F85" s="687"/>
      <c r="G85" s="687"/>
      <c r="H85" s="529"/>
      <c r="I85" s="521"/>
      <c r="J85" s="521"/>
      <c r="K85" s="521"/>
      <c r="L85" s="521"/>
      <c r="M85" s="688"/>
      <c r="N85" s="689"/>
      <c r="O85" s="135"/>
      <c r="P85" s="135"/>
      <c r="Q85" s="135"/>
      <c r="R85" s="135"/>
      <c r="S85" s="135"/>
      <c r="T85" s="135"/>
      <c r="U85" s="135"/>
    </row>
    <row r="86" spans="1:21" s="480" customFormat="1" ht="13">
      <c r="A86" s="466" t="s">
        <v>29</v>
      </c>
      <c r="B86" s="861">
        <f>Ontario!N360</f>
        <v>171</v>
      </c>
      <c r="C86" s="666"/>
      <c r="D86" s="862">
        <f>F86*325900</f>
        <v>1370930.94</v>
      </c>
      <c r="E86" s="666"/>
      <c r="F86" s="665">
        <f>0.0246*B86</f>
        <v>4.2065999999999999</v>
      </c>
      <c r="G86" s="666"/>
      <c r="H86" s="477">
        <f>F86*20</f>
        <v>84.132000000000005</v>
      </c>
      <c r="I86" s="461">
        <v>0</v>
      </c>
      <c r="J86" s="461">
        <f>B86*60</f>
        <v>10260</v>
      </c>
      <c r="K86" s="461">
        <f>B86*40</f>
        <v>6840</v>
      </c>
      <c r="L86" s="463">
        <f t="shared" ref="L86:L93" si="30">K86+J86+I86</f>
        <v>17100</v>
      </c>
      <c r="M86" s="863">
        <f t="shared" ref="M86:M93" si="31">IF(ISERROR(L86/(F86*771)),0,L86/(F86*771))</f>
        <v>5.2724262651186828</v>
      </c>
      <c r="N86" s="864"/>
    </row>
    <row r="87" spans="1:21" s="480" customFormat="1" ht="13">
      <c r="A87" s="466" t="s">
        <v>33</v>
      </c>
      <c r="B87" s="861">
        <f>Ontario!N361</f>
        <v>133</v>
      </c>
      <c r="C87" s="666"/>
      <c r="D87" s="862">
        <f>F87*325900</f>
        <v>1495392.1500000001</v>
      </c>
      <c r="E87" s="666"/>
      <c r="F87" s="665">
        <f>0.0345*B87</f>
        <v>4.5885000000000007</v>
      </c>
      <c r="G87" s="666"/>
      <c r="H87" s="477">
        <f>F87*14</f>
        <v>64.239000000000004</v>
      </c>
      <c r="I87" s="461">
        <f>0*B87</f>
        <v>0</v>
      </c>
      <c r="J87" s="461">
        <f>B87*65</f>
        <v>8645</v>
      </c>
      <c r="K87" s="461">
        <f>B87*85</f>
        <v>11305</v>
      </c>
      <c r="L87" s="463">
        <f t="shared" si="30"/>
        <v>19950</v>
      </c>
      <c r="M87" s="863">
        <f t="shared" si="31"/>
        <v>5.6392037444312848</v>
      </c>
      <c r="N87" s="864"/>
    </row>
    <row r="88" spans="1:21" s="480" customFormat="1" ht="13">
      <c r="A88" s="466" t="s">
        <v>198</v>
      </c>
      <c r="B88" s="861">
        <f>Ontario!N362</f>
        <v>0</v>
      </c>
      <c r="C88" s="666"/>
      <c r="D88" s="862">
        <f>F88*325851</f>
        <v>0</v>
      </c>
      <c r="E88" s="666"/>
      <c r="F88" s="665">
        <f>0.0044*B88</f>
        <v>0</v>
      </c>
      <c r="G88" s="666"/>
      <c r="H88" s="477">
        <f>F88*5</f>
        <v>0</v>
      </c>
      <c r="I88" s="461">
        <f>0*B88</f>
        <v>0</v>
      </c>
      <c r="J88" s="461">
        <f>B88*3</f>
        <v>0</v>
      </c>
      <c r="K88" s="461">
        <f>B88*2</f>
        <v>0</v>
      </c>
      <c r="L88" s="463">
        <f t="shared" si="30"/>
        <v>0</v>
      </c>
      <c r="M88" s="863">
        <f t="shared" si="31"/>
        <v>0</v>
      </c>
      <c r="N88" s="864"/>
    </row>
    <row r="89" spans="1:21" s="480" customFormat="1" ht="13">
      <c r="A89" s="466" t="s">
        <v>52</v>
      </c>
      <c r="B89" s="861">
        <f>Ontario!N363</f>
        <v>21</v>
      </c>
      <c r="C89" s="666"/>
      <c r="D89" s="862">
        <f>F89*325900</f>
        <v>283337.45999999996</v>
      </c>
      <c r="E89" s="666"/>
      <c r="F89" s="665">
        <f>0.0414*B89</f>
        <v>0.86939999999999995</v>
      </c>
      <c r="G89" s="666"/>
      <c r="H89" s="477">
        <f>F89*10</f>
        <v>8.6939999999999991</v>
      </c>
      <c r="I89" s="461">
        <v>0</v>
      </c>
      <c r="J89" s="461">
        <f>B89*70</f>
        <v>1470</v>
      </c>
      <c r="K89" s="461">
        <f>B89*80</f>
        <v>1680</v>
      </c>
      <c r="L89" s="463">
        <f t="shared" si="30"/>
        <v>3150</v>
      </c>
      <c r="M89" s="863">
        <f t="shared" si="31"/>
        <v>4.6993364536927391</v>
      </c>
      <c r="N89" s="864"/>
    </row>
    <row r="90" spans="1:21" s="480" customFormat="1" ht="13">
      <c r="A90" s="466" t="s">
        <v>186</v>
      </c>
      <c r="B90" s="861">
        <f>Ontario!N364</f>
        <v>0</v>
      </c>
      <c r="C90" s="666"/>
      <c r="D90" s="865">
        <f>F90*325900</f>
        <v>0</v>
      </c>
      <c r="E90" s="866"/>
      <c r="F90" s="867">
        <v>0</v>
      </c>
      <c r="G90" s="866"/>
      <c r="H90" s="478">
        <f>F90*10</f>
        <v>0</v>
      </c>
      <c r="I90" s="461">
        <v>0</v>
      </c>
      <c r="J90" s="461">
        <f t="shared" ref="J90:J93" si="32">B90*65</f>
        <v>0</v>
      </c>
      <c r="K90" s="461">
        <f t="shared" ref="K90:K93" si="33">B90*40</f>
        <v>0</v>
      </c>
      <c r="L90" s="463">
        <f t="shared" si="30"/>
        <v>0</v>
      </c>
      <c r="M90" s="863">
        <f t="shared" si="31"/>
        <v>0</v>
      </c>
      <c r="N90" s="864"/>
    </row>
    <row r="91" spans="1:21" s="480" customFormat="1" ht="13">
      <c r="A91" s="466" t="s">
        <v>147</v>
      </c>
      <c r="B91" s="861">
        <f>Ontario!N365</f>
        <v>4</v>
      </c>
      <c r="C91" s="666"/>
      <c r="D91" s="862">
        <f>F91*325900</f>
        <v>2476.84</v>
      </c>
      <c r="E91" s="666"/>
      <c r="F91" s="665">
        <f>0.0019*B91</f>
        <v>7.6E-3</v>
      </c>
      <c r="G91" s="666"/>
      <c r="H91" s="477">
        <f>F91*5</f>
        <v>3.7999999999999999E-2</v>
      </c>
      <c r="I91" s="461">
        <v>0</v>
      </c>
      <c r="J91" s="461">
        <f>B91*0</f>
        <v>0</v>
      </c>
      <c r="K91" s="461">
        <f>B91*35</f>
        <v>140</v>
      </c>
      <c r="L91" s="463">
        <f t="shared" si="30"/>
        <v>140</v>
      </c>
      <c r="M91" s="863">
        <f t="shared" si="31"/>
        <v>23.892415864564132</v>
      </c>
      <c r="N91" s="864"/>
    </row>
    <row r="92" spans="1:21" s="480" customFormat="1" ht="13">
      <c r="A92" s="466" t="s">
        <v>187</v>
      </c>
      <c r="B92" s="861">
        <f>Ontario!N366</f>
        <v>0</v>
      </c>
      <c r="C92" s="666"/>
      <c r="D92" s="862">
        <f>F92*325900</f>
        <v>0</v>
      </c>
      <c r="E92" s="666"/>
      <c r="F92" s="665">
        <v>0</v>
      </c>
      <c r="G92" s="666"/>
      <c r="H92" s="477">
        <v>0</v>
      </c>
      <c r="I92" s="461">
        <v>0</v>
      </c>
      <c r="J92" s="461">
        <f>B92*0</f>
        <v>0</v>
      </c>
      <c r="K92" s="461">
        <f>B92*300</f>
        <v>0</v>
      </c>
      <c r="L92" s="463">
        <f t="shared" si="30"/>
        <v>0</v>
      </c>
      <c r="M92" s="863">
        <f t="shared" si="31"/>
        <v>0</v>
      </c>
      <c r="N92" s="864"/>
    </row>
    <row r="93" spans="1:21" s="480" customFormat="1" ht="14" thickBot="1">
      <c r="A93" s="466" t="s">
        <v>166</v>
      </c>
      <c r="B93" s="861">
        <f>Ontario!N367</f>
        <v>0</v>
      </c>
      <c r="C93" s="666"/>
      <c r="D93" s="862">
        <f>F93*0.0095</f>
        <v>0</v>
      </c>
      <c r="E93" s="666"/>
      <c r="F93" s="665">
        <f>0.0414*B93</f>
        <v>0</v>
      </c>
      <c r="G93" s="666"/>
      <c r="H93" s="477">
        <f>F93*10</f>
        <v>0</v>
      </c>
      <c r="I93" s="461">
        <v>0</v>
      </c>
      <c r="J93" s="461">
        <f t="shared" si="32"/>
        <v>0</v>
      </c>
      <c r="K93" s="461">
        <f t="shared" si="33"/>
        <v>0</v>
      </c>
      <c r="L93" s="463">
        <f t="shared" si="30"/>
        <v>0</v>
      </c>
      <c r="M93" s="863">
        <f t="shared" si="31"/>
        <v>0</v>
      </c>
      <c r="N93" s="864"/>
    </row>
    <row r="94" spans="1:21" s="560" customFormat="1" ht="17" thickBot="1">
      <c r="A94" s="556" t="s">
        <v>130</v>
      </c>
      <c r="B94" s="868"/>
      <c r="C94" s="869"/>
      <c r="D94" s="869"/>
      <c r="E94" s="869"/>
      <c r="F94" s="869"/>
      <c r="G94" s="869"/>
      <c r="H94" s="557"/>
      <c r="I94" s="558"/>
      <c r="J94" s="558"/>
      <c r="K94" s="558"/>
      <c r="L94" s="558"/>
      <c r="M94" s="558"/>
      <c r="N94" s="559"/>
      <c r="O94" s="611"/>
      <c r="P94" s="611"/>
      <c r="Q94" s="611"/>
      <c r="R94" s="611"/>
      <c r="S94" s="611"/>
      <c r="T94" s="611"/>
      <c r="U94" s="611"/>
    </row>
    <row r="95" spans="1:21" s="480" customFormat="1" ht="13">
      <c r="A95" s="466" t="s">
        <v>202</v>
      </c>
      <c r="B95" s="861">
        <f>Ontario!N369</f>
        <v>237</v>
      </c>
      <c r="C95" s="666"/>
      <c r="D95" s="862">
        <f>F95*325900</f>
        <v>339848.52000000008</v>
      </c>
      <c r="E95" s="666"/>
      <c r="F95" s="665">
        <f>B95*0.0044</f>
        <v>1.0428000000000002</v>
      </c>
      <c r="G95" s="666"/>
      <c r="H95" s="477">
        <f>F95*5</f>
        <v>5.2140000000000004</v>
      </c>
      <c r="I95" s="461">
        <v>0</v>
      </c>
      <c r="J95" s="461">
        <f>L95-K95</f>
        <v>355.5</v>
      </c>
      <c r="K95" s="461">
        <f>B95*2</f>
        <v>474</v>
      </c>
      <c r="L95" s="463">
        <v>829.5</v>
      </c>
      <c r="M95" s="863">
        <f>IF(ISERROR(L95/(F95*771)),0,L95/(F95*771))</f>
        <v>1.0317179577879965</v>
      </c>
      <c r="N95" s="864"/>
    </row>
    <row r="96" spans="1:21" s="480" customFormat="1" ht="13">
      <c r="A96" s="466" t="s">
        <v>195</v>
      </c>
      <c r="B96" s="861">
        <f>Ontario!N370</f>
        <v>14</v>
      </c>
      <c r="C96" s="666"/>
      <c r="D96" s="865">
        <f>F96*325900</f>
        <v>439834.63999999996</v>
      </c>
      <c r="E96" s="866"/>
      <c r="F96" s="867">
        <v>1.3495999999999999</v>
      </c>
      <c r="G96" s="866"/>
      <c r="H96" s="478">
        <f>F96*7.5</f>
        <v>10.122</v>
      </c>
      <c r="I96" s="461">
        <f>(B96*958)*0.5</f>
        <v>6706</v>
      </c>
      <c r="J96" s="461">
        <f>(B96*958)*0.02</f>
        <v>268.24</v>
      </c>
      <c r="K96" s="461">
        <f>(B96*958)*0.48</f>
        <v>6437.7599999999993</v>
      </c>
      <c r="L96" s="463">
        <f t="shared" ref="L96:L97" si="34">K96+J96+I96</f>
        <v>13412</v>
      </c>
      <c r="M96" s="863">
        <f>IF(ISERROR(L96/(F96*771)),0,L96/(F96*771))</f>
        <v>12.889441421659644</v>
      </c>
      <c r="N96" s="864"/>
    </row>
    <row r="97" spans="1:21" s="480" customFormat="1" ht="13">
      <c r="A97" s="466" t="s">
        <v>200</v>
      </c>
      <c r="B97" s="861">
        <f>Ontario!N371</f>
        <v>12</v>
      </c>
      <c r="C97" s="666"/>
      <c r="D97" s="865">
        <f>F97*325900</f>
        <v>215876.16</v>
      </c>
      <c r="E97" s="866"/>
      <c r="F97" s="867">
        <f>0.0414*16</f>
        <v>0.66239999999999999</v>
      </c>
      <c r="G97" s="866"/>
      <c r="H97" s="478">
        <f>F97*10</f>
        <v>6.6239999999999997</v>
      </c>
      <c r="I97" s="461">
        <v>0</v>
      </c>
      <c r="J97" s="461">
        <f>(B97*705)*0.84</f>
        <v>7106.4</v>
      </c>
      <c r="K97" s="461">
        <f>(B97*705)*0.16</f>
        <v>1353.6000000000001</v>
      </c>
      <c r="L97" s="463">
        <f t="shared" si="34"/>
        <v>8460</v>
      </c>
      <c r="M97" s="863">
        <f>IF(ISERROR(L97/(F97*771)),0,L97/(F97*771))</f>
        <v>16.565160999266904</v>
      </c>
      <c r="N97" s="864"/>
    </row>
    <row r="98" spans="1:21" s="480" customFormat="1" ht="14" thickBot="1">
      <c r="A98" s="466" t="s">
        <v>163</v>
      </c>
      <c r="B98" s="861">
        <f>Ontario!N372</f>
        <v>20</v>
      </c>
      <c r="C98" s="666"/>
      <c r="D98" s="870">
        <f>F98*325900</f>
        <v>769124</v>
      </c>
      <c r="E98" s="871"/>
      <c r="F98" s="872">
        <f>B98*0.118</f>
        <v>2.36</v>
      </c>
      <c r="G98" s="871"/>
      <c r="H98" s="478">
        <f>F98*10</f>
        <v>23.599999999999998</v>
      </c>
      <c r="I98" s="461">
        <v>0</v>
      </c>
      <c r="J98" s="481">
        <f>(B98*461)*0.53</f>
        <v>4886.6000000000004</v>
      </c>
      <c r="K98" s="481">
        <f>(B98*461)*0.47</f>
        <v>4333.3999999999996</v>
      </c>
      <c r="L98" s="463">
        <f>K98+J98+I98</f>
        <v>9220</v>
      </c>
      <c r="M98" s="863">
        <f>IF(ISERROR(L98/(F98*771)),0,L98/(F98*771))</f>
        <v>5.0671590934071977</v>
      </c>
      <c r="N98" s="864"/>
    </row>
    <row r="99" spans="1:21" s="464" customFormat="1" ht="14" thickBot="1">
      <c r="A99" s="469" t="s">
        <v>60</v>
      </c>
      <c r="B99" s="873">
        <f>SUM(B86:C98)</f>
        <v>612</v>
      </c>
      <c r="C99" s="874"/>
      <c r="D99" s="875">
        <f>SUM(D86:E98)</f>
        <v>4916820.71</v>
      </c>
      <c r="E99" s="874"/>
      <c r="F99" s="873">
        <f>SUM(F86:G98)</f>
        <v>15.086900000000002</v>
      </c>
      <c r="G99" s="874"/>
      <c r="H99" s="470">
        <f>SUM(H84:H98)</f>
        <v>202.66300000000001</v>
      </c>
      <c r="I99" s="471">
        <f>SUM(I86:I98)</f>
        <v>6706</v>
      </c>
      <c r="J99" s="471">
        <f t="shared" ref="J99" si="35">SUM(J86:J98)</f>
        <v>32991.74</v>
      </c>
      <c r="K99" s="471">
        <f>SUM(K86:K98)</f>
        <v>32563.759999999995</v>
      </c>
      <c r="L99" s="471">
        <f>SUM(L86:L98)</f>
        <v>72261.5</v>
      </c>
      <c r="M99" s="876"/>
      <c r="N99" s="877"/>
      <c r="O99" s="480"/>
      <c r="P99" s="480"/>
      <c r="Q99" s="480"/>
      <c r="R99" s="480"/>
      <c r="S99" s="480"/>
      <c r="T99" s="480"/>
      <c r="U99" s="480"/>
    </row>
    <row r="100" spans="1:21" s="560" customFormat="1" ht="17" thickBot="1">
      <c r="A100" s="556" t="s">
        <v>134</v>
      </c>
      <c r="B100" s="868"/>
      <c r="C100" s="869"/>
      <c r="D100" s="869"/>
      <c r="E100" s="869"/>
      <c r="F100" s="869"/>
      <c r="G100" s="869"/>
      <c r="H100" s="557"/>
      <c r="I100" s="561"/>
      <c r="J100" s="561"/>
      <c r="K100" s="561"/>
      <c r="L100" s="561"/>
      <c r="M100" s="561"/>
      <c r="N100" s="562"/>
      <c r="O100" s="611"/>
      <c r="P100" s="611"/>
      <c r="Q100" s="611"/>
      <c r="R100" s="611"/>
      <c r="S100" s="611"/>
      <c r="T100" s="611"/>
      <c r="U100" s="611"/>
    </row>
    <row r="101" spans="1:21" s="464" customFormat="1" ht="13">
      <c r="A101" s="458" t="s">
        <v>29</v>
      </c>
      <c r="B101" s="878">
        <f>Ontario!N375</f>
        <v>293</v>
      </c>
      <c r="C101" s="633"/>
      <c r="D101" s="879">
        <f>F101*325900</f>
        <v>2349022.02</v>
      </c>
      <c r="E101" s="633"/>
      <c r="F101" s="632">
        <f>0.0246*B101</f>
        <v>7.2077999999999998</v>
      </c>
      <c r="G101" s="633"/>
      <c r="H101" s="459">
        <f>F101*20</f>
        <v>144.15600000000001</v>
      </c>
      <c r="I101" s="460">
        <v>0</v>
      </c>
      <c r="J101" s="462">
        <f>B101*60</f>
        <v>17580</v>
      </c>
      <c r="K101" s="462">
        <f>B101*40</f>
        <v>11720</v>
      </c>
      <c r="L101" s="463">
        <f>K101+J101+I101</f>
        <v>29300</v>
      </c>
      <c r="M101" s="880">
        <f t="shared" ref="M101:M112" si="36">IF(ISERROR(L101/(F101*771)),0,L101/(F101*771))</f>
        <v>5.2724262651186828</v>
      </c>
      <c r="N101" s="881"/>
      <c r="O101" s="480"/>
      <c r="P101" s="480"/>
      <c r="Q101" s="480"/>
      <c r="R101" s="480"/>
      <c r="S101" s="480"/>
      <c r="T101" s="480"/>
      <c r="U101" s="612"/>
    </row>
    <row r="102" spans="1:21" s="464" customFormat="1" ht="13">
      <c r="A102" s="458" t="s">
        <v>51</v>
      </c>
      <c r="B102" s="878">
        <f>Ontario!N376</f>
        <v>0</v>
      </c>
      <c r="C102" s="633"/>
      <c r="D102" s="879">
        <f>F102*325900</f>
        <v>0</v>
      </c>
      <c r="E102" s="633"/>
      <c r="F102" s="632">
        <f>0.1227*B102</f>
        <v>0</v>
      </c>
      <c r="G102" s="633"/>
      <c r="H102" s="459">
        <f>F102*20</f>
        <v>0</v>
      </c>
      <c r="I102" s="460">
        <v>0</v>
      </c>
      <c r="J102" s="462">
        <f>B102*200</f>
        <v>0</v>
      </c>
      <c r="K102" s="462">
        <f>B102*200</f>
        <v>0</v>
      </c>
      <c r="L102" s="463">
        <f t="shared" ref="L102:L109" si="37">K102+J102+I102</f>
        <v>0</v>
      </c>
      <c r="M102" s="880">
        <f t="shared" si="36"/>
        <v>0</v>
      </c>
      <c r="N102" s="881"/>
      <c r="O102" s="480"/>
      <c r="P102" s="480"/>
      <c r="Q102" s="480"/>
      <c r="R102" s="480"/>
      <c r="S102" s="480"/>
      <c r="T102" s="480"/>
      <c r="U102" s="480"/>
    </row>
    <row r="103" spans="1:21" s="464" customFormat="1" ht="13">
      <c r="A103" s="472" t="s">
        <v>140</v>
      </c>
      <c r="B103" s="878">
        <f>Ontario!N377</f>
        <v>0</v>
      </c>
      <c r="C103" s="633"/>
      <c r="D103" s="879">
        <f>F103*325851</f>
        <v>0</v>
      </c>
      <c r="E103" s="633"/>
      <c r="F103" s="632">
        <f>0.644*B103</f>
        <v>0</v>
      </c>
      <c r="G103" s="633"/>
      <c r="H103" s="459">
        <f>F103*5</f>
        <v>0</v>
      </c>
      <c r="I103" s="460">
        <v>0</v>
      </c>
      <c r="J103" s="462">
        <f>B103*0</f>
        <v>0</v>
      </c>
      <c r="K103" s="462">
        <f>B103*0</f>
        <v>0</v>
      </c>
      <c r="L103" s="463">
        <f t="shared" si="37"/>
        <v>0</v>
      </c>
      <c r="M103" s="880">
        <f t="shared" si="36"/>
        <v>0</v>
      </c>
      <c r="N103" s="881"/>
      <c r="O103" s="480"/>
      <c r="P103" s="480"/>
      <c r="Q103" s="480"/>
      <c r="R103" s="480"/>
      <c r="S103" s="480"/>
      <c r="T103" s="480"/>
      <c r="U103" s="480"/>
    </row>
    <row r="104" spans="1:21" s="464" customFormat="1" ht="13">
      <c r="A104" s="466" t="s">
        <v>30</v>
      </c>
      <c r="B104" s="878">
        <f>Ontario!N378</f>
        <v>9</v>
      </c>
      <c r="C104" s="633"/>
      <c r="D104" s="879">
        <f t="shared" ref="D104:D112" si="38">F104*325900</f>
        <v>37836.99</v>
      </c>
      <c r="E104" s="633"/>
      <c r="F104" s="648">
        <f>0.0129*B104</f>
        <v>0.11609999999999999</v>
      </c>
      <c r="G104" s="649"/>
      <c r="H104" s="459">
        <f>F104*10</f>
        <v>1.161</v>
      </c>
      <c r="I104" s="460">
        <v>0</v>
      </c>
      <c r="J104" s="462">
        <f>B104*0</f>
        <v>0</v>
      </c>
      <c r="K104" s="462">
        <f>B104*0</f>
        <v>0</v>
      </c>
      <c r="L104" s="463">
        <f t="shared" si="37"/>
        <v>0</v>
      </c>
      <c r="M104" s="880">
        <f t="shared" si="36"/>
        <v>0</v>
      </c>
      <c r="N104" s="881"/>
      <c r="O104" s="480"/>
      <c r="P104" s="480"/>
      <c r="Q104" s="480"/>
      <c r="R104" s="480"/>
      <c r="S104" s="480"/>
      <c r="T104" s="480"/>
      <c r="U104" s="480"/>
    </row>
    <row r="105" spans="1:21" s="464" customFormat="1" ht="13">
      <c r="A105" s="466" t="s">
        <v>199</v>
      </c>
      <c r="B105" s="878">
        <f>Ontario!N379</f>
        <v>5050</v>
      </c>
      <c r="C105" s="633"/>
      <c r="D105" s="879">
        <f t="shared" si="38"/>
        <v>7241498.0000000009</v>
      </c>
      <c r="E105" s="633"/>
      <c r="F105" s="632">
        <f>0.0044*B105</f>
        <v>22.220000000000002</v>
      </c>
      <c r="G105" s="633"/>
      <c r="H105" s="459">
        <f>F105*5</f>
        <v>111.10000000000001</v>
      </c>
      <c r="I105" s="460">
        <v>0</v>
      </c>
      <c r="J105" s="462">
        <f>B105*2</f>
        <v>10100</v>
      </c>
      <c r="K105" s="462">
        <f>B105*2</f>
        <v>10100</v>
      </c>
      <c r="L105" s="463">
        <f t="shared" si="37"/>
        <v>20200</v>
      </c>
      <c r="M105" s="880">
        <f t="shared" si="36"/>
        <v>1.1791062374719961</v>
      </c>
      <c r="N105" s="881"/>
      <c r="O105" s="480"/>
      <c r="P105" s="480"/>
      <c r="Q105" s="480"/>
      <c r="R105" s="480"/>
      <c r="S105" s="480"/>
      <c r="T105" s="480"/>
      <c r="U105" s="480"/>
    </row>
    <row r="106" spans="1:21" s="464" customFormat="1" ht="13">
      <c r="A106" s="466" t="s">
        <v>89</v>
      </c>
      <c r="B106" s="878">
        <f>Ontario!N380</f>
        <v>0</v>
      </c>
      <c r="C106" s="633"/>
      <c r="D106" s="879">
        <f t="shared" si="38"/>
        <v>0</v>
      </c>
      <c r="E106" s="633"/>
      <c r="F106" s="632">
        <f>0.018*B106</f>
        <v>0</v>
      </c>
      <c r="G106" s="633"/>
      <c r="H106" s="459">
        <f>F106*10</f>
        <v>0</v>
      </c>
      <c r="I106" s="460">
        <v>0</v>
      </c>
      <c r="J106" s="462">
        <f>B106*2</f>
        <v>0</v>
      </c>
      <c r="K106" s="462">
        <f>B106*13</f>
        <v>0</v>
      </c>
      <c r="L106" s="463">
        <f t="shared" si="37"/>
        <v>0</v>
      </c>
      <c r="M106" s="880">
        <f t="shared" si="36"/>
        <v>0</v>
      </c>
      <c r="N106" s="881"/>
      <c r="O106" s="480"/>
      <c r="P106" s="480"/>
      <c r="Q106" s="480"/>
      <c r="R106" s="480"/>
      <c r="S106" s="480"/>
      <c r="T106" s="480"/>
      <c r="U106" s="480"/>
    </row>
    <row r="107" spans="1:21" s="464" customFormat="1" ht="13">
      <c r="A107" s="458" t="s">
        <v>124</v>
      </c>
      <c r="B107" s="878">
        <f>Ontario!N381</f>
        <v>0</v>
      </c>
      <c r="C107" s="633"/>
      <c r="D107" s="879">
        <f>F107*325900</f>
        <v>0</v>
      </c>
      <c r="E107" s="633"/>
      <c r="F107" s="632">
        <f>0.0129*B107</f>
        <v>0</v>
      </c>
      <c r="G107" s="633"/>
      <c r="H107" s="459">
        <f>F107*10</f>
        <v>0</v>
      </c>
      <c r="I107" s="460">
        <v>0</v>
      </c>
      <c r="J107" s="462">
        <f>B107*0</f>
        <v>0</v>
      </c>
      <c r="K107" s="462">
        <f>B107*0</f>
        <v>0</v>
      </c>
      <c r="L107" s="463">
        <f t="shared" si="37"/>
        <v>0</v>
      </c>
      <c r="M107" s="880">
        <f t="shared" si="36"/>
        <v>0</v>
      </c>
      <c r="N107" s="881"/>
      <c r="O107" s="480"/>
      <c r="P107" s="480"/>
      <c r="Q107" s="480"/>
      <c r="R107" s="480"/>
      <c r="S107" s="480"/>
      <c r="T107" s="480"/>
      <c r="U107" s="480"/>
    </row>
    <row r="108" spans="1:21" s="473" customFormat="1" ht="13">
      <c r="A108" s="468" t="s">
        <v>127</v>
      </c>
      <c r="B108" s="878">
        <f>Ontario!N382</f>
        <v>0</v>
      </c>
      <c r="C108" s="633"/>
      <c r="D108" s="879">
        <f t="shared" si="38"/>
        <v>0</v>
      </c>
      <c r="E108" s="633"/>
      <c r="F108" s="632">
        <f>B108*0.023</f>
        <v>0</v>
      </c>
      <c r="G108" s="633"/>
      <c r="H108" s="459">
        <f>F108*5</f>
        <v>0</v>
      </c>
      <c r="I108" s="460">
        <v>0</v>
      </c>
      <c r="J108" s="462">
        <f>B108*10</f>
        <v>0</v>
      </c>
      <c r="K108" s="462">
        <f>B108*10</f>
        <v>0</v>
      </c>
      <c r="L108" s="463">
        <f t="shared" si="37"/>
        <v>0</v>
      </c>
      <c r="M108" s="880">
        <f t="shared" si="36"/>
        <v>0</v>
      </c>
      <c r="N108" s="881"/>
      <c r="O108" s="480"/>
      <c r="P108" s="480"/>
      <c r="Q108" s="480"/>
      <c r="R108" s="480"/>
      <c r="S108" s="480"/>
      <c r="T108" s="480"/>
      <c r="U108" s="480"/>
    </row>
    <row r="109" spans="1:21" s="473" customFormat="1" ht="13">
      <c r="A109" s="468" t="s">
        <v>128</v>
      </c>
      <c r="B109" s="878">
        <f>Ontario!N383</f>
        <v>1</v>
      </c>
      <c r="C109" s="633"/>
      <c r="D109" s="879">
        <f t="shared" si="38"/>
        <v>50188.6</v>
      </c>
      <c r="E109" s="633"/>
      <c r="F109" s="882">
        <f>0.154*B109</f>
        <v>0.154</v>
      </c>
      <c r="G109" s="883"/>
      <c r="H109" s="474">
        <f>F109*10</f>
        <v>1.54</v>
      </c>
      <c r="I109" s="460">
        <v>0</v>
      </c>
      <c r="J109" s="462">
        <f>B109*1000</f>
        <v>1000</v>
      </c>
      <c r="K109" s="462">
        <f>B109*1000</f>
        <v>1000</v>
      </c>
      <c r="L109" s="463">
        <f t="shared" si="37"/>
        <v>2000</v>
      </c>
      <c r="M109" s="880">
        <f t="shared" si="36"/>
        <v>16.84437482102852</v>
      </c>
      <c r="N109" s="881"/>
      <c r="O109" s="480"/>
      <c r="P109" s="480"/>
      <c r="Q109" s="480"/>
      <c r="R109" s="480"/>
      <c r="S109" s="480"/>
      <c r="T109" s="480"/>
      <c r="U109" s="480"/>
    </row>
    <row r="110" spans="1:21" s="473" customFormat="1" ht="13">
      <c r="A110" s="468" t="s">
        <v>186</v>
      </c>
      <c r="B110" s="878">
        <f>Ontario!N384</f>
        <v>0</v>
      </c>
      <c r="C110" s="633"/>
      <c r="D110" s="884">
        <f t="shared" si="38"/>
        <v>0</v>
      </c>
      <c r="E110" s="885"/>
      <c r="F110" s="865">
        <v>0</v>
      </c>
      <c r="G110" s="866"/>
      <c r="H110" s="467">
        <f>F110*10</f>
        <v>0</v>
      </c>
      <c r="I110" s="460">
        <v>0</v>
      </c>
      <c r="J110" s="462">
        <f>B110*0</f>
        <v>0</v>
      </c>
      <c r="K110" s="462">
        <f>B110*0</f>
        <v>0</v>
      </c>
      <c r="L110" s="463">
        <v>0</v>
      </c>
      <c r="M110" s="880">
        <f t="shared" si="36"/>
        <v>0</v>
      </c>
      <c r="N110" s="881"/>
      <c r="O110" s="480"/>
      <c r="P110" s="480"/>
      <c r="Q110" s="480"/>
      <c r="R110" s="480"/>
      <c r="S110" s="480"/>
      <c r="T110" s="480"/>
      <c r="U110" s="480"/>
    </row>
    <row r="111" spans="1:21" s="473" customFormat="1" ht="13">
      <c r="A111" s="468" t="s">
        <v>166</v>
      </c>
      <c r="B111" s="878">
        <f>Ontario!N385</f>
        <v>0</v>
      </c>
      <c r="C111" s="633"/>
      <c r="D111" s="884">
        <f t="shared" si="38"/>
        <v>0</v>
      </c>
      <c r="E111" s="885"/>
      <c r="F111" s="886">
        <f>B111*0.0129</f>
        <v>0</v>
      </c>
      <c r="G111" s="887"/>
      <c r="H111" s="475">
        <v>0</v>
      </c>
      <c r="I111" s="460">
        <v>0</v>
      </c>
      <c r="J111" s="462">
        <f>B111*0</f>
        <v>0</v>
      </c>
      <c r="K111" s="462">
        <f>B111*0</f>
        <v>0</v>
      </c>
      <c r="L111" s="463">
        <f t="shared" ref="L111:L112" si="39">K111+J111+I111</f>
        <v>0</v>
      </c>
      <c r="M111" s="880">
        <f t="shared" si="36"/>
        <v>0</v>
      </c>
      <c r="N111" s="881"/>
      <c r="O111" s="480"/>
      <c r="P111" s="480"/>
      <c r="Q111" s="480"/>
      <c r="R111" s="480"/>
      <c r="S111" s="480"/>
      <c r="T111" s="480"/>
      <c r="U111" s="480"/>
    </row>
    <row r="112" spans="1:21" s="473" customFormat="1" ht="14" thickBot="1">
      <c r="A112" s="468" t="s">
        <v>165</v>
      </c>
      <c r="B112" s="878">
        <f>Ontario!N386</f>
        <v>1075</v>
      </c>
      <c r="C112" s="633"/>
      <c r="D112" s="879">
        <f t="shared" si="38"/>
        <v>1471438.5</v>
      </c>
      <c r="E112" s="633"/>
      <c r="F112" s="862">
        <f>(B112*0.0084)/2</f>
        <v>4.5149999999999997</v>
      </c>
      <c r="G112" s="666"/>
      <c r="H112" s="465">
        <f>F112*10</f>
        <v>45.15</v>
      </c>
      <c r="I112" s="460">
        <v>0</v>
      </c>
      <c r="J112" s="462">
        <f>B112*10</f>
        <v>10750</v>
      </c>
      <c r="K112" s="462">
        <f>B112*5</f>
        <v>5375</v>
      </c>
      <c r="L112" s="463">
        <f t="shared" si="39"/>
        <v>16125</v>
      </c>
      <c r="M112" s="880">
        <f t="shared" si="36"/>
        <v>4.6322030757828427</v>
      </c>
      <c r="N112" s="881"/>
      <c r="O112" s="480"/>
      <c r="P112" s="480"/>
      <c r="Q112" s="480"/>
      <c r="R112" s="480"/>
      <c r="S112" s="480"/>
      <c r="T112" s="480"/>
      <c r="U112" s="480"/>
    </row>
    <row r="113" spans="1:21" s="560" customFormat="1" ht="17" thickBot="1">
      <c r="A113" s="556" t="s">
        <v>132</v>
      </c>
      <c r="B113" s="869"/>
      <c r="C113" s="869"/>
      <c r="D113" s="869"/>
      <c r="E113" s="869"/>
      <c r="F113" s="869"/>
      <c r="G113" s="869"/>
      <c r="H113" s="557"/>
      <c r="I113" s="561"/>
      <c r="J113" s="561"/>
      <c r="K113" s="561"/>
      <c r="L113" s="561"/>
      <c r="M113" s="561"/>
      <c r="N113" s="562"/>
      <c r="O113" s="611"/>
      <c r="P113" s="611"/>
      <c r="Q113" s="611"/>
      <c r="R113" s="611"/>
      <c r="S113" s="611"/>
      <c r="T113" s="611"/>
      <c r="U113" s="611"/>
    </row>
    <row r="114" spans="1:21" s="480" customFormat="1" ht="14" thickBot="1">
      <c r="A114" s="476" t="s">
        <v>203</v>
      </c>
      <c r="B114" s="861">
        <f>Ontario!N388</f>
        <v>2880</v>
      </c>
      <c r="C114" s="666"/>
      <c r="D114" s="888">
        <f>F114*325900</f>
        <v>3754368</v>
      </c>
      <c r="E114" s="889"/>
      <c r="F114" s="890">
        <f>0.004*B114</f>
        <v>11.52</v>
      </c>
      <c r="G114" s="889"/>
      <c r="H114" s="477">
        <f>F114*5</f>
        <v>57.599999999999994</v>
      </c>
      <c r="I114" s="482">
        <v>0</v>
      </c>
      <c r="J114" s="482">
        <f>L114-K114</f>
        <v>9916.5</v>
      </c>
      <c r="K114" s="482">
        <f>B114*2</f>
        <v>5760</v>
      </c>
      <c r="L114" s="463">
        <v>15676.5</v>
      </c>
      <c r="M114" s="863">
        <f>IF(ISERROR(L114/(F114*771)),0,L114/(F114*771))</f>
        <v>1.7649900021616947</v>
      </c>
      <c r="N114" s="864"/>
    </row>
    <row r="115" spans="1:21" s="275" customFormat="1" ht="14" thickBot="1">
      <c r="A115" s="40" t="s">
        <v>60</v>
      </c>
      <c r="B115" s="645">
        <f>SUM(B101:C114)</f>
        <v>9308</v>
      </c>
      <c r="C115" s="643"/>
      <c r="D115" s="645">
        <f>SUM(D101:E114)</f>
        <v>14904352.110000001</v>
      </c>
      <c r="E115" s="643"/>
      <c r="F115" s="726">
        <f>SUM(F101:G114)</f>
        <v>45.732900000000001</v>
      </c>
      <c r="G115" s="707"/>
      <c r="H115" s="43">
        <f>SUM(H101:H114)</f>
        <v>360.70699999999999</v>
      </c>
      <c r="I115" s="93">
        <f>SUM(I101:I114)</f>
        <v>0</v>
      </c>
      <c r="J115" s="93">
        <f>SUM(J101:J114)</f>
        <v>49346.5</v>
      </c>
      <c r="K115" s="93">
        <f>SUM(K101:K114)</f>
        <v>33955</v>
      </c>
      <c r="L115" s="93">
        <f>SUM(L101:L114)</f>
        <v>83301.5</v>
      </c>
      <c r="M115" s="646"/>
      <c r="N115" s="647"/>
      <c r="O115" s="276"/>
      <c r="P115" s="276"/>
      <c r="Q115" s="276"/>
      <c r="R115" s="276"/>
      <c r="S115" s="276"/>
      <c r="T115" s="276"/>
      <c r="U115" s="276"/>
    </row>
    <row r="116" spans="1:21" s="530" customFormat="1" ht="17" thickBot="1">
      <c r="A116" s="531" t="s">
        <v>17</v>
      </c>
      <c r="B116" s="621">
        <f>SUM(,B99,B115)</f>
        <v>9920</v>
      </c>
      <c r="C116" s="622"/>
      <c r="D116" s="623">
        <f>SUM(,D99,D115)</f>
        <v>19821172.82</v>
      </c>
      <c r="E116" s="622"/>
      <c r="F116" s="773">
        <f>SUM(,F99,F115)</f>
        <v>60.819800000000001</v>
      </c>
      <c r="G116" s="713"/>
      <c r="H116" s="532">
        <f>(H115+H99)</f>
        <v>563.37</v>
      </c>
      <c r="I116" s="533">
        <f>SUM(,I99,I115)</f>
        <v>6706</v>
      </c>
      <c r="J116" s="533">
        <f>SUM(,J99,J115)</f>
        <v>82338.239999999991</v>
      </c>
      <c r="K116" s="533">
        <f>SUM(,K99,K115)</f>
        <v>66518.759999999995</v>
      </c>
      <c r="L116" s="533">
        <f>SUM(,L99,L115)</f>
        <v>155563</v>
      </c>
      <c r="M116" s="624"/>
      <c r="N116" s="625"/>
      <c r="O116" s="135"/>
      <c r="P116" s="135"/>
      <c r="Q116" s="135"/>
      <c r="R116" s="135"/>
      <c r="S116" s="135"/>
      <c r="T116" s="135"/>
      <c r="U116" s="135"/>
    </row>
    <row r="117" spans="1:21">
      <c r="A117" s="164"/>
      <c r="B117" s="169"/>
      <c r="C117" s="169"/>
      <c r="D117" s="169"/>
      <c r="E117" s="169"/>
      <c r="F117" s="224"/>
      <c r="G117" s="224"/>
      <c r="H117" s="224"/>
      <c r="I117" s="170"/>
      <c r="J117" s="170"/>
      <c r="K117" s="170"/>
      <c r="L117" s="170"/>
      <c r="M117" s="446"/>
      <c r="N117" s="446"/>
      <c r="R117" s="609"/>
    </row>
    <row r="118" spans="1:21" ht="18">
      <c r="A118" s="171" t="s">
        <v>167</v>
      </c>
      <c r="B118" s="765" t="s">
        <v>59</v>
      </c>
      <c r="C118" s="765"/>
      <c r="D118" s="765"/>
      <c r="E118" s="765"/>
      <c r="F118" s="224"/>
      <c r="G118" s="224"/>
      <c r="H118" s="224"/>
      <c r="I118" s="170"/>
      <c r="J118" s="170"/>
      <c r="K118" s="170"/>
      <c r="L118" s="170"/>
      <c r="M118" s="446"/>
      <c r="N118" s="446"/>
    </row>
    <row r="119" spans="1:21">
      <c r="B119" s="860" t="s">
        <v>19</v>
      </c>
      <c r="C119" s="860"/>
      <c r="D119" s="860"/>
      <c r="E119" s="860"/>
      <c r="F119" s="224"/>
      <c r="G119" s="224"/>
      <c r="H119" s="224"/>
      <c r="I119" s="170"/>
      <c r="J119" s="170"/>
      <c r="K119" s="170"/>
      <c r="L119" s="170"/>
      <c r="M119" s="446"/>
      <c r="N119" s="446"/>
    </row>
    <row r="120" spans="1:21" ht="17" thickBot="1">
      <c r="B120" s="456"/>
      <c r="C120" s="456"/>
      <c r="D120" s="456"/>
      <c r="E120" s="456"/>
      <c r="F120" s="224"/>
      <c r="G120" s="224"/>
      <c r="H120" s="224"/>
      <c r="I120" s="170"/>
      <c r="J120" s="170"/>
      <c r="K120" s="170"/>
      <c r="L120" s="170"/>
      <c r="M120" s="446"/>
      <c r="N120" s="446"/>
    </row>
    <row r="121" spans="1:21">
      <c r="A121" s="63"/>
      <c r="B121" s="64"/>
      <c r="C121" s="64"/>
      <c r="D121" s="64"/>
      <c r="E121" s="64"/>
      <c r="F121" s="200"/>
      <c r="G121" s="200"/>
      <c r="H121" s="200"/>
      <c r="I121" s="670" t="s">
        <v>0</v>
      </c>
      <c r="J121" s="670"/>
      <c r="K121" s="670"/>
      <c r="L121" s="670"/>
      <c r="M121" s="64"/>
      <c r="N121" s="65"/>
    </row>
    <row r="122" spans="1:21">
      <c r="A122" s="62"/>
      <c r="B122" s="671" t="s">
        <v>1</v>
      </c>
      <c r="C122" s="671"/>
      <c r="D122" s="671" t="s">
        <v>2</v>
      </c>
      <c r="E122" s="671"/>
      <c r="F122" s="672" t="s">
        <v>3</v>
      </c>
      <c r="G122" s="672"/>
      <c r="H122" s="339" t="s">
        <v>3</v>
      </c>
      <c r="I122" s="78" t="s">
        <v>135</v>
      </c>
      <c r="J122" s="66"/>
      <c r="K122" s="66"/>
      <c r="L122" s="79"/>
      <c r="M122" s="673" t="s">
        <v>4</v>
      </c>
      <c r="N122" s="674"/>
    </row>
    <row r="123" spans="1:21" ht="19" thickBot="1">
      <c r="A123" s="67" t="s">
        <v>5</v>
      </c>
      <c r="B123" s="675" t="s">
        <v>6</v>
      </c>
      <c r="C123" s="675"/>
      <c r="D123" s="675" t="s">
        <v>7</v>
      </c>
      <c r="E123" s="675"/>
      <c r="F123" s="676" t="s">
        <v>7</v>
      </c>
      <c r="G123" s="676"/>
      <c r="H123" s="341" t="s">
        <v>58</v>
      </c>
      <c r="I123" s="342" t="s">
        <v>136</v>
      </c>
      <c r="J123" s="340" t="s">
        <v>8</v>
      </c>
      <c r="K123" s="340" t="s">
        <v>9</v>
      </c>
      <c r="L123" s="187" t="s">
        <v>10</v>
      </c>
      <c r="M123" s="677" t="s">
        <v>103</v>
      </c>
      <c r="N123" s="678"/>
    </row>
    <row r="124" spans="1:21" ht="24" thickBot="1">
      <c r="A124" s="60" t="s">
        <v>182</v>
      </c>
      <c r="B124" s="823"/>
      <c r="C124" s="824"/>
      <c r="D124" s="825"/>
      <c r="E124" s="826"/>
      <c r="F124" s="827"/>
      <c r="G124" s="828"/>
      <c r="H124" s="401"/>
      <c r="I124" s="402"/>
      <c r="J124" s="402"/>
      <c r="K124" s="402"/>
      <c r="L124" s="331"/>
      <c r="M124" s="829"/>
      <c r="N124" s="830"/>
    </row>
    <row r="125" spans="1:21" s="530" customFormat="1" ht="17" thickBot="1">
      <c r="A125" s="73" t="s">
        <v>129</v>
      </c>
      <c r="B125" s="662"/>
      <c r="C125" s="663"/>
      <c r="D125" s="663"/>
      <c r="E125" s="663"/>
      <c r="F125" s="687"/>
      <c r="G125" s="687"/>
      <c r="H125" s="529"/>
      <c r="I125" s="521"/>
      <c r="J125" s="521"/>
      <c r="K125" s="521"/>
      <c r="L125" s="521"/>
      <c r="M125" s="688"/>
      <c r="N125" s="689"/>
      <c r="O125" s="135"/>
      <c r="P125" s="135"/>
      <c r="Q125" s="135"/>
      <c r="R125" s="135"/>
      <c r="S125" s="135"/>
      <c r="T125" s="135"/>
      <c r="U125" s="135"/>
    </row>
    <row r="126" spans="1:21" s="255" customFormat="1" ht="13">
      <c r="A126" s="260" t="s">
        <v>29</v>
      </c>
      <c r="B126" s="694">
        <f>Ontario!N326</f>
        <v>859</v>
      </c>
      <c r="C126" s="631"/>
      <c r="D126" s="694">
        <f>F126*325900</f>
        <v>6886723.2599999998</v>
      </c>
      <c r="E126" s="631"/>
      <c r="F126" s="807">
        <f>0.0246*B126</f>
        <v>21.131399999999999</v>
      </c>
      <c r="G126" s="806"/>
      <c r="H126" s="336">
        <f>F126*20</f>
        <v>422.62799999999999</v>
      </c>
      <c r="I126" s="107">
        <v>0</v>
      </c>
      <c r="J126" s="96">
        <v>61299</v>
      </c>
      <c r="K126" s="96">
        <v>34140</v>
      </c>
      <c r="L126" s="108">
        <f t="shared" ref="L126:L137" si="40">K126+J126+I126</f>
        <v>95439</v>
      </c>
      <c r="M126" s="697">
        <f t="shared" ref="M126" si="41">IF(ISERROR(L126/(F126*744)),0,L126/(F126*744))</f>
        <v>6.070502939059959</v>
      </c>
      <c r="N126" s="698"/>
      <c r="O126" s="259"/>
      <c r="P126" s="259"/>
      <c r="Q126" s="259"/>
      <c r="R126" s="259"/>
      <c r="S126" s="259"/>
      <c r="T126" s="259"/>
      <c r="U126" s="259"/>
    </row>
    <row r="127" spans="1:21" s="255" customFormat="1" ht="13">
      <c r="A127" s="54" t="s">
        <v>33</v>
      </c>
      <c r="B127" s="694">
        <f>Ontario!N327</f>
        <v>101</v>
      </c>
      <c r="C127" s="631"/>
      <c r="D127" s="694">
        <f>F127*325900</f>
        <v>1135598.55</v>
      </c>
      <c r="E127" s="631"/>
      <c r="F127" s="807">
        <f>0.0345*B127</f>
        <v>3.4845000000000002</v>
      </c>
      <c r="G127" s="806"/>
      <c r="H127" s="336">
        <f>F127*14</f>
        <v>48.783000000000001</v>
      </c>
      <c r="I127" s="107">
        <f>0*B127</f>
        <v>0</v>
      </c>
      <c r="J127" s="96">
        <v>1040</v>
      </c>
      <c r="K127" s="96">
        <v>8500</v>
      </c>
      <c r="L127" s="108">
        <f t="shared" si="40"/>
        <v>9540</v>
      </c>
      <c r="M127" s="697">
        <f t="shared" ref="M127:M133" si="42">IF(ISERROR(L127/(F127*744)),0,L127/(F127*744))</f>
        <v>3.6798911307680555</v>
      </c>
      <c r="N127" s="698"/>
      <c r="O127" s="259"/>
      <c r="P127" s="259"/>
      <c r="Q127" s="259"/>
      <c r="R127" s="259"/>
      <c r="S127" s="259"/>
      <c r="T127" s="259"/>
      <c r="U127" s="259"/>
    </row>
    <row r="128" spans="1:21" s="255" customFormat="1" ht="13">
      <c r="A128" s="54" t="s">
        <v>56</v>
      </c>
      <c r="B128" s="694">
        <f>Ontario!N328</f>
        <v>30</v>
      </c>
      <c r="C128" s="631"/>
      <c r="D128" s="694">
        <f>F128*325851</f>
        <v>43012.332000000002</v>
      </c>
      <c r="E128" s="631"/>
      <c r="F128" s="695">
        <f>0.0044*B128</f>
        <v>0.13200000000000001</v>
      </c>
      <c r="G128" s="696"/>
      <c r="H128" s="418">
        <f>F128*5</f>
        <v>0.66</v>
      </c>
      <c r="I128" s="107">
        <f>0*B128</f>
        <v>0</v>
      </c>
      <c r="J128" s="96">
        <v>60</v>
      </c>
      <c r="K128" s="96">
        <v>60</v>
      </c>
      <c r="L128" s="108">
        <f t="shared" si="40"/>
        <v>120</v>
      </c>
      <c r="M128" s="697">
        <f t="shared" si="42"/>
        <v>1.2218963831867058</v>
      </c>
      <c r="N128" s="698"/>
      <c r="O128" s="259"/>
      <c r="P128" s="259"/>
      <c r="Q128" s="259"/>
      <c r="R128" s="259"/>
      <c r="S128" s="259"/>
      <c r="T128" s="259"/>
      <c r="U128" s="259"/>
    </row>
    <row r="129" spans="1:21" s="255" customFormat="1" ht="13">
      <c r="A129" s="54" t="s">
        <v>52</v>
      </c>
      <c r="B129" s="694">
        <f>Ontario!N329</f>
        <v>15</v>
      </c>
      <c r="C129" s="631"/>
      <c r="D129" s="694">
        <f>F129*325900</f>
        <v>202383.9</v>
      </c>
      <c r="E129" s="631"/>
      <c r="F129" s="720">
        <f>0.0414*B129</f>
        <v>0.621</v>
      </c>
      <c r="G129" s="721"/>
      <c r="H129" s="420">
        <f>F129*10</f>
        <v>6.21</v>
      </c>
      <c r="I129" s="107">
        <v>0</v>
      </c>
      <c r="J129" s="107">
        <v>220</v>
      </c>
      <c r="K129" s="107">
        <v>1400</v>
      </c>
      <c r="L129" s="108">
        <f t="shared" si="40"/>
        <v>1620</v>
      </c>
      <c r="M129" s="697">
        <f t="shared" si="42"/>
        <v>3.5063113604488079</v>
      </c>
      <c r="N129" s="698"/>
      <c r="O129" s="259"/>
      <c r="P129" s="259"/>
      <c r="Q129" s="259"/>
      <c r="R129" s="259"/>
      <c r="S129" s="259"/>
      <c r="T129" s="259"/>
      <c r="U129" s="259"/>
    </row>
    <row r="130" spans="1:21" s="255" customFormat="1" ht="13">
      <c r="A130" s="53" t="s">
        <v>183</v>
      </c>
      <c r="B130" s="694">
        <f>Ontario!N330</f>
        <v>5</v>
      </c>
      <c r="C130" s="631"/>
      <c r="D130" s="694">
        <f>F130*325900</f>
        <v>319065.87699999998</v>
      </c>
      <c r="E130" s="631"/>
      <c r="F130" s="720">
        <v>0.97902999999999996</v>
      </c>
      <c r="G130" s="721"/>
      <c r="H130" s="420">
        <f>F130*10</f>
        <v>9.7903000000000002</v>
      </c>
      <c r="I130" s="107">
        <v>0</v>
      </c>
      <c r="J130" s="107">
        <v>0</v>
      </c>
      <c r="K130" s="107">
        <v>15062</v>
      </c>
      <c r="L130" s="108">
        <f t="shared" si="40"/>
        <v>15062</v>
      </c>
      <c r="M130" s="697">
        <f t="shared" si="42"/>
        <v>20.678246484698096</v>
      </c>
      <c r="N130" s="698"/>
      <c r="O130" s="259"/>
      <c r="P130" s="259"/>
      <c r="Q130" s="259"/>
      <c r="R130" s="259"/>
      <c r="S130" s="259"/>
      <c r="T130" s="259"/>
      <c r="U130" s="259"/>
    </row>
    <row r="131" spans="1:21" s="255" customFormat="1" ht="13">
      <c r="A131" s="53" t="s">
        <v>147</v>
      </c>
      <c r="B131" s="694">
        <f>Ontario!N331</f>
        <v>196</v>
      </c>
      <c r="C131" s="631"/>
      <c r="D131" s="694">
        <f>F131*325900</f>
        <v>121365.16</v>
      </c>
      <c r="E131" s="631"/>
      <c r="F131" s="720">
        <f>0.0019*B131</f>
        <v>0.37240000000000001</v>
      </c>
      <c r="G131" s="721"/>
      <c r="H131" s="338">
        <f>F131*5</f>
        <v>1.8620000000000001</v>
      </c>
      <c r="I131" s="107">
        <v>0</v>
      </c>
      <c r="J131" s="107">
        <v>0</v>
      </c>
      <c r="K131" s="107">
        <v>14520</v>
      </c>
      <c r="L131" s="108">
        <f t="shared" si="40"/>
        <v>14520</v>
      </c>
      <c r="M131" s="697">
        <f t="shared" si="42"/>
        <v>52.406361525934649</v>
      </c>
      <c r="N131" s="698"/>
      <c r="O131" s="259"/>
      <c r="P131" s="259"/>
      <c r="Q131" s="259"/>
      <c r="R131" s="259"/>
      <c r="S131" s="259"/>
      <c r="T131" s="259"/>
      <c r="U131" s="259"/>
    </row>
    <row r="132" spans="1:21" s="255" customFormat="1" ht="13">
      <c r="A132" s="53" t="s">
        <v>187</v>
      </c>
      <c r="B132" s="694">
        <f>Ontario!N332</f>
        <v>0</v>
      </c>
      <c r="C132" s="631"/>
      <c r="D132" s="694">
        <f>F132*325900</f>
        <v>0</v>
      </c>
      <c r="E132" s="631"/>
      <c r="F132" s="733">
        <v>0</v>
      </c>
      <c r="G132" s="734"/>
      <c r="H132" s="417">
        <v>0</v>
      </c>
      <c r="I132" s="107">
        <v>0</v>
      </c>
      <c r="J132" s="107">
        <v>0</v>
      </c>
      <c r="K132" s="107">
        <v>0</v>
      </c>
      <c r="L132" s="108">
        <f t="shared" si="40"/>
        <v>0</v>
      </c>
      <c r="M132" s="697">
        <f t="shared" si="42"/>
        <v>0</v>
      </c>
      <c r="N132" s="698"/>
      <c r="O132" s="259"/>
      <c r="P132" s="259"/>
      <c r="Q132" s="259"/>
      <c r="R132" s="259"/>
      <c r="S132" s="259"/>
      <c r="T132" s="259"/>
      <c r="U132" s="259"/>
    </row>
    <row r="133" spans="1:21" s="255" customFormat="1" ht="14" thickBot="1">
      <c r="A133" s="53" t="s">
        <v>166</v>
      </c>
      <c r="B133" s="694">
        <f>Ontario!N333</f>
        <v>0</v>
      </c>
      <c r="C133" s="631"/>
      <c r="D133" s="694">
        <f>F133*0.0095</f>
        <v>0</v>
      </c>
      <c r="E133" s="631"/>
      <c r="F133" s="733">
        <f>0.0414*B133</f>
        <v>0</v>
      </c>
      <c r="G133" s="734"/>
      <c r="H133" s="337">
        <f>F133*10</f>
        <v>0</v>
      </c>
      <c r="I133" s="107">
        <v>0</v>
      </c>
      <c r="J133" s="107">
        <v>0</v>
      </c>
      <c r="K133" s="107">
        <v>0</v>
      </c>
      <c r="L133" s="108">
        <f t="shared" si="40"/>
        <v>0</v>
      </c>
      <c r="M133" s="697">
        <f t="shared" si="42"/>
        <v>0</v>
      </c>
      <c r="N133" s="698"/>
      <c r="O133" s="259"/>
      <c r="P133" s="259"/>
      <c r="Q133" s="259"/>
      <c r="R133" s="259"/>
      <c r="S133" s="259"/>
      <c r="T133" s="259"/>
      <c r="U133" s="259"/>
    </row>
    <row r="134" spans="1:21" s="530" customFormat="1" ht="17" thickBot="1">
      <c r="A134" s="73" t="s">
        <v>130</v>
      </c>
      <c r="B134" s="662"/>
      <c r="C134" s="663"/>
      <c r="D134" s="663"/>
      <c r="E134" s="663"/>
      <c r="F134" s="687"/>
      <c r="G134" s="687"/>
      <c r="H134" s="529"/>
      <c r="I134" s="117"/>
      <c r="J134" s="117"/>
      <c r="K134" s="831"/>
      <c r="L134" s="831"/>
      <c r="M134" s="831"/>
      <c r="N134" s="816"/>
      <c r="O134" s="135"/>
      <c r="P134" s="135"/>
      <c r="Q134" s="135"/>
      <c r="R134" s="135"/>
      <c r="S134" s="135"/>
      <c r="T134" s="135"/>
      <c r="U134" s="135"/>
    </row>
    <row r="135" spans="1:21" s="255" customFormat="1" ht="13">
      <c r="A135" s="53" t="s">
        <v>141</v>
      </c>
      <c r="B135" s="694">
        <f>Ontario!N335</f>
        <v>427</v>
      </c>
      <c r="C135" s="631"/>
      <c r="D135" s="650">
        <f>F135*325900</f>
        <v>612300.92000000004</v>
      </c>
      <c r="E135" s="651"/>
      <c r="F135" s="733">
        <f>B135*0.0044</f>
        <v>1.8788</v>
      </c>
      <c r="G135" s="734"/>
      <c r="H135" s="420">
        <f>F135*5</f>
        <v>9.3940000000000001</v>
      </c>
      <c r="I135" s="107">
        <v>0</v>
      </c>
      <c r="J135" s="107">
        <v>683.2</v>
      </c>
      <c r="K135" s="107">
        <v>854</v>
      </c>
      <c r="L135" s="108">
        <f t="shared" si="40"/>
        <v>1537.2</v>
      </c>
      <c r="M135" s="697">
        <f t="shared" ref="M135" si="43">IF(ISERROR(L135/(F135*744)),0,L135/(F135*744))</f>
        <v>1.0997067448680353</v>
      </c>
      <c r="N135" s="698"/>
      <c r="O135" s="259"/>
      <c r="P135" s="259"/>
      <c r="Q135" s="259"/>
      <c r="R135" s="259"/>
      <c r="S135" s="259"/>
      <c r="T135" s="259"/>
      <c r="U135" s="259"/>
    </row>
    <row r="136" spans="1:21" s="255" customFormat="1" ht="13">
      <c r="A136" s="53" t="s">
        <v>191</v>
      </c>
      <c r="B136" s="694">
        <f>Ontario!N336</f>
        <v>11</v>
      </c>
      <c r="C136" s="631"/>
      <c r="D136" s="650">
        <f>F136*325900</f>
        <v>254593.08000000002</v>
      </c>
      <c r="E136" s="651"/>
      <c r="F136" s="720">
        <v>0.78120000000000001</v>
      </c>
      <c r="G136" s="721"/>
      <c r="H136" s="420">
        <v>7.218</v>
      </c>
      <c r="I136" s="107">
        <v>4717.75</v>
      </c>
      <c r="J136" s="107">
        <v>156.84</v>
      </c>
      <c r="K136" s="107">
        <v>4560.9399999999996</v>
      </c>
      <c r="L136" s="108">
        <f t="shared" si="40"/>
        <v>9435.5299999999988</v>
      </c>
      <c r="M136" s="697">
        <f t="shared" ref="M136:M138" si="44">IF(ISERROR(L136/(F136*744)),0,L136/(F136*744))</f>
        <v>16.234208881841553</v>
      </c>
      <c r="N136" s="698"/>
      <c r="O136" s="259"/>
      <c r="P136" s="259"/>
      <c r="Q136" s="259"/>
      <c r="R136" s="259"/>
      <c r="S136" s="259"/>
      <c r="T136" s="259"/>
      <c r="U136" s="259"/>
    </row>
    <row r="137" spans="1:21" s="255" customFormat="1" ht="13">
      <c r="A137" s="53" t="s">
        <v>192</v>
      </c>
      <c r="B137" s="694">
        <f>Ontario!N337</f>
        <v>21</v>
      </c>
      <c r="C137" s="631"/>
      <c r="D137" s="650">
        <f>F137*325900</f>
        <v>283337.45999999996</v>
      </c>
      <c r="E137" s="651"/>
      <c r="F137" s="720">
        <v>0.86939999999999995</v>
      </c>
      <c r="G137" s="721"/>
      <c r="H137" s="420">
        <f>F137*10</f>
        <v>8.6939999999999991</v>
      </c>
      <c r="I137" s="107">
        <v>0</v>
      </c>
      <c r="J137" s="107">
        <v>10030</v>
      </c>
      <c r="K137" s="107">
        <v>3065</v>
      </c>
      <c r="L137" s="108">
        <f t="shared" si="40"/>
        <v>13095</v>
      </c>
      <c r="M137" s="697">
        <f t="shared" si="44"/>
        <v>20.244773926400857</v>
      </c>
      <c r="N137" s="698"/>
      <c r="O137" s="259"/>
      <c r="P137" s="259"/>
      <c r="Q137" s="259"/>
      <c r="R137" s="259"/>
      <c r="S137" s="259"/>
      <c r="T137" s="259"/>
      <c r="U137" s="259"/>
    </row>
    <row r="138" spans="1:21" s="255" customFormat="1" ht="14" thickBot="1">
      <c r="A138" s="53" t="s">
        <v>163</v>
      </c>
      <c r="B138" s="694">
        <f>Ontario!N338</f>
        <v>6</v>
      </c>
      <c r="C138" s="631"/>
      <c r="D138" s="650">
        <f>F138*325900</f>
        <v>145025.5</v>
      </c>
      <c r="E138" s="651"/>
      <c r="F138" s="749">
        <v>0.44500000000000001</v>
      </c>
      <c r="G138" s="750"/>
      <c r="H138" s="420">
        <v>4.45</v>
      </c>
      <c r="I138" s="107">
        <v>0</v>
      </c>
      <c r="J138" s="139">
        <v>1299.69</v>
      </c>
      <c r="K138" s="139">
        <v>950.31</v>
      </c>
      <c r="L138" s="108">
        <f>K138+J138+I138</f>
        <v>2250</v>
      </c>
      <c r="M138" s="697">
        <f t="shared" si="44"/>
        <v>6.7959405581732515</v>
      </c>
      <c r="N138" s="698"/>
      <c r="O138" s="259"/>
      <c r="P138" s="259"/>
      <c r="Q138" s="259"/>
      <c r="R138" s="259"/>
      <c r="S138" s="259"/>
      <c r="T138" s="259"/>
      <c r="U138" s="259"/>
    </row>
    <row r="139" spans="1:21" s="274" customFormat="1" ht="17" thickBot="1">
      <c r="A139" s="40" t="s">
        <v>60</v>
      </c>
      <c r="B139" s="645">
        <f>SUM(B126:C138)</f>
        <v>1671</v>
      </c>
      <c r="C139" s="643"/>
      <c r="D139" s="645">
        <f>SUM(D126:E138)</f>
        <v>10003406.039000001</v>
      </c>
      <c r="E139" s="643"/>
      <c r="F139" s="855">
        <f>SUM(F126:G138)</f>
        <v>30.69473</v>
      </c>
      <c r="G139" s="842"/>
      <c r="H139" s="350">
        <f>SUM(H124:H138)</f>
        <v>519.68930000000012</v>
      </c>
      <c r="I139" s="398">
        <f>SUM(I126:I138)</f>
        <v>4717.75</v>
      </c>
      <c r="J139" s="398">
        <f t="shared" ref="J139" si="45">SUM(J126:J138)</f>
        <v>74788.73</v>
      </c>
      <c r="K139" s="398">
        <f>SUM(K126:K138)</f>
        <v>83112.25</v>
      </c>
      <c r="L139" s="398">
        <f>SUM(L126:L138)</f>
        <v>162618.73000000001</v>
      </c>
      <c r="M139" s="856"/>
      <c r="N139" s="857"/>
      <c r="O139" s="613"/>
      <c r="P139" s="613"/>
      <c r="Q139" s="613"/>
      <c r="R139" s="613"/>
      <c r="S139" s="613"/>
      <c r="T139" s="613"/>
      <c r="U139" s="613"/>
    </row>
    <row r="140" spans="1:21" s="530" customFormat="1" ht="17" thickBot="1">
      <c r="A140" s="71" t="s">
        <v>134</v>
      </c>
      <c r="B140" s="663"/>
      <c r="C140" s="663"/>
      <c r="D140" s="663"/>
      <c r="E140" s="663"/>
      <c r="F140" s="687"/>
      <c r="G140" s="687"/>
      <c r="H140" s="529"/>
      <c r="I140" s="444"/>
      <c r="J140" s="444"/>
      <c r="K140" s="444"/>
      <c r="L140" s="444"/>
      <c r="M140" s="831"/>
      <c r="N140" s="816"/>
      <c r="O140" s="135"/>
      <c r="P140" s="135"/>
      <c r="Q140" s="135"/>
      <c r="R140" s="135"/>
      <c r="S140" s="135"/>
      <c r="T140" s="135"/>
      <c r="U140" s="135"/>
    </row>
    <row r="141" spans="1:21" s="255" customFormat="1" ht="13">
      <c r="A141" s="54" t="s">
        <v>29</v>
      </c>
      <c r="B141" s="694">
        <f>Ontario!N341</f>
        <v>355</v>
      </c>
      <c r="C141" s="631"/>
      <c r="D141" s="694">
        <f>F141*325900</f>
        <v>2846084.7</v>
      </c>
      <c r="E141" s="631"/>
      <c r="F141" s="807">
        <f>0.0246*B141</f>
        <v>8.7330000000000005</v>
      </c>
      <c r="G141" s="806"/>
      <c r="H141" s="336">
        <f>F141*20</f>
        <v>174.66000000000003</v>
      </c>
      <c r="I141" s="107">
        <v>0</v>
      </c>
      <c r="J141" s="107">
        <v>20030</v>
      </c>
      <c r="K141" s="139">
        <v>40870</v>
      </c>
      <c r="L141" s="108">
        <f>K141+J141+I141</f>
        <v>60900</v>
      </c>
      <c r="M141" s="697">
        <f t="shared" ref="M141" si="46">IF(ISERROR(L141/(F141*744)),0,L141/(F141*744))</f>
        <v>9.3730492052762404</v>
      </c>
      <c r="N141" s="698"/>
      <c r="O141" s="259"/>
      <c r="P141" s="259"/>
      <c r="Q141" s="259"/>
      <c r="R141" s="259"/>
      <c r="S141" s="259"/>
      <c r="T141" s="259"/>
      <c r="U141" s="259"/>
    </row>
    <row r="142" spans="1:21" s="255" customFormat="1" ht="13">
      <c r="A142" s="54" t="s">
        <v>51</v>
      </c>
      <c r="B142" s="694">
        <f>Ontario!N342</f>
        <v>0</v>
      </c>
      <c r="C142" s="631"/>
      <c r="D142" s="694">
        <f>F142*325900</f>
        <v>0</v>
      </c>
      <c r="E142" s="631"/>
      <c r="F142" s="807">
        <f>0.1227*B142</f>
        <v>0</v>
      </c>
      <c r="G142" s="806"/>
      <c r="H142" s="336">
        <f>F142*20</f>
        <v>0</v>
      </c>
      <c r="I142" s="107">
        <v>0</v>
      </c>
      <c r="J142" s="107">
        <v>0</v>
      </c>
      <c r="K142" s="139">
        <v>0</v>
      </c>
      <c r="L142" s="108">
        <f t="shared" ref="L142:L152" si="47">K142+J142+I142</f>
        <v>0</v>
      </c>
      <c r="M142" s="697">
        <f t="shared" ref="M142:M152" si="48">IF(ISERROR(L142/(F142*744)),0,L142/(F142*744))</f>
        <v>0</v>
      </c>
      <c r="N142" s="698"/>
      <c r="O142" s="259"/>
      <c r="P142" s="259"/>
      <c r="Q142" s="259"/>
      <c r="R142" s="259"/>
      <c r="S142" s="259"/>
      <c r="T142" s="259"/>
      <c r="U142" s="259"/>
    </row>
    <row r="143" spans="1:21" s="255" customFormat="1" ht="13">
      <c r="A143" s="54" t="s">
        <v>140</v>
      </c>
      <c r="B143" s="694">
        <f>Ontario!N343</f>
        <v>0</v>
      </c>
      <c r="C143" s="631"/>
      <c r="D143" s="694">
        <f>F143*325851</f>
        <v>0</v>
      </c>
      <c r="E143" s="631"/>
      <c r="F143" s="807">
        <f>0.644*B143</f>
        <v>0</v>
      </c>
      <c r="G143" s="806"/>
      <c r="H143" s="336">
        <f>F143*5</f>
        <v>0</v>
      </c>
      <c r="I143" s="107">
        <v>0</v>
      </c>
      <c r="J143" s="107">
        <v>0</v>
      </c>
      <c r="K143" s="107">
        <v>0</v>
      </c>
      <c r="L143" s="108">
        <f t="shared" si="47"/>
        <v>0</v>
      </c>
      <c r="M143" s="697">
        <f t="shared" si="48"/>
        <v>0</v>
      </c>
      <c r="N143" s="698"/>
      <c r="O143" s="259"/>
      <c r="P143" s="259"/>
      <c r="Q143" s="259"/>
      <c r="R143" s="259"/>
      <c r="S143" s="259"/>
      <c r="T143" s="259"/>
      <c r="U143" s="259"/>
    </row>
    <row r="144" spans="1:21" s="255" customFormat="1" ht="13">
      <c r="A144" s="53" t="s">
        <v>30</v>
      </c>
      <c r="B144" s="694">
        <f>Ontario!N344</f>
        <v>70</v>
      </c>
      <c r="C144" s="631"/>
      <c r="D144" s="694">
        <f t="shared" ref="D144:D152" si="49">F144*325900</f>
        <v>294287.7</v>
      </c>
      <c r="E144" s="631"/>
      <c r="F144" s="695">
        <f>0.0129*B144</f>
        <v>0.90300000000000002</v>
      </c>
      <c r="G144" s="696"/>
      <c r="H144" s="336">
        <f>F144*10</f>
        <v>9.0300000000000011</v>
      </c>
      <c r="I144" s="107">
        <v>0</v>
      </c>
      <c r="J144" s="107">
        <v>19065</v>
      </c>
      <c r="K144" s="107">
        <v>81138.06</v>
      </c>
      <c r="L144" s="108">
        <f t="shared" si="47"/>
        <v>100203.06</v>
      </c>
      <c r="M144" s="697">
        <f t="shared" si="48"/>
        <v>149.14898367449004</v>
      </c>
      <c r="N144" s="698"/>
      <c r="O144" s="259"/>
      <c r="P144" s="259"/>
      <c r="Q144" s="259"/>
      <c r="R144" s="259"/>
      <c r="S144" s="259"/>
      <c r="T144" s="259"/>
      <c r="U144" s="259"/>
    </row>
    <row r="145" spans="1:21" s="255" customFormat="1" ht="13">
      <c r="A145" s="53" t="s">
        <v>56</v>
      </c>
      <c r="B145" s="694">
        <f>Ontario!N345</f>
        <v>0</v>
      </c>
      <c r="C145" s="631"/>
      <c r="D145" s="694">
        <f t="shared" si="49"/>
        <v>0</v>
      </c>
      <c r="E145" s="631"/>
      <c r="F145" s="807">
        <f>0.0044*B145</f>
        <v>0</v>
      </c>
      <c r="G145" s="806"/>
      <c r="H145" s="336">
        <f>F145*5</f>
        <v>0</v>
      </c>
      <c r="I145" s="107">
        <v>0</v>
      </c>
      <c r="J145" s="107">
        <v>0</v>
      </c>
      <c r="K145" s="107">
        <v>0</v>
      </c>
      <c r="L145" s="108">
        <f t="shared" si="47"/>
        <v>0</v>
      </c>
      <c r="M145" s="697">
        <f t="shared" si="48"/>
        <v>0</v>
      </c>
      <c r="N145" s="698"/>
      <c r="O145" s="259"/>
      <c r="P145" s="259"/>
      <c r="Q145" s="259"/>
      <c r="R145" s="259"/>
      <c r="S145" s="259"/>
      <c r="T145" s="259"/>
      <c r="U145" s="259"/>
    </row>
    <row r="146" spans="1:21" s="255" customFormat="1" ht="13">
      <c r="A146" s="53" t="s">
        <v>89</v>
      </c>
      <c r="B146" s="694">
        <f>Ontario!N346</f>
        <v>0</v>
      </c>
      <c r="C146" s="631"/>
      <c r="D146" s="694">
        <f t="shared" si="49"/>
        <v>0</v>
      </c>
      <c r="E146" s="631"/>
      <c r="F146" s="807">
        <f>0.018*B146</f>
        <v>0</v>
      </c>
      <c r="G146" s="806"/>
      <c r="H146" s="336">
        <f>F146*10</f>
        <v>0</v>
      </c>
      <c r="I146" s="107">
        <v>0</v>
      </c>
      <c r="J146" s="107">
        <v>0</v>
      </c>
      <c r="K146" s="107">
        <v>0</v>
      </c>
      <c r="L146" s="108">
        <f t="shared" si="47"/>
        <v>0</v>
      </c>
      <c r="M146" s="697">
        <f t="shared" si="48"/>
        <v>0</v>
      </c>
      <c r="N146" s="698"/>
      <c r="O146" s="259"/>
      <c r="P146" s="259"/>
      <c r="Q146" s="259"/>
      <c r="R146" s="259"/>
      <c r="S146" s="259"/>
      <c r="T146" s="259"/>
      <c r="U146" s="259"/>
    </row>
    <row r="147" spans="1:21" s="255" customFormat="1" ht="13">
      <c r="A147" s="53" t="s">
        <v>124</v>
      </c>
      <c r="B147" s="694">
        <f>Ontario!N347</f>
        <v>0</v>
      </c>
      <c r="C147" s="631"/>
      <c r="D147" s="650">
        <f t="shared" si="49"/>
        <v>0</v>
      </c>
      <c r="E147" s="651"/>
      <c r="F147" s="733">
        <f>0.0129*B147</f>
        <v>0</v>
      </c>
      <c r="G147" s="734"/>
      <c r="H147" s="416">
        <f>F147*10</f>
        <v>0</v>
      </c>
      <c r="I147" s="107">
        <v>0</v>
      </c>
      <c r="J147" s="107">
        <v>0</v>
      </c>
      <c r="K147" s="107">
        <v>0</v>
      </c>
      <c r="L147" s="108">
        <f t="shared" si="47"/>
        <v>0</v>
      </c>
      <c r="M147" s="697">
        <f t="shared" si="48"/>
        <v>0</v>
      </c>
      <c r="N147" s="698"/>
      <c r="O147" s="259"/>
      <c r="P147" s="259"/>
      <c r="Q147" s="259"/>
      <c r="R147" s="259"/>
      <c r="S147" s="259"/>
      <c r="T147" s="259"/>
      <c r="U147" s="259"/>
    </row>
    <row r="148" spans="1:21" s="266" customFormat="1" ht="13">
      <c r="A148" s="53" t="s">
        <v>127</v>
      </c>
      <c r="B148" s="694">
        <f>Ontario!N348</f>
        <v>0</v>
      </c>
      <c r="C148" s="631"/>
      <c r="D148" s="650">
        <f t="shared" si="49"/>
        <v>0</v>
      </c>
      <c r="E148" s="651"/>
      <c r="F148" s="733">
        <f>B148*0.023</f>
        <v>0</v>
      </c>
      <c r="G148" s="734"/>
      <c r="H148" s="416">
        <f>F148*5</f>
        <v>0</v>
      </c>
      <c r="I148" s="107">
        <v>0</v>
      </c>
      <c r="J148" s="107">
        <v>0</v>
      </c>
      <c r="K148" s="139">
        <v>0</v>
      </c>
      <c r="L148" s="108">
        <f t="shared" si="47"/>
        <v>0</v>
      </c>
      <c r="M148" s="697">
        <f t="shared" si="48"/>
        <v>0</v>
      </c>
      <c r="N148" s="698"/>
      <c r="O148" s="259"/>
      <c r="P148" s="259"/>
      <c r="Q148" s="259"/>
      <c r="R148" s="259"/>
      <c r="S148" s="259"/>
      <c r="T148" s="259"/>
      <c r="U148" s="259"/>
    </row>
    <row r="149" spans="1:21" s="266" customFormat="1" ht="13">
      <c r="A149" s="53" t="s">
        <v>128</v>
      </c>
      <c r="B149" s="694">
        <f>Ontario!N349</f>
        <v>0</v>
      </c>
      <c r="C149" s="631"/>
      <c r="D149" s="650">
        <f t="shared" si="49"/>
        <v>0</v>
      </c>
      <c r="E149" s="651"/>
      <c r="F149" s="733">
        <f>0.154*B149</f>
        <v>0</v>
      </c>
      <c r="G149" s="734"/>
      <c r="H149" s="416">
        <f>F149*10</f>
        <v>0</v>
      </c>
      <c r="I149" s="107">
        <v>0</v>
      </c>
      <c r="J149" s="107">
        <v>0</v>
      </c>
      <c r="K149" s="139">
        <v>0</v>
      </c>
      <c r="L149" s="108">
        <f t="shared" si="47"/>
        <v>0</v>
      </c>
      <c r="M149" s="697">
        <f t="shared" si="48"/>
        <v>0</v>
      </c>
      <c r="N149" s="698"/>
      <c r="O149" s="259"/>
      <c r="P149" s="259"/>
      <c r="Q149" s="259"/>
      <c r="R149" s="259"/>
      <c r="S149" s="259"/>
      <c r="T149" s="259"/>
      <c r="U149" s="259"/>
    </row>
    <row r="150" spans="1:21" s="266" customFormat="1" ht="13">
      <c r="A150" s="53" t="s">
        <v>190</v>
      </c>
      <c r="B150" s="694">
        <f>Ontario!N350</f>
        <v>4</v>
      </c>
      <c r="C150" s="631"/>
      <c r="D150" s="650">
        <f t="shared" si="49"/>
        <v>11969567.207</v>
      </c>
      <c r="E150" s="651"/>
      <c r="F150" s="733">
        <v>36.727730000000001</v>
      </c>
      <c r="G150" s="734"/>
      <c r="H150" s="420">
        <f>F150*10</f>
        <v>367.27730000000003</v>
      </c>
      <c r="I150" s="107">
        <v>0</v>
      </c>
      <c r="J150" s="107">
        <v>0</v>
      </c>
      <c r="K150" s="139">
        <v>345882.84</v>
      </c>
      <c r="L150" s="108">
        <f>K150+J150+I150</f>
        <v>345882.84</v>
      </c>
      <c r="M150" s="697">
        <f t="shared" si="48"/>
        <v>12.657909713521109</v>
      </c>
      <c r="N150" s="698"/>
      <c r="O150" s="259"/>
      <c r="P150" s="259"/>
      <c r="Q150" s="259"/>
      <c r="R150" s="259"/>
      <c r="S150" s="259"/>
      <c r="T150" s="259"/>
      <c r="U150" s="259"/>
    </row>
    <row r="151" spans="1:21" s="266" customFormat="1" ht="13">
      <c r="A151" s="53" t="s">
        <v>166</v>
      </c>
      <c r="B151" s="694">
        <f>Ontario!N351</f>
        <v>0</v>
      </c>
      <c r="C151" s="631"/>
      <c r="D151" s="650">
        <f t="shared" si="49"/>
        <v>0</v>
      </c>
      <c r="E151" s="651"/>
      <c r="F151" s="733">
        <f>B151*0.0129</f>
        <v>0</v>
      </c>
      <c r="G151" s="734"/>
      <c r="H151" s="416">
        <v>0</v>
      </c>
      <c r="I151" s="107">
        <v>0</v>
      </c>
      <c r="J151" s="107">
        <v>0</v>
      </c>
      <c r="K151" s="139">
        <v>0</v>
      </c>
      <c r="L151" s="108">
        <f t="shared" si="47"/>
        <v>0</v>
      </c>
      <c r="M151" s="697">
        <f t="shared" si="48"/>
        <v>0</v>
      </c>
      <c r="N151" s="698"/>
      <c r="O151" s="259"/>
      <c r="P151" s="259"/>
      <c r="Q151" s="259"/>
      <c r="R151" s="259"/>
      <c r="S151" s="259"/>
      <c r="T151" s="259"/>
      <c r="U151" s="259"/>
    </row>
    <row r="152" spans="1:21" s="266" customFormat="1" ht="14" thickBot="1">
      <c r="A152" s="68" t="s">
        <v>165</v>
      </c>
      <c r="B152" s="694">
        <f>Ontario!N352</f>
        <v>0</v>
      </c>
      <c r="C152" s="631"/>
      <c r="D152" s="650">
        <f t="shared" si="49"/>
        <v>0</v>
      </c>
      <c r="E152" s="651"/>
      <c r="F152" s="733">
        <f>(B152*0.0084)/2</f>
        <v>0</v>
      </c>
      <c r="G152" s="734"/>
      <c r="H152" s="416">
        <f>F152*10</f>
        <v>0</v>
      </c>
      <c r="I152" s="107">
        <v>0</v>
      </c>
      <c r="J152" s="107">
        <v>0</v>
      </c>
      <c r="K152" s="139">
        <v>0</v>
      </c>
      <c r="L152" s="108">
        <f t="shared" si="47"/>
        <v>0</v>
      </c>
      <c r="M152" s="697">
        <f t="shared" si="48"/>
        <v>0</v>
      </c>
      <c r="N152" s="698"/>
      <c r="O152" s="259"/>
      <c r="P152" s="607"/>
      <c r="Q152" s="259"/>
      <c r="R152" s="259"/>
      <c r="S152" s="259"/>
      <c r="T152" s="259"/>
      <c r="U152" s="259"/>
    </row>
    <row r="153" spans="1:21" s="530" customFormat="1" ht="17" thickBot="1">
      <c r="A153" s="71" t="s">
        <v>132</v>
      </c>
      <c r="B153" s="663"/>
      <c r="C153" s="663"/>
      <c r="D153" s="663"/>
      <c r="E153" s="663"/>
      <c r="F153" s="687"/>
      <c r="G153" s="687"/>
      <c r="H153" s="529"/>
      <c r="I153" s="444"/>
      <c r="J153" s="444"/>
      <c r="K153" s="444"/>
      <c r="L153" s="444"/>
      <c r="M153" s="831"/>
      <c r="N153" s="816"/>
      <c r="O153" s="135"/>
      <c r="P153" s="135"/>
      <c r="Q153" s="135"/>
      <c r="R153" s="135"/>
      <c r="S153" s="135"/>
      <c r="T153" s="135"/>
      <c r="U153" s="135"/>
    </row>
    <row r="154" spans="1:21" s="255" customFormat="1" ht="14" thickBot="1">
      <c r="A154" s="53" t="s">
        <v>113</v>
      </c>
      <c r="B154" s="694">
        <f>Ontario!N354</f>
        <v>0</v>
      </c>
      <c r="C154" s="631"/>
      <c r="D154" s="812">
        <f>F154*325900</f>
        <v>0</v>
      </c>
      <c r="E154" s="748"/>
      <c r="F154" s="858">
        <f>0.004*B154</f>
        <v>0</v>
      </c>
      <c r="G154" s="859"/>
      <c r="H154" s="336">
        <f>F154*5</f>
        <v>0</v>
      </c>
      <c r="I154" s="120">
        <v>0</v>
      </c>
      <c r="J154" s="121">
        <v>0</v>
      </c>
      <c r="K154" s="121">
        <f>(B154*2)</f>
        <v>0</v>
      </c>
      <c r="L154" s="267">
        <f>J154+K154</f>
        <v>0</v>
      </c>
      <c r="M154" s="697">
        <f t="shared" ref="M154" si="50">IF(ISERROR(L154/(F154*744)),0,L154/(F154*744))</f>
        <v>0</v>
      </c>
      <c r="N154" s="698"/>
      <c r="O154" s="259"/>
      <c r="P154" s="259"/>
      <c r="Q154" s="259"/>
      <c r="R154" s="259"/>
      <c r="S154" s="259"/>
      <c r="T154" s="259"/>
      <c r="U154" s="259"/>
    </row>
    <row r="155" spans="1:21" s="275" customFormat="1" ht="14" thickBot="1">
      <c r="A155" s="40" t="s">
        <v>60</v>
      </c>
      <c r="B155" s="645">
        <f>SUM(B141:C154)</f>
        <v>429</v>
      </c>
      <c r="C155" s="643"/>
      <c r="D155" s="645">
        <f>SUM(D141:E154)</f>
        <v>15109939.607000001</v>
      </c>
      <c r="E155" s="643"/>
      <c r="F155" s="726">
        <f>SUM(F141:G154)</f>
        <v>46.363730000000004</v>
      </c>
      <c r="G155" s="707"/>
      <c r="H155" s="43">
        <f>SUM(H141:H154)</f>
        <v>550.96730000000002</v>
      </c>
      <c r="I155" s="93">
        <f>SUM(I141:I154)</f>
        <v>0</v>
      </c>
      <c r="J155" s="93">
        <f>SUM(J141:J154)</f>
        <v>39095</v>
      </c>
      <c r="K155" s="93">
        <f>SUM(K141:K154)</f>
        <v>467890.9</v>
      </c>
      <c r="L155" s="93">
        <f>SUM(L141:L154)</f>
        <v>506985.9</v>
      </c>
      <c r="M155" s="646"/>
      <c r="N155" s="647"/>
      <c r="O155" s="276"/>
      <c r="P155" s="276"/>
      <c r="Q155" s="276"/>
      <c r="R155" s="276"/>
      <c r="S155" s="276"/>
      <c r="T155" s="276"/>
      <c r="U155" s="276"/>
    </row>
    <row r="156" spans="1:21" s="530" customFormat="1" ht="17" thickBot="1">
      <c r="A156" s="531" t="s">
        <v>17</v>
      </c>
      <c r="B156" s="621">
        <f>SUM(,B139,B155)</f>
        <v>2100</v>
      </c>
      <c r="C156" s="622"/>
      <c r="D156" s="623">
        <f>SUM(,D139,D155)</f>
        <v>25113345.646000002</v>
      </c>
      <c r="E156" s="622"/>
      <c r="F156" s="773">
        <f>SUM(,F139,F155)</f>
        <v>77.058459999999997</v>
      </c>
      <c r="G156" s="713"/>
      <c r="H156" s="532">
        <f>(H155+H139)</f>
        <v>1070.6566000000003</v>
      </c>
      <c r="I156" s="533">
        <f>SUM(,I139,I155)</f>
        <v>4717.75</v>
      </c>
      <c r="J156" s="533">
        <f>SUM(,J139,J155)</f>
        <v>113883.73</v>
      </c>
      <c r="K156" s="533">
        <f>SUM(,K139,K155)</f>
        <v>551003.15</v>
      </c>
      <c r="L156" s="533">
        <f>SUM(,L139,L155)</f>
        <v>669604.63</v>
      </c>
      <c r="M156" s="624"/>
      <c r="N156" s="625"/>
      <c r="O156" s="135"/>
      <c r="P156" s="135"/>
      <c r="Q156" s="135"/>
      <c r="R156" s="135"/>
      <c r="S156" s="135"/>
      <c r="T156" s="135"/>
      <c r="U156" s="135"/>
    </row>
    <row r="157" spans="1:21">
      <c r="A157" s="164"/>
      <c r="B157" s="169"/>
      <c r="C157" s="169"/>
      <c r="D157" s="169"/>
      <c r="E157" s="169"/>
      <c r="F157" s="224"/>
      <c r="G157" s="224"/>
      <c r="H157" s="224"/>
      <c r="I157" s="170"/>
      <c r="J157" s="170"/>
      <c r="K157" s="170"/>
      <c r="L157" s="170"/>
      <c r="M157" s="335"/>
      <c r="N157" s="335"/>
      <c r="R157" s="609"/>
    </row>
    <row r="158" spans="1:21" ht="18">
      <c r="A158" s="171" t="s">
        <v>167</v>
      </c>
      <c r="B158" s="765" t="s">
        <v>59</v>
      </c>
      <c r="C158" s="765"/>
      <c r="D158" s="765"/>
      <c r="E158" s="765"/>
      <c r="F158" s="224"/>
      <c r="G158" s="224"/>
      <c r="H158" s="224"/>
      <c r="I158" s="170"/>
      <c r="J158" s="170"/>
      <c r="K158" s="170"/>
      <c r="L158" s="170"/>
      <c r="M158" s="335"/>
      <c r="N158" s="335"/>
    </row>
    <row r="159" spans="1:21">
      <c r="B159" s="860" t="s">
        <v>19</v>
      </c>
      <c r="C159" s="860"/>
      <c r="D159" s="860"/>
      <c r="E159" s="860"/>
      <c r="F159" s="224"/>
      <c r="G159" s="224"/>
      <c r="H159" s="224"/>
      <c r="I159" s="170"/>
      <c r="J159" s="170"/>
      <c r="K159" s="170"/>
      <c r="L159" s="170"/>
      <c r="M159" s="335"/>
      <c r="N159" s="335"/>
    </row>
    <row r="160" spans="1:21" ht="17" thickBot="1">
      <c r="A160" s="393"/>
      <c r="B160" s="394"/>
      <c r="C160" s="394"/>
      <c r="D160" s="394"/>
      <c r="E160" s="394"/>
      <c r="F160" s="395"/>
      <c r="G160" s="395"/>
      <c r="H160" s="395"/>
      <c r="I160" s="396"/>
      <c r="J160" s="396"/>
      <c r="K160" s="396"/>
      <c r="L160" s="396"/>
      <c r="M160" s="397"/>
      <c r="N160" s="397"/>
      <c r="O160" s="609"/>
    </row>
    <row r="161" spans="1:21" ht="17" thickTop="1">
      <c r="A161" s="62"/>
      <c r="B161" s="66"/>
      <c r="C161" s="66"/>
      <c r="D161" s="66"/>
      <c r="E161" s="66"/>
      <c r="F161" s="238"/>
      <c r="G161" s="238"/>
      <c r="H161" s="238"/>
      <c r="I161" s="854" t="s">
        <v>0</v>
      </c>
      <c r="J161" s="854"/>
      <c r="K161" s="854"/>
      <c r="L161" s="854"/>
      <c r="M161" s="66"/>
      <c r="N161" s="240"/>
    </row>
    <row r="162" spans="1:21">
      <c r="A162" s="62"/>
      <c r="B162" s="671" t="s">
        <v>1</v>
      </c>
      <c r="C162" s="671"/>
      <c r="D162" s="671" t="s">
        <v>2</v>
      </c>
      <c r="E162" s="671"/>
      <c r="F162" s="672" t="s">
        <v>3</v>
      </c>
      <c r="G162" s="672"/>
      <c r="H162" s="207" t="s">
        <v>3</v>
      </c>
      <c r="I162" s="78" t="s">
        <v>135</v>
      </c>
      <c r="J162" s="66"/>
      <c r="K162" s="66"/>
      <c r="L162" s="79"/>
      <c r="M162" s="673" t="s">
        <v>4</v>
      </c>
      <c r="N162" s="674"/>
    </row>
    <row r="163" spans="1:21" ht="19" thickBot="1">
      <c r="A163" s="67" t="s">
        <v>5</v>
      </c>
      <c r="B163" s="675" t="s">
        <v>6</v>
      </c>
      <c r="C163" s="675"/>
      <c r="D163" s="675" t="s">
        <v>7</v>
      </c>
      <c r="E163" s="675"/>
      <c r="F163" s="676" t="s">
        <v>7</v>
      </c>
      <c r="G163" s="676"/>
      <c r="H163" s="208" t="s">
        <v>58</v>
      </c>
      <c r="I163" s="185" t="s">
        <v>136</v>
      </c>
      <c r="J163" s="184" t="s">
        <v>8</v>
      </c>
      <c r="K163" s="184" t="s">
        <v>9</v>
      </c>
      <c r="L163" s="187" t="s">
        <v>10</v>
      </c>
      <c r="M163" s="677" t="s">
        <v>103</v>
      </c>
      <c r="N163" s="678"/>
    </row>
    <row r="164" spans="1:21" ht="24" thickBot="1">
      <c r="A164" s="60" t="s">
        <v>162</v>
      </c>
      <c r="B164" s="823"/>
      <c r="C164" s="824"/>
      <c r="D164" s="825"/>
      <c r="E164" s="826"/>
      <c r="F164" s="827"/>
      <c r="G164" s="828"/>
      <c r="H164" s="401"/>
      <c r="I164" s="402"/>
      <c r="J164" s="402"/>
      <c r="K164" s="402"/>
      <c r="L164" s="331"/>
      <c r="M164" s="829"/>
      <c r="N164" s="830"/>
    </row>
    <row r="165" spans="1:21" s="530" customFormat="1" ht="17" thickBot="1">
      <c r="A165" s="73" t="s">
        <v>129</v>
      </c>
      <c r="B165" s="662"/>
      <c r="C165" s="663"/>
      <c r="D165" s="663"/>
      <c r="E165" s="663"/>
      <c r="F165" s="687"/>
      <c r="G165" s="687"/>
      <c r="H165" s="529"/>
      <c r="I165" s="521"/>
      <c r="J165" s="521"/>
      <c r="K165" s="521"/>
      <c r="L165" s="521"/>
      <c r="M165" s="688"/>
      <c r="N165" s="689"/>
      <c r="O165" s="135"/>
      <c r="P165" s="135"/>
      <c r="Q165" s="135"/>
      <c r="R165" s="135"/>
      <c r="S165" s="135"/>
      <c r="T165" s="135"/>
      <c r="U165" s="135"/>
    </row>
    <row r="166" spans="1:21" s="255" customFormat="1" ht="13">
      <c r="A166" s="132" t="s">
        <v>29</v>
      </c>
      <c r="B166" s="693">
        <f>Ontario!N292</f>
        <v>760</v>
      </c>
      <c r="C166" s="631"/>
      <c r="D166" s="694">
        <f>F166*325900</f>
        <v>10526570.000000002</v>
      </c>
      <c r="E166" s="631"/>
      <c r="F166" s="807">
        <f>0.0425*B166</f>
        <v>32.300000000000004</v>
      </c>
      <c r="G166" s="806"/>
      <c r="H166" s="234">
        <f>F166*20</f>
        <v>646.00000000000011</v>
      </c>
      <c r="I166" s="97">
        <v>0</v>
      </c>
      <c r="J166" s="96">
        <v>20702.09</v>
      </c>
      <c r="K166" s="96">
        <v>74804.41</v>
      </c>
      <c r="L166" s="106">
        <f t="shared" ref="L166:L172" si="51">I166+J166+K166</f>
        <v>95506.5</v>
      </c>
      <c r="M166" s="697">
        <f t="shared" ref="M166:M172" si="52">IF(ISERROR(L166/(F166*752)),0,L166/(F166*752))</f>
        <v>3.9319914696001579</v>
      </c>
      <c r="N166" s="698"/>
      <c r="O166" s="259"/>
      <c r="P166" s="259"/>
      <c r="Q166" s="259"/>
      <c r="R166" s="259"/>
      <c r="S166" s="259"/>
      <c r="T166" s="259"/>
      <c r="U166" s="259"/>
    </row>
    <row r="167" spans="1:21" s="255" customFormat="1" ht="13">
      <c r="A167" s="132" t="s">
        <v>33</v>
      </c>
      <c r="B167" s="693">
        <f>Ontario!N293</f>
        <v>146</v>
      </c>
      <c r="C167" s="631"/>
      <c r="D167" s="694">
        <f>F167*325900</f>
        <v>1641558.3000000003</v>
      </c>
      <c r="E167" s="631"/>
      <c r="F167" s="807">
        <f>0.0345*B167</f>
        <v>5.0370000000000008</v>
      </c>
      <c r="G167" s="806"/>
      <c r="H167" s="234">
        <f>F167*15</f>
        <v>75.555000000000007</v>
      </c>
      <c r="I167" s="96">
        <f>0*B167</f>
        <v>0</v>
      </c>
      <c r="J167" s="96">
        <v>1430</v>
      </c>
      <c r="K167" s="96">
        <v>12325</v>
      </c>
      <c r="L167" s="106">
        <f t="shared" si="51"/>
        <v>13755</v>
      </c>
      <c r="M167" s="697">
        <f t="shared" si="52"/>
        <v>3.631372524172189</v>
      </c>
      <c r="N167" s="698"/>
      <c r="O167" s="259"/>
      <c r="P167" s="259"/>
      <c r="Q167" s="259"/>
      <c r="R167" s="259"/>
      <c r="S167" s="259"/>
      <c r="T167" s="259"/>
      <c r="U167" s="259"/>
    </row>
    <row r="168" spans="1:21" s="255" customFormat="1" ht="13">
      <c r="A168" s="132" t="s">
        <v>56</v>
      </c>
      <c r="B168" s="693">
        <f>Ontario!N294</f>
        <v>0</v>
      </c>
      <c r="C168" s="631"/>
      <c r="D168" s="694">
        <f>F168*325851</f>
        <v>0</v>
      </c>
      <c r="E168" s="631"/>
      <c r="F168" s="807">
        <f>0.0044*B168</f>
        <v>0</v>
      </c>
      <c r="G168" s="806"/>
      <c r="H168" s="234">
        <f>F168*5</f>
        <v>0</v>
      </c>
      <c r="I168" s="96">
        <f>0*B168</f>
        <v>0</v>
      </c>
      <c r="J168" s="96">
        <f>1*B168</f>
        <v>0</v>
      </c>
      <c r="K168" s="96">
        <f>B168*4</f>
        <v>0</v>
      </c>
      <c r="L168" s="106">
        <f t="shared" si="51"/>
        <v>0</v>
      </c>
      <c r="M168" s="697">
        <f t="shared" si="52"/>
        <v>0</v>
      </c>
      <c r="N168" s="698"/>
      <c r="O168" s="259"/>
      <c r="P168" s="259"/>
      <c r="Q168" s="259"/>
      <c r="R168" s="259"/>
      <c r="S168" s="259"/>
      <c r="T168" s="259"/>
      <c r="U168" s="259"/>
    </row>
    <row r="169" spans="1:21" s="255" customFormat="1" ht="13">
      <c r="A169" s="132" t="s">
        <v>52</v>
      </c>
      <c r="B169" s="693">
        <f>Ontario!N295</f>
        <v>16</v>
      </c>
      <c r="C169" s="631"/>
      <c r="D169" s="694">
        <f>F169*325900</f>
        <v>1694680</v>
      </c>
      <c r="E169" s="631"/>
      <c r="F169" s="733">
        <f>0.325*B169</f>
        <v>5.2</v>
      </c>
      <c r="G169" s="734"/>
      <c r="H169" s="232">
        <f>F169*10</f>
        <v>52</v>
      </c>
      <c r="I169" s="97">
        <v>0</v>
      </c>
      <c r="J169" s="107">
        <v>250</v>
      </c>
      <c r="K169" s="107">
        <v>1259.5999999999999</v>
      </c>
      <c r="L169" s="108">
        <f t="shared" si="51"/>
        <v>1509.6</v>
      </c>
      <c r="M169" s="697">
        <f t="shared" si="52"/>
        <v>0.38604746317512273</v>
      </c>
      <c r="N169" s="698"/>
      <c r="O169" s="259"/>
      <c r="P169" s="259"/>
      <c r="Q169" s="259"/>
      <c r="R169" s="259"/>
      <c r="S169" s="259"/>
      <c r="T169" s="259"/>
      <c r="U169" s="259"/>
    </row>
    <row r="170" spans="1:21" s="255" customFormat="1" ht="13">
      <c r="A170" s="130" t="s">
        <v>173</v>
      </c>
      <c r="B170" s="693">
        <f>Ontario!N296</f>
        <v>65</v>
      </c>
      <c r="C170" s="631"/>
      <c r="D170" s="694">
        <f>F170*325900</f>
        <v>6122116.2339999992</v>
      </c>
      <c r="E170" s="631"/>
      <c r="F170" s="733">
        <f>(144502*0.00013)</f>
        <v>18.785259999999997</v>
      </c>
      <c r="G170" s="734"/>
      <c r="H170" s="232">
        <f>F170*10</f>
        <v>187.85259999999997</v>
      </c>
      <c r="I170" s="97">
        <v>0</v>
      </c>
      <c r="J170" s="107">
        <v>0</v>
      </c>
      <c r="K170" s="107">
        <v>286804</v>
      </c>
      <c r="L170" s="108">
        <f t="shared" si="51"/>
        <v>286804</v>
      </c>
      <c r="M170" s="697">
        <f t="shared" si="52"/>
        <v>20.302529636126437</v>
      </c>
      <c r="N170" s="698"/>
      <c r="O170" s="259"/>
      <c r="P170" s="259"/>
      <c r="Q170" s="259"/>
      <c r="R170" s="259"/>
      <c r="S170" s="259"/>
      <c r="T170" s="259"/>
      <c r="U170" s="259"/>
    </row>
    <row r="171" spans="1:21" s="255" customFormat="1" ht="13">
      <c r="A171" s="130" t="s">
        <v>147</v>
      </c>
      <c r="B171" s="693">
        <f>Ontario!N297</f>
        <v>15</v>
      </c>
      <c r="C171" s="631"/>
      <c r="D171" s="694">
        <f>F171*325900</f>
        <v>9288.15</v>
      </c>
      <c r="E171" s="631"/>
      <c r="F171" s="720">
        <f>0.0019*B171</f>
        <v>2.8500000000000001E-2</v>
      </c>
      <c r="G171" s="721"/>
      <c r="H171" s="329">
        <f>F171*5</f>
        <v>0.14250000000000002</v>
      </c>
      <c r="I171" s="97">
        <v>0</v>
      </c>
      <c r="J171" s="107">
        <f>0*B171</f>
        <v>0</v>
      </c>
      <c r="K171" s="107">
        <v>1114.99</v>
      </c>
      <c r="L171" s="108">
        <f t="shared" si="51"/>
        <v>1114.99</v>
      </c>
      <c r="M171" s="697">
        <f t="shared" si="52"/>
        <v>52.024542739828291</v>
      </c>
      <c r="N171" s="698"/>
      <c r="O171" s="259"/>
      <c r="P171" s="259"/>
      <c r="Q171" s="259"/>
      <c r="R171" s="259"/>
      <c r="S171" s="259"/>
      <c r="T171" s="259"/>
      <c r="U171" s="259"/>
    </row>
    <row r="172" spans="1:21" s="255" customFormat="1" ht="14" thickBot="1">
      <c r="A172" s="133" t="s">
        <v>166</v>
      </c>
      <c r="B172" s="693">
        <f>Ontario!N298</f>
        <v>0</v>
      </c>
      <c r="C172" s="631"/>
      <c r="D172" s="694">
        <f>F172*0.0095</f>
        <v>0</v>
      </c>
      <c r="E172" s="631"/>
      <c r="F172" s="733">
        <f>0.0414*B172</f>
        <v>0</v>
      </c>
      <c r="G172" s="734"/>
      <c r="H172" s="232">
        <f>F172*10</f>
        <v>0</v>
      </c>
      <c r="I172" s="97">
        <v>0</v>
      </c>
      <c r="J172" s="107">
        <f>0*B172</f>
        <v>0</v>
      </c>
      <c r="K172" s="107">
        <f>B172*75</f>
        <v>0</v>
      </c>
      <c r="L172" s="108">
        <f t="shared" si="51"/>
        <v>0</v>
      </c>
      <c r="M172" s="697">
        <f t="shared" si="52"/>
        <v>0</v>
      </c>
      <c r="N172" s="698"/>
      <c r="O172" s="259"/>
      <c r="P172" s="259"/>
      <c r="Q172" s="259"/>
      <c r="R172" s="259"/>
      <c r="S172" s="259"/>
      <c r="T172" s="259"/>
      <c r="U172" s="259"/>
    </row>
    <row r="173" spans="1:21" s="530" customFormat="1" ht="17" thickBot="1">
      <c r="A173" s="73" t="s">
        <v>130</v>
      </c>
      <c r="B173" s="662"/>
      <c r="C173" s="663"/>
      <c r="D173" s="663"/>
      <c r="E173" s="663"/>
      <c r="F173" s="687"/>
      <c r="G173" s="687"/>
      <c r="H173" s="529"/>
      <c r="I173" s="117"/>
      <c r="J173" s="117"/>
      <c r="K173" s="117"/>
      <c r="L173" s="117"/>
      <c r="M173" s="831"/>
      <c r="N173" s="816"/>
      <c r="O173" s="135"/>
      <c r="P173" s="135"/>
      <c r="Q173" s="135"/>
      <c r="R173" s="135"/>
      <c r="S173" s="135"/>
      <c r="T173" s="135"/>
      <c r="U173" s="135"/>
    </row>
    <row r="174" spans="1:21" s="255" customFormat="1" ht="13">
      <c r="A174" s="130" t="s">
        <v>141</v>
      </c>
      <c r="B174" s="693">
        <f>Ontario!N300</f>
        <v>729</v>
      </c>
      <c r="C174" s="631"/>
      <c r="D174" s="650">
        <f>F174*325900</f>
        <v>1045356.8400000001</v>
      </c>
      <c r="E174" s="651"/>
      <c r="F174" s="733">
        <f>B174*0.0044</f>
        <v>3.2076000000000002</v>
      </c>
      <c r="G174" s="734"/>
      <c r="H174" s="232">
        <f>F174*5</f>
        <v>16.038</v>
      </c>
      <c r="I174" s="97">
        <v>0</v>
      </c>
      <c r="J174" s="107">
        <f>(B174*1.6)</f>
        <v>1166.4000000000001</v>
      </c>
      <c r="K174" s="107">
        <f>(B174*2)</f>
        <v>1458</v>
      </c>
      <c r="L174" s="108">
        <f>I174+J174+K174</f>
        <v>2624.4</v>
      </c>
      <c r="M174" s="697">
        <f>IF(ISERROR(L174/(F174*752)),0,L174/(F174*752))</f>
        <v>1.0880077369439072</v>
      </c>
      <c r="N174" s="698"/>
      <c r="O174" s="259"/>
      <c r="P174" s="259"/>
      <c r="Q174" s="259"/>
      <c r="R174" s="259"/>
      <c r="S174" s="259"/>
      <c r="T174" s="259"/>
      <c r="U174" s="259"/>
    </row>
    <row r="175" spans="1:21" s="255" customFormat="1" ht="13">
      <c r="A175" s="130" t="s">
        <v>178</v>
      </c>
      <c r="B175" s="693">
        <f>Ontario!N301</f>
        <v>88</v>
      </c>
      <c r="C175" s="631"/>
      <c r="D175" s="650">
        <f>F175*325900</f>
        <v>14927067.34</v>
      </c>
      <c r="E175" s="651"/>
      <c r="F175" s="733">
        <v>45.802599999999998</v>
      </c>
      <c r="G175" s="734"/>
      <c r="H175" s="232">
        <v>435.38799999999998</v>
      </c>
      <c r="I175" s="107">
        <v>37647.33</v>
      </c>
      <c r="J175" s="107">
        <v>0</v>
      </c>
      <c r="K175" s="107">
        <v>37647.33</v>
      </c>
      <c r="L175" s="105">
        <f>I175+J175+K175</f>
        <v>75294.66</v>
      </c>
      <c r="M175" s="697">
        <f>IF(ISERROR(L175/(F175*752)),0,L175/(F175*752))</f>
        <v>2.1860304362541534</v>
      </c>
      <c r="N175" s="698"/>
      <c r="O175" s="259"/>
      <c r="P175" s="259"/>
      <c r="Q175" s="259"/>
      <c r="R175" s="259"/>
      <c r="S175" s="259"/>
      <c r="T175" s="259"/>
      <c r="U175" s="259"/>
    </row>
    <row r="176" spans="1:21" s="255" customFormat="1" ht="13">
      <c r="A176" s="130" t="s">
        <v>174</v>
      </c>
      <c r="B176" s="693">
        <f>Ontario!N302</f>
        <v>7</v>
      </c>
      <c r="C176" s="631"/>
      <c r="D176" s="650">
        <f>F176*325900</f>
        <v>305694.19999999995</v>
      </c>
      <c r="E176" s="651"/>
      <c r="F176" s="733">
        <f>(6700*0.00014)</f>
        <v>0.93799999999999994</v>
      </c>
      <c r="G176" s="734"/>
      <c r="H176" s="232">
        <f>F176*10</f>
        <v>9.379999999999999</v>
      </c>
      <c r="I176" s="107">
        <v>2010</v>
      </c>
      <c r="J176" s="107">
        <v>20150</v>
      </c>
      <c r="K176" s="107">
        <v>0</v>
      </c>
      <c r="L176" s="105">
        <f>I176+J176+K176</f>
        <v>22160</v>
      </c>
      <c r="M176" s="697">
        <f>IF(ISERROR(L176/(F176*752)),0,L176/(F176*752))</f>
        <v>31.415868983350723</v>
      </c>
      <c r="N176" s="698"/>
      <c r="O176" s="259"/>
      <c r="P176" s="259"/>
      <c r="Q176" s="259"/>
      <c r="R176" s="259"/>
      <c r="S176" s="259"/>
      <c r="T176" s="259"/>
      <c r="U176" s="259"/>
    </row>
    <row r="177" spans="1:21" s="255" customFormat="1" ht="14" thickBot="1">
      <c r="A177" s="130" t="s">
        <v>163</v>
      </c>
      <c r="B177" s="693">
        <f>Ontario!N303</f>
        <v>0</v>
      </c>
      <c r="C177" s="631"/>
      <c r="D177" s="650">
        <f>F177*325900</f>
        <v>0</v>
      </c>
      <c r="E177" s="651"/>
      <c r="F177" s="722">
        <v>0</v>
      </c>
      <c r="G177" s="723"/>
      <c r="H177" s="232">
        <v>0</v>
      </c>
      <c r="I177" s="107">
        <v>0</v>
      </c>
      <c r="J177" s="139">
        <v>0</v>
      </c>
      <c r="K177" s="125">
        <v>0</v>
      </c>
      <c r="L177" s="105">
        <f>I177+J177+K177</f>
        <v>0</v>
      </c>
      <c r="M177" s="697">
        <f>IF(ISERROR(L177/(F177*752)),0,L177/(F177*752))</f>
        <v>0</v>
      </c>
      <c r="N177" s="698"/>
      <c r="O177" s="259"/>
      <c r="P177" s="259"/>
      <c r="Q177" s="259"/>
      <c r="R177" s="259"/>
      <c r="S177" s="259"/>
      <c r="T177" s="259"/>
      <c r="U177" s="259"/>
    </row>
    <row r="178" spans="1:21" s="274" customFormat="1" ht="17" thickBot="1">
      <c r="A178" s="131" t="s">
        <v>60</v>
      </c>
      <c r="B178" s="839">
        <f>SUM(B166:B177)</f>
        <v>1826</v>
      </c>
      <c r="C178" s="658"/>
      <c r="D178" s="657">
        <f>SUM(D166:E177)</f>
        <v>36272331.064000003</v>
      </c>
      <c r="E178" s="657"/>
      <c r="F178" s="855">
        <f>SUM(F166:G177)</f>
        <v>111.29896000000001</v>
      </c>
      <c r="G178" s="842"/>
      <c r="H178" s="368">
        <f>SUM(H164:H177)</f>
        <v>1422.3561000000002</v>
      </c>
      <c r="I178" s="398">
        <f>SUM(I166:I177)</f>
        <v>39657.33</v>
      </c>
      <c r="J178" s="398">
        <f>SUM(J166:J177)</f>
        <v>43698.490000000005</v>
      </c>
      <c r="K178" s="398">
        <f>SUM(K166:K177)</f>
        <v>415413.33</v>
      </c>
      <c r="L178" s="400">
        <f>SUM(L166:L177)</f>
        <v>498769.15</v>
      </c>
      <c r="M178" s="856"/>
      <c r="N178" s="857"/>
      <c r="O178" s="613"/>
      <c r="P178" s="613"/>
      <c r="Q178" s="613"/>
      <c r="R178" s="613"/>
      <c r="S178" s="613"/>
      <c r="T178" s="613"/>
      <c r="U178" s="613"/>
    </row>
    <row r="179" spans="1:21" s="530" customFormat="1" ht="17" thickBot="1">
      <c r="A179" s="73" t="s">
        <v>134</v>
      </c>
      <c r="B179" s="662"/>
      <c r="C179" s="663"/>
      <c r="D179" s="663"/>
      <c r="E179" s="663"/>
      <c r="F179" s="687"/>
      <c r="G179" s="687"/>
      <c r="H179" s="529"/>
      <c r="I179" s="444"/>
      <c r="J179" s="444"/>
      <c r="K179" s="444"/>
      <c r="L179" s="444"/>
      <c r="M179" s="831"/>
      <c r="N179" s="816"/>
      <c r="O179" s="135"/>
      <c r="P179" s="135"/>
      <c r="Q179" s="135"/>
      <c r="R179" s="135"/>
      <c r="S179" s="135"/>
      <c r="T179" s="135"/>
      <c r="U179" s="135"/>
    </row>
    <row r="180" spans="1:21" s="255" customFormat="1" ht="13">
      <c r="A180" s="132" t="s">
        <v>29</v>
      </c>
      <c r="B180" s="693">
        <f>Ontario!N307</f>
        <v>1041</v>
      </c>
      <c r="C180" s="631"/>
      <c r="D180" s="694">
        <f>F180*325900</f>
        <v>14452556.940000001</v>
      </c>
      <c r="E180" s="631"/>
      <c r="F180" s="807">
        <f>0.0426*B180</f>
        <v>44.346600000000002</v>
      </c>
      <c r="G180" s="806"/>
      <c r="H180" s="234">
        <f>F180*20</f>
        <v>886.93200000000002</v>
      </c>
      <c r="I180" s="107">
        <v>0</v>
      </c>
      <c r="J180" s="96">
        <v>40905</v>
      </c>
      <c r="K180" s="126">
        <v>105214.95</v>
      </c>
      <c r="L180" s="106">
        <f t="shared" ref="L180:L191" si="53">SUM(I180:K180)</f>
        <v>146119.95000000001</v>
      </c>
      <c r="M180" s="697">
        <f>IF(ISERROR(L180/(F180*752)),0,L180/(F180*752))</f>
        <v>4.38158605505126</v>
      </c>
      <c r="N180" s="698"/>
      <c r="O180" s="259"/>
      <c r="P180" s="259"/>
      <c r="Q180" s="259"/>
      <c r="R180" s="259"/>
      <c r="S180" s="259"/>
      <c r="T180" s="259"/>
      <c r="U180" s="259"/>
    </row>
    <row r="181" spans="1:21" s="255" customFormat="1" ht="13">
      <c r="A181" s="132" t="s">
        <v>51</v>
      </c>
      <c r="B181" s="693">
        <f>Ontario!N308</f>
        <v>0</v>
      </c>
      <c r="C181" s="631"/>
      <c r="D181" s="694">
        <f>F181*325900</f>
        <v>0</v>
      </c>
      <c r="E181" s="631"/>
      <c r="F181" s="807">
        <f>0.1227*B181</f>
        <v>0</v>
      </c>
      <c r="G181" s="806"/>
      <c r="H181" s="234">
        <f>F181*20</f>
        <v>0</v>
      </c>
      <c r="I181" s="107">
        <v>0</v>
      </c>
      <c r="J181" s="96">
        <v>0</v>
      </c>
      <c r="K181" s="126">
        <v>0</v>
      </c>
      <c r="L181" s="106">
        <f t="shared" si="53"/>
        <v>0</v>
      </c>
      <c r="M181" s="697">
        <f t="shared" ref="M181:M189" si="54">IF(ISERROR(L181/(F181*752)),0,L181/(F181*752))</f>
        <v>0</v>
      </c>
      <c r="N181" s="698"/>
      <c r="O181" s="259"/>
      <c r="P181" s="259"/>
      <c r="Q181" s="259"/>
      <c r="R181" s="259"/>
      <c r="S181" s="259"/>
      <c r="T181" s="259"/>
      <c r="U181" s="259"/>
    </row>
    <row r="182" spans="1:21" s="255" customFormat="1" ht="13">
      <c r="A182" s="132" t="s">
        <v>140</v>
      </c>
      <c r="B182" s="693">
        <f>Ontario!N309</f>
        <v>0</v>
      </c>
      <c r="C182" s="631"/>
      <c r="D182" s="694">
        <f>F182*325851</f>
        <v>0</v>
      </c>
      <c r="E182" s="631"/>
      <c r="F182" s="807">
        <f>0.644*B182</f>
        <v>0</v>
      </c>
      <c r="G182" s="806"/>
      <c r="H182" s="234">
        <f>F182*5</f>
        <v>0</v>
      </c>
      <c r="I182" s="107">
        <v>0</v>
      </c>
      <c r="J182" s="107">
        <v>0</v>
      </c>
      <c r="K182" s="107">
        <v>0</v>
      </c>
      <c r="L182" s="106">
        <f t="shared" si="53"/>
        <v>0</v>
      </c>
      <c r="M182" s="697">
        <f t="shared" si="54"/>
        <v>0</v>
      </c>
      <c r="N182" s="698"/>
      <c r="O182" s="259"/>
      <c r="P182" s="259"/>
      <c r="Q182" s="259"/>
      <c r="R182" s="259"/>
      <c r="S182" s="259"/>
      <c r="T182" s="259"/>
      <c r="U182" s="259"/>
    </row>
    <row r="183" spans="1:21" s="255" customFormat="1" ht="13">
      <c r="A183" s="130" t="s">
        <v>30</v>
      </c>
      <c r="B183" s="693">
        <f>Ontario!N310</f>
        <v>51</v>
      </c>
      <c r="C183" s="631"/>
      <c r="D183" s="694">
        <f t="shared" ref="D183:D191" si="55">F183*325900</f>
        <v>5401792.5</v>
      </c>
      <c r="E183" s="631"/>
      <c r="F183" s="807">
        <f>0.325*B183</f>
        <v>16.574999999999999</v>
      </c>
      <c r="G183" s="806"/>
      <c r="H183" s="234">
        <f>F183*10</f>
        <v>165.75</v>
      </c>
      <c r="I183" s="107">
        <v>0</v>
      </c>
      <c r="J183" s="107">
        <v>6341.86</v>
      </c>
      <c r="K183" s="107">
        <v>14494.54</v>
      </c>
      <c r="L183" s="106">
        <f t="shared" si="53"/>
        <v>20836.400000000001</v>
      </c>
      <c r="M183" s="697">
        <f t="shared" si="54"/>
        <v>1.6716729244889448</v>
      </c>
      <c r="N183" s="698"/>
      <c r="O183" s="259"/>
      <c r="P183" s="259"/>
      <c r="Q183" s="259"/>
      <c r="R183" s="259"/>
      <c r="S183" s="259"/>
      <c r="T183" s="259"/>
      <c r="U183" s="259"/>
    </row>
    <row r="184" spans="1:21" s="255" customFormat="1" ht="13">
      <c r="A184" s="130" t="s">
        <v>56</v>
      </c>
      <c r="B184" s="693">
        <f>Ontario!N311</f>
        <v>1500</v>
      </c>
      <c r="C184" s="631"/>
      <c r="D184" s="694">
        <f t="shared" si="55"/>
        <v>2150940</v>
      </c>
      <c r="E184" s="631"/>
      <c r="F184" s="807">
        <f>0.0044*B184</f>
        <v>6.6000000000000005</v>
      </c>
      <c r="G184" s="806"/>
      <c r="H184" s="234">
        <f>F184*5</f>
        <v>33</v>
      </c>
      <c r="I184" s="107">
        <v>0</v>
      </c>
      <c r="J184" s="107">
        <v>1500</v>
      </c>
      <c r="K184" s="107">
        <v>3000</v>
      </c>
      <c r="L184" s="106">
        <f t="shared" si="53"/>
        <v>4500</v>
      </c>
      <c r="M184" s="697">
        <f t="shared" si="54"/>
        <v>0.90667311411992246</v>
      </c>
      <c r="N184" s="698"/>
      <c r="O184" s="259"/>
      <c r="P184" s="259"/>
      <c r="Q184" s="259"/>
      <c r="R184" s="259"/>
      <c r="S184" s="259"/>
      <c r="T184" s="259"/>
      <c r="U184" s="259"/>
    </row>
    <row r="185" spans="1:21" s="255" customFormat="1" ht="13">
      <c r="A185" s="130" t="s">
        <v>89</v>
      </c>
      <c r="B185" s="693">
        <f>Ontario!N312</f>
        <v>0</v>
      </c>
      <c r="C185" s="631"/>
      <c r="D185" s="694">
        <f t="shared" si="55"/>
        <v>0</v>
      </c>
      <c r="E185" s="631"/>
      <c r="F185" s="807">
        <f>0.018*B185</f>
        <v>0</v>
      </c>
      <c r="G185" s="806"/>
      <c r="H185" s="234">
        <f>F185*10</f>
        <v>0</v>
      </c>
      <c r="I185" s="107">
        <v>0</v>
      </c>
      <c r="J185" s="96">
        <v>0</v>
      </c>
      <c r="K185" s="96">
        <v>0</v>
      </c>
      <c r="L185" s="106">
        <f t="shared" si="53"/>
        <v>0</v>
      </c>
      <c r="M185" s="697">
        <f t="shared" si="54"/>
        <v>0</v>
      </c>
      <c r="N185" s="698"/>
      <c r="O185" s="259"/>
      <c r="P185" s="259"/>
      <c r="Q185" s="259"/>
      <c r="R185" s="259"/>
      <c r="S185" s="259"/>
      <c r="T185" s="259"/>
      <c r="U185" s="259"/>
    </row>
    <row r="186" spans="1:21" s="255" customFormat="1" ht="13">
      <c r="A186" s="132" t="s">
        <v>124</v>
      </c>
      <c r="B186" s="693">
        <f>Ontario!N313</f>
        <v>0</v>
      </c>
      <c r="C186" s="631"/>
      <c r="D186" s="650">
        <f t="shared" si="55"/>
        <v>0</v>
      </c>
      <c r="E186" s="651"/>
      <c r="F186" s="733">
        <f>0.0129*B186</f>
        <v>0</v>
      </c>
      <c r="G186" s="734"/>
      <c r="H186" s="416">
        <f>F186*10</f>
        <v>0</v>
      </c>
      <c r="I186" s="107">
        <v>0</v>
      </c>
      <c r="J186" s="107">
        <v>0</v>
      </c>
      <c r="K186" s="107">
        <v>0</v>
      </c>
      <c r="L186" s="108">
        <f t="shared" si="53"/>
        <v>0</v>
      </c>
      <c r="M186" s="697">
        <f t="shared" si="54"/>
        <v>0</v>
      </c>
      <c r="N186" s="698"/>
      <c r="O186" s="259"/>
      <c r="P186" s="259"/>
      <c r="Q186" s="259"/>
      <c r="R186" s="259"/>
      <c r="S186" s="259"/>
      <c r="T186" s="259"/>
      <c r="U186" s="259"/>
    </row>
    <row r="187" spans="1:21" s="266" customFormat="1" ht="13">
      <c r="A187" s="133" t="s">
        <v>127</v>
      </c>
      <c r="B187" s="693">
        <f>Ontario!N314</f>
        <v>0</v>
      </c>
      <c r="C187" s="631"/>
      <c r="D187" s="650">
        <f t="shared" si="55"/>
        <v>0</v>
      </c>
      <c r="E187" s="651"/>
      <c r="F187" s="733">
        <f>B187*0.023</f>
        <v>0</v>
      </c>
      <c r="G187" s="734"/>
      <c r="H187" s="416">
        <f>F187*5</f>
        <v>0</v>
      </c>
      <c r="I187" s="107">
        <v>0</v>
      </c>
      <c r="J187" s="107">
        <v>0</v>
      </c>
      <c r="K187" s="139">
        <v>0</v>
      </c>
      <c r="L187" s="108">
        <f t="shared" si="53"/>
        <v>0</v>
      </c>
      <c r="M187" s="697">
        <f t="shared" si="54"/>
        <v>0</v>
      </c>
      <c r="N187" s="698"/>
      <c r="O187" s="259"/>
      <c r="P187" s="259"/>
      <c r="Q187" s="259"/>
      <c r="R187" s="259"/>
      <c r="S187" s="259"/>
      <c r="T187" s="259"/>
      <c r="U187" s="259"/>
    </row>
    <row r="188" spans="1:21" s="266" customFormat="1" ht="13">
      <c r="A188" s="133" t="s">
        <v>128</v>
      </c>
      <c r="B188" s="693">
        <f>Ontario!N315</f>
        <v>0</v>
      </c>
      <c r="C188" s="631"/>
      <c r="D188" s="650">
        <f t="shared" si="55"/>
        <v>0</v>
      </c>
      <c r="E188" s="651"/>
      <c r="F188" s="733">
        <f>0.154*B188</f>
        <v>0</v>
      </c>
      <c r="G188" s="734"/>
      <c r="H188" s="416">
        <f>F188*10</f>
        <v>0</v>
      </c>
      <c r="I188" s="107">
        <v>0</v>
      </c>
      <c r="J188" s="107">
        <v>0</v>
      </c>
      <c r="K188" s="139">
        <v>0</v>
      </c>
      <c r="L188" s="108">
        <f t="shared" si="53"/>
        <v>0</v>
      </c>
      <c r="M188" s="697">
        <f t="shared" si="54"/>
        <v>0</v>
      </c>
      <c r="N188" s="698"/>
      <c r="O188" s="259"/>
      <c r="P188" s="259"/>
      <c r="Q188" s="259"/>
      <c r="R188" s="259"/>
      <c r="S188" s="259"/>
      <c r="T188" s="259"/>
      <c r="U188" s="259"/>
    </row>
    <row r="189" spans="1:21" s="266" customFormat="1" ht="13">
      <c r="A189" s="133" t="s">
        <v>172</v>
      </c>
      <c r="B189" s="693">
        <f>Ontario!N316</f>
        <v>10</v>
      </c>
      <c r="C189" s="631"/>
      <c r="D189" s="650">
        <f t="shared" si="55"/>
        <v>16059889.221999999</v>
      </c>
      <c r="E189" s="651"/>
      <c r="F189" s="733">
        <f>(379066*0.00013)</f>
        <v>49.278579999999998</v>
      </c>
      <c r="G189" s="734"/>
      <c r="H189" s="416">
        <f>F189*10</f>
        <v>492.78579999999999</v>
      </c>
      <c r="I189" s="107">
        <v>0</v>
      </c>
      <c r="J189" s="107">
        <v>379066</v>
      </c>
      <c r="K189" s="139">
        <v>689732</v>
      </c>
      <c r="L189" s="108">
        <f t="shared" si="53"/>
        <v>1068798</v>
      </c>
      <c r="M189" s="697">
        <f t="shared" si="54"/>
        <v>28.841617111739271</v>
      </c>
      <c r="N189" s="698"/>
      <c r="O189" s="259"/>
      <c r="P189" s="259"/>
      <c r="Q189" s="259"/>
      <c r="R189" s="259"/>
      <c r="S189" s="259"/>
      <c r="T189" s="259"/>
      <c r="U189" s="259"/>
    </row>
    <row r="190" spans="1:21" s="266" customFormat="1" ht="13">
      <c r="A190" s="133" t="s">
        <v>166</v>
      </c>
      <c r="B190" s="693">
        <f>Ontario!N317</f>
        <v>0</v>
      </c>
      <c r="C190" s="631"/>
      <c r="D190" s="650">
        <f t="shared" si="55"/>
        <v>0</v>
      </c>
      <c r="E190" s="651"/>
      <c r="F190" s="733">
        <f>B190*0.0129</f>
        <v>0</v>
      </c>
      <c r="G190" s="734"/>
      <c r="H190" s="416">
        <v>0</v>
      </c>
      <c r="I190" s="107">
        <v>0</v>
      </c>
      <c r="J190" s="107">
        <v>0</v>
      </c>
      <c r="K190" s="139">
        <v>0</v>
      </c>
      <c r="L190" s="108">
        <f t="shared" si="53"/>
        <v>0</v>
      </c>
      <c r="M190" s="697">
        <f>IF(ISERROR(L190/(F190*752)),0,L190/(F190*752))</f>
        <v>0</v>
      </c>
      <c r="N190" s="698"/>
      <c r="O190" s="259"/>
      <c r="P190" s="259"/>
      <c r="Q190" s="259"/>
      <c r="R190" s="259"/>
      <c r="S190" s="259"/>
      <c r="T190" s="259"/>
      <c r="U190" s="259"/>
    </row>
    <row r="191" spans="1:21" s="266" customFormat="1" ht="14" thickBot="1">
      <c r="A191" s="133" t="s">
        <v>165</v>
      </c>
      <c r="B191" s="693">
        <f>Ontario!N318</f>
        <v>525</v>
      </c>
      <c r="C191" s="631"/>
      <c r="D191" s="650">
        <f t="shared" si="55"/>
        <v>718609.5</v>
      </c>
      <c r="E191" s="651"/>
      <c r="F191" s="733">
        <f>B191*0.0084/2</f>
        <v>2.2050000000000001</v>
      </c>
      <c r="G191" s="734"/>
      <c r="H191" s="416">
        <f>F191*10</f>
        <v>22.05</v>
      </c>
      <c r="I191" s="107">
        <v>0</v>
      </c>
      <c r="J191" s="107">
        <v>2625</v>
      </c>
      <c r="K191" s="139">
        <v>2625</v>
      </c>
      <c r="L191" s="108">
        <f t="shared" si="53"/>
        <v>5250</v>
      </c>
      <c r="M191" s="697">
        <f>IF(ISERROR(L191/(F191*752)),0,L191/(F191*752))</f>
        <v>3.1661600810536981</v>
      </c>
      <c r="N191" s="698"/>
      <c r="O191" s="259"/>
      <c r="P191" s="607"/>
      <c r="Q191" s="259"/>
      <c r="R191" s="259"/>
      <c r="S191" s="259"/>
      <c r="T191" s="259"/>
      <c r="U191" s="259"/>
    </row>
    <row r="192" spans="1:21" s="530" customFormat="1" ht="17" thickBot="1">
      <c r="A192" s="73" t="s">
        <v>132</v>
      </c>
      <c r="B192" s="662"/>
      <c r="C192" s="663"/>
      <c r="D192" s="663"/>
      <c r="E192" s="663"/>
      <c r="F192" s="687"/>
      <c r="G192" s="687"/>
      <c r="H192" s="529"/>
      <c r="I192" s="444"/>
      <c r="J192" s="444"/>
      <c r="K192" s="444"/>
      <c r="L192" s="444"/>
      <c r="M192" s="831"/>
      <c r="N192" s="816"/>
      <c r="O192" s="135"/>
      <c r="P192" s="135"/>
      <c r="Q192" s="135"/>
      <c r="R192" s="135"/>
      <c r="S192" s="135"/>
      <c r="T192" s="135"/>
      <c r="U192" s="135"/>
    </row>
    <row r="193" spans="1:21" s="255" customFormat="1" ht="14" thickBot="1">
      <c r="A193" s="53" t="s">
        <v>113</v>
      </c>
      <c r="B193" s="747">
        <f>Ontario!N320</f>
        <v>3806</v>
      </c>
      <c r="C193" s="748"/>
      <c r="D193" s="812">
        <f>F193*325900</f>
        <v>4961501.5999999996</v>
      </c>
      <c r="E193" s="748"/>
      <c r="F193" s="858">
        <f>0.004*B193</f>
        <v>15.224</v>
      </c>
      <c r="G193" s="859"/>
      <c r="H193" s="234">
        <f>F193*5</f>
        <v>76.12</v>
      </c>
      <c r="I193" s="120">
        <v>0</v>
      </c>
      <c r="J193" s="121">
        <v>4548</v>
      </c>
      <c r="K193" s="121">
        <f>(B193*2)</f>
        <v>7612</v>
      </c>
      <c r="L193" s="267">
        <f>J193+K193</f>
        <v>12160</v>
      </c>
      <c r="M193" s="810">
        <f>IF(ISERROR(L193/(F193*752)),0,L193/(F193*752))</f>
        <v>1.0621527040171732</v>
      </c>
      <c r="N193" s="752"/>
      <c r="O193" s="259"/>
      <c r="P193" s="259"/>
      <c r="Q193" s="259"/>
      <c r="R193" s="259"/>
      <c r="S193" s="259"/>
      <c r="T193" s="259"/>
      <c r="U193" s="259"/>
    </row>
    <row r="194" spans="1:21" s="275" customFormat="1" ht="14" thickBot="1">
      <c r="A194" s="40" t="s">
        <v>60</v>
      </c>
      <c r="B194" s="642">
        <f>SUM(B180:B193)</f>
        <v>6933</v>
      </c>
      <c r="C194" s="643"/>
      <c r="D194" s="645">
        <f>SUM(D180:E193)</f>
        <v>43745289.762000002</v>
      </c>
      <c r="E194" s="643"/>
      <c r="F194" s="726">
        <f>SUM(F180:G193)</f>
        <v>134.22917999999999</v>
      </c>
      <c r="G194" s="707"/>
      <c r="H194" s="43">
        <f>SUM(H180:H193)</f>
        <v>1676.6378</v>
      </c>
      <c r="I194" s="93">
        <f>SUM(I180:I193)</f>
        <v>0</v>
      </c>
      <c r="J194" s="93">
        <f>SUM(J180:J193)</f>
        <v>434985.86</v>
      </c>
      <c r="K194" s="93">
        <f>SUM(K180:K193)</f>
        <v>822678.49</v>
      </c>
      <c r="L194" s="93">
        <f>SUM(L180:L193)</f>
        <v>1257664.3500000001</v>
      </c>
      <c r="M194" s="646"/>
      <c r="N194" s="647"/>
      <c r="O194" s="276"/>
      <c r="P194" s="276"/>
      <c r="Q194" s="276"/>
      <c r="R194" s="276"/>
      <c r="S194" s="276"/>
      <c r="T194" s="276"/>
      <c r="U194" s="276"/>
    </row>
    <row r="195" spans="1:21" s="530" customFormat="1" ht="17" thickBot="1">
      <c r="A195" s="531" t="s">
        <v>17</v>
      </c>
      <c r="B195" s="621">
        <f>SUM(,B178,B194)</f>
        <v>8759</v>
      </c>
      <c r="C195" s="622"/>
      <c r="D195" s="623">
        <f>SUM(,D178,D194)</f>
        <v>80017620.826000005</v>
      </c>
      <c r="E195" s="622"/>
      <c r="F195" s="773">
        <f>SUM(,F178,F194)</f>
        <v>245.52814000000001</v>
      </c>
      <c r="G195" s="713"/>
      <c r="H195" s="532">
        <f>(H194+H178)</f>
        <v>3098.9939000000004</v>
      </c>
      <c r="I195" s="533">
        <f>SUM(,I178,I194)</f>
        <v>39657.33</v>
      </c>
      <c r="J195" s="533">
        <f>SUM(,J178,J194)</f>
        <v>478684.35</v>
      </c>
      <c r="K195" s="533">
        <f>SUM(,K178,K194)</f>
        <v>1238091.82</v>
      </c>
      <c r="L195" s="533">
        <f>SUM(,L178,L194)</f>
        <v>1756433.5</v>
      </c>
      <c r="M195" s="624"/>
      <c r="N195" s="625"/>
      <c r="O195" s="135"/>
      <c r="P195" s="135"/>
      <c r="Q195" s="135"/>
      <c r="R195" s="135"/>
      <c r="S195" s="135"/>
      <c r="T195" s="135"/>
      <c r="U195" s="135"/>
    </row>
    <row r="196" spans="1:21">
      <c r="A196" s="164"/>
      <c r="B196" s="169"/>
      <c r="C196" s="169"/>
      <c r="D196" s="169"/>
      <c r="E196" s="169"/>
      <c r="F196" s="224"/>
      <c r="G196" s="224"/>
      <c r="H196" s="224"/>
      <c r="I196" s="170"/>
      <c r="J196" s="170"/>
      <c r="K196" s="170"/>
      <c r="L196" s="170"/>
      <c r="M196" s="183"/>
      <c r="N196" s="183"/>
      <c r="R196" s="609"/>
    </row>
    <row r="197" spans="1:21" ht="18">
      <c r="A197" s="171" t="s">
        <v>167</v>
      </c>
      <c r="B197" s="765" t="s">
        <v>59</v>
      </c>
      <c r="C197" s="765"/>
      <c r="D197" s="765"/>
      <c r="E197" s="765"/>
      <c r="F197" s="224"/>
      <c r="G197" s="224"/>
      <c r="H197" s="224"/>
      <c r="I197" s="170"/>
      <c r="J197" s="170"/>
      <c r="K197" s="170"/>
      <c r="L197" s="170"/>
      <c r="M197" s="183"/>
      <c r="N197" s="183"/>
    </row>
    <row r="198" spans="1:21">
      <c r="B198" s="692" t="s">
        <v>19</v>
      </c>
      <c r="C198" s="692"/>
      <c r="D198" s="692"/>
      <c r="E198" s="692"/>
      <c r="F198" s="224"/>
      <c r="G198" s="224"/>
      <c r="H198" s="224"/>
      <c r="I198" s="170"/>
      <c r="J198" s="170"/>
      <c r="K198" s="170"/>
      <c r="L198" s="170"/>
      <c r="M198" s="183"/>
      <c r="N198" s="183"/>
    </row>
    <row r="199" spans="1:21" ht="17" thickBot="1">
      <c r="B199" s="286"/>
      <c r="C199" s="286"/>
      <c r="D199" s="286"/>
      <c r="E199" s="286"/>
      <c r="F199" s="224"/>
      <c r="G199" s="224"/>
      <c r="H199" s="224"/>
      <c r="I199" s="170"/>
      <c r="J199" s="170"/>
      <c r="K199" s="170"/>
      <c r="L199" s="170"/>
      <c r="M199" s="286"/>
      <c r="N199" s="286"/>
    </row>
    <row r="200" spans="1:21">
      <c r="A200" s="63"/>
      <c r="B200" s="64"/>
      <c r="C200" s="64"/>
      <c r="D200" s="64"/>
      <c r="E200" s="64"/>
      <c r="F200" s="200"/>
      <c r="G200" s="200"/>
      <c r="H200" s="200"/>
      <c r="I200" s="670" t="s">
        <v>0</v>
      </c>
      <c r="J200" s="670"/>
      <c r="K200" s="670"/>
      <c r="L200" s="670"/>
      <c r="M200" s="64"/>
      <c r="N200" s="65"/>
    </row>
    <row r="201" spans="1:21">
      <c r="A201" s="62"/>
      <c r="B201" s="671" t="s">
        <v>1</v>
      </c>
      <c r="C201" s="671"/>
      <c r="D201" s="671" t="s">
        <v>2</v>
      </c>
      <c r="E201" s="671"/>
      <c r="F201" s="672" t="s">
        <v>3</v>
      </c>
      <c r="G201" s="672"/>
      <c r="H201" s="287" t="s">
        <v>3</v>
      </c>
      <c r="I201" s="78" t="s">
        <v>135</v>
      </c>
      <c r="J201" s="66"/>
      <c r="K201" s="66"/>
      <c r="L201" s="79"/>
      <c r="M201" s="673" t="s">
        <v>4</v>
      </c>
      <c r="N201" s="674"/>
    </row>
    <row r="202" spans="1:21" ht="19" thickBot="1">
      <c r="A202" s="67" t="s">
        <v>5</v>
      </c>
      <c r="B202" s="675" t="s">
        <v>6</v>
      </c>
      <c r="C202" s="675"/>
      <c r="D202" s="675" t="s">
        <v>7</v>
      </c>
      <c r="E202" s="675"/>
      <c r="F202" s="676" t="s">
        <v>7</v>
      </c>
      <c r="G202" s="676"/>
      <c r="H202" s="289" t="s">
        <v>58</v>
      </c>
      <c r="I202" s="293" t="s">
        <v>136</v>
      </c>
      <c r="J202" s="288" t="s">
        <v>8</v>
      </c>
      <c r="K202" s="288" t="s">
        <v>9</v>
      </c>
      <c r="L202" s="187" t="s">
        <v>10</v>
      </c>
      <c r="M202" s="677" t="s">
        <v>103</v>
      </c>
      <c r="N202" s="678"/>
    </row>
    <row r="203" spans="1:21" ht="24" thickBot="1">
      <c r="A203" s="60" t="s">
        <v>151</v>
      </c>
      <c r="B203" s="823"/>
      <c r="C203" s="824"/>
      <c r="D203" s="825"/>
      <c r="E203" s="826"/>
      <c r="F203" s="827"/>
      <c r="G203" s="828"/>
      <c r="H203" s="401"/>
      <c r="I203" s="402"/>
      <c r="J203" s="402"/>
      <c r="K203" s="402"/>
      <c r="L203" s="331"/>
      <c r="M203" s="829"/>
      <c r="N203" s="830"/>
    </row>
    <row r="204" spans="1:21" s="530" customFormat="1" ht="17" thickBot="1">
      <c r="A204" s="73" t="s">
        <v>129</v>
      </c>
      <c r="B204" s="662"/>
      <c r="C204" s="663"/>
      <c r="D204" s="729"/>
      <c r="E204" s="663"/>
      <c r="F204" s="717"/>
      <c r="G204" s="687"/>
      <c r="H204" s="523"/>
      <c r="I204" s="525"/>
      <c r="J204" s="525"/>
      <c r="K204" s="525"/>
      <c r="L204" s="72"/>
      <c r="M204" s="688"/>
      <c r="N204" s="689"/>
      <c r="O204" s="135"/>
      <c r="P204" s="135"/>
      <c r="Q204" s="135"/>
      <c r="R204" s="135"/>
      <c r="S204" s="135"/>
      <c r="T204" s="135"/>
      <c r="U204" s="135"/>
    </row>
    <row r="205" spans="1:21" s="255" customFormat="1" ht="13">
      <c r="A205" s="132" t="s">
        <v>29</v>
      </c>
      <c r="B205" s="693">
        <f>Ontario!N253</f>
        <v>154</v>
      </c>
      <c r="C205" s="631"/>
      <c r="D205" s="694">
        <f>F205*325900</f>
        <v>2133015.5000000005</v>
      </c>
      <c r="E205" s="631"/>
      <c r="F205" s="695">
        <f>0.0425*B205</f>
        <v>6.5450000000000008</v>
      </c>
      <c r="G205" s="696"/>
      <c r="H205" s="427">
        <f>F205*20</f>
        <v>130.9</v>
      </c>
      <c r="I205" s="97">
        <v>0</v>
      </c>
      <c r="J205" s="96">
        <f>50*B205</f>
        <v>7700</v>
      </c>
      <c r="K205" s="96">
        <f>B205*50</f>
        <v>7700</v>
      </c>
      <c r="L205" s="106">
        <f t="shared" ref="L205:L210" si="56">I205+J205+K205</f>
        <v>15400</v>
      </c>
      <c r="M205" s="697">
        <f t="shared" ref="M205:M210" si="57">IF(ISERROR(L205/(F205*752)),0,L205/(F205*752))</f>
        <v>3.1289111389236539</v>
      </c>
      <c r="N205" s="698"/>
      <c r="O205" s="259"/>
      <c r="P205" s="259"/>
      <c r="Q205" s="259"/>
      <c r="R205" s="259"/>
      <c r="S205" s="259"/>
      <c r="T205" s="259"/>
      <c r="U205" s="259"/>
    </row>
    <row r="206" spans="1:21" s="255" customFormat="1" ht="13">
      <c r="A206" s="132" t="s">
        <v>33</v>
      </c>
      <c r="B206" s="693">
        <f>Ontario!N254</f>
        <v>86</v>
      </c>
      <c r="C206" s="631"/>
      <c r="D206" s="694">
        <f>F206*325900</f>
        <v>773556.24000000011</v>
      </c>
      <c r="E206" s="631"/>
      <c r="F206" s="695">
        <f>0.0276*B206</f>
        <v>2.3736000000000002</v>
      </c>
      <c r="G206" s="696"/>
      <c r="H206" s="427">
        <f>F206*15</f>
        <v>35.603999999999999</v>
      </c>
      <c r="I206" s="96">
        <f>0*B206</f>
        <v>0</v>
      </c>
      <c r="J206" s="96">
        <f>B206*65</f>
        <v>5590</v>
      </c>
      <c r="K206" s="96">
        <f>B206*85</f>
        <v>7310</v>
      </c>
      <c r="L206" s="106">
        <f t="shared" si="56"/>
        <v>12900</v>
      </c>
      <c r="M206" s="697">
        <f t="shared" si="57"/>
        <v>7.227104532839963</v>
      </c>
      <c r="N206" s="698"/>
      <c r="O206" s="259"/>
      <c r="P206" s="259"/>
      <c r="Q206" s="259"/>
      <c r="R206" s="259"/>
      <c r="S206" s="259"/>
      <c r="T206" s="259"/>
      <c r="U206" s="259"/>
    </row>
    <row r="207" spans="1:21" s="255" customFormat="1" ht="13">
      <c r="A207" s="132" t="s">
        <v>56</v>
      </c>
      <c r="B207" s="693">
        <f>Ontario!N255</f>
        <v>33</v>
      </c>
      <c r="C207" s="631"/>
      <c r="D207" s="694">
        <f>F207*325851</f>
        <v>47313.565199999997</v>
      </c>
      <c r="E207" s="631"/>
      <c r="F207" s="695">
        <f>0.0044*B207</f>
        <v>0.1452</v>
      </c>
      <c r="G207" s="696"/>
      <c r="H207" s="427">
        <f>F207*5</f>
        <v>0.72599999999999998</v>
      </c>
      <c r="I207" s="96">
        <f>0*B207</f>
        <v>0</v>
      </c>
      <c r="J207" s="96">
        <f>1*B207</f>
        <v>33</v>
      </c>
      <c r="K207" s="96">
        <f>B207*4</f>
        <v>132</v>
      </c>
      <c r="L207" s="106">
        <f t="shared" si="56"/>
        <v>165</v>
      </c>
      <c r="M207" s="697">
        <f t="shared" si="57"/>
        <v>1.5111218568665377</v>
      </c>
      <c r="N207" s="698"/>
      <c r="O207" s="259"/>
      <c r="P207" s="259"/>
      <c r="Q207" s="259"/>
      <c r="R207" s="259"/>
      <c r="S207" s="259"/>
      <c r="T207" s="259"/>
      <c r="U207" s="259"/>
    </row>
    <row r="208" spans="1:21" s="255" customFormat="1" ht="13">
      <c r="A208" s="132" t="s">
        <v>52</v>
      </c>
      <c r="B208" s="693">
        <f>Ontario!N256</f>
        <v>5</v>
      </c>
      <c r="C208" s="631"/>
      <c r="D208" s="694">
        <f>F208*325900</f>
        <v>529587.5</v>
      </c>
      <c r="E208" s="631"/>
      <c r="F208" s="720">
        <f>0.325*B208</f>
        <v>1.625</v>
      </c>
      <c r="G208" s="721"/>
      <c r="H208" s="429">
        <f>F208*10</f>
        <v>16.25</v>
      </c>
      <c r="I208" s="97">
        <v>0</v>
      </c>
      <c r="J208" s="107">
        <f>70*B208</f>
        <v>350</v>
      </c>
      <c r="K208" s="107">
        <f>B208*80</f>
        <v>400</v>
      </c>
      <c r="L208" s="108">
        <f t="shared" si="56"/>
        <v>750</v>
      </c>
      <c r="M208" s="697">
        <f t="shared" si="57"/>
        <v>0.61374795417348604</v>
      </c>
      <c r="N208" s="698"/>
      <c r="O208" s="259"/>
      <c r="P208" s="259"/>
      <c r="Q208" s="259"/>
      <c r="R208" s="259"/>
      <c r="S208" s="259"/>
      <c r="T208" s="259"/>
      <c r="U208" s="259"/>
    </row>
    <row r="209" spans="1:21" s="255" customFormat="1" ht="13">
      <c r="A209" s="130" t="s">
        <v>159</v>
      </c>
      <c r="B209" s="693">
        <v>4</v>
      </c>
      <c r="C209" s="631"/>
      <c r="D209" s="694">
        <f>F209*325900</f>
        <v>234648</v>
      </c>
      <c r="E209" s="631"/>
      <c r="F209" s="720">
        <v>0.72</v>
      </c>
      <c r="G209" s="721"/>
      <c r="H209" s="429">
        <f>F209*10</f>
        <v>7.1999999999999993</v>
      </c>
      <c r="I209" s="97">
        <v>0</v>
      </c>
      <c r="J209" s="107">
        <v>0</v>
      </c>
      <c r="K209" s="107">
        <v>11008</v>
      </c>
      <c r="L209" s="108">
        <f t="shared" si="56"/>
        <v>11008</v>
      </c>
      <c r="M209" s="697">
        <f t="shared" si="57"/>
        <v>20.330969267139483</v>
      </c>
      <c r="N209" s="698"/>
      <c r="O209" s="259"/>
      <c r="P209" s="259"/>
      <c r="Q209" s="259"/>
      <c r="R209" s="259"/>
      <c r="S209" s="259"/>
      <c r="T209" s="259"/>
      <c r="U209" s="259"/>
    </row>
    <row r="210" spans="1:21" s="255" customFormat="1" ht="14" thickBot="1">
      <c r="A210" s="130" t="s">
        <v>147</v>
      </c>
      <c r="B210" s="693">
        <f>Ontario!N258</f>
        <v>6</v>
      </c>
      <c r="C210" s="631"/>
      <c r="D210" s="694">
        <v>635505</v>
      </c>
      <c r="E210" s="631"/>
      <c r="F210" s="733">
        <v>2</v>
      </c>
      <c r="G210" s="734"/>
      <c r="H210" s="426">
        <v>20</v>
      </c>
      <c r="I210" s="97">
        <v>0</v>
      </c>
      <c r="J210" s="107">
        <f>0*B210</f>
        <v>0</v>
      </c>
      <c r="K210" s="107">
        <f>B210*75</f>
        <v>450</v>
      </c>
      <c r="L210" s="108">
        <f t="shared" si="56"/>
        <v>450</v>
      </c>
      <c r="M210" s="697">
        <f t="shared" si="57"/>
        <v>0.29920212765957449</v>
      </c>
      <c r="N210" s="698"/>
      <c r="O210" s="259"/>
      <c r="P210" s="259"/>
      <c r="Q210" s="259"/>
      <c r="R210" s="259"/>
      <c r="S210" s="259"/>
      <c r="T210" s="259"/>
      <c r="U210" s="259"/>
    </row>
    <row r="211" spans="1:21" s="530" customFormat="1" ht="17" thickBot="1">
      <c r="A211" s="73" t="s">
        <v>130</v>
      </c>
      <c r="B211" s="662"/>
      <c r="C211" s="663"/>
      <c r="D211" s="729"/>
      <c r="E211" s="716"/>
      <c r="F211" s="687"/>
      <c r="G211" s="687"/>
      <c r="H211" s="523"/>
      <c r="I211" s="563"/>
      <c r="J211" s="563"/>
      <c r="K211" s="563"/>
      <c r="L211" s="116"/>
      <c r="M211" s="831"/>
      <c r="N211" s="816"/>
      <c r="O211" s="135"/>
      <c r="P211" s="135"/>
      <c r="Q211" s="135"/>
      <c r="R211" s="135"/>
      <c r="S211" s="135"/>
      <c r="T211" s="135"/>
      <c r="U211" s="135"/>
    </row>
    <row r="212" spans="1:21" s="255" customFormat="1" ht="13">
      <c r="A212" s="130" t="s">
        <v>141</v>
      </c>
      <c r="B212" s="693">
        <f>Ontario!N260</f>
        <v>1261</v>
      </c>
      <c r="C212" s="631"/>
      <c r="D212" s="694">
        <f>F212*325900</f>
        <v>1643839.6</v>
      </c>
      <c r="E212" s="631"/>
      <c r="F212" s="720">
        <f>B212*0.004</f>
        <v>5.0440000000000005</v>
      </c>
      <c r="G212" s="721"/>
      <c r="H212" s="429">
        <f>F212*5</f>
        <v>25.220000000000002</v>
      </c>
      <c r="I212" s="97">
        <v>0</v>
      </c>
      <c r="J212" s="97">
        <v>0</v>
      </c>
      <c r="K212" s="107">
        <f>B212*3.6</f>
        <v>4539.6000000000004</v>
      </c>
      <c r="L212" s="108">
        <f>I212+J212+K212</f>
        <v>4539.6000000000004</v>
      </c>
      <c r="M212" s="697">
        <f>IF(ISERROR(L212/(F212*752)),0,L212/(F212*752))</f>
        <v>1.196808510638298</v>
      </c>
      <c r="N212" s="698"/>
      <c r="O212" s="259"/>
      <c r="P212" s="259"/>
      <c r="Q212" s="259"/>
      <c r="R212" s="259"/>
      <c r="S212" s="259"/>
      <c r="T212" s="259"/>
      <c r="U212" s="259"/>
    </row>
    <row r="213" spans="1:21" s="255" customFormat="1" ht="13">
      <c r="A213" s="130" t="s">
        <v>155</v>
      </c>
      <c r="B213" s="693">
        <f>Ontario!N261</f>
        <v>14</v>
      </c>
      <c r="C213" s="631"/>
      <c r="D213" s="694">
        <f>F213*325900</f>
        <v>2281300</v>
      </c>
      <c r="E213" s="631"/>
      <c r="F213" s="702">
        <v>7</v>
      </c>
      <c r="G213" s="703"/>
      <c r="H213" s="436">
        <v>67</v>
      </c>
      <c r="I213" s="97">
        <v>6638.42</v>
      </c>
      <c r="J213" s="107">
        <v>0</v>
      </c>
      <c r="K213" s="97">
        <v>6638.42</v>
      </c>
      <c r="L213" s="105">
        <f>SUM(I213:K213)</f>
        <v>13276.84</v>
      </c>
      <c r="M213" s="697">
        <f>IF(ISERROR(L213/(F213*752)),0,L213/(F213*752))</f>
        <v>2.5221960486322188</v>
      </c>
      <c r="N213" s="698"/>
      <c r="O213" s="259"/>
      <c r="P213" s="259"/>
      <c r="Q213" s="607"/>
      <c r="R213" s="259"/>
      <c r="S213" s="259"/>
      <c r="T213" s="259"/>
      <c r="U213" s="259"/>
    </row>
    <row r="214" spans="1:21" s="255" customFormat="1" ht="14" thickBot="1">
      <c r="A214" s="130" t="s">
        <v>153</v>
      </c>
      <c r="B214" s="747">
        <f>Ontario!N262</f>
        <v>30</v>
      </c>
      <c r="C214" s="748"/>
      <c r="D214" s="803">
        <v>482312.3</v>
      </c>
      <c r="E214" s="748"/>
      <c r="F214" s="730">
        <v>1.3</v>
      </c>
      <c r="G214" s="731"/>
      <c r="H214" s="436">
        <v>15</v>
      </c>
      <c r="I214" s="97">
        <v>0</v>
      </c>
      <c r="J214" s="107">
        <f>87990.5-K214</f>
        <v>34990.5</v>
      </c>
      <c r="K214" s="97">
        <f>26500*2</f>
        <v>53000</v>
      </c>
      <c r="L214" s="105">
        <f>J214+K214</f>
        <v>87990.5</v>
      </c>
      <c r="M214" s="810">
        <f>IF(ISERROR(L214/(F214*752)),0,L214/(F214*752))</f>
        <v>90.006648936170208</v>
      </c>
      <c r="N214" s="752"/>
      <c r="O214" s="259"/>
      <c r="P214" s="259"/>
      <c r="Q214" s="259"/>
      <c r="R214" s="259"/>
      <c r="S214" s="259"/>
      <c r="T214" s="259"/>
      <c r="U214" s="259"/>
    </row>
    <row r="215" spans="1:21" s="274" customFormat="1" ht="17" thickBot="1">
      <c r="A215" s="131" t="s">
        <v>60</v>
      </c>
      <c r="B215" s="642">
        <f>SUM(B205:B214)</f>
        <v>1593</v>
      </c>
      <c r="C215" s="643"/>
      <c r="D215" s="645">
        <f>SUM(D205:E214)</f>
        <v>8761077.7052000016</v>
      </c>
      <c r="E215" s="643"/>
      <c r="F215" s="707">
        <f>SUM(F205:G214)</f>
        <v>26.752800000000004</v>
      </c>
      <c r="G215" s="708"/>
      <c r="H215" s="284">
        <v>317</v>
      </c>
      <c r="I215" s="93">
        <f>SUM(I205:I214)</f>
        <v>6638.42</v>
      </c>
      <c r="J215" s="93">
        <f>SUM(J205:J214)</f>
        <v>48663.5</v>
      </c>
      <c r="K215" s="93">
        <f>SUM(K205:K214)</f>
        <v>91178.01999999999</v>
      </c>
      <c r="L215" s="152">
        <f>SUM(L205:L214)</f>
        <v>146479.94</v>
      </c>
      <c r="M215" s="832"/>
      <c r="N215" s="833"/>
      <c r="O215" s="613"/>
      <c r="P215" s="613"/>
      <c r="Q215" s="613"/>
      <c r="R215" s="613"/>
      <c r="S215" s="613"/>
      <c r="T215" s="613"/>
      <c r="U215" s="613"/>
    </row>
    <row r="216" spans="1:21" ht="17" hidden="1" thickBot="1">
      <c r="A216" s="71" t="s">
        <v>131</v>
      </c>
      <c r="B216" s="662"/>
      <c r="C216" s="716"/>
      <c r="D216" s="663"/>
      <c r="E216" s="716"/>
      <c r="F216" s="717"/>
      <c r="G216" s="718"/>
      <c r="H216" s="292"/>
      <c r="I216" s="116"/>
      <c r="J216" s="116"/>
      <c r="K216" s="116"/>
      <c r="L216" s="117"/>
      <c r="M216" s="815"/>
      <c r="N216" s="816"/>
    </row>
    <row r="217" spans="1:21" hidden="1">
      <c r="A217" s="53" t="s">
        <v>104</v>
      </c>
      <c r="B217" s="799">
        <v>0</v>
      </c>
      <c r="C217" s="800"/>
      <c r="D217" s="769">
        <f>F217*325851</f>
        <v>0</v>
      </c>
      <c r="E217" s="800"/>
      <c r="F217" s="834">
        <f>0.0425*B217</f>
        <v>0</v>
      </c>
      <c r="G217" s="835"/>
      <c r="H217" s="285">
        <f>F217*20</f>
        <v>0</v>
      </c>
      <c r="I217" s="89">
        <f>73.34*B217</f>
        <v>0</v>
      </c>
      <c r="J217" s="89">
        <f>35.66*B217</f>
        <v>0</v>
      </c>
      <c r="K217" s="89">
        <f>B217*50</f>
        <v>0</v>
      </c>
      <c r="L217" s="122">
        <f>I217+J217+K217</f>
        <v>0</v>
      </c>
      <c r="M217" s="836">
        <f>IF(ISERROR(L217/(F217*727)),0,L217/(F217*727))</f>
        <v>0</v>
      </c>
      <c r="N217" s="837"/>
    </row>
    <row r="218" spans="1:21" ht="17" hidden="1" thickBot="1">
      <c r="A218" s="53" t="s">
        <v>122</v>
      </c>
      <c r="B218" s="747">
        <v>0</v>
      </c>
      <c r="C218" s="748"/>
      <c r="D218" s="803">
        <f>F218*325851</f>
        <v>0</v>
      </c>
      <c r="E218" s="748"/>
      <c r="F218" s="838">
        <f>0.0425*B218</f>
        <v>0</v>
      </c>
      <c r="G218" s="723"/>
      <c r="H218" s="285">
        <f>F218*20</f>
        <v>0</v>
      </c>
      <c r="I218" s="89">
        <f>73.34*B218</f>
        <v>0</v>
      </c>
      <c r="J218" s="89">
        <f>35.66*B218</f>
        <v>0</v>
      </c>
      <c r="K218" s="89">
        <f>B218*50</f>
        <v>0</v>
      </c>
      <c r="L218" s="122">
        <f>I218+J218+K218</f>
        <v>0</v>
      </c>
      <c r="M218" s="810">
        <f>IF(ISERROR(L218/(F218*727)),0,L218/(F218*727))</f>
        <v>0</v>
      </c>
      <c r="N218" s="752"/>
    </row>
    <row r="219" spans="1:21" s="274" customFormat="1" ht="17" hidden="1" thickBot="1">
      <c r="A219" s="40" t="s">
        <v>60</v>
      </c>
      <c r="B219" s="839"/>
      <c r="C219" s="658"/>
      <c r="D219" s="657">
        <f>SUM(D217:D218)</f>
        <v>0</v>
      </c>
      <c r="E219" s="840"/>
      <c r="F219" s="841">
        <f>SUM(F217:F218)</f>
        <v>0</v>
      </c>
      <c r="G219" s="842"/>
      <c r="H219" s="385">
        <f>SUM(H217:H218)</f>
        <v>0</v>
      </c>
      <c r="I219" s="398">
        <f>SUM(I217:I218)</f>
        <v>0</v>
      </c>
      <c r="J219" s="399">
        <f>SUM(J217:J218)</f>
        <v>0</v>
      </c>
      <c r="K219" s="399">
        <f>SUM(K217:K218)</f>
        <v>0</v>
      </c>
      <c r="L219" s="398">
        <f>SUM(L217:L218)</f>
        <v>0</v>
      </c>
      <c r="M219" s="843"/>
      <c r="N219" s="844"/>
      <c r="O219" s="613"/>
      <c r="P219" s="613"/>
      <c r="Q219" s="613"/>
      <c r="R219" s="613"/>
      <c r="S219" s="613"/>
      <c r="T219" s="613"/>
      <c r="U219" s="613"/>
    </row>
    <row r="220" spans="1:21" s="530" customFormat="1" ht="17" thickBot="1">
      <c r="A220" s="73" t="s">
        <v>134</v>
      </c>
      <c r="B220" s="662"/>
      <c r="C220" s="716"/>
      <c r="D220" s="663"/>
      <c r="E220" s="663"/>
      <c r="F220" s="717"/>
      <c r="G220" s="718"/>
      <c r="H220" s="216"/>
      <c r="I220" s="100"/>
      <c r="J220" s="100"/>
      <c r="K220" s="100"/>
      <c r="L220" s="100"/>
      <c r="M220" s="845"/>
      <c r="N220" s="846"/>
      <c r="O220" s="135"/>
      <c r="P220" s="135"/>
      <c r="Q220" s="135"/>
      <c r="R220" s="135"/>
      <c r="S220" s="135"/>
      <c r="T220" s="135"/>
      <c r="U220" s="135"/>
    </row>
    <row r="221" spans="1:21">
      <c r="A221" s="132" t="s">
        <v>29</v>
      </c>
      <c r="B221" s="693">
        <f>Ontario!N270</f>
        <v>603</v>
      </c>
      <c r="C221" s="631"/>
      <c r="D221" s="694">
        <f>F221*325900</f>
        <v>8352002.25</v>
      </c>
      <c r="E221" s="631"/>
      <c r="F221" s="695">
        <f>0.0425*B221</f>
        <v>25.627500000000001</v>
      </c>
      <c r="G221" s="696"/>
      <c r="H221" s="427">
        <f>F221*20</f>
        <v>512.55000000000007</v>
      </c>
      <c r="I221" s="97">
        <v>0</v>
      </c>
      <c r="J221" s="96">
        <v>4850</v>
      </c>
      <c r="K221" s="96">
        <v>9700</v>
      </c>
      <c r="L221" s="106">
        <f t="shared" ref="L221:L234" si="58">SUM(I221:K221)</f>
        <v>14550</v>
      </c>
      <c r="M221" s="697">
        <f>IF(ISERROR(L221/(F221*752)),0,L221/(F221*752))</f>
        <v>0.75498602108356838</v>
      </c>
      <c r="N221" s="698"/>
    </row>
    <row r="222" spans="1:21">
      <c r="A222" s="132" t="s">
        <v>51</v>
      </c>
      <c r="B222" s="693">
        <f>Ontario!N271</f>
        <v>9</v>
      </c>
      <c r="C222" s="631"/>
      <c r="D222" s="694">
        <f>F222*325900</f>
        <v>359891.37</v>
      </c>
      <c r="E222" s="631"/>
      <c r="F222" s="695">
        <f>0.1227*B222</f>
        <v>1.1043000000000001</v>
      </c>
      <c r="G222" s="696"/>
      <c r="H222" s="427">
        <f>F222*20</f>
        <v>22.086000000000002</v>
      </c>
      <c r="I222" s="97">
        <v>0</v>
      </c>
      <c r="J222" s="96">
        <f>50*B222</f>
        <v>450</v>
      </c>
      <c r="K222" s="96">
        <f>200*B222</f>
        <v>1800</v>
      </c>
      <c r="L222" s="106">
        <f t="shared" si="58"/>
        <v>2250</v>
      </c>
      <c r="M222" s="697">
        <f t="shared" ref="M222:M234" si="59">IF(ISERROR(L222/(F222*752)),0,L222/(F222*752))</f>
        <v>2.7094279422219909</v>
      </c>
      <c r="N222" s="698"/>
    </row>
    <row r="223" spans="1:21">
      <c r="A223" s="132" t="s">
        <v>140</v>
      </c>
      <c r="B223" s="693">
        <f>Ontario!N272</f>
        <v>0</v>
      </c>
      <c r="C223" s="631"/>
      <c r="D223" s="694">
        <f t="shared" ref="D223:D230" si="60">F223*325851</f>
        <v>0</v>
      </c>
      <c r="E223" s="631"/>
      <c r="F223" s="695">
        <f>0.1227*B223</f>
        <v>0</v>
      </c>
      <c r="G223" s="696"/>
      <c r="H223" s="427">
        <f>F223*5</f>
        <v>0</v>
      </c>
      <c r="I223" s="97">
        <v>0</v>
      </c>
      <c r="J223" s="96">
        <f>B223*1000</f>
        <v>0</v>
      </c>
      <c r="K223" s="96">
        <f>B223*1750</f>
        <v>0</v>
      </c>
      <c r="L223" s="106">
        <f t="shared" si="58"/>
        <v>0</v>
      </c>
      <c r="M223" s="697">
        <f t="shared" si="59"/>
        <v>0</v>
      </c>
      <c r="N223" s="698"/>
    </row>
    <row r="224" spans="1:21" hidden="1">
      <c r="A224" s="132" t="s">
        <v>13</v>
      </c>
      <c r="B224" s="693">
        <f>Ontario!N273</f>
        <v>0</v>
      </c>
      <c r="C224" s="631"/>
      <c r="D224" s="694">
        <f t="shared" si="60"/>
        <v>0</v>
      </c>
      <c r="E224" s="631"/>
      <c r="F224" s="695">
        <f>0.1075*B224</f>
        <v>0</v>
      </c>
      <c r="G224" s="696"/>
      <c r="H224" s="427">
        <f>F224*10</f>
        <v>0</v>
      </c>
      <c r="I224" s="97">
        <v>0</v>
      </c>
      <c r="J224" s="96">
        <f>100*B224</f>
        <v>0</v>
      </c>
      <c r="K224" s="96">
        <f>80*B224</f>
        <v>0</v>
      </c>
      <c r="L224" s="106">
        <f t="shared" si="58"/>
        <v>0</v>
      </c>
      <c r="M224" s="697">
        <f t="shared" si="59"/>
        <v>0</v>
      </c>
      <c r="N224" s="698"/>
    </row>
    <row r="225" spans="1:21" hidden="1">
      <c r="A225" s="130" t="s">
        <v>47</v>
      </c>
      <c r="B225" s="693">
        <f>Ontario!N274</f>
        <v>0</v>
      </c>
      <c r="C225" s="631"/>
      <c r="D225" s="694">
        <f t="shared" si="60"/>
        <v>0</v>
      </c>
      <c r="E225" s="631"/>
      <c r="F225" s="695">
        <f>0.1534*B225</f>
        <v>0</v>
      </c>
      <c r="G225" s="696"/>
      <c r="H225" s="427">
        <f>F225*5</f>
        <v>0</v>
      </c>
      <c r="I225" s="97">
        <v>0</v>
      </c>
      <c r="J225" s="96">
        <f>0*B225</f>
        <v>0</v>
      </c>
      <c r="K225" s="96">
        <f>150*B225</f>
        <v>0</v>
      </c>
      <c r="L225" s="106">
        <f t="shared" si="58"/>
        <v>0</v>
      </c>
      <c r="M225" s="697">
        <f t="shared" si="59"/>
        <v>0</v>
      </c>
      <c r="N225" s="698"/>
    </row>
    <row r="226" spans="1:21">
      <c r="A226" s="130" t="s">
        <v>30</v>
      </c>
      <c r="B226" s="693">
        <f>Ontario!N275</f>
        <v>14</v>
      </c>
      <c r="C226" s="631"/>
      <c r="D226" s="694">
        <f>F226*325900</f>
        <v>1482845</v>
      </c>
      <c r="E226" s="631"/>
      <c r="F226" s="695">
        <f>0.325*B226</f>
        <v>4.55</v>
      </c>
      <c r="G226" s="696"/>
      <c r="H226" s="427">
        <f>F226*10</f>
        <v>45.5</v>
      </c>
      <c r="I226" s="97">
        <v>0</v>
      </c>
      <c r="J226" s="97">
        <v>1398</v>
      </c>
      <c r="K226" s="97">
        <v>5386</v>
      </c>
      <c r="L226" s="106">
        <f t="shared" si="58"/>
        <v>6784</v>
      </c>
      <c r="M226" s="697">
        <f t="shared" si="59"/>
        <v>1.9826981529109189</v>
      </c>
      <c r="N226" s="698"/>
    </row>
    <row r="227" spans="1:21" hidden="1">
      <c r="A227" s="130" t="s">
        <v>53</v>
      </c>
      <c r="B227" s="693">
        <f>Ontario!N276</f>
        <v>0</v>
      </c>
      <c r="C227" s="631"/>
      <c r="D227" s="694">
        <f t="shared" si="60"/>
        <v>0</v>
      </c>
      <c r="E227" s="631"/>
      <c r="F227" s="695">
        <f>0.00014*B227</f>
        <v>0</v>
      </c>
      <c r="G227" s="696"/>
      <c r="H227" s="427">
        <f>F227*10</f>
        <v>0</v>
      </c>
      <c r="I227" s="97">
        <v>0</v>
      </c>
      <c r="J227" s="96">
        <f>0.45*B227</f>
        <v>0</v>
      </c>
      <c r="K227" s="96">
        <f>0.3*B227</f>
        <v>0</v>
      </c>
      <c r="L227" s="106">
        <f t="shared" si="58"/>
        <v>0</v>
      </c>
      <c r="M227" s="697">
        <f t="shared" si="59"/>
        <v>0</v>
      </c>
      <c r="N227" s="698"/>
    </row>
    <row r="228" spans="1:21">
      <c r="A228" s="130" t="s">
        <v>56</v>
      </c>
      <c r="B228" s="693">
        <f>Ontario!N277</f>
        <v>608</v>
      </c>
      <c r="C228" s="631"/>
      <c r="D228" s="694">
        <f>F228*325900</f>
        <v>792588.79999999993</v>
      </c>
      <c r="E228" s="631"/>
      <c r="F228" s="695">
        <f>0.004*B228</f>
        <v>2.4319999999999999</v>
      </c>
      <c r="G228" s="696"/>
      <c r="H228" s="427">
        <f>F228*5</f>
        <v>12.16</v>
      </c>
      <c r="I228" s="97">
        <v>0</v>
      </c>
      <c r="J228" s="96">
        <f>1*B228</f>
        <v>608</v>
      </c>
      <c r="K228" s="96">
        <v>928</v>
      </c>
      <c r="L228" s="106">
        <f t="shared" si="58"/>
        <v>1536</v>
      </c>
      <c r="M228" s="697">
        <f t="shared" si="59"/>
        <v>0.83986562150055988</v>
      </c>
      <c r="N228" s="698"/>
    </row>
    <row r="229" spans="1:21">
      <c r="A229" s="130" t="s">
        <v>89</v>
      </c>
      <c r="B229" s="693">
        <f>Ontario!N278</f>
        <v>0</v>
      </c>
      <c r="C229" s="631"/>
      <c r="D229" s="694">
        <f>F229*325900</f>
        <v>0</v>
      </c>
      <c r="E229" s="631"/>
      <c r="F229" s="695">
        <f>0.018*B229</f>
        <v>0</v>
      </c>
      <c r="G229" s="696"/>
      <c r="H229" s="427">
        <f>F229*10</f>
        <v>0</v>
      </c>
      <c r="I229" s="97">
        <v>0</v>
      </c>
      <c r="J229" s="96">
        <f>0*B229</f>
        <v>0</v>
      </c>
      <c r="K229" s="96">
        <f>13*B229</f>
        <v>0</v>
      </c>
      <c r="L229" s="106">
        <f t="shared" si="58"/>
        <v>0</v>
      </c>
      <c r="M229" s="697">
        <f t="shared" si="59"/>
        <v>0</v>
      </c>
      <c r="N229" s="698"/>
    </row>
    <row r="230" spans="1:21" hidden="1">
      <c r="A230" s="130" t="s">
        <v>83</v>
      </c>
      <c r="B230" s="693">
        <f>Ontario!N279</f>
        <v>0</v>
      </c>
      <c r="C230" s="631"/>
      <c r="D230" s="694">
        <f t="shared" si="60"/>
        <v>0</v>
      </c>
      <c r="E230" s="631"/>
      <c r="F230" s="695">
        <f>0.018*B230</f>
        <v>0</v>
      </c>
      <c r="G230" s="696"/>
      <c r="H230" s="427">
        <f>F230*10</f>
        <v>0</v>
      </c>
      <c r="I230" s="97">
        <v>0</v>
      </c>
      <c r="J230" s="96">
        <f>0*B230</f>
        <v>0</v>
      </c>
      <c r="K230" s="96">
        <f>13*B230</f>
        <v>0</v>
      </c>
      <c r="L230" s="106">
        <f t="shared" si="58"/>
        <v>0</v>
      </c>
      <c r="M230" s="697">
        <f t="shared" si="59"/>
        <v>0</v>
      </c>
      <c r="N230" s="698"/>
    </row>
    <row r="231" spans="1:21">
      <c r="A231" s="132" t="s">
        <v>124</v>
      </c>
      <c r="B231" s="693">
        <f>Ontario!N280</f>
        <v>0</v>
      </c>
      <c r="C231" s="631"/>
      <c r="D231" s="694">
        <f>F231*325900</f>
        <v>0</v>
      </c>
      <c r="E231" s="631"/>
      <c r="F231" s="695">
        <f>0.018*B231</f>
        <v>0</v>
      </c>
      <c r="G231" s="696"/>
      <c r="H231" s="427">
        <f>F231*10</f>
        <v>0</v>
      </c>
      <c r="I231" s="97">
        <v>0</v>
      </c>
      <c r="J231" s="96">
        <f>0*B231</f>
        <v>0</v>
      </c>
      <c r="K231" s="96">
        <f>13*B231</f>
        <v>0</v>
      </c>
      <c r="L231" s="106">
        <f t="shared" si="58"/>
        <v>0</v>
      </c>
      <c r="M231" s="697">
        <f t="shared" si="59"/>
        <v>0</v>
      </c>
      <c r="N231" s="698"/>
    </row>
    <row r="232" spans="1:21" s="168" customFormat="1">
      <c r="A232" s="133" t="s">
        <v>127</v>
      </c>
      <c r="B232" s="693">
        <f>Ontario!N281</f>
        <v>0</v>
      </c>
      <c r="C232" s="631"/>
      <c r="D232" s="701">
        <f>F232*325900</f>
        <v>0</v>
      </c>
      <c r="E232" s="700"/>
      <c r="F232" s="702">
        <f>B232*0.023</f>
        <v>0</v>
      </c>
      <c r="G232" s="703"/>
      <c r="H232" s="436">
        <f>F232*5</f>
        <v>0</v>
      </c>
      <c r="I232" s="97">
        <v>0</v>
      </c>
      <c r="J232" s="97">
        <f>10*B232</f>
        <v>0</v>
      </c>
      <c r="K232" s="97">
        <f>10*B232</f>
        <v>0</v>
      </c>
      <c r="L232" s="105">
        <f t="shared" si="58"/>
        <v>0</v>
      </c>
      <c r="M232" s="697">
        <f t="shared" si="59"/>
        <v>0</v>
      </c>
      <c r="N232" s="698"/>
      <c r="O232" s="135"/>
      <c r="P232" s="135"/>
      <c r="Q232" s="135"/>
      <c r="R232" s="135"/>
      <c r="S232" s="135"/>
      <c r="T232" s="135"/>
      <c r="U232" s="135"/>
    </row>
    <row r="233" spans="1:21" s="168" customFormat="1">
      <c r="A233" s="133" t="s">
        <v>128</v>
      </c>
      <c r="B233" s="693">
        <f>Ontario!N282</f>
        <v>0</v>
      </c>
      <c r="C233" s="631"/>
      <c r="D233" s="701">
        <f>F233*325900</f>
        <v>0</v>
      </c>
      <c r="E233" s="700"/>
      <c r="F233" s="702">
        <f>0.018*B233</f>
        <v>0</v>
      </c>
      <c r="G233" s="703"/>
      <c r="H233" s="436">
        <f>F233*10</f>
        <v>0</v>
      </c>
      <c r="I233" s="97">
        <v>0</v>
      </c>
      <c r="J233" s="97">
        <f>0*B233</f>
        <v>0</v>
      </c>
      <c r="K233" s="97">
        <f>13*B233</f>
        <v>0</v>
      </c>
      <c r="L233" s="105">
        <f t="shared" si="58"/>
        <v>0</v>
      </c>
      <c r="M233" s="697">
        <f t="shared" si="59"/>
        <v>0</v>
      </c>
      <c r="N233" s="698"/>
      <c r="O233" s="135"/>
      <c r="P233" s="135"/>
      <c r="Q233" s="135"/>
      <c r="R233" s="135"/>
      <c r="S233" s="135"/>
      <c r="T233" s="135"/>
      <c r="U233" s="135"/>
    </row>
    <row r="234" spans="1:21" s="168" customFormat="1" ht="17" thickBot="1">
      <c r="A234" s="298" t="s">
        <v>158</v>
      </c>
      <c r="B234" s="747">
        <v>14</v>
      </c>
      <c r="C234" s="748"/>
      <c r="D234" s="847">
        <f>F234*325900</f>
        <v>4683248.18</v>
      </c>
      <c r="E234" s="822"/>
      <c r="F234" s="730">
        <f>110540*0.00013</f>
        <v>14.370199999999999</v>
      </c>
      <c r="G234" s="731"/>
      <c r="H234" s="434">
        <f>F234*10</f>
        <v>143.702</v>
      </c>
      <c r="I234" s="124">
        <v>0</v>
      </c>
      <c r="J234" s="124">
        <v>86447</v>
      </c>
      <c r="K234" s="124">
        <v>225494</v>
      </c>
      <c r="L234" s="148">
        <f t="shared" si="58"/>
        <v>311941</v>
      </c>
      <c r="M234" s="810">
        <f t="shared" si="59"/>
        <v>28.866345602320646</v>
      </c>
      <c r="N234" s="752"/>
      <c r="O234" s="135"/>
      <c r="P234" s="135"/>
      <c r="Q234" s="135"/>
      <c r="R234" s="135"/>
      <c r="S234" s="135"/>
      <c r="T234" s="135"/>
      <c r="U234" s="135"/>
    </row>
    <row r="235" spans="1:21" s="168" customFormat="1" ht="17" hidden="1" thickBot="1">
      <c r="A235" s="298"/>
      <c r="B235" s="353"/>
      <c r="C235" s="354"/>
      <c r="D235" s="355"/>
      <c r="E235" s="356"/>
      <c r="F235" s="360"/>
      <c r="G235" s="361"/>
      <c r="H235" s="361"/>
      <c r="I235" s="97"/>
      <c r="J235" s="97"/>
      <c r="K235" s="97"/>
      <c r="L235" s="105"/>
      <c r="M235" s="357"/>
      <c r="N235" s="358"/>
      <c r="O235" s="135"/>
      <c r="P235" s="135"/>
      <c r="Q235" s="135"/>
      <c r="R235" s="135"/>
      <c r="S235" s="135"/>
      <c r="T235" s="135"/>
      <c r="U235" s="135"/>
    </row>
    <row r="236" spans="1:21" s="530" customFormat="1" ht="17" thickBot="1">
      <c r="A236" s="73" t="s">
        <v>132</v>
      </c>
      <c r="B236" s="662"/>
      <c r="C236" s="663"/>
      <c r="D236" s="729"/>
      <c r="E236" s="663"/>
      <c r="F236" s="848"/>
      <c r="G236" s="849"/>
      <c r="H236" s="523"/>
      <c r="I236" s="564"/>
      <c r="J236" s="564"/>
      <c r="K236" s="564"/>
      <c r="L236" s="100"/>
      <c r="M236" s="688"/>
      <c r="N236" s="689"/>
      <c r="O236" s="135"/>
      <c r="P236" s="135"/>
      <c r="Q236" s="135"/>
      <c r="R236" s="135"/>
      <c r="S236" s="135"/>
      <c r="T236" s="135"/>
      <c r="U236" s="135"/>
    </row>
    <row r="237" spans="1:21" s="255" customFormat="1" ht="13" hidden="1">
      <c r="A237" s="53" t="s">
        <v>115</v>
      </c>
      <c r="B237" s="693"/>
      <c r="C237" s="631"/>
      <c r="D237" s="694">
        <f>F237*325851</f>
        <v>0</v>
      </c>
      <c r="E237" s="631"/>
      <c r="F237" s="807">
        <f>0.018*B237</f>
        <v>0</v>
      </c>
      <c r="G237" s="806"/>
      <c r="H237" s="254">
        <f>F237*10</f>
        <v>0</v>
      </c>
      <c r="I237" s="156">
        <v>0</v>
      </c>
      <c r="J237" s="89">
        <f>0*B237</f>
        <v>0</v>
      </c>
      <c r="K237" s="89">
        <f>13*B237</f>
        <v>0</v>
      </c>
      <c r="L237" s="122">
        <f>SUM(I237:K237)</f>
        <v>0</v>
      </c>
      <c r="M237" s="697">
        <f>IF(ISERROR(L237/(F237*727)),0,L237/(F237*727))</f>
        <v>0</v>
      </c>
      <c r="N237" s="698"/>
      <c r="O237" s="259"/>
      <c r="P237" s="259"/>
      <c r="Q237" s="259"/>
      <c r="R237" s="259"/>
      <c r="S237" s="259"/>
      <c r="T237" s="259"/>
      <c r="U237" s="259"/>
    </row>
    <row r="238" spans="1:21" s="255" customFormat="1" ht="14" thickBot="1">
      <c r="A238" s="53" t="s">
        <v>113</v>
      </c>
      <c r="B238" s="747">
        <f>Ontario!N286</f>
        <v>3831</v>
      </c>
      <c r="C238" s="748"/>
      <c r="D238" s="803">
        <f>F238*325900</f>
        <v>4994091.5999999996</v>
      </c>
      <c r="E238" s="748"/>
      <c r="F238" s="809">
        <f>0.004*B238</f>
        <v>15.324</v>
      </c>
      <c r="G238" s="788"/>
      <c r="H238" s="427">
        <f>F238*5</f>
        <v>76.62</v>
      </c>
      <c r="I238" s="120">
        <v>0</v>
      </c>
      <c r="J238" s="89">
        <f>0*B238</f>
        <v>0</v>
      </c>
      <c r="K238" s="89">
        <f>B238*3.25</f>
        <v>12450.75</v>
      </c>
      <c r="L238" s="122">
        <f>SUM(I238:K238)</f>
        <v>12450.75</v>
      </c>
      <c r="M238" s="810">
        <f>IF(ISERROR(L238/(F238*752)),0,L238/(F238*752))</f>
        <v>1.0804521276595744</v>
      </c>
      <c r="N238" s="752"/>
      <c r="O238" s="259"/>
      <c r="P238" s="259"/>
      <c r="Q238" s="259"/>
      <c r="R238" s="259"/>
      <c r="S238" s="259"/>
      <c r="T238" s="259"/>
      <c r="U238" s="259"/>
    </row>
    <row r="239" spans="1:21" s="274" customFormat="1" ht="17" thickBot="1">
      <c r="A239" s="40" t="s">
        <v>60</v>
      </c>
      <c r="B239" s="642">
        <f>SUM(B221:C238)</f>
        <v>5079</v>
      </c>
      <c r="C239" s="643"/>
      <c r="D239" s="850">
        <f>SUM(D221:E238)</f>
        <v>20664667.199999999</v>
      </c>
      <c r="E239" s="851"/>
      <c r="F239" s="707">
        <f>SUM(F221:G238)</f>
        <v>63.407999999999994</v>
      </c>
      <c r="G239" s="708"/>
      <c r="H239" s="253">
        <f>SUM(H221:H238)</f>
        <v>812.61800000000005</v>
      </c>
      <c r="I239" s="93">
        <f>SUM(I221:I238)</f>
        <v>0</v>
      </c>
      <c r="J239" s="93">
        <f>SUM(J221:J238)</f>
        <v>93753</v>
      </c>
      <c r="K239" s="93">
        <f>SUM(K221:K238)</f>
        <v>255758.75</v>
      </c>
      <c r="L239" s="93">
        <f>SUM(L221:L238)</f>
        <v>349511.75</v>
      </c>
      <c r="M239" s="852"/>
      <c r="N239" s="853"/>
      <c r="O239" s="613"/>
      <c r="P239" s="613"/>
      <c r="Q239" s="613"/>
      <c r="R239" s="613"/>
      <c r="S239" s="613"/>
      <c r="T239" s="613"/>
      <c r="U239" s="613"/>
    </row>
    <row r="240" spans="1:21" s="530" customFormat="1" ht="17" thickBot="1">
      <c r="A240" s="531" t="s">
        <v>17</v>
      </c>
      <c r="B240" s="621">
        <f>B239+B215</f>
        <v>6672</v>
      </c>
      <c r="C240" s="622"/>
      <c r="D240" s="623">
        <f>SUM(,D215,D219,D239)</f>
        <v>29425744.905200001</v>
      </c>
      <c r="E240" s="622"/>
      <c r="F240" s="773">
        <f>SUM(,F215,F219,F239)</f>
        <v>90.160799999999995</v>
      </c>
      <c r="G240" s="713"/>
      <c r="H240" s="532">
        <f>(H239+H215+H219)</f>
        <v>1129.6179999999999</v>
      </c>
      <c r="I240" s="533">
        <f>SUM(,I215,I219,I239)</f>
        <v>6638.42</v>
      </c>
      <c r="J240" s="533">
        <f>SUM(,J215,J219,J239)</f>
        <v>142416.5</v>
      </c>
      <c r="K240" s="533">
        <f>SUM(,K215,K219,K239)</f>
        <v>346936.77</v>
      </c>
      <c r="L240" s="533">
        <f>SUM(,L215,L219,L239)</f>
        <v>495991.69</v>
      </c>
      <c r="M240" s="624"/>
      <c r="N240" s="625"/>
      <c r="O240" s="135"/>
      <c r="P240" s="135"/>
      <c r="Q240" s="135"/>
      <c r="R240" s="135"/>
      <c r="S240" s="135"/>
      <c r="T240" s="135"/>
      <c r="U240" s="135"/>
    </row>
    <row r="241" spans="1:21">
      <c r="A241" s="164"/>
      <c r="B241" s="169"/>
      <c r="C241" s="169"/>
      <c r="D241" s="169"/>
      <c r="E241" s="169"/>
      <c r="F241" s="224"/>
      <c r="G241" s="224"/>
      <c r="H241" s="224"/>
      <c r="I241" s="170"/>
      <c r="J241" s="170"/>
      <c r="K241" s="170"/>
      <c r="L241" s="170"/>
      <c r="M241" s="183"/>
      <c r="N241" s="183"/>
    </row>
    <row r="242" spans="1:21" ht="18">
      <c r="A242" s="171" t="s">
        <v>167</v>
      </c>
      <c r="B242" s="690" t="s">
        <v>59</v>
      </c>
      <c r="C242" s="690"/>
      <c r="D242" s="690"/>
      <c r="E242" s="690"/>
      <c r="F242" s="224"/>
      <c r="G242" s="224"/>
      <c r="H242" s="224"/>
      <c r="I242" s="170"/>
      <c r="J242" s="170"/>
      <c r="K242" s="170"/>
      <c r="L242" s="170"/>
      <c r="M242" s="183"/>
      <c r="N242" s="183"/>
    </row>
    <row r="243" spans="1:21">
      <c r="B243" s="692" t="s">
        <v>19</v>
      </c>
      <c r="C243" s="692"/>
      <c r="D243" s="692"/>
      <c r="E243" s="692"/>
      <c r="F243" s="224"/>
      <c r="G243" s="224"/>
      <c r="H243" s="224"/>
      <c r="I243" s="170"/>
      <c r="J243" s="170"/>
      <c r="K243" s="170"/>
      <c r="L243" s="170"/>
      <c r="M243" s="183"/>
      <c r="N243" s="183"/>
    </row>
    <row r="244" spans="1:21" ht="17" thickBot="1">
      <c r="B244" s="244"/>
      <c r="C244" s="244"/>
      <c r="D244" s="244"/>
      <c r="E244" s="244"/>
      <c r="F244" s="224"/>
      <c r="G244" s="224"/>
      <c r="H244" s="224"/>
      <c r="I244" s="170"/>
      <c r="J244" s="170"/>
      <c r="K244" s="170"/>
      <c r="L244" s="170"/>
      <c r="M244" s="244"/>
      <c r="N244" s="244"/>
    </row>
    <row r="245" spans="1:21">
      <c r="A245" s="63"/>
      <c r="B245" s="64"/>
      <c r="C245" s="64"/>
      <c r="D245" s="64"/>
      <c r="E245" s="64"/>
      <c r="F245" s="200"/>
      <c r="G245" s="200"/>
      <c r="H245" s="200"/>
      <c r="I245" s="670" t="s">
        <v>0</v>
      </c>
      <c r="J245" s="670"/>
      <c r="K245" s="670"/>
      <c r="L245" s="670"/>
      <c r="M245" s="64"/>
      <c r="N245" s="65"/>
    </row>
    <row r="246" spans="1:21">
      <c r="A246" s="62"/>
      <c r="B246" s="671" t="s">
        <v>1</v>
      </c>
      <c r="C246" s="671"/>
      <c r="D246" s="671" t="s">
        <v>2</v>
      </c>
      <c r="E246" s="671"/>
      <c r="F246" s="672" t="s">
        <v>3</v>
      </c>
      <c r="G246" s="672"/>
      <c r="H246" s="245" t="s">
        <v>3</v>
      </c>
      <c r="I246" s="78" t="s">
        <v>135</v>
      </c>
      <c r="J246" s="66"/>
      <c r="K246" s="66"/>
      <c r="L246" s="79"/>
      <c r="M246" s="671" t="s">
        <v>4</v>
      </c>
      <c r="N246" s="674"/>
    </row>
    <row r="247" spans="1:21" ht="19" thickBot="1">
      <c r="A247" s="67" t="s">
        <v>5</v>
      </c>
      <c r="B247" s="675" t="s">
        <v>6</v>
      </c>
      <c r="C247" s="675"/>
      <c r="D247" s="675" t="s">
        <v>7</v>
      </c>
      <c r="E247" s="675"/>
      <c r="F247" s="676" t="s">
        <v>7</v>
      </c>
      <c r="G247" s="676"/>
      <c r="H247" s="248" t="s">
        <v>58</v>
      </c>
      <c r="I247" s="249" t="s">
        <v>136</v>
      </c>
      <c r="J247" s="247" t="s">
        <v>8</v>
      </c>
      <c r="K247" s="247" t="s">
        <v>9</v>
      </c>
      <c r="L247" s="187" t="s">
        <v>10</v>
      </c>
      <c r="M247" s="675" t="s">
        <v>103</v>
      </c>
      <c r="N247" s="678"/>
    </row>
    <row r="248" spans="1:21" ht="24" thickBot="1">
      <c r="A248" s="60" t="s">
        <v>144</v>
      </c>
      <c r="B248" s="735"/>
      <c r="C248" s="736"/>
      <c r="D248" s="737"/>
      <c r="E248" s="738"/>
      <c r="F248" s="739"/>
      <c r="G248" s="740"/>
      <c r="H248" s="250"/>
      <c r="I248" s="166"/>
      <c r="J248" s="166"/>
      <c r="K248" s="166"/>
      <c r="L248" s="167"/>
      <c r="M248" s="741"/>
      <c r="N248" s="742"/>
    </row>
    <row r="249" spans="1:21" s="530" customFormat="1" ht="17" thickBot="1">
      <c r="A249" s="71" t="s">
        <v>129</v>
      </c>
      <c r="B249" s="663"/>
      <c r="C249" s="716"/>
      <c r="D249" s="729"/>
      <c r="E249" s="716"/>
      <c r="F249" s="717"/>
      <c r="G249" s="718"/>
      <c r="H249" s="524"/>
      <c r="I249" s="72"/>
      <c r="J249" s="72"/>
      <c r="K249" s="72"/>
      <c r="L249" s="521"/>
      <c r="M249" s="719"/>
      <c r="N249" s="689"/>
      <c r="O249" s="135"/>
      <c r="P249" s="135"/>
      <c r="Q249" s="135"/>
      <c r="R249" s="135"/>
      <c r="S249" s="135"/>
      <c r="T249" s="135"/>
      <c r="U249" s="135"/>
    </row>
    <row r="250" spans="1:21" s="255" customFormat="1" ht="13">
      <c r="A250" s="54" t="s">
        <v>29</v>
      </c>
      <c r="B250" s="694">
        <f>Ontario!N215</f>
        <v>49</v>
      </c>
      <c r="C250" s="631"/>
      <c r="D250" s="630">
        <f t="shared" ref="D250:D255" si="61">F250*325851</f>
        <v>678584.70750000002</v>
      </c>
      <c r="E250" s="631"/>
      <c r="F250" s="695">
        <f>0.0425*B250</f>
        <v>2.0825</v>
      </c>
      <c r="G250" s="696"/>
      <c r="H250" s="427">
        <f>F250*20</f>
        <v>41.65</v>
      </c>
      <c r="I250" s="97">
        <v>0</v>
      </c>
      <c r="J250" s="96">
        <f>50*B250</f>
        <v>2450</v>
      </c>
      <c r="K250" s="96">
        <f>B250*50</f>
        <v>2450</v>
      </c>
      <c r="L250" s="106">
        <f t="shared" ref="L250:L255" si="62">I250+J250+K250</f>
        <v>4900</v>
      </c>
      <c r="M250" s="697">
        <f t="shared" ref="M250:M255" si="63">IF(ISERROR(L250/(F250*752)),0,L250/(F250*752))</f>
        <v>3.1289111389236548</v>
      </c>
      <c r="N250" s="698"/>
      <c r="O250" s="259"/>
      <c r="P250" s="259"/>
      <c r="Q250" s="259"/>
      <c r="R250" s="259"/>
      <c r="S250" s="259"/>
      <c r="T250" s="259"/>
      <c r="U250" s="259"/>
    </row>
    <row r="251" spans="1:21" s="255" customFormat="1" ht="13">
      <c r="A251" s="54" t="s">
        <v>33</v>
      </c>
      <c r="B251" s="693">
        <f>Ontario!N216</f>
        <v>140</v>
      </c>
      <c r="C251" s="631"/>
      <c r="D251" s="630">
        <f t="shared" si="61"/>
        <v>1259088.264</v>
      </c>
      <c r="E251" s="631"/>
      <c r="F251" s="695">
        <f>0.0276*B251</f>
        <v>3.8639999999999999</v>
      </c>
      <c r="G251" s="696"/>
      <c r="H251" s="427">
        <f>F251*15</f>
        <v>57.96</v>
      </c>
      <c r="I251" s="96">
        <f>0*B251</f>
        <v>0</v>
      </c>
      <c r="J251" s="96">
        <f>B251*65</f>
        <v>9100</v>
      </c>
      <c r="K251" s="96">
        <f>B251*85</f>
        <v>11900</v>
      </c>
      <c r="L251" s="106">
        <f t="shared" si="62"/>
        <v>21000</v>
      </c>
      <c r="M251" s="697">
        <f t="shared" si="63"/>
        <v>7.227104532839963</v>
      </c>
      <c r="N251" s="698"/>
      <c r="O251" s="259"/>
      <c r="P251" s="259"/>
      <c r="Q251" s="259"/>
      <c r="R251" s="259"/>
      <c r="S251" s="259"/>
      <c r="T251" s="259"/>
      <c r="U251" s="259"/>
    </row>
    <row r="252" spans="1:21" s="255" customFormat="1" ht="13">
      <c r="A252" s="54" t="s">
        <v>56</v>
      </c>
      <c r="B252" s="693">
        <f>Ontario!N217</f>
        <v>0</v>
      </c>
      <c r="C252" s="631"/>
      <c r="D252" s="630">
        <f t="shared" si="61"/>
        <v>0</v>
      </c>
      <c r="E252" s="631"/>
      <c r="F252" s="695">
        <f>0.0044*B252</f>
        <v>0</v>
      </c>
      <c r="G252" s="696"/>
      <c r="H252" s="427">
        <f>F252*5</f>
        <v>0</v>
      </c>
      <c r="I252" s="96">
        <f>0*B252</f>
        <v>0</v>
      </c>
      <c r="J252" s="96">
        <f>1*B252</f>
        <v>0</v>
      </c>
      <c r="K252" s="96">
        <f>B252*4</f>
        <v>0</v>
      </c>
      <c r="L252" s="106">
        <f t="shared" si="62"/>
        <v>0</v>
      </c>
      <c r="M252" s="697">
        <f t="shared" si="63"/>
        <v>0</v>
      </c>
      <c r="N252" s="698"/>
      <c r="O252" s="259"/>
      <c r="P252" s="259"/>
      <c r="Q252" s="259"/>
      <c r="R252" s="259"/>
      <c r="S252" s="259"/>
      <c r="T252" s="259"/>
      <c r="U252" s="259"/>
    </row>
    <row r="253" spans="1:21" s="255" customFormat="1" ht="13">
      <c r="A253" s="54" t="s">
        <v>52</v>
      </c>
      <c r="B253" s="693">
        <f>Ontario!N218</f>
        <v>2</v>
      </c>
      <c r="C253" s="631"/>
      <c r="D253" s="630">
        <f t="shared" si="61"/>
        <v>211803.15</v>
      </c>
      <c r="E253" s="631"/>
      <c r="F253" s="720">
        <f>0.325*B253</f>
        <v>0.65</v>
      </c>
      <c r="G253" s="721"/>
      <c r="H253" s="429">
        <f>F253*10</f>
        <v>6.5</v>
      </c>
      <c r="I253" s="97">
        <v>0</v>
      </c>
      <c r="J253" s="107">
        <f>70*B253</f>
        <v>140</v>
      </c>
      <c r="K253" s="107">
        <f>B253*80</f>
        <v>160</v>
      </c>
      <c r="L253" s="108">
        <f t="shared" si="62"/>
        <v>300</v>
      </c>
      <c r="M253" s="697">
        <f t="shared" si="63"/>
        <v>0.61374795417348604</v>
      </c>
      <c r="N253" s="698"/>
      <c r="O253" s="259"/>
      <c r="P253" s="259"/>
      <c r="Q253" s="259"/>
      <c r="R253" s="259"/>
      <c r="S253" s="259"/>
      <c r="T253" s="259"/>
      <c r="U253" s="259"/>
    </row>
    <row r="254" spans="1:21" s="255" customFormat="1" ht="13" hidden="1">
      <c r="A254" s="53" t="s">
        <v>123</v>
      </c>
      <c r="B254" s="693">
        <f>Ontario!N219</f>
        <v>0</v>
      </c>
      <c r="C254" s="631"/>
      <c r="D254" s="630">
        <f t="shared" si="61"/>
        <v>0</v>
      </c>
      <c r="E254" s="631"/>
      <c r="F254" s="720">
        <f>0.325*B254</f>
        <v>0</v>
      </c>
      <c r="G254" s="721"/>
      <c r="H254" s="429">
        <f>F254*10</f>
        <v>0</v>
      </c>
      <c r="I254" s="97">
        <v>0</v>
      </c>
      <c r="J254" s="107">
        <f>70*B254</f>
        <v>0</v>
      </c>
      <c r="K254" s="107">
        <f>B254*80</f>
        <v>0</v>
      </c>
      <c r="L254" s="108">
        <f t="shared" si="62"/>
        <v>0</v>
      </c>
      <c r="M254" s="697">
        <f t="shared" si="63"/>
        <v>0</v>
      </c>
      <c r="N254" s="698"/>
      <c r="O254" s="259"/>
      <c r="P254" s="259"/>
      <c r="Q254" s="259"/>
      <c r="R254" s="259"/>
      <c r="S254" s="259"/>
      <c r="T254" s="259"/>
      <c r="U254" s="259"/>
    </row>
    <row r="255" spans="1:21" s="255" customFormat="1" ht="14" thickBot="1">
      <c r="A255" s="53" t="s">
        <v>147</v>
      </c>
      <c r="B255" s="693">
        <f>Ontario!N220</f>
        <v>0</v>
      </c>
      <c r="C255" s="631"/>
      <c r="D255" s="630">
        <f t="shared" si="61"/>
        <v>0</v>
      </c>
      <c r="E255" s="631"/>
      <c r="F255" s="720">
        <f>0.325*B255</f>
        <v>0</v>
      </c>
      <c r="G255" s="721"/>
      <c r="H255" s="429">
        <f>F255*5</f>
        <v>0</v>
      </c>
      <c r="I255" s="97">
        <v>0</v>
      </c>
      <c r="J255" s="107">
        <f>0*B255</f>
        <v>0</v>
      </c>
      <c r="K255" s="107">
        <f>B255*75</f>
        <v>0</v>
      </c>
      <c r="L255" s="108">
        <f t="shared" si="62"/>
        <v>0</v>
      </c>
      <c r="M255" s="697">
        <f t="shared" si="63"/>
        <v>0</v>
      </c>
      <c r="N255" s="698"/>
      <c r="O255" s="259"/>
      <c r="P255" s="259"/>
      <c r="Q255" s="259"/>
      <c r="R255" s="259"/>
      <c r="S255" s="259"/>
      <c r="T255" s="259"/>
      <c r="U255" s="259"/>
    </row>
    <row r="256" spans="1:21" s="530" customFormat="1" ht="17" thickBot="1">
      <c r="A256" s="71" t="s">
        <v>130</v>
      </c>
      <c r="B256" s="662"/>
      <c r="C256" s="716"/>
      <c r="D256" s="729"/>
      <c r="E256" s="716"/>
      <c r="F256" s="813"/>
      <c r="G256" s="814"/>
      <c r="H256" s="528"/>
      <c r="I256" s="116"/>
      <c r="J256" s="116"/>
      <c r="K256" s="116"/>
      <c r="L256" s="117"/>
      <c r="M256" s="815"/>
      <c r="N256" s="816"/>
      <c r="O256" s="135"/>
      <c r="P256" s="135"/>
      <c r="Q256" s="135"/>
      <c r="R256" s="135"/>
      <c r="S256" s="135"/>
      <c r="T256" s="135"/>
      <c r="U256" s="135"/>
    </row>
    <row r="257" spans="1:21" s="255" customFormat="1" ht="13">
      <c r="A257" s="53" t="s">
        <v>141</v>
      </c>
      <c r="B257" s="799">
        <f>Ontario!N222</f>
        <v>1014</v>
      </c>
      <c r="C257" s="800"/>
      <c r="D257" s="630">
        <f>F257*325851</f>
        <v>1321651.656</v>
      </c>
      <c r="E257" s="631"/>
      <c r="F257" s="720">
        <f>B257*0.004</f>
        <v>4.056</v>
      </c>
      <c r="G257" s="721"/>
      <c r="H257" s="429">
        <f>F257*5</f>
        <v>20.28</v>
      </c>
      <c r="I257" s="97">
        <v>0</v>
      </c>
      <c r="J257" s="97">
        <v>0</v>
      </c>
      <c r="K257" s="107">
        <f>B257*3.25</f>
        <v>3295.5</v>
      </c>
      <c r="L257" s="108">
        <f>I257+J257+K257</f>
        <v>3295.5</v>
      </c>
      <c r="M257" s="697">
        <f>IF(ISERROR(L257/(F257*752)),0,L257/(F257*752))</f>
        <v>1.0804521276595744</v>
      </c>
      <c r="N257" s="698"/>
      <c r="O257" s="259"/>
      <c r="P257" s="259"/>
      <c r="Q257" s="259"/>
      <c r="R257" s="259"/>
      <c r="S257" s="259"/>
      <c r="T257" s="259"/>
      <c r="U257" s="259"/>
    </row>
    <row r="258" spans="1:21" s="255" customFormat="1" ht="13">
      <c r="A258" s="53" t="s">
        <v>150</v>
      </c>
      <c r="B258" s="693">
        <f>Ontario!N223</f>
        <v>31</v>
      </c>
      <c r="C258" s="631"/>
      <c r="D258" s="630">
        <f>F258*325851</f>
        <v>755974.32</v>
      </c>
      <c r="E258" s="631"/>
      <c r="F258" s="702">
        <v>2.3199999999999998</v>
      </c>
      <c r="G258" s="703"/>
      <c r="H258" s="436">
        <v>179</v>
      </c>
      <c r="I258" s="97">
        <v>15080.47</v>
      </c>
      <c r="J258" s="107">
        <v>0</v>
      </c>
      <c r="K258" s="97">
        <v>15080.47</v>
      </c>
      <c r="L258" s="105">
        <f>SUM(I258:K258)</f>
        <v>30160.94</v>
      </c>
      <c r="M258" s="697">
        <f>IF(ISERROR(L258/(F258*752)),0,L258/(F258*752))</f>
        <v>17.287772835656639</v>
      </c>
      <c r="N258" s="698"/>
      <c r="O258" s="259"/>
      <c r="P258" s="259"/>
      <c r="Q258" s="259"/>
      <c r="R258" s="259"/>
      <c r="S258" s="259"/>
      <c r="T258" s="259"/>
      <c r="U258" s="259"/>
    </row>
    <row r="259" spans="1:21" s="255" customFormat="1" ht="14" thickBot="1">
      <c r="A259" s="53" t="s">
        <v>149</v>
      </c>
      <c r="B259" s="747">
        <f>Ontario!N224</f>
        <v>11</v>
      </c>
      <c r="C259" s="748"/>
      <c r="D259" s="630">
        <f>F259*325851</f>
        <v>482239.92893999995</v>
      </c>
      <c r="E259" s="631"/>
      <c r="F259" s="730">
        <f>10571*0.00014</f>
        <v>1.4799399999999998</v>
      </c>
      <c r="G259" s="731"/>
      <c r="H259" s="436">
        <f>F259*10</f>
        <v>14.799399999999999</v>
      </c>
      <c r="I259" s="97">
        <v>0</v>
      </c>
      <c r="J259" s="107">
        <v>17121.93</v>
      </c>
      <c r="K259" s="97">
        <v>14571</v>
      </c>
      <c r="L259" s="105">
        <v>0</v>
      </c>
      <c r="M259" s="697">
        <f>IF(ISERROR(L259/(F259*752)),0,L259/(F259*752))</f>
        <v>0</v>
      </c>
      <c r="N259" s="698"/>
      <c r="O259" s="259"/>
      <c r="P259" s="259"/>
      <c r="Q259" s="259"/>
      <c r="R259" s="259"/>
      <c r="S259" s="259"/>
      <c r="T259" s="259"/>
      <c r="U259" s="259"/>
    </row>
    <row r="260" spans="1:21" s="275" customFormat="1" ht="14" thickBot="1">
      <c r="A260" s="40" t="s">
        <v>60</v>
      </c>
      <c r="B260" s="642">
        <f>SUM(B250:C259)</f>
        <v>1247</v>
      </c>
      <c r="C260" s="643"/>
      <c r="D260" s="644">
        <f>SUM(D250:E259)</f>
        <v>4709342.0264400002</v>
      </c>
      <c r="E260" s="725"/>
      <c r="F260" s="726">
        <f>SUM(F250:G259)</f>
        <v>14.452439999999999</v>
      </c>
      <c r="G260" s="708"/>
      <c r="H260" s="253">
        <f>SUM(H250:H259)</f>
        <v>320.18939999999998</v>
      </c>
      <c r="I260" s="93">
        <f>SUM(I250:I259)</f>
        <v>15080.47</v>
      </c>
      <c r="J260" s="93">
        <f>SUM(J250:J259)</f>
        <v>28811.93</v>
      </c>
      <c r="K260" s="93">
        <f>SUM(K250:K259)</f>
        <v>47456.97</v>
      </c>
      <c r="L260" s="152">
        <f>SUM(L250:L259)</f>
        <v>59656.44</v>
      </c>
      <c r="M260" s="645"/>
      <c r="N260" s="732"/>
      <c r="O260" s="276"/>
      <c r="P260" s="276"/>
      <c r="Q260" s="276"/>
      <c r="R260" s="276"/>
      <c r="S260" s="276"/>
      <c r="T260" s="276"/>
      <c r="U260" s="276"/>
    </row>
    <row r="261" spans="1:21" ht="17" hidden="1" thickBot="1">
      <c r="A261" s="71" t="s">
        <v>131</v>
      </c>
      <c r="B261" s="662"/>
      <c r="C261" s="716"/>
      <c r="D261" s="663"/>
      <c r="E261" s="716"/>
      <c r="F261" s="717"/>
      <c r="G261" s="718"/>
      <c r="H261" s="251"/>
      <c r="I261" s="116"/>
      <c r="J261" s="116"/>
      <c r="K261" s="116"/>
      <c r="L261" s="117"/>
      <c r="M261" s="815"/>
      <c r="N261" s="816"/>
    </row>
    <row r="262" spans="1:21" s="255" customFormat="1" ht="13" hidden="1">
      <c r="A262" s="53" t="s">
        <v>104</v>
      </c>
      <c r="B262" s="799">
        <f>Ontario!N227</f>
        <v>0</v>
      </c>
      <c r="C262" s="800"/>
      <c r="D262" s="694">
        <f>F262*325851</f>
        <v>0</v>
      </c>
      <c r="E262" s="631"/>
      <c r="F262" s="733">
        <f>0.0425*B262</f>
        <v>0</v>
      </c>
      <c r="G262" s="734"/>
      <c r="H262" s="252">
        <f>F262*20</f>
        <v>0</v>
      </c>
      <c r="I262" s="89">
        <f>73.34*B262</f>
        <v>0</v>
      </c>
      <c r="J262" s="89">
        <f>35.66*B262</f>
        <v>0</v>
      </c>
      <c r="K262" s="89">
        <f>B262*50</f>
        <v>0</v>
      </c>
      <c r="L262" s="122">
        <f>I262+J262+K262</f>
        <v>0</v>
      </c>
      <c r="M262" s="697">
        <f>IF(ISERROR(L262/(F262*727)),0,L262/(F262*727))</f>
        <v>0</v>
      </c>
      <c r="N262" s="698"/>
      <c r="O262" s="259"/>
      <c r="P262" s="259"/>
      <c r="Q262" s="259"/>
      <c r="R262" s="259"/>
      <c r="S262" s="259"/>
      <c r="T262" s="259"/>
      <c r="U262" s="259"/>
    </row>
    <row r="263" spans="1:21" s="255" customFormat="1" ht="14" hidden="1" thickBot="1">
      <c r="A263" s="53" t="s">
        <v>122</v>
      </c>
      <c r="B263" s="747">
        <f>Ontario!N228</f>
        <v>0</v>
      </c>
      <c r="C263" s="748"/>
      <c r="D263" s="694">
        <f>F263*325851</f>
        <v>0</v>
      </c>
      <c r="E263" s="631"/>
      <c r="F263" s="733">
        <f>0.0425*B263</f>
        <v>0</v>
      </c>
      <c r="G263" s="734"/>
      <c r="H263" s="252">
        <f>F263*20</f>
        <v>0</v>
      </c>
      <c r="I263" s="89">
        <f>73.34*B263</f>
        <v>0</v>
      </c>
      <c r="J263" s="89">
        <f>35.66*B263</f>
        <v>0</v>
      </c>
      <c r="K263" s="89">
        <f>B263*50</f>
        <v>0</v>
      </c>
      <c r="L263" s="122">
        <f>I263+J263+K263</f>
        <v>0</v>
      </c>
      <c r="M263" s="697">
        <f>IF(ISERROR(L263/(F263*727)),0,L263/(F263*727))</f>
        <v>0</v>
      </c>
      <c r="N263" s="698"/>
      <c r="O263" s="259"/>
      <c r="P263" s="259"/>
      <c r="Q263" s="259"/>
      <c r="R263" s="259"/>
      <c r="S263" s="259"/>
      <c r="T263" s="259"/>
      <c r="U263" s="259"/>
    </row>
    <row r="264" spans="1:21" s="275" customFormat="1" ht="14" hidden="1" thickBot="1">
      <c r="A264" s="40" t="s">
        <v>60</v>
      </c>
      <c r="B264" s="642">
        <f>SUM(B262:B263)</f>
        <v>0</v>
      </c>
      <c r="C264" s="643"/>
      <c r="D264" s="644">
        <f>SUM(D262:D263)</f>
        <v>0</v>
      </c>
      <c r="E264" s="706"/>
      <c r="F264" s="808">
        <f>SUM(F262:F263)</f>
        <v>0</v>
      </c>
      <c r="G264" s="708"/>
      <c r="H264" s="253">
        <f>SUM(H262:H263)</f>
        <v>0</v>
      </c>
      <c r="I264" s="93">
        <f>SUM(I262:I263)</f>
        <v>0</v>
      </c>
      <c r="J264" s="99">
        <f>SUM(J262:J263)</f>
        <v>0</v>
      </c>
      <c r="K264" s="99">
        <f>SUM(K262:K263)</f>
        <v>0</v>
      </c>
      <c r="L264" s="93">
        <f>SUM(L262:L263)</f>
        <v>0</v>
      </c>
      <c r="M264" s="709"/>
      <c r="N264" s="710"/>
      <c r="O264" s="276"/>
      <c r="P264" s="276"/>
      <c r="Q264" s="276"/>
      <c r="R264" s="276"/>
      <c r="S264" s="276"/>
      <c r="T264" s="276"/>
      <c r="U264" s="276"/>
    </row>
    <row r="265" spans="1:21" s="530" customFormat="1" ht="17" thickBot="1">
      <c r="A265" s="71" t="s">
        <v>134</v>
      </c>
      <c r="B265" s="662"/>
      <c r="C265" s="716"/>
      <c r="D265" s="663"/>
      <c r="E265" s="716"/>
      <c r="F265" s="717"/>
      <c r="G265" s="718"/>
      <c r="H265" s="524"/>
      <c r="I265" s="100"/>
      <c r="J265" s="100"/>
      <c r="K265" s="100"/>
      <c r="L265" s="101"/>
      <c r="M265" s="719"/>
      <c r="N265" s="689"/>
      <c r="O265" s="135"/>
      <c r="P265" s="135"/>
      <c r="Q265" s="135"/>
      <c r="R265" s="135"/>
      <c r="S265" s="135"/>
      <c r="T265" s="135"/>
      <c r="U265" s="135"/>
    </row>
    <row r="266" spans="1:21">
      <c r="A266" s="54" t="s">
        <v>29</v>
      </c>
      <c r="B266" s="799">
        <f>Ontario!N231</f>
        <v>97</v>
      </c>
      <c r="C266" s="800"/>
      <c r="D266" s="694">
        <f t="shared" ref="D266:D278" si="64">F266*325851</f>
        <v>1343320.7475000001</v>
      </c>
      <c r="E266" s="631"/>
      <c r="F266" s="695">
        <f>0.0425*B266</f>
        <v>4.1225000000000005</v>
      </c>
      <c r="G266" s="696"/>
      <c r="H266" s="427">
        <f>F266*20</f>
        <v>82.450000000000017</v>
      </c>
      <c r="I266" s="107">
        <v>0</v>
      </c>
      <c r="J266" s="96">
        <v>4850</v>
      </c>
      <c r="K266" s="96">
        <v>9700</v>
      </c>
      <c r="L266" s="106">
        <f t="shared" ref="L266:L278" si="65">SUM(I266:K266)</f>
        <v>14550</v>
      </c>
      <c r="M266" s="697">
        <f>IF(ISERROR(L266/(F266*752)),0,L266/(F266*752))</f>
        <v>4.6933667083854811</v>
      </c>
      <c r="N266" s="698"/>
    </row>
    <row r="267" spans="1:21">
      <c r="A267" s="54" t="s">
        <v>51</v>
      </c>
      <c r="B267" s="693">
        <f>Ontario!N232</f>
        <v>0</v>
      </c>
      <c r="C267" s="631"/>
      <c r="D267" s="694">
        <f t="shared" si="64"/>
        <v>0</v>
      </c>
      <c r="E267" s="631"/>
      <c r="F267" s="695">
        <f>0.1227*B267</f>
        <v>0</v>
      </c>
      <c r="G267" s="696"/>
      <c r="H267" s="427">
        <f>F267*20</f>
        <v>0</v>
      </c>
      <c r="I267" s="97">
        <v>0</v>
      </c>
      <c r="J267" s="96">
        <f>50*B267</f>
        <v>0</v>
      </c>
      <c r="K267" s="96">
        <f>200*B267</f>
        <v>0</v>
      </c>
      <c r="L267" s="106">
        <f t="shared" si="65"/>
        <v>0</v>
      </c>
      <c r="M267" s="697">
        <f t="shared" ref="M267:M279" si="66">IF(ISERROR(L267/(F267*752)),0,L267/(F267*752))</f>
        <v>0</v>
      </c>
      <c r="N267" s="698"/>
    </row>
    <row r="268" spans="1:21">
      <c r="A268" s="54" t="s">
        <v>140</v>
      </c>
      <c r="B268" s="693">
        <f>Ontario!N233</f>
        <v>0</v>
      </c>
      <c r="C268" s="631"/>
      <c r="D268" s="694">
        <f t="shared" si="64"/>
        <v>0</v>
      </c>
      <c r="E268" s="631"/>
      <c r="F268" s="695">
        <f>0.1227*B268</f>
        <v>0</v>
      </c>
      <c r="G268" s="696"/>
      <c r="H268" s="427">
        <f>F268*5</f>
        <v>0</v>
      </c>
      <c r="I268" s="97">
        <v>0</v>
      </c>
      <c r="J268" s="96">
        <f>B268*1000</f>
        <v>0</v>
      </c>
      <c r="K268" s="96">
        <f>B268*1750</f>
        <v>0</v>
      </c>
      <c r="L268" s="106">
        <f t="shared" si="65"/>
        <v>0</v>
      </c>
      <c r="M268" s="697">
        <f t="shared" si="66"/>
        <v>0</v>
      </c>
      <c r="N268" s="698"/>
    </row>
    <row r="269" spans="1:21" hidden="1">
      <c r="A269" s="54" t="s">
        <v>13</v>
      </c>
      <c r="B269" s="693">
        <f>Ontario!N234</f>
        <v>0</v>
      </c>
      <c r="C269" s="631"/>
      <c r="D269" s="694">
        <f t="shared" si="64"/>
        <v>0</v>
      </c>
      <c r="E269" s="631"/>
      <c r="F269" s="695">
        <f>0.1075*B269</f>
        <v>0</v>
      </c>
      <c r="G269" s="696"/>
      <c r="H269" s="427">
        <f>F269*10</f>
        <v>0</v>
      </c>
      <c r="I269" s="97">
        <v>0</v>
      </c>
      <c r="J269" s="96">
        <f>100*B269</f>
        <v>0</v>
      </c>
      <c r="K269" s="96">
        <f>80*B269</f>
        <v>0</v>
      </c>
      <c r="L269" s="106">
        <f t="shared" si="65"/>
        <v>0</v>
      </c>
      <c r="M269" s="697">
        <f t="shared" si="66"/>
        <v>0</v>
      </c>
      <c r="N269" s="698"/>
    </row>
    <row r="270" spans="1:21" hidden="1">
      <c r="A270" s="53" t="s">
        <v>47</v>
      </c>
      <c r="B270" s="693">
        <f>Ontario!N235</f>
        <v>0</v>
      </c>
      <c r="C270" s="631"/>
      <c r="D270" s="694">
        <f t="shared" si="64"/>
        <v>0</v>
      </c>
      <c r="E270" s="631"/>
      <c r="F270" s="695">
        <f>0.1534*B270</f>
        <v>0</v>
      </c>
      <c r="G270" s="696"/>
      <c r="H270" s="427">
        <f>F270*5</f>
        <v>0</v>
      </c>
      <c r="I270" s="97">
        <v>0</v>
      </c>
      <c r="J270" s="96">
        <f>0*B270</f>
        <v>0</v>
      </c>
      <c r="K270" s="96">
        <f>150*B270</f>
        <v>0</v>
      </c>
      <c r="L270" s="106">
        <f t="shared" si="65"/>
        <v>0</v>
      </c>
      <c r="M270" s="697">
        <f t="shared" si="66"/>
        <v>0</v>
      </c>
      <c r="N270" s="698"/>
    </row>
    <row r="271" spans="1:21">
      <c r="A271" s="53" t="s">
        <v>30</v>
      </c>
      <c r="B271" s="693">
        <f>Ontario!N236</f>
        <v>8</v>
      </c>
      <c r="C271" s="631"/>
      <c r="D271" s="694">
        <f t="shared" si="64"/>
        <v>847212.6</v>
      </c>
      <c r="E271" s="631"/>
      <c r="F271" s="695">
        <f>0.325*B271</f>
        <v>2.6</v>
      </c>
      <c r="G271" s="696"/>
      <c r="H271" s="427">
        <f>F271*10</f>
        <v>26</v>
      </c>
      <c r="I271" s="97">
        <v>0</v>
      </c>
      <c r="J271" s="97">
        <v>1398</v>
      </c>
      <c r="K271" s="97">
        <v>5386</v>
      </c>
      <c r="L271" s="106">
        <f t="shared" si="65"/>
        <v>6784</v>
      </c>
      <c r="M271" s="697">
        <f t="shared" si="66"/>
        <v>3.4697217675941081</v>
      </c>
      <c r="N271" s="698"/>
    </row>
    <row r="272" spans="1:21" hidden="1">
      <c r="A272" s="53" t="s">
        <v>53</v>
      </c>
      <c r="B272" s="693">
        <f>Ontario!N237</f>
        <v>0</v>
      </c>
      <c r="C272" s="631"/>
      <c r="D272" s="694">
        <f t="shared" si="64"/>
        <v>0</v>
      </c>
      <c r="E272" s="631"/>
      <c r="F272" s="695">
        <f>0.00014*B272</f>
        <v>0</v>
      </c>
      <c r="G272" s="696"/>
      <c r="H272" s="427">
        <f>F272*10</f>
        <v>0</v>
      </c>
      <c r="I272" s="97">
        <v>0</v>
      </c>
      <c r="J272" s="96">
        <f>0.45*B272</f>
        <v>0</v>
      </c>
      <c r="K272" s="96">
        <f>0.3*B272</f>
        <v>0</v>
      </c>
      <c r="L272" s="106">
        <f t="shared" si="65"/>
        <v>0</v>
      </c>
      <c r="M272" s="697">
        <f t="shared" si="66"/>
        <v>0</v>
      </c>
      <c r="N272" s="698"/>
    </row>
    <row r="273" spans="1:21">
      <c r="A273" s="53" t="s">
        <v>56</v>
      </c>
      <c r="B273" s="693">
        <f>Ontario!N238</f>
        <v>232</v>
      </c>
      <c r="C273" s="631"/>
      <c r="D273" s="694">
        <f t="shared" si="64"/>
        <v>302389.728</v>
      </c>
      <c r="E273" s="631"/>
      <c r="F273" s="695">
        <f>0.004*B273</f>
        <v>0.92800000000000005</v>
      </c>
      <c r="G273" s="696"/>
      <c r="H273" s="427">
        <f>F273*5</f>
        <v>4.6400000000000006</v>
      </c>
      <c r="I273" s="97">
        <v>0</v>
      </c>
      <c r="J273" s="96">
        <f>1*B273</f>
        <v>232</v>
      </c>
      <c r="K273" s="96">
        <v>928</v>
      </c>
      <c r="L273" s="106">
        <f t="shared" si="65"/>
        <v>1160</v>
      </c>
      <c r="M273" s="697">
        <f t="shared" si="66"/>
        <v>1.6622340425531914</v>
      </c>
      <c r="N273" s="698"/>
    </row>
    <row r="274" spans="1:21">
      <c r="A274" s="53" t="s">
        <v>89</v>
      </c>
      <c r="B274" s="693">
        <f>Ontario!N239</f>
        <v>0</v>
      </c>
      <c r="C274" s="631"/>
      <c r="D274" s="694">
        <f t="shared" si="64"/>
        <v>0</v>
      </c>
      <c r="E274" s="631"/>
      <c r="F274" s="695">
        <f>0.018*B274</f>
        <v>0</v>
      </c>
      <c r="G274" s="696"/>
      <c r="H274" s="427">
        <f>F274*10</f>
        <v>0</v>
      </c>
      <c r="I274" s="97">
        <v>0</v>
      </c>
      <c r="J274" s="96">
        <f>0*B274</f>
        <v>0</v>
      </c>
      <c r="K274" s="96">
        <f>13*B274</f>
        <v>0</v>
      </c>
      <c r="L274" s="106">
        <f t="shared" si="65"/>
        <v>0</v>
      </c>
      <c r="M274" s="697">
        <f t="shared" si="66"/>
        <v>0</v>
      </c>
      <c r="N274" s="698"/>
    </row>
    <row r="275" spans="1:21" hidden="1">
      <c r="A275" s="53" t="s">
        <v>83</v>
      </c>
      <c r="B275" s="693">
        <f>Ontario!N240</f>
        <v>0</v>
      </c>
      <c r="C275" s="631"/>
      <c r="D275" s="694">
        <f t="shared" si="64"/>
        <v>0</v>
      </c>
      <c r="E275" s="631"/>
      <c r="F275" s="695">
        <f>0.018*B275</f>
        <v>0</v>
      </c>
      <c r="G275" s="696"/>
      <c r="H275" s="427">
        <f>F275*10</f>
        <v>0</v>
      </c>
      <c r="I275" s="97">
        <v>0</v>
      </c>
      <c r="J275" s="96">
        <f>0*B275</f>
        <v>0</v>
      </c>
      <c r="K275" s="96">
        <f>13*B275</f>
        <v>0</v>
      </c>
      <c r="L275" s="106">
        <f t="shared" si="65"/>
        <v>0</v>
      </c>
      <c r="M275" s="697">
        <f t="shared" si="66"/>
        <v>0</v>
      </c>
      <c r="N275" s="698"/>
    </row>
    <row r="276" spans="1:21">
      <c r="A276" s="54" t="s">
        <v>124</v>
      </c>
      <c r="B276" s="693">
        <f>Ontario!N241</f>
        <v>0</v>
      </c>
      <c r="C276" s="631"/>
      <c r="D276" s="694">
        <f t="shared" si="64"/>
        <v>0</v>
      </c>
      <c r="E276" s="631"/>
      <c r="F276" s="695">
        <f>0.018*B276</f>
        <v>0</v>
      </c>
      <c r="G276" s="696"/>
      <c r="H276" s="427">
        <f>F276*10</f>
        <v>0</v>
      </c>
      <c r="I276" s="97">
        <v>0</v>
      </c>
      <c r="J276" s="96">
        <f>0*B276</f>
        <v>0</v>
      </c>
      <c r="K276" s="96">
        <f>13*B276</f>
        <v>0</v>
      </c>
      <c r="L276" s="106">
        <f t="shared" si="65"/>
        <v>0</v>
      </c>
      <c r="M276" s="697">
        <f t="shared" si="66"/>
        <v>0</v>
      </c>
      <c r="N276" s="698"/>
    </row>
    <row r="277" spans="1:21" s="168" customFormat="1">
      <c r="A277" s="70" t="s">
        <v>127</v>
      </c>
      <c r="B277" s="693">
        <f>Ontario!N242</f>
        <v>0</v>
      </c>
      <c r="C277" s="631"/>
      <c r="D277" s="701">
        <f t="shared" si="64"/>
        <v>0</v>
      </c>
      <c r="E277" s="700"/>
      <c r="F277" s="702">
        <f>B277*0.023</f>
        <v>0</v>
      </c>
      <c r="G277" s="703"/>
      <c r="H277" s="436">
        <f>F277*5</f>
        <v>0</v>
      </c>
      <c r="I277" s="97">
        <v>0</v>
      </c>
      <c r="J277" s="97">
        <f>10*B277</f>
        <v>0</v>
      </c>
      <c r="K277" s="97">
        <f>10*B277</f>
        <v>0</v>
      </c>
      <c r="L277" s="105">
        <f t="shared" si="65"/>
        <v>0</v>
      </c>
      <c r="M277" s="697">
        <f t="shared" si="66"/>
        <v>0</v>
      </c>
      <c r="N277" s="698"/>
      <c r="O277" s="135"/>
      <c r="P277" s="135"/>
      <c r="Q277" s="135"/>
      <c r="R277" s="135"/>
      <c r="S277" s="135"/>
      <c r="T277" s="135"/>
      <c r="U277" s="135"/>
    </row>
    <row r="278" spans="1:21" s="168" customFormat="1">
      <c r="A278" s="70" t="s">
        <v>128</v>
      </c>
      <c r="B278" s="693">
        <f>Ontario!N243</f>
        <v>0</v>
      </c>
      <c r="C278" s="631"/>
      <c r="D278" s="701">
        <f t="shared" si="64"/>
        <v>0</v>
      </c>
      <c r="E278" s="700"/>
      <c r="F278" s="702">
        <f>0.018*B278</f>
        <v>0</v>
      </c>
      <c r="G278" s="703"/>
      <c r="H278" s="436">
        <f>F278*10</f>
        <v>0</v>
      </c>
      <c r="I278" s="97">
        <v>0</v>
      </c>
      <c r="J278" s="97">
        <f>0*B278</f>
        <v>0</v>
      </c>
      <c r="K278" s="97">
        <f>13*B278</f>
        <v>0</v>
      </c>
      <c r="L278" s="105">
        <f t="shared" si="65"/>
        <v>0</v>
      </c>
      <c r="M278" s="697">
        <f t="shared" si="66"/>
        <v>0</v>
      </c>
      <c r="N278" s="698"/>
      <c r="O278" s="135"/>
      <c r="P278" s="135"/>
      <c r="Q278" s="135"/>
      <c r="R278" s="135"/>
      <c r="S278" s="135"/>
      <c r="T278" s="135"/>
      <c r="U278" s="135"/>
    </row>
    <row r="279" spans="1:21" s="168" customFormat="1" ht="17" thickBot="1">
      <c r="A279" s="70" t="s">
        <v>146</v>
      </c>
      <c r="B279" s="747">
        <f>Ontario!N244</f>
        <v>0</v>
      </c>
      <c r="C279" s="748"/>
      <c r="D279" s="821">
        <f>F279*325851</f>
        <v>0</v>
      </c>
      <c r="E279" s="822"/>
      <c r="F279" s="730">
        <f>0.018*B279</f>
        <v>0</v>
      </c>
      <c r="G279" s="731"/>
      <c r="H279" s="436">
        <f>F279*10</f>
        <v>0</v>
      </c>
      <c r="I279" s="97">
        <v>0</v>
      </c>
      <c r="J279" s="97">
        <f>0*B279</f>
        <v>0</v>
      </c>
      <c r="K279" s="97">
        <f>13*B279</f>
        <v>0</v>
      </c>
      <c r="L279" s="105">
        <f>SUM(I279:K279)</f>
        <v>0</v>
      </c>
      <c r="M279" s="697">
        <f t="shared" si="66"/>
        <v>0</v>
      </c>
      <c r="N279" s="698"/>
      <c r="O279" s="135"/>
      <c r="P279" s="135"/>
      <c r="Q279" s="135"/>
      <c r="R279" s="135"/>
      <c r="S279" s="135"/>
      <c r="T279" s="135"/>
      <c r="U279" s="135"/>
    </row>
    <row r="280" spans="1:21" s="530" customFormat="1" ht="17" thickBot="1">
      <c r="A280" s="71" t="s">
        <v>132</v>
      </c>
      <c r="B280" s="662"/>
      <c r="C280" s="663"/>
      <c r="D280" s="729"/>
      <c r="E280" s="716"/>
      <c r="F280" s="717"/>
      <c r="G280" s="718"/>
      <c r="H280" s="524"/>
      <c r="I280" s="100"/>
      <c r="J280" s="100"/>
      <c r="K280" s="100"/>
      <c r="L280" s="101"/>
      <c r="M280" s="719"/>
      <c r="N280" s="689"/>
      <c r="O280" s="135"/>
      <c r="P280" s="135"/>
      <c r="Q280" s="135"/>
      <c r="R280" s="135"/>
      <c r="S280" s="135"/>
      <c r="T280" s="135"/>
      <c r="U280" s="135"/>
    </row>
    <row r="281" spans="1:21" s="255" customFormat="1" ht="13" hidden="1">
      <c r="A281" s="53" t="s">
        <v>115</v>
      </c>
      <c r="B281" s="799">
        <f>Ontario!N246</f>
        <v>0</v>
      </c>
      <c r="C281" s="800"/>
      <c r="D281" s="694">
        <f>F281*325851</f>
        <v>0</v>
      </c>
      <c r="E281" s="631"/>
      <c r="F281" s="807">
        <f>0.018*B281</f>
        <v>0</v>
      </c>
      <c r="G281" s="806"/>
      <c r="H281" s="254">
        <f>F281*10</f>
        <v>0</v>
      </c>
      <c r="I281" s="156">
        <v>0</v>
      </c>
      <c r="J281" s="89">
        <f>0*B281</f>
        <v>0</v>
      </c>
      <c r="K281" s="89">
        <f>13*B281</f>
        <v>0</v>
      </c>
      <c r="L281" s="122">
        <f>SUM(I281:K281)</f>
        <v>0</v>
      </c>
      <c r="M281" s="697">
        <f>IF(ISERROR(L281/(F281*727)),0,L281/(F281*727))</f>
        <v>0</v>
      </c>
      <c r="N281" s="698"/>
      <c r="O281" s="259"/>
      <c r="P281" s="259"/>
      <c r="Q281" s="259"/>
      <c r="R281" s="259"/>
      <c r="S281" s="259"/>
      <c r="T281" s="259"/>
      <c r="U281" s="259"/>
    </row>
    <row r="282" spans="1:21" s="255" customFormat="1" ht="14" thickBot="1">
      <c r="A282" s="53" t="s">
        <v>113</v>
      </c>
      <c r="B282" s="747">
        <f>Ontario!N247</f>
        <v>1660</v>
      </c>
      <c r="C282" s="748"/>
      <c r="D282" s="694">
        <f>F282*325851</f>
        <v>2163650.64</v>
      </c>
      <c r="E282" s="631"/>
      <c r="F282" s="695">
        <f>0.004*B282</f>
        <v>6.6400000000000006</v>
      </c>
      <c r="G282" s="696"/>
      <c r="H282" s="427">
        <f>F282*5</f>
        <v>33.200000000000003</v>
      </c>
      <c r="I282" s="120">
        <v>0</v>
      </c>
      <c r="J282" s="89">
        <f>0*B282</f>
        <v>0</v>
      </c>
      <c r="K282" s="89">
        <f>B282*3.25</f>
        <v>5395</v>
      </c>
      <c r="L282" s="122">
        <f>SUM(I282:K282)</f>
        <v>5395</v>
      </c>
      <c r="M282" s="697">
        <f>IF(ISERROR(L282/(F282*752)),0,L282/(F282*752))</f>
        <v>1.0804521276595744</v>
      </c>
      <c r="N282" s="698"/>
      <c r="O282" s="259"/>
      <c r="P282" s="259"/>
      <c r="Q282" s="259"/>
      <c r="R282" s="259"/>
      <c r="S282" s="259"/>
      <c r="T282" s="259"/>
      <c r="U282" s="259"/>
    </row>
    <row r="283" spans="1:21" s="275" customFormat="1" ht="14" thickBot="1">
      <c r="A283" s="40" t="s">
        <v>60</v>
      </c>
      <c r="B283" s="817">
        <f>SUM(B266:C282)</f>
        <v>1997</v>
      </c>
      <c r="C283" s="818"/>
      <c r="D283" s="644">
        <f>SUM(D266:E282)</f>
        <v>4656573.7155000009</v>
      </c>
      <c r="E283" s="706"/>
      <c r="F283" s="707">
        <f>SUM(F266:G282)</f>
        <v>14.290500000000002</v>
      </c>
      <c r="G283" s="708"/>
      <c r="H283" s="253">
        <f>SUM(H266:H282)</f>
        <v>146.29000000000002</v>
      </c>
      <c r="I283" s="93">
        <f>SUM(I266:I282)</f>
        <v>0</v>
      </c>
      <c r="J283" s="93">
        <f>SUM(J266:J282)</f>
        <v>6480</v>
      </c>
      <c r="K283" s="93">
        <f>SUM(K266:K282)</f>
        <v>21409</v>
      </c>
      <c r="L283" s="93">
        <f>SUM(L266:L282)</f>
        <v>27889</v>
      </c>
      <c r="M283" s="709"/>
      <c r="N283" s="710"/>
      <c r="O283" s="276"/>
      <c r="P283" s="276"/>
      <c r="Q283" s="276"/>
      <c r="R283" s="276"/>
      <c r="S283" s="276"/>
      <c r="T283" s="276"/>
      <c r="U283" s="276"/>
    </row>
    <row r="284" spans="1:21" s="530" customFormat="1" ht="17" thickBot="1">
      <c r="A284" s="531" t="s">
        <v>17</v>
      </c>
      <c r="B284" s="711">
        <f>SUM(,B260,B264,B283)</f>
        <v>3244</v>
      </c>
      <c r="C284" s="622"/>
      <c r="D284" s="711">
        <f>SUM(,D260,D264,D283)</f>
        <v>9365915.741940001</v>
      </c>
      <c r="E284" s="622"/>
      <c r="F284" s="712">
        <f>F283+F260</f>
        <v>28.742940000000001</v>
      </c>
      <c r="G284" s="713"/>
      <c r="H284" s="532">
        <f>(H283+H260+H264)</f>
        <v>466.4794</v>
      </c>
      <c r="I284" s="533">
        <f>SUM(,I260,I264,I283)</f>
        <v>15080.47</v>
      </c>
      <c r="J284" s="533">
        <f>SUM(,J260,J264,J283)</f>
        <v>35291.93</v>
      </c>
      <c r="K284" s="533">
        <f>SUM(,K260,K264,K283)</f>
        <v>68865.97</v>
      </c>
      <c r="L284" s="533">
        <f>SUM(,L260,L264,L283)</f>
        <v>87545.44</v>
      </c>
      <c r="M284" s="624"/>
      <c r="N284" s="819"/>
      <c r="O284" s="135"/>
      <c r="P284" s="135"/>
      <c r="Q284" s="135"/>
      <c r="R284" s="135"/>
      <c r="S284" s="135"/>
      <c r="T284" s="135"/>
      <c r="U284" s="135"/>
    </row>
    <row r="285" spans="1:21">
      <c r="A285" s="296"/>
      <c r="B285" s="169"/>
      <c r="C285" s="169"/>
      <c r="D285" s="169"/>
      <c r="E285" s="169"/>
      <c r="F285" s="224"/>
      <c r="G285" s="224"/>
      <c r="H285" s="224"/>
      <c r="I285" s="170"/>
      <c r="J285" s="170"/>
      <c r="K285" s="170"/>
      <c r="L285" s="170"/>
      <c r="M285" s="244"/>
      <c r="N285" s="246"/>
    </row>
    <row r="286" spans="1:21" ht="18">
      <c r="A286" s="297" t="s">
        <v>167</v>
      </c>
      <c r="B286" s="765" t="s">
        <v>59</v>
      </c>
      <c r="C286" s="765"/>
      <c r="D286" s="765"/>
      <c r="E286" s="820"/>
      <c r="F286" s="224"/>
      <c r="G286" s="224" t="s">
        <v>169</v>
      </c>
      <c r="H286" s="224"/>
      <c r="I286" s="170"/>
      <c r="J286" s="170"/>
      <c r="K286" s="170"/>
      <c r="L286" s="170"/>
      <c r="M286" s="244"/>
      <c r="N286" s="246"/>
    </row>
    <row r="287" spans="1:21">
      <c r="A287" s="66"/>
      <c r="B287" s="692" t="s">
        <v>19</v>
      </c>
      <c r="C287" s="692"/>
      <c r="D287" s="692"/>
      <c r="E287" s="692"/>
      <c r="F287" s="224"/>
      <c r="G287" s="224"/>
      <c r="H287" s="224"/>
      <c r="I287" s="170"/>
      <c r="J287" s="170"/>
      <c r="K287" s="170"/>
      <c r="L287" s="170"/>
      <c r="M287" s="286"/>
      <c r="N287" s="286"/>
    </row>
    <row r="288" spans="1:21" ht="17" thickBot="1">
      <c r="A288" s="66"/>
      <c r="B288" s="286"/>
      <c r="C288" s="286"/>
      <c r="D288" s="286"/>
      <c r="E288" s="286"/>
      <c r="F288" s="224"/>
      <c r="G288" s="224"/>
      <c r="H288" s="224"/>
      <c r="I288" s="170"/>
      <c r="J288" s="170"/>
      <c r="K288" s="170"/>
      <c r="L288" s="170"/>
      <c r="M288" s="286"/>
      <c r="N288" s="286"/>
    </row>
    <row r="289" spans="1:21">
      <c r="A289" s="63"/>
      <c r="B289" s="64"/>
      <c r="C289" s="64"/>
      <c r="D289" s="64"/>
      <c r="E289" s="64"/>
      <c r="F289" s="200"/>
      <c r="G289" s="200"/>
      <c r="H289" s="200"/>
      <c r="I289" s="670" t="s">
        <v>0</v>
      </c>
      <c r="J289" s="670"/>
      <c r="K289" s="670"/>
      <c r="L289" s="670"/>
      <c r="M289" s="64"/>
      <c r="N289" s="65"/>
    </row>
    <row r="290" spans="1:21">
      <c r="A290" s="62"/>
      <c r="B290" s="671" t="s">
        <v>1</v>
      </c>
      <c r="C290" s="671"/>
      <c r="D290" s="671" t="s">
        <v>2</v>
      </c>
      <c r="E290" s="671"/>
      <c r="F290" s="672" t="s">
        <v>3</v>
      </c>
      <c r="G290" s="672"/>
      <c r="H290" s="287" t="s">
        <v>3</v>
      </c>
      <c r="I290" s="78" t="s">
        <v>135</v>
      </c>
      <c r="J290" s="66"/>
      <c r="K290" s="66"/>
      <c r="L290" s="79"/>
      <c r="M290" s="671" t="s">
        <v>4</v>
      </c>
      <c r="N290" s="674"/>
    </row>
    <row r="291" spans="1:21" ht="19" thickBot="1">
      <c r="A291" s="67" t="s">
        <v>5</v>
      </c>
      <c r="B291" s="675" t="s">
        <v>6</v>
      </c>
      <c r="C291" s="675"/>
      <c r="D291" s="675" t="s">
        <v>7</v>
      </c>
      <c r="E291" s="675"/>
      <c r="F291" s="676" t="s">
        <v>7</v>
      </c>
      <c r="G291" s="676"/>
      <c r="H291" s="289" t="s">
        <v>58</v>
      </c>
      <c r="I291" s="293" t="s">
        <v>136</v>
      </c>
      <c r="J291" s="288" t="s">
        <v>8</v>
      </c>
      <c r="K291" s="288" t="s">
        <v>9</v>
      </c>
      <c r="L291" s="187" t="s">
        <v>10</v>
      </c>
      <c r="M291" s="675" t="s">
        <v>103</v>
      </c>
      <c r="N291" s="678"/>
    </row>
    <row r="292" spans="1:21" ht="24" thickBot="1">
      <c r="A292" s="60" t="s">
        <v>125</v>
      </c>
      <c r="B292" s="735"/>
      <c r="C292" s="736"/>
      <c r="D292" s="737"/>
      <c r="E292" s="738"/>
      <c r="F292" s="739"/>
      <c r="G292" s="740"/>
      <c r="H292" s="290"/>
      <c r="I292" s="166"/>
      <c r="J292" s="166"/>
      <c r="K292" s="166"/>
      <c r="L292" s="167"/>
      <c r="M292" s="741"/>
      <c r="N292" s="742"/>
    </row>
    <row r="293" spans="1:21" s="530" customFormat="1" ht="17" thickBot="1">
      <c r="A293" s="71" t="s">
        <v>129</v>
      </c>
      <c r="B293" s="663"/>
      <c r="C293" s="716"/>
      <c r="D293" s="729"/>
      <c r="E293" s="716"/>
      <c r="F293" s="717"/>
      <c r="G293" s="718"/>
      <c r="H293" s="524"/>
      <c r="I293" s="72"/>
      <c r="J293" s="72"/>
      <c r="K293" s="72"/>
      <c r="L293" s="521"/>
      <c r="M293" s="719"/>
      <c r="N293" s="689"/>
      <c r="O293" s="135"/>
      <c r="P293" s="135"/>
      <c r="Q293" s="135"/>
      <c r="R293" s="135"/>
      <c r="S293" s="135"/>
      <c r="T293" s="135"/>
      <c r="U293" s="135"/>
    </row>
    <row r="294" spans="1:21" s="255" customFormat="1" ht="13">
      <c r="A294" s="54" t="s">
        <v>29</v>
      </c>
      <c r="B294" s="694">
        <f>Ontario!N178</f>
        <v>0</v>
      </c>
      <c r="C294" s="631"/>
      <c r="D294" s="630">
        <f>F294*325851</f>
        <v>0</v>
      </c>
      <c r="E294" s="631"/>
      <c r="F294" s="695">
        <f>0.0425*B294</f>
        <v>0</v>
      </c>
      <c r="G294" s="696"/>
      <c r="H294" s="427">
        <f>F294*20</f>
        <v>0</v>
      </c>
      <c r="I294" s="97">
        <v>0</v>
      </c>
      <c r="J294" s="96">
        <f>50*B294</f>
        <v>0</v>
      </c>
      <c r="K294" s="96">
        <f>B294*50</f>
        <v>0</v>
      </c>
      <c r="L294" s="106">
        <f t="shared" ref="L294:L300" si="67">I294+J294+K294</f>
        <v>0</v>
      </c>
      <c r="M294" s="697">
        <f>IF(ISERROR(L294/(F294*727)),0,L294/(F294*727))</f>
        <v>0</v>
      </c>
      <c r="N294" s="698"/>
      <c r="O294" s="259"/>
      <c r="P294" s="259"/>
      <c r="Q294" s="259"/>
      <c r="R294" s="259"/>
      <c r="S294" s="259"/>
      <c r="T294" s="259"/>
      <c r="U294" s="259"/>
    </row>
    <row r="295" spans="1:21" s="255" customFormat="1" ht="13">
      <c r="A295" s="54" t="s">
        <v>33</v>
      </c>
      <c r="B295" s="694">
        <f>Ontario!N179</f>
        <v>96</v>
      </c>
      <c r="C295" s="631"/>
      <c r="D295" s="630">
        <f t="shared" ref="D295:D301" si="68">F295*325851</f>
        <v>863374.80960000004</v>
      </c>
      <c r="E295" s="631"/>
      <c r="F295" s="695">
        <f>0.0276*B295</f>
        <v>2.6496</v>
      </c>
      <c r="G295" s="696"/>
      <c r="H295" s="427">
        <f>F295*15</f>
        <v>39.744</v>
      </c>
      <c r="I295" s="96">
        <f>0*B295</f>
        <v>0</v>
      </c>
      <c r="J295" s="96">
        <f>B295*65</f>
        <v>6240</v>
      </c>
      <c r="K295" s="96">
        <f>B295*85</f>
        <v>8160</v>
      </c>
      <c r="L295" s="106">
        <f t="shared" si="67"/>
        <v>14400</v>
      </c>
      <c r="M295" s="697">
        <f t="shared" ref="M295:M301" si="69">IF(ISERROR(L295/(F295*727)),0,L295/(F295*727))</f>
        <v>7.4756294479995216</v>
      </c>
      <c r="N295" s="698"/>
      <c r="O295" s="259"/>
      <c r="P295" s="259"/>
      <c r="Q295" s="259"/>
      <c r="R295" s="259"/>
      <c r="S295" s="259"/>
      <c r="T295" s="259"/>
      <c r="U295" s="259"/>
    </row>
    <row r="296" spans="1:21" s="255" customFormat="1" ht="13">
      <c r="A296" s="54" t="s">
        <v>56</v>
      </c>
      <c r="B296" s="694">
        <f>Ontario!N180</f>
        <v>0</v>
      </c>
      <c r="C296" s="631"/>
      <c r="D296" s="630">
        <f t="shared" si="68"/>
        <v>0</v>
      </c>
      <c r="E296" s="631"/>
      <c r="F296" s="695">
        <f>0.004*B296</f>
        <v>0</v>
      </c>
      <c r="G296" s="696"/>
      <c r="H296" s="427">
        <f>F296*5</f>
        <v>0</v>
      </c>
      <c r="I296" s="96">
        <f>0*B296</f>
        <v>0</v>
      </c>
      <c r="J296" s="96">
        <f>1*B296</f>
        <v>0</v>
      </c>
      <c r="K296" s="96">
        <f>B296*4</f>
        <v>0</v>
      </c>
      <c r="L296" s="106">
        <f t="shared" si="67"/>
        <v>0</v>
      </c>
      <c r="M296" s="697">
        <f t="shared" si="69"/>
        <v>0</v>
      </c>
      <c r="N296" s="698"/>
      <c r="O296" s="259"/>
      <c r="P296" s="259"/>
      <c r="Q296" s="259"/>
      <c r="R296" s="259"/>
      <c r="S296" s="259"/>
      <c r="T296" s="259"/>
      <c r="U296" s="259"/>
    </row>
    <row r="297" spans="1:21" s="255" customFormat="1" ht="14" thickBot="1">
      <c r="A297" s="54" t="s">
        <v>52</v>
      </c>
      <c r="B297" s="694">
        <f>Ontario!N181</f>
        <v>2</v>
      </c>
      <c r="C297" s="631"/>
      <c r="D297" s="630">
        <f t="shared" si="68"/>
        <v>211803.15</v>
      </c>
      <c r="E297" s="631"/>
      <c r="F297" s="720">
        <f>0.325*B297</f>
        <v>0.65</v>
      </c>
      <c r="G297" s="721"/>
      <c r="H297" s="429">
        <f>F297*10</f>
        <v>6.5</v>
      </c>
      <c r="I297" s="97">
        <v>0</v>
      </c>
      <c r="J297" s="107">
        <f>70*B297</f>
        <v>140</v>
      </c>
      <c r="K297" s="107">
        <f>B297*80</f>
        <v>160</v>
      </c>
      <c r="L297" s="108">
        <f t="shared" si="67"/>
        <v>300</v>
      </c>
      <c r="M297" s="697">
        <f t="shared" si="69"/>
        <v>0.63485345466088239</v>
      </c>
      <c r="N297" s="698"/>
      <c r="O297" s="259"/>
      <c r="P297" s="259"/>
      <c r="Q297" s="259"/>
      <c r="R297" s="259"/>
      <c r="S297" s="259"/>
      <c r="T297" s="259"/>
      <c r="U297" s="259"/>
    </row>
    <row r="298" spans="1:21" s="255" customFormat="1" ht="14" hidden="1" thickBot="1">
      <c r="A298" s="53" t="s">
        <v>123</v>
      </c>
      <c r="B298" s="694">
        <f>Ontario!N182</f>
        <v>0</v>
      </c>
      <c r="C298" s="631"/>
      <c r="D298" s="630">
        <f t="shared" si="68"/>
        <v>0</v>
      </c>
      <c r="E298" s="631"/>
      <c r="F298" s="733">
        <f>0.325*B298</f>
        <v>0</v>
      </c>
      <c r="G298" s="734"/>
      <c r="H298" s="285">
        <f>F298*10</f>
        <v>0</v>
      </c>
      <c r="I298" s="97">
        <v>0</v>
      </c>
      <c r="J298" s="97">
        <v>0</v>
      </c>
      <c r="K298" s="97">
        <v>0</v>
      </c>
      <c r="L298" s="97">
        <v>0</v>
      </c>
      <c r="M298" s="697">
        <f t="shared" si="69"/>
        <v>0</v>
      </c>
      <c r="N298" s="698"/>
      <c r="O298" s="259"/>
      <c r="P298" s="259"/>
      <c r="Q298" s="259"/>
      <c r="R298" s="259"/>
      <c r="S298" s="259"/>
      <c r="T298" s="259"/>
      <c r="U298" s="259"/>
    </row>
    <row r="299" spans="1:21" s="530" customFormat="1" ht="17" thickBot="1">
      <c r="A299" s="71" t="s">
        <v>130</v>
      </c>
      <c r="B299" s="663"/>
      <c r="C299" s="716"/>
      <c r="D299" s="729"/>
      <c r="E299" s="716"/>
      <c r="F299" s="717"/>
      <c r="G299" s="718"/>
      <c r="H299" s="524"/>
      <c r="I299" s="565"/>
      <c r="J299" s="565"/>
      <c r="K299" s="565"/>
      <c r="L299" s="545"/>
      <c r="M299" s="719"/>
      <c r="N299" s="689"/>
      <c r="O299" s="135"/>
      <c r="P299" s="135"/>
      <c r="Q299" s="135"/>
      <c r="R299" s="135"/>
      <c r="S299" s="135"/>
      <c r="T299" s="135"/>
      <c r="U299" s="135"/>
    </row>
    <row r="300" spans="1:21" s="255" customFormat="1" ht="13">
      <c r="A300" s="53" t="s">
        <v>141</v>
      </c>
      <c r="B300" s="694">
        <f>Ontario!N184</f>
        <v>1508</v>
      </c>
      <c r="C300" s="631"/>
      <c r="D300" s="630">
        <f t="shared" si="68"/>
        <v>1965533.2320000001</v>
      </c>
      <c r="E300" s="631"/>
      <c r="F300" s="720">
        <f>B300*0.004</f>
        <v>6.032</v>
      </c>
      <c r="G300" s="721"/>
      <c r="H300" s="429">
        <f>F300*5</f>
        <v>30.16</v>
      </c>
      <c r="I300" s="97">
        <v>0</v>
      </c>
      <c r="J300" s="97">
        <v>0</v>
      </c>
      <c r="K300" s="107">
        <f>B300*3.25</f>
        <v>4901</v>
      </c>
      <c r="L300" s="108">
        <f t="shared" si="67"/>
        <v>4901</v>
      </c>
      <c r="M300" s="697">
        <f t="shared" si="69"/>
        <v>1.1176066024759284</v>
      </c>
      <c r="N300" s="698"/>
      <c r="O300" s="259"/>
      <c r="P300" s="259"/>
      <c r="Q300" s="259"/>
      <c r="R300" s="259"/>
      <c r="S300" s="259"/>
      <c r="T300" s="259"/>
      <c r="U300" s="259"/>
    </row>
    <row r="301" spans="1:21" s="255" customFormat="1" ht="13">
      <c r="A301" s="53" t="s">
        <v>142</v>
      </c>
      <c r="B301" s="694">
        <f>Ontario!N185</f>
        <v>27</v>
      </c>
      <c r="C301" s="631"/>
      <c r="D301" s="630">
        <f t="shared" si="68"/>
        <v>4236063</v>
      </c>
      <c r="E301" s="631"/>
      <c r="F301" s="702">
        <v>13</v>
      </c>
      <c r="G301" s="703"/>
      <c r="H301" s="436">
        <v>115</v>
      </c>
      <c r="I301" s="97">
        <v>9451</v>
      </c>
      <c r="J301" s="107">
        <v>1539</v>
      </c>
      <c r="K301" s="97">
        <v>10990.02</v>
      </c>
      <c r="L301" s="105">
        <f>SUM(I301:K301)</f>
        <v>21980.02</v>
      </c>
      <c r="M301" s="697">
        <f t="shared" si="69"/>
        <v>2.3256819384192151</v>
      </c>
      <c r="N301" s="698"/>
      <c r="O301" s="259"/>
      <c r="P301" s="259"/>
      <c r="Q301" s="259"/>
      <c r="R301" s="259"/>
      <c r="S301" s="259"/>
      <c r="T301" s="259"/>
      <c r="U301" s="259"/>
    </row>
    <row r="302" spans="1:21" s="255" customFormat="1" ht="14" thickBot="1">
      <c r="A302" s="53" t="s">
        <v>133</v>
      </c>
      <c r="B302" s="694">
        <f>Ontario!N186</f>
        <v>0</v>
      </c>
      <c r="C302" s="631"/>
      <c r="D302" s="630">
        <f>F302*325851</f>
        <v>0</v>
      </c>
      <c r="E302" s="631"/>
      <c r="F302" s="730">
        <v>0</v>
      </c>
      <c r="G302" s="731"/>
      <c r="H302" s="436">
        <v>0</v>
      </c>
      <c r="I302" s="97">
        <v>0</v>
      </c>
      <c r="J302" s="107">
        <f>L302-K302</f>
        <v>0</v>
      </c>
      <c r="K302" s="97">
        <v>0</v>
      </c>
      <c r="L302" s="97">
        <v>0</v>
      </c>
      <c r="M302" s="724">
        <f>IF(ISERROR(L302/(F302*727)),0,L302/(F302*727))</f>
        <v>0</v>
      </c>
      <c r="N302" s="698"/>
      <c r="O302" s="259"/>
      <c r="P302" s="259"/>
      <c r="Q302" s="259"/>
      <c r="R302" s="259"/>
      <c r="S302" s="259"/>
      <c r="T302" s="259"/>
      <c r="U302" s="259"/>
    </row>
    <row r="303" spans="1:21" s="275" customFormat="1" ht="14" thickBot="1">
      <c r="A303" s="40" t="s">
        <v>60</v>
      </c>
      <c r="B303" s="642">
        <f>SUM(B294:C302)</f>
        <v>1633</v>
      </c>
      <c r="C303" s="706"/>
      <c r="D303" s="645">
        <f>SUM(D294:E302)</f>
        <v>7276774.1916000005</v>
      </c>
      <c r="E303" s="706"/>
      <c r="F303" s="707">
        <f>SUM(F294:G302)</f>
        <v>22.331600000000002</v>
      </c>
      <c r="G303" s="708"/>
      <c r="H303" s="284">
        <f>SUM(H294:H302)</f>
        <v>191.404</v>
      </c>
      <c r="I303" s="93">
        <f>SUM(I294:I302)</f>
        <v>9451</v>
      </c>
      <c r="J303" s="93">
        <f>SUM(J294:J302)</f>
        <v>7919</v>
      </c>
      <c r="K303" s="93">
        <f>SUM(K294:K302)</f>
        <v>24211.02</v>
      </c>
      <c r="L303" s="99">
        <f>SUM(L294:L302)</f>
        <v>41581.020000000004</v>
      </c>
      <c r="M303" s="644"/>
      <c r="N303" s="732"/>
      <c r="O303" s="276"/>
      <c r="P303" s="276"/>
      <c r="Q303" s="276"/>
      <c r="R303" s="276"/>
      <c r="S303" s="276"/>
      <c r="T303" s="276"/>
      <c r="U303" s="276"/>
    </row>
    <row r="304" spans="1:21" s="530" customFormat="1" ht="17" thickBot="1">
      <c r="A304" s="71" t="s">
        <v>131</v>
      </c>
      <c r="B304" s="662"/>
      <c r="C304" s="716"/>
      <c r="D304" s="663"/>
      <c r="E304" s="716"/>
      <c r="F304" s="717"/>
      <c r="G304" s="718"/>
      <c r="H304" s="524"/>
      <c r="I304" s="565"/>
      <c r="J304" s="565"/>
      <c r="K304" s="565"/>
      <c r="L304" s="565"/>
      <c r="M304" s="688"/>
      <c r="N304" s="689"/>
      <c r="O304" s="135"/>
      <c r="P304" s="135"/>
      <c r="Q304" s="135"/>
      <c r="R304" s="135"/>
      <c r="S304" s="135"/>
      <c r="T304" s="135"/>
      <c r="U304" s="135"/>
    </row>
    <row r="305" spans="1:21" s="259" customFormat="1" ht="13">
      <c r="A305" s="53" t="s">
        <v>104</v>
      </c>
      <c r="B305" s="727">
        <f>Ontario!N189</f>
        <v>34</v>
      </c>
      <c r="C305" s="651"/>
      <c r="D305" s="650">
        <f>F305*325851</f>
        <v>470854.69500000001</v>
      </c>
      <c r="E305" s="651"/>
      <c r="F305" s="720">
        <f>0.0425*B305</f>
        <v>1.4450000000000001</v>
      </c>
      <c r="G305" s="721"/>
      <c r="H305" s="429">
        <f>F305*20</f>
        <v>28.900000000000002</v>
      </c>
      <c r="I305" s="121">
        <f>73.34*B305</f>
        <v>2493.56</v>
      </c>
      <c r="J305" s="121">
        <f>35.66*B305</f>
        <v>1212.4399999999998</v>
      </c>
      <c r="K305" s="121">
        <f>B305*50</f>
        <v>1700</v>
      </c>
      <c r="L305" s="121">
        <f>I305+J305+K305</f>
        <v>5406</v>
      </c>
      <c r="M305" s="728">
        <f>IF(ISERROR(L305/(F305*727)),0,L305/(F305*727))</f>
        <v>5.146047414839388</v>
      </c>
      <c r="N305" s="635"/>
    </row>
    <row r="306" spans="1:21" s="255" customFormat="1" ht="14" thickBot="1">
      <c r="A306" s="53" t="s">
        <v>122</v>
      </c>
      <c r="B306" s="693">
        <f>Ontario!N190</f>
        <v>226</v>
      </c>
      <c r="C306" s="631"/>
      <c r="D306" s="694">
        <f>F306*325851</f>
        <v>3129798.855</v>
      </c>
      <c r="E306" s="631"/>
      <c r="F306" s="720">
        <f>0.0425*B306</f>
        <v>9.6050000000000004</v>
      </c>
      <c r="G306" s="721"/>
      <c r="H306" s="429">
        <f>F306*20</f>
        <v>192.10000000000002</v>
      </c>
      <c r="I306" s="89">
        <f>73.34*B306</f>
        <v>16574.84</v>
      </c>
      <c r="J306" s="89">
        <f>35.66*B306</f>
        <v>8059.1599999999989</v>
      </c>
      <c r="K306" s="89">
        <f>B306*50</f>
        <v>11300</v>
      </c>
      <c r="L306" s="265">
        <f>I306+J306+K306</f>
        <v>35934</v>
      </c>
      <c r="M306" s="724">
        <f>IF(ISERROR(L306/(F306*727)),0,L306/(F306*727))</f>
        <v>5.146047414839388</v>
      </c>
      <c r="N306" s="698"/>
      <c r="O306" s="259"/>
      <c r="P306" s="259"/>
      <c r="Q306" s="259"/>
      <c r="R306" s="259"/>
      <c r="S306" s="259"/>
      <c r="T306" s="259"/>
      <c r="U306" s="259"/>
    </row>
    <row r="307" spans="1:21" s="275" customFormat="1" ht="14" thickBot="1">
      <c r="A307" s="40" t="s">
        <v>60</v>
      </c>
      <c r="B307" s="642">
        <f>SUM(B305:B306)</f>
        <v>260</v>
      </c>
      <c r="C307" s="706"/>
      <c r="D307" s="644">
        <f>SUM(D305:D306)</f>
        <v>3600653.55</v>
      </c>
      <c r="E307" s="725"/>
      <c r="F307" s="726">
        <f>SUM(F305:F306)</f>
        <v>11.05</v>
      </c>
      <c r="G307" s="708"/>
      <c r="H307" s="284">
        <f>SUM(H305:H306)</f>
        <v>221.00000000000003</v>
      </c>
      <c r="I307" s="93">
        <f>SUM(I305:I306)</f>
        <v>19068.400000000001</v>
      </c>
      <c r="J307" s="99">
        <f>SUM(J305:J306)</f>
        <v>9271.5999999999985</v>
      </c>
      <c r="K307" s="99">
        <f>SUM(K305:K306)</f>
        <v>13000</v>
      </c>
      <c r="L307" s="93">
        <f>SUM(L305:L306)</f>
        <v>41340</v>
      </c>
      <c r="M307" s="709"/>
      <c r="N307" s="710"/>
      <c r="O307" s="276"/>
      <c r="P307" s="276"/>
      <c r="Q307" s="276"/>
      <c r="R307" s="276"/>
      <c r="S307" s="276"/>
      <c r="T307" s="276"/>
      <c r="U307" s="276"/>
    </row>
    <row r="308" spans="1:21" s="530" customFormat="1" ht="17" thickBot="1">
      <c r="A308" s="71" t="s">
        <v>134</v>
      </c>
      <c r="B308" s="662"/>
      <c r="C308" s="716"/>
      <c r="D308" s="663"/>
      <c r="E308" s="716"/>
      <c r="F308" s="717"/>
      <c r="G308" s="718"/>
      <c r="H308" s="524"/>
      <c r="I308" s="100"/>
      <c r="J308" s="100"/>
      <c r="K308" s="100"/>
      <c r="L308" s="101"/>
      <c r="M308" s="719"/>
      <c r="N308" s="689"/>
      <c r="O308" s="135"/>
      <c r="P308" s="135"/>
      <c r="Q308" s="135"/>
      <c r="R308" s="135"/>
      <c r="S308" s="135"/>
      <c r="T308" s="135"/>
      <c r="U308" s="135"/>
    </row>
    <row r="309" spans="1:21">
      <c r="A309" s="54" t="s">
        <v>29</v>
      </c>
      <c r="B309" s="693">
        <f>Ontario!N193</f>
        <v>0</v>
      </c>
      <c r="C309" s="631"/>
      <c r="D309" s="694">
        <f>F309*325851</f>
        <v>0</v>
      </c>
      <c r="E309" s="631"/>
      <c r="F309" s="695">
        <f>0.0425*B309</f>
        <v>0</v>
      </c>
      <c r="G309" s="696"/>
      <c r="H309" s="427">
        <f>F309*20</f>
        <v>0</v>
      </c>
      <c r="I309" s="97">
        <v>0</v>
      </c>
      <c r="J309" s="96">
        <f>35*B309</f>
        <v>0</v>
      </c>
      <c r="K309" s="96">
        <f>50*B309</f>
        <v>0</v>
      </c>
      <c r="L309" s="106">
        <f t="shared" ref="L309:L324" si="70">SUM(I309:K309)</f>
        <v>0</v>
      </c>
      <c r="M309" s="697">
        <f>IF(ISERROR(L309/(F309*727)),0,L309/(F309*727))</f>
        <v>0</v>
      </c>
      <c r="N309" s="698"/>
    </row>
    <row r="310" spans="1:21">
      <c r="A310" s="54" t="s">
        <v>51</v>
      </c>
      <c r="B310" s="693">
        <f>Ontario!N194</f>
        <v>0</v>
      </c>
      <c r="C310" s="631"/>
      <c r="D310" s="694">
        <f t="shared" ref="D310:D324" si="71">F310*325851</f>
        <v>0</v>
      </c>
      <c r="E310" s="631"/>
      <c r="F310" s="695">
        <f>0.1227*B310</f>
        <v>0</v>
      </c>
      <c r="G310" s="696"/>
      <c r="H310" s="427">
        <f>F310*20</f>
        <v>0</v>
      </c>
      <c r="I310" s="97">
        <v>0</v>
      </c>
      <c r="J310" s="96">
        <f>50*B310</f>
        <v>0</v>
      </c>
      <c r="K310" s="96">
        <f>200*B310</f>
        <v>0</v>
      </c>
      <c r="L310" s="106">
        <f t="shared" si="70"/>
        <v>0</v>
      </c>
      <c r="M310" s="697">
        <f t="shared" ref="M310:M324" si="72">IF(ISERROR(L310/(F310*727)),0,L310/(F310*727))</f>
        <v>0</v>
      </c>
      <c r="N310" s="698"/>
    </row>
    <row r="311" spans="1:21">
      <c r="A311" s="54" t="s">
        <v>140</v>
      </c>
      <c r="B311" s="693">
        <f>Ontario!N195</f>
        <v>4</v>
      </c>
      <c r="C311" s="631"/>
      <c r="D311" s="694">
        <f t="shared" si="71"/>
        <v>159927.67079999999</v>
      </c>
      <c r="E311" s="631"/>
      <c r="F311" s="695">
        <f>0.1227*B311</f>
        <v>0.49080000000000001</v>
      </c>
      <c r="G311" s="696"/>
      <c r="H311" s="427">
        <f>F311*5</f>
        <v>2.4540000000000002</v>
      </c>
      <c r="I311" s="97">
        <v>0</v>
      </c>
      <c r="J311" s="96">
        <f>B311*1000</f>
        <v>4000</v>
      </c>
      <c r="K311" s="96">
        <f>B311*1750</f>
        <v>7000</v>
      </c>
      <c r="L311" s="106">
        <f t="shared" si="70"/>
        <v>11000</v>
      </c>
      <c r="M311" s="697">
        <f t="shared" si="72"/>
        <v>30.828594137634539</v>
      </c>
      <c r="N311" s="698"/>
    </row>
    <row r="312" spans="1:21">
      <c r="A312" s="54" t="s">
        <v>13</v>
      </c>
      <c r="B312" s="693">
        <f>Ontario!N196</f>
        <v>0</v>
      </c>
      <c r="C312" s="631"/>
      <c r="D312" s="694">
        <f t="shared" si="71"/>
        <v>0</v>
      </c>
      <c r="E312" s="631"/>
      <c r="F312" s="695">
        <f>0.1075*B312</f>
        <v>0</v>
      </c>
      <c r="G312" s="696"/>
      <c r="H312" s="427">
        <f>F312*10</f>
        <v>0</v>
      </c>
      <c r="I312" s="97">
        <v>0</v>
      </c>
      <c r="J312" s="96">
        <f>100*B312</f>
        <v>0</v>
      </c>
      <c r="K312" s="96">
        <f>80*B312</f>
        <v>0</v>
      </c>
      <c r="L312" s="106">
        <f t="shared" si="70"/>
        <v>0</v>
      </c>
      <c r="M312" s="697">
        <f t="shared" si="72"/>
        <v>0</v>
      </c>
      <c r="N312" s="698"/>
    </row>
    <row r="313" spans="1:21">
      <c r="A313" s="53" t="s">
        <v>47</v>
      </c>
      <c r="B313" s="693">
        <f>Ontario!N197</f>
        <v>0</v>
      </c>
      <c r="C313" s="631"/>
      <c r="D313" s="694">
        <f t="shared" si="71"/>
        <v>0</v>
      </c>
      <c r="E313" s="631"/>
      <c r="F313" s="695">
        <f>0.1534*B313</f>
        <v>0</v>
      </c>
      <c r="G313" s="696"/>
      <c r="H313" s="427">
        <f>F313*5</f>
        <v>0</v>
      </c>
      <c r="I313" s="97">
        <v>0</v>
      </c>
      <c r="J313" s="96">
        <f>0*B313</f>
        <v>0</v>
      </c>
      <c r="K313" s="96">
        <f>150*B313</f>
        <v>0</v>
      </c>
      <c r="L313" s="106">
        <f t="shared" si="70"/>
        <v>0</v>
      </c>
      <c r="M313" s="697">
        <f t="shared" si="72"/>
        <v>0</v>
      </c>
      <c r="N313" s="698"/>
    </row>
    <row r="314" spans="1:21">
      <c r="A314" s="53" t="s">
        <v>52</v>
      </c>
      <c r="B314" s="693">
        <f>Ontario!N198</f>
        <v>2</v>
      </c>
      <c r="C314" s="631"/>
      <c r="D314" s="694">
        <f t="shared" si="71"/>
        <v>211803.15</v>
      </c>
      <c r="E314" s="631"/>
      <c r="F314" s="695">
        <f>0.325*B314</f>
        <v>0.65</v>
      </c>
      <c r="G314" s="696"/>
      <c r="H314" s="427">
        <f>F314*10</f>
        <v>6.5</v>
      </c>
      <c r="I314" s="97">
        <v>0</v>
      </c>
      <c r="J314" s="97">
        <f>B314*540</f>
        <v>1080</v>
      </c>
      <c r="K314" s="97">
        <f>B314*900</f>
        <v>1800</v>
      </c>
      <c r="L314" s="106">
        <f t="shared" si="70"/>
        <v>2880</v>
      </c>
      <c r="M314" s="697">
        <f t="shared" si="72"/>
        <v>6.0945931647444711</v>
      </c>
      <c r="N314" s="698"/>
    </row>
    <row r="315" spans="1:21">
      <c r="A315" s="53" t="s">
        <v>53</v>
      </c>
      <c r="B315" s="693">
        <f>Ontario!N199</f>
        <v>0</v>
      </c>
      <c r="C315" s="631"/>
      <c r="D315" s="694">
        <f t="shared" si="71"/>
        <v>0</v>
      </c>
      <c r="E315" s="631"/>
      <c r="F315" s="695">
        <f>0.00014*B315</f>
        <v>0</v>
      </c>
      <c r="G315" s="696"/>
      <c r="H315" s="427">
        <f>F315*10</f>
        <v>0</v>
      </c>
      <c r="I315" s="97">
        <v>0</v>
      </c>
      <c r="J315" s="96">
        <f>0.45*B315</f>
        <v>0</v>
      </c>
      <c r="K315" s="96">
        <f>0.3*B315</f>
        <v>0</v>
      </c>
      <c r="L315" s="106">
        <f t="shared" si="70"/>
        <v>0</v>
      </c>
      <c r="M315" s="697">
        <f t="shared" si="72"/>
        <v>0</v>
      </c>
      <c r="N315" s="698"/>
    </row>
    <row r="316" spans="1:21">
      <c r="A316" s="53" t="s">
        <v>56</v>
      </c>
      <c r="B316" s="699">
        <v>1307</v>
      </c>
      <c r="C316" s="700"/>
      <c r="D316" s="694">
        <f t="shared" si="71"/>
        <v>1703549.0279999999</v>
      </c>
      <c r="E316" s="631"/>
      <c r="F316" s="695">
        <f>0.004*B316</f>
        <v>5.2279999999999998</v>
      </c>
      <c r="G316" s="696"/>
      <c r="H316" s="427">
        <f>F316*5</f>
        <v>26.14</v>
      </c>
      <c r="I316" s="97">
        <v>0</v>
      </c>
      <c r="J316" s="96">
        <f>1*B316</f>
        <v>1307</v>
      </c>
      <c r="K316" s="96">
        <f>3*B316</f>
        <v>3921</v>
      </c>
      <c r="L316" s="106">
        <f t="shared" si="70"/>
        <v>5228</v>
      </c>
      <c r="M316" s="697">
        <f t="shared" si="72"/>
        <v>1.3755158184319121</v>
      </c>
      <c r="N316" s="698"/>
    </row>
    <row r="317" spans="1:21">
      <c r="A317" s="53" t="s">
        <v>89</v>
      </c>
      <c r="B317" s="693">
        <f>Ontario!N201</f>
        <v>0</v>
      </c>
      <c r="C317" s="631"/>
      <c r="D317" s="694">
        <f t="shared" si="71"/>
        <v>0</v>
      </c>
      <c r="E317" s="631"/>
      <c r="F317" s="695">
        <f t="shared" ref="F317:F323" si="73">0.018*B317</f>
        <v>0</v>
      </c>
      <c r="G317" s="696"/>
      <c r="H317" s="427">
        <f t="shared" ref="H317:H323" si="74">F317*10</f>
        <v>0</v>
      </c>
      <c r="I317" s="97">
        <v>0</v>
      </c>
      <c r="J317" s="96">
        <f t="shared" ref="J317:J324" si="75">0*B317</f>
        <v>0</v>
      </c>
      <c r="K317" s="96">
        <f>13*B317</f>
        <v>0</v>
      </c>
      <c r="L317" s="106">
        <f t="shared" si="70"/>
        <v>0</v>
      </c>
      <c r="M317" s="697">
        <f t="shared" si="72"/>
        <v>0</v>
      </c>
      <c r="N317" s="698"/>
    </row>
    <row r="318" spans="1:21" hidden="1">
      <c r="A318" s="53" t="s">
        <v>83</v>
      </c>
      <c r="B318" s="693">
        <f>Ontario!N202</f>
        <v>0</v>
      </c>
      <c r="C318" s="631"/>
      <c r="D318" s="694">
        <f t="shared" si="71"/>
        <v>0</v>
      </c>
      <c r="E318" s="631"/>
      <c r="F318" s="695">
        <f t="shared" si="73"/>
        <v>0</v>
      </c>
      <c r="G318" s="696"/>
      <c r="H318" s="427">
        <f t="shared" si="74"/>
        <v>0</v>
      </c>
      <c r="I318" s="97">
        <v>0</v>
      </c>
      <c r="J318" s="96">
        <f t="shared" si="75"/>
        <v>0</v>
      </c>
      <c r="K318" s="96">
        <f>13*B318</f>
        <v>0</v>
      </c>
      <c r="L318" s="106">
        <f t="shared" si="70"/>
        <v>0</v>
      </c>
      <c r="M318" s="697">
        <f t="shared" si="72"/>
        <v>0</v>
      </c>
      <c r="N318" s="698"/>
    </row>
    <row r="319" spans="1:21">
      <c r="A319" s="54" t="s">
        <v>124</v>
      </c>
      <c r="B319" s="693">
        <f>Ontario!N203</f>
        <v>0</v>
      </c>
      <c r="C319" s="631"/>
      <c r="D319" s="694">
        <f t="shared" si="71"/>
        <v>0</v>
      </c>
      <c r="E319" s="631"/>
      <c r="F319" s="695">
        <f t="shared" si="73"/>
        <v>0</v>
      </c>
      <c r="G319" s="696"/>
      <c r="H319" s="427">
        <f t="shared" si="74"/>
        <v>0</v>
      </c>
      <c r="I319" s="97">
        <v>0</v>
      </c>
      <c r="J319" s="96">
        <f t="shared" si="75"/>
        <v>0</v>
      </c>
      <c r="K319" s="96">
        <f>13*B319</f>
        <v>0</v>
      </c>
      <c r="L319" s="106">
        <f t="shared" si="70"/>
        <v>0</v>
      </c>
      <c r="M319" s="697">
        <f t="shared" si="72"/>
        <v>0</v>
      </c>
      <c r="N319" s="698"/>
    </row>
    <row r="320" spans="1:21" s="168" customFormat="1">
      <c r="A320" s="70" t="s">
        <v>127</v>
      </c>
      <c r="B320" s="699">
        <v>46</v>
      </c>
      <c r="C320" s="700"/>
      <c r="D320" s="701">
        <f t="shared" si="71"/>
        <v>344750.35800000001</v>
      </c>
      <c r="E320" s="700"/>
      <c r="F320" s="702">
        <f>B320*0.023</f>
        <v>1.0580000000000001</v>
      </c>
      <c r="G320" s="703"/>
      <c r="H320" s="436">
        <f>F320*5</f>
        <v>5.29</v>
      </c>
      <c r="I320" s="97">
        <v>0</v>
      </c>
      <c r="J320" s="97">
        <f>10*B320</f>
        <v>460</v>
      </c>
      <c r="K320" s="97">
        <f>10*B320</f>
        <v>460</v>
      </c>
      <c r="L320" s="105">
        <f t="shared" si="70"/>
        <v>920</v>
      </c>
      <c r="M320" s="704">
        <f t="shared" si="72"/>
        <v>1.1961007116799234</v>
      </c>
      <c r="N320" s="705"/>
      <c r="O320" s="135"/>
      <c r="P320" s="135"/>
      <c r="Q320" s="135"/>
      <c r="R320" s="135"/>
      <c r="S320" s="135"/>
      <c r="T320" s="135"/>
      <c r="U320" s="135"/>
    </row>
    <row r="321" spans="1:21" s="168" customFormat="1" ht="17" thickBot="1">
      <c r="A321" s="70" t="s">
        <v>128</v>
      </c>
      <c r="B321" s="699">
        <f>Ontario!N205</f>
        <v>0</v>
      </c>
      <c r="C321" s="700"/>
      <c r="D321" s="701">
        <f t="shared" si="71"/>
        <v>0</v>
      </c>
      <c r="E321" s="700"/>
      <c r="F321" s="702">
        <f t="shared" si="73"/>
        <v>0</v>
      </c>
      <c r="G321" s="703"/>
      <c r="H321" s="436">
        <f t="shared" si="74"/>
        <v>0</v>
      </c>
      <c r="I321" s="97">
        <v>0</v>
      </c>
      <c r="J321" s="97">
        <f t="shared" si="75"/>
        <v>0</v>
      </c>
      <c r="K321" s="97">
        <f>13*B321</f>
        <v>0</v>
      </c>
      <c r="L321" s="105">
        <f t="shared" si="70"/>
        <v>0</v>
      </c>
      <c r="M321" s="704">
        <f t="shared" si="72"/>
        <v>0</v>
      </c>
      <c r="N321" s="705"/>
      <c r="O321" s="135"/>
      <c r="P321" s="135"/>
      <c r="Q321" s="135"/>
      <c r="R321" s="135"/>
      <c r="S321" s="135"/>
      <c r="T321" s="135"/>
      <c r="U321" s="135"/>
    </row>
    <row r="322" spans="1:21" s="530" customFormat="1" ht="17" thickBot="1">
      <c r="A322" s="71" t="s">
        <v>132</v>
      </c>
      <c r="B322" s="662"/>
      <c r="C322" s="716"/>
      <c r="D322" s="663"/>
      <c r="E322" s="716"/>
      <c r="F322" s="717"/>
      <c r="G322" s="718"/>
      <c r="H322" s="524"/>
      <c r="I322" s="100"/>
      <c r="J322" s="100"/>
      <c r="K322" s="100"/>
      <c r="L322" s="101"/>
      <c r="M322" s="719"/>
      <c r="N322" s="689"/>
      <c r="O322" s="135"/>
      <c r="P322" s="135"/>
      <c r="Q322" s="135"/>
      <c r="R322" s="135"/>
      <c r="S322" s="135"/>
      <c r="T322" s="135"/>
      <c r="U322" s="135"/>
    </row>
    <row r="323" spans="1:21" s="255" customFormat="1" ht="13">
      <c r="A323" s="53" t="s">
        <v>115</v>
      </c>
      <c r="B323" s="693">
        <f>Ontario!N207</f>
        <v>0</v>
      </c>
      <c r="C323" s="631"/>
      <c r="D323" s="694">
        <f t="shared" si="71"/>
        <v>0</v>
      </c>
      <c r="E323" s="631"/>
      <c r="F323" s="695">
        <f t="shared" si="73"/>
        <v>0</v>
      </c>
      <c r="G323" s="696"/>
      <c r="H323" s="427">
        <f t="shared" si="74"/>
        <v>0</v>
      </c>
      <c r="I323" s="156">
        <v>0</v>
      </c>
      <c r="J323" s="89">
        <f t="shared" si="75"/>
        <v>0</v>
      </c>
      <c r="K323" s="89">
        <f>13*B323</f>
        <v>0</v>
      </c>
      <c r="L323" s="122">
        <f t="shared" si="70"/>
        <v>0</v>
      </c>
      <c r="M323" s="634">
        <f t="shared" si="72"/>
        <v>0</v>
      </c>
      <c r="N323" s="635"/>
      <c r="O323" s="259"/>
      <c r="P323" s="259"/>
      <c r="Q323" s="259"/>
      <c r="R323" s="259"/>
      <c r="S323" s="259"/>
      <c r="T323" s="259"/>
      <c r="U323" s="259"/>
    </row>
    <row r="324" spans="1:21" s="255" customFormat="1" ht="14" thickBot="1">
      <c r="A324" s="53" t="s">
        <v>113</v>
      </c>
      <c r="B324" s="693">
        <f>Ontario!N208</f>
        <v>6700</v>
      </c>
      <c r="C324" s="631"/>
      <c r="D324" s="694">
        <f t="shared" si="71"/>
        <v>8732806.8000000007</v>
      </c>
      <c r="E324" s="631"/>
      <c r="F324" s="695">
        <f>0.004*B324</f>
        <v>26.8</v>
      </c>
      <c r="G324" s="696"/>
      <c r="H324" s="427">
        <f>F324*5</f>
        <v>134</v>
      </c>
      <c r="I324" s="120">
        <v>0</v>
      </c>
      <c r="J324" s="89">
        <f t="shared" si="75"/>
        <v>0</v>
      </c>
      <c r="K324" s="89">
        <f>B324*3.25</f>
        <v>21775</v>
      </c>
      <c r="L324" s="122">
        <f t="shared" si="70"/>
        <v>21775</v>
      </c>
      <c r="M324" s="697">
        <f t="shared" si="72"/>
        <v>1.1176066024759284</v>
      </c>
      <c r="N324" s="698"/>
      <c r="O324" s="259"/>
      <c r="P324" s="259"/>
      <c r="Q324" s="259"/>
      <c r="R324" s="259"/>
      <c r="S324" s="259"/>
      <c r="T324" s="259"/>
      <c r="U324" s="259"/>
    </row>
    <row r="325" spans="1:21" s="275" customFormat="1" ht="14" thickBot="1">
      <c r="A325" s="40" t="s">
        <v>60</v>
      </c>
      <c r="B325" s="642">
        <f>SUM(B309:C324)</f>
        <v>8059</v>
      </c>
      <c r="C325" s="706"/>
      <c r="D325" s="644">
        <f>SUM(D309:E324)</f>
        <v>11152837.0068</v>
      </c>
      <c r="E325" s="706"/>
      <c r="F325" s="707">
        <f>SUM(F309:G324)</f>
        <v>34.226799999999997</v>
      </c>
      <c r="G325" s="708"/>
      <c r="H325" s="253">
        <f>SUM(H309:H324)</f>
        <v>174.38400000000001</v>
      </c>
      <c r="I325" s="93">
        <f>SUM(I309:I324)</f>
        <v>0</v>
      </c>
      <c r="J325" s="93">
        <f>SUM(J309:J324)</f>
        <v>6847</v>
      </c>
      <c r="K325" s="93">
        <f>SUM(K309:K324)</f>
        <v>34956</v>
      </c>
      <c r="L325" s="93">
        <f>SUM(L309:L324)</f>
        <v>41803</v>
      </c>
      <c r="M325" s="709"/>
      <c r="N325" s="710"/>
      <c r="O325" s="276"/>
      <c r="P325" s="276"/>
      <c r="Q325" s="276"/>
      <c r="R325" s="276"/>
      <c r="S325" s="276"/>
      <c r="T325" s="276"/>
      <c r="U325" s="276"/>
    </row>
    <row r="326" spans="1:21" s="530" customFormat="1" ht="17" thickBot="1">
      <c r="A326" s="531" t="s">
        <v>17</v>
      </c>
      <c r="B326" s="621">
        <f>SUM(,B303,B307,B325)</f>
        <v>9952</v>
      </c>
      <c r="C326" s="622"/>
      <c r="D326" s="711">
        <f>SUM(,D303,D307,D325)</f>
        <v>22030264.748399999</v>
      </c>
      <c r="E326" s="622"/>
      <c r="F326" s="712">
        <f>SUM(,F303,F307,F325)</f>
        <v>67.608400000000003</v>
      </c>
      <c r="G326" s="713"/>
      <c r="H326" s="532">
        <f>(H325+H303+H307)</f>
        <v>586.78800000000001</v>
      </c>
      <c r="I326" s="533">
        <f>SUM(,I303,I307,I325)</f>
        <v>28519.4</v>
      </c>
      <c r="J326" s="533">
        <f>SUM(,J303,J307,J325)</f>
        <v>24037.599999999999</v>
      </c>
      <c r="K326" s="533">
        <f>SUM(,K303,K307,K325)</f>
        <v>72167.02</v>
      </c>
      <c r="L326" s="533">
        <f>SUM(,L303,L307,L325)</f>
        <v>124724.02</v>
      </c>
      <c r="M326" s="714"/>
      <c r="N326" s="715"/>
      <c r="O326" s="135"/>
      <c r="P326" s="135"/>
      <c r="Q326" s="135"/>
      <c r="R326" s="135"/>
      <c r="S326" s="135"/>
      <c r="T326" s="135"/>
      <c r="U326" s="135"/>
    </row>
    <row r="327" spans="1:21">
      <c r="A327" s="164"/>
      <c r="B327" s="169"/>
      <c r="C327" s="169"/>
      <c r="D327" s="169"/>
      <c r="E327" s="169"/>
      <c r="F327" s="224"/>
      <c r="G327" s="224"/>
      <c r="H327" s="224"/>
      <c r="I327" s="170"/>
      <c r="J327" s="170"/>
      <c r="K327" s="170"/>
      <c r="L327" s="170"/>
      <c r="M327" s="183"/>
      <c r="N327" s="183"/>
    </row>
    <row r="328" spans="1:21" ht="18">
      <c r="A328" s="171" t="s">
        <v>167</v>
      </c>
      <c r="B328" s="690" t="s">
        <v>59</v>
      </c>
      <c r="C328" s="690"/>
      <c r="D328" s="690"/>
      <c r="E328" s="691"/>
      <c r="F328" s="224"/>
      <c r="G328" s="224"/>
      <c r="H328" s="224"/>
      <c r="I328" s="170"/>
      <c r="J328" s="170"/>
      <c r="K328" s="170"/>
      <c r="L328" s="170"/>
      <c r="M328" s="183"/>
      <c r="N328" s="183"/>
    </row>
    <row r="329" spans="1:21">
      <c r="B329" s="692" t="s">
        <v>19</v>
      </c>
      <c r="C329" s="692"/>
      <c r="D329" s="692"/>
      <c r="E329" s="692"/>
      <c r="F329" s="224"/>
      <c r="G329" s="224"/>
      <c r="H329" s="224"/>
      <c r="I329" s="170"/>
      <c r="J329" s="170"/>
      <c r="K329" s="170"/>
      <c r="L329" s="170"/>
      <c r="M329" s="183"/>
      <c r="N329" s="183"/>
    </row>
    <row r="330" spans="1:21" ht="17" thickBot="1">
      <c r="B330" s="244"/>
      <c r="C330" s="244"/>
      <c r="D330" s="244"/>
      <c r="E330" s="244"/>
      <c r="F330" s="224"/>
      <c r="G330" s="224"/>
      <c r="H330" s="224"/>
      <c r="I330" s="170"/>
      <c r="J330" s="170"/>
      <c r="K330" s="170"/>
      <c r="L330" s="170"/>
      <c r="M330" s="244"/>
      <c r="N330" s="244"/>
    </row>
    <row r="331" spans="1:21">
      <c r="A331" s="63"/>
      <c r="B331" s="64"/>
      <c r="C331" s="64"/>
      <c r="D331" s="64"/>
      <c r="E331" s="64"/>
      <c r="F331" s="200"/>
      <c r="G331" s="200"/>
      <c r="H331" s="200"/>
      <c r="I331" s="670" t="s">
        <v>0</v>
      </c>
      <c r="J331" s="670"/>
      <c r="K331" s="670"/>
      <c r="L331" s="670"/>
      <c r="M331" s="64"/>
      <c r="N331" s="65"/>
    </row>
    <row r="332" spans="1:21">
      <c r="A332" s="62"/>
      <c r="B332" s="671" t="s">
        <v>1</v>
      </c>
      <c r="C332" s="671"/>
      <c r="D332" s="671" t="s">
        <v>2</v>
      </c>
      <c r="E332" s="671"/>
      <c r="F332" s="672" t="s">
        <v>3</v>
      </c>
      <c r="G332" s="672"/>
      <c r="H332" s="207" t="s">
        <v>3</v>
      </c>
      <c r="I332" s="78" t="s">
        <v>135</v>
      </c>
      <c r="J332" s="66"/>
      <c r="K332" s="66"/>
      <c r="L332" s="79"/>
      <c r="M332" s="671" t="s">
        <v>4</v>
      </c>
      <c r="N332" s="674"/>
    </row>
    <row r="333" spans="1:21" ht="19" thickBot="1">
      <c r="A333" s="67" t="s">
        <v>5</v>
      </c>
      <c r="B333" s="675" t="s">
        <v>6</v>
      </c>
      <c r="C333" s="675"/>
      <c r="D333" s="675" t="s">
        <v>7</v>
      </c>
      <c r="E333" s="675"/>
      <c r="F333" s="676" t="s">
        <v>7</v>
      </c>
      <c r="G333" s="676"/>
      <c r="H333" s="208" t="s">
        <v>58</v>
      </c>
      <c r="I333" s="185" t="s">
        <v>136</v>
      </c>
      <c r="J333" s="184" t="s">
        <v>8</v>
      </c>
      <c r="K333" s="184" t="s">
        <v>9</v>
      </c>
      <c r="L333" s="187" t="s">
        <v>10</v>
      </c>
      <c r="M333" s="675" t="s">
        <v>103</v>
      </c>
      <c r="N333" s="678"/>
    </row>
    <row r="334" spans="1:21" ht="24" thickBot="1">
      <c r="A334" s="60" t="s">
        <v>121</v>
      </c>
      <c r="B334" s="735"/>
      <c r="C334" s="736"/>
      <c r="D334" s="737"/>
      <c r="E334" s="738"/>
      <c r="F334" s="739"/>
      <c r="G334" s="740"/>
      <c r="H334" s="236"/>
      <c r="I334" s="166"/>
      <c r="J334" s="166"/>
      <c r="K334" s="166"/>
      <c r="L334" s="237"/>
      <c r="M334" s="735"/>
      <c r="N334" s="742"/>
    </row>
    <row r="335" spans="1:21" s="530" customFormat="1" ht="17" thickBot="1">
      <c r="A335" s="71" t="s">
        <v>48</v>
      </c>
      <c r="B335" s="663"/>
      <c r="C335" s="716"/>
      <c r="D335" s="729"/>
      <c r="E335" s="716"/>
      <c r="F335" s="717"/>
      <c r="G335" s="718"/>
      <c r="H335" s="529"/>
      <c r="I335" s="72"/>
      <c r="J335" s="72"/>
      <c r="K335" s="72"/>
      <c r="L335" s="522"/>
      <c r="M335" s="688"/>
      <c r="N335" s="689"/>
      <c r="O335" s="135"/>
      <c r="P335" s="135"/>
      <c r="Q335" s="135"/>
      <c r="R335" s="135"/>
      <c r="S335" s="135"/>
      <c r="T335" s="135"/>
      <c r="U335" s="135"/>
    </row>
    <row r="336" spans="1:21" s="255" customFormat="1" ht="13" hidden="1">
      <c r="A336" s="54" t="s">
        <v>29</v>
      </c>
      <c r="B336" s="694">
        <f>Ontario!N146</f>
        <v>0</v>
      </c>
      <c r="C336" s="631"/>
      <c r="D336" s="630">
        <f>F336*325851</f>
        <v>0</v>
      </c>
      <c r="E336" s="631"/>
      <c r="F336" s="695">
        <f>0.0425*B336</f>
        <v>0</v>
      </c>
      <c r="G336" s="696"/>
      <c r="H336" s="235">
        <f>F336*20</f>
        <v>0</v>
      </c>
      <c r="I336" s="97">
        <v>0</v>
      </c>
      <c r="J336" s="97">
        <v>0</v>
      </c>
      <c r="K336" s="96">
        <f>B336*50</f>
        <v>0</v>
      </c>
      <c r="L336" s="126">
        <f t="shared" ref="L336:L341" si="76">I336+J336+K336</f>
        <v>0</v>
      </c>
      <c r="M336" s="697">
        <f>IF(ISERROR(L336/(F336*727)),0,L336/(F336*727))</f>
        <v>0</v>
      </c>
      <c r="N336" s="698"/>
      <c r="O336" s="259"/>
      <c r="P336" s="259"/>
      <c r="Q336" s="259"/>
      <c r="R336" s="259"/>
      <c r="S336" s="259"/>
      <c r="T336" s="259"/>
      <c r="U336" s="259"/>
    </row>
    <row r="337" spans="1:21" s="255" customFormat="1" ht="13">
      <c r="A337" s="54" t="s">
        <v>33</v>
      </c>
      <c r="B337" s="694">
        <f>Ontario!N147</f>
        <v>124</v>
      </c>
      <c r="C337" s="631"/>
      <c r="D337" s="630">
        <f>F337*325851</f>
        <v>1115192.4624000001</v>
      </c>
      <c r="E337" s="631"/>
      <c r="F337" s="695">
        <f>0.0276*B337</f>
        <v>3.4224000000000001</v>
      </c>
      <c r="G337" s="696"/>
      <c r="H337" s="428">
        <f>F337*15</f>
        <v>51.335999999999999</v>
      </c>
      <c r="I337" s="97">
        <v>0</v>
      </c>
      <c r="J337" s="96">
        <v>0</v>
      </c>
      <c r="K337" s="96">
        <f>B337*85</f>
        <v>10540</v>
      </c>
      <c r="L337" s="126">
        <f t="shared" si="76"/>
        <v>10540</v>
      </c>
      <c r="M337" s="724">
        <f>L337/(F337*681)</f>
        <v>4.5223350145778802</v>
      </c>
      <c r="N337" s="698"/>
      <c r="O337" s="259"/>
      <c r="P337" s="259"/>
      <c r="Q337" s="259"/>
      <c r="R337" s="259"/>
      <c r="S337" s="259"/>
      <c r="T337" s="259"/>
      <c r="U337" s="259"/>
    </row>
    <row r="338" spans="1:21" s="255" customFormat="1" ht="13">
      <c r="A338" s="54" t="s">
        <v>56</v>
      </c>
      <c r="B338" s="694">
        <f>Ontario!N148</f>
        <v>98</v>
      </c>
      <c r="C338" s="631"/>
      <c r="D338" s="630">
        <f>F338*325851</f>
        <v>127733.592</v>
      </c>
      <c r="E338" s="631"/>
      <c r="F338" s="695">
        <f>0.004*B338</f>
        <v>0.39200000000000002</v>
      </c>
      <c r="G338" s="696"/>
      <c r="H338" s="428">
        <f>F338*5</f>
        <v>1.96</v>
      </c>
      <c r="I338" s="97">
        <v>0</v>
      </c>
      <c r="J338" s="96">
        <f>2*B338</f>
        <v>196</v>
      </c>
      <c r="K338" s="96">
        <f>B338*3</f>
        <v>294</v>
      </c>
      <c r="L338" s="126">
        <f t="shared" si="76"/>
        <v>490</v>
      </c>
      <c r="M338" s="724">
        <f>L338/(F338*681)</f>
        <v>1.8355359765051396</v>
      </c>
      <c r="N338" s="698"/>
      <c r="O338" s="259"/>
      <c r="P338" s="259"/>
      <c r="Q338" s="259"/>
      <c r="R338" s="259"/>
      <c r="S338" s="259"/>
      <c r="T338" s="259"/>
      <c r="U338" s="259"/>
    </row>
    <row r="339" spans="1:21" s="255" customFormat="1" ht="13">
      <c r="A339" s="54" t="s">
        <v>52</v>
      </c>
      <c r="B339" s="694">
        <f>Ontario!N149</f>
        <v>9</v>
      </c>
      <c r="C339" s="631"/>
      <c r="D339" s="652">
        <f>F339*325851</f>
        <v>953114.17500000005</v>
      </c>
      <c r="E339" s="651"/>
      <c r="F339" s="720">
        <f>0.325*B339</f>
        <v>2.9250000000000003</v>
      </c>
      <c r="G339" s="721"/>
      <c r="H339" s="430">
        <f>F339*10</f>
        <v>29.250000000000004</v>
      </c>
      <c r="I339" s="97">
        <v>0</v>
      </c>
      <c r="J339" s="107">
        <f>45*B339</f>
        <v>405</v>
      </c>
      <c r="K339" s="107">
        <f>B339*80</f>
        <v>720</v>
      </c>
      <c r="L339" s="139">
        <f t="shared" si="76"/>
        <v>1125</v>
      </c>
      <c r="M339" s="724">
        <f>L339/(F339*681)</f>
        <v>0.56478030046311978</v>
      </c>
      <c r="N339" s="698"/>
      <c r="O339" s="259"/>
      <c r="P339" s="259"/>
      <c r="Q339" s="259"/>
      <c r="R339" s="259"/>
      <c r="S339" s="259"/>
      <c r="T339" s="259"/>
      <c r="U339" s="259"/>
    </row>
    <row r="340" spans="1:21" s="255" customFormat="1" ht="13" hidden="1">
      <c r="A340" s="53" t="s">
        <v>123</v>
      </c>
      <c r="B340" s="694">
        <f>Ontario!N150</f>
        <v>0</v>
      </c>
      <c r="C340" s="631"/>
      <c r="D340" s="652"/>
      <c r="E340" s="651"/>
      <c r="F340" s="720">
        <v>0</v>
      </c>
      <c r="G340" s="721"/>
      <c r="H340" s="430">
        <f>F340*10</f>
        <v>0</v>
      </c>
      <c r="I340" s="97">
        <v>0</v>
      </c>
      <c r="J340" s="107">
        <v>0</v>
      </c>
      <c r="K340" s="107">
        <v>0</v>
      </c>
      <c r="L340" s="139">
        <f t="shared" si="76"/>
        <v>0</v>
      </c>
      <c r="M340" s="697">
        <f>IF(ISERROR(L340/(F340*727)),0,L340/(F340*727))</f>
        <v>0</v>
      </c>
      <c r="N340" s="698"/>
      <c r="O340" s="259"/>
      <c r="P340" s="259"/>
      <c r="Q340" s="259"/>
      <c r="R340" s="259"/>
      <c r="S340" s="259"/>
      <c r="T340" s="259"/>
      <c r="U340" s="259"/>
    </row>
    <row r="341" spans="1:21" s="255" customFormat="1" ht="13">
      <c r="A341" s="53" t="s">
        <v>113</v>
      </c>
      <c r="B341" s="694">
        <f>Ontario!N151</f>
        <v>4178</v>
      </c>
      <c r="C341" s="631"/>
      <c r="D341" s="652">
        <f>F341*325900</f>
        <v>5446440.7999999998</v>
      </c>
      <c r="E341" s="651"/>
      <c r="F341" s="720">
        <f>B341*0.004</f>
        <v>16.712</v>
      </c>
      <c r="G341" s="721"/>
      <c r="H341" s="428">
        <f>F341*5</f>
        <v>83.56</v>
      </c>
      <c r="I341" s="97">
        <v>0</v>
      </c>
      <c r="J341" s="107">
        <v>0</v>
      </c>
      <c r="K341" s="107">
        <f>B341*3</f>
        <v>12534</v>
      </c>
      <c r="L341" s="139">
        <f t="shared" si="76"/>
        <v>12534</v>
      </c>
      <c r="M341" s="724">
        <f>L341/(F341*681)</f>
        <v>1.1013215859030838</v>
      </c>
      <c r="N341" s="698"/>
      <c r="O341" s="259"/>
      <c r="P341" s="259"/>
      <c r="Q341" s="259"/>
      <c r="R341" s="259"/>
      <c r="S341" s="259"/>
      <c r="T341" s="259"/>
      <c r="U341" s="259"/>
    </row>
    <row r="342" spans="1:21" s="255" customFormat="1" ht="14" thickBot="1">
      <c r="A342" s="53" t="s">
        <v>114</v>
      </c>
      <c r="B342" s="693">
        <v>7</v>
      </c>
      <c r="C342" s="631"/>
      <c r="D342" s="652">
        <f>F342*325900</f>
        <v>1629500</v>
      </c>
      <c r="E342" s="651"/>
      <c r="F342" s="745">
        <v>5</v>
      </c>
      <c r="G342" s="721"/>
      <c r="H342" s="430">
        <v>45</v>
      </c>
      <c r="I342" s="97">
        <v>0</v>
      </c>
      <c r="J342" s="107">
        <f>L342-K342</f>
        <v>5106.45</v>
      </c>
      <c r="K342" s="107">
        <v>3852.45</v>
      </c>
      <c r="L342" s="139">
        <v>8958.9</v>
      </c>
      <c r="M342" s="724">
        <f>L342/(F342*681)</f>
        <v>2.6311013215859029</v>
      </c>
      <c r="N342" s="698"/>
      <c r="O342" s="259"/>
      <c r="P342" s="259"/>
      <c r="Q342" s="259"/>
      <c r="R342" s="259"/>
      <c r="S342" s="259"/>
      <c r="T342" s="259"/>
      <c r="U342" s="259"/>
    </row>
    <row r="343" spans="1:21" s="275" customFormat="1" ht="14" thickBot="1">
      <c r="A343" s="40" t="s">
        <v>60</v>
      </c>
      <c r="B343" s="642">
        <f>SUM(B336:C342)</f>
        <v>4416</v>
      </c>
      <c r="C343" s="706"/>
      <c r="D343" s="645">
        <f>SUM(D336:E342)</f>
        <v>9271981.0294000003</v>
      </c>
      <c r="E343" s="706"/>
      <c r="F343" s="707">
        <f>SUM(F336:G342)</f>
        <v>28.4514</v>
      </c>
      <c r="G343" s="708"/>
      <c r="H343" s="309">
        <f>SUM(H336:H342)</f>
        <v>211.10599999999999</v>
      </c>
      <c r="I343" s="99">
        <f>SUM(I336:I342)</f>
        <v>0</v>
      </c>
      <c r="J343" s="93">
        <f>SUM(J336:J342)</f>
        <v>5707.45</v>
      </c>
      <c r="K343" s="93">
        <f>SUM(K336:K342)</f>
        <v>27940.45</v>
      </c>
      <c r="L343" s="93">
        <f>SUM(L336:L342)</f>
        <v>33647.9</v>
      </c>
      <c r="M343" s="744"/>
      <c r="N343" s="710"/>
      <c r="O343" s="276"/>
      <c r="P343" s="276"/>
      <c r="Q343" s="276"/>
      <c r="R343" s="276"/>
      <c r="S343" s="276"/>
      <c r="T343" s="276"/>
      <c r="U343" s="276"/>
    </row>
    <row r="344" spans="1:21" s="530" customFormat="1" ht="17" thickBot="1">
      <c r="A344" s="71" t="s">
        <v>104</v>
      </c>
      <c r="B344" s="662"/>
      <c r="C344" s="716"/>
      <c r="D344" s="729"/>
      <c r="E344" s="716"/>
      <c r="F344" s="687"/>
      <c r="G344" s="718"/>
      <c r="H344" s="529"/>
      <c r="I344" s="72"/>
      <c r="J344" s="72"/>
      <c r="K344" s="72"/>
      <c r="L344" s="522"/>
      <c r="M344" s="688"/>
      <c r="N344" s="689"/>
      <c r="O344" s="135"/>
      <c r="P344" s="135"/>
      <c r="Q344" s="135"/>
      <c r="R344" s="135"/>
      <c r="S344" s="135"/>
      <c r="T344" s="135"/>
      <c r="U344" s="135"/>
    </row>
    <row r="345" spans="1:21" s="255" customFormat="1" ht="13">
      <c r="A345" s="53" t="s">
        <v>104</v>
      </c>
      <c r="B345" s="693">
        <f>Ontario!N155</f>
        <v>64</v>
      </c>
      <c r="C345" s="631"/>
      <c r="D345" s="630">
        <f>F345*325851</f>
        <v>886314.72000000009</v>
      </c>
      <c r="E345" s="631"/>
      <c r="F345" s="745">
        <f>0.0425*B345</f>
        <v>2.72</v>
      </c>
      <c r="G345" s="721"/>
      <c r="H345" s="430">
        <f>F345*20</f>
        <v>54.400000000000006</v>
      </c>
      <c r="I345" s="263">
        <f>73.34*B345</f>
        <v>4693.76</v>
      </c>
      <c r="J345" s="263">
        <f>35.66*B345</f>
        <v>2282.2399999999998</v>
      </c>
      <c r="K345" s="263">
        <f>B345*50</f>
        <v>3200</v>
      </c>
      <c r="L345" s="264">
        <f>I345+J345+K345</f>
        <v>10176</v>
      </c>
      <c r="M345" s="724">
        <f>L345/(F345*681)</f>
        <v>5.4936512049753814</v>
      </c>
      <c r="N345" s="698"/>
      <c r="O345" s="259"/>
      <c r="P345" s="259"/>
      <c r="Q345" s="259"/>
      <c r="R345" s="259"/>
      <c r="S345" s="259"/>
      <c r="T345" s="259"/>
      <c r="U345" s="259"/>
    </row>
    <row r="346" spans="1:21" s="255" customFormat="1" ht="14" thickBot="1">
      <c r="A346" s="53" t="s">
        <v>122</v>
      </c>
      <c r="B346" s="693">
        <f>Ontario!N156</f>
        <v>370</v>
      </c>
      <c r="C346" s="631"/>
      <c r="D346" s="630">
        <f>F346*325851</f>
        <v>5124006.9750000006</v>
      </c>
      <c r="E346" s="631"/>
      <c r="F346" s="745">
        <f>0.0425*B346</f>
        <v>15.725000000000001</v>
      </c>
      <c r="G346" s="721"/>
      <c r="H346" s="430">
        <f>F346*20</f>
        <v>314.5</v>
      </c>
      <c r="I346" s="263">
        <f>73.34*B346</f>
        <v>27135.800000000003</v>
      </c>
      <c r="J346" s="263">
        <f>35.66*B346</f>
        <v>13194.199999999999</v>
      </c>
      <c r="K346" s="263">
        <f>B346*50</f>
        <v>18500</v>
      </c>
      <c r="L346" s="264">
        <f>I346+J346+K346</f>
        <v>58830</v>
      </c>
      <c r="M346" s="724">
        <f>L346/(F346*681)</f>
        <v>5.4936512049753823</v>
      </c>
      <c r="N346" s="698"/>
      <c r="O346" s="259"/>
      <c r="P346" s="259"/>
      <c r="Q346" s="259"/>
      <c r="R346" s="259"/>
      <c r="S346" s="259"/>
      <c r="T346" s="259"/>
      <c r="U346" s="259"/>
    </row>
    <row r="347" spans="1:21" s="275" customFormat="1" ht="14" thickBot="1">
      <c r="A347" s="40" t="s">
        <v>60</v>
      </c>
      <c r="B347" s="642">
        <f>SUM(B345:B346)</f>
        <v>434</v>
      </c>
      <c r="C347" s="706"/>
      <c r="D347" s="645">
        <f>SUM(D345:D346)</f>
        <v>6010321.6950000003</v>
      </c>
      <c r="E347" s="706"/>
      <c r="F347" s="707">
        <f>SUM(F345:F346)</f>
        <v>18.445</v>
      </c>
      <c r="G347" s="708"/>
      <c r="H347" s="309">
        <f>SUM(H345:H346)</f>
        <v>368.9</v>
      </c>
      <c r="I347" s="99">
        <f>SUM(I345:I346)</f>
        <v>31829.560000000005</v>
      </c>
      <c r="J347" s="93">
        <f>SUM(J345:J346)</f>
        <v>15476.439999999999</v>
      </c>
      <c r="K347" s="93">
        <f>SUM(K345:K346)</f>
        <v>21700</v>
      </c>
      <c r="L347" s="93">
        <f>SUM(L345:L346)</f>
        <v>69006</v>
      </c>
      <c r="M347" s="744"/>
      <c r="N347" s="710"/>
      <c r="O347" s="276"/>
      <c r="P347" s="276"/>
      <c r="Q347" s="276"/>
      <c r="R347" s="276"/>
      <c r="S347" s="276"/>
      <c r="T347" s="276"/>
      <c r="U347" s="276"/>
    </row>
    <row r="348" spans="1:21" s="530" customFormat="1" ht="17" thickBot="1">
      <c r="A348" s="71" t="s">
        <v>50</v>
      </c>
      <c r="B348" s="662"/>
      <c r="C348" s="716"/>
      <c r="D348" s="729"/>
      <c r="E348" s="716"/>
      <c r="F348" s="687"/>
      <c r="G348" s="718"/>
      <c r="H348" s="529"/>
      <c r="I348" s="72"/>
      <c r="J348" s="72"/>
      <c r="K348" s="72"/>
      <c r="L348" s="522"/>
      <c r="M348" s="688"/>
      <c r="N348" s="689"/>
      <c r="O348" s="135"/>
      <c r="P348" s="135"/>
      <c r="Q348" s="135"/>
      <c r="R348" s="135"/>
      <c r="S348" s="135"/>
      <c r="T348" s="135"/>
      <c r="U348" s="135"/>
    </row>
    <row r="349" spans="1:21" s="255" customFormat="1" ht="13">
      <c r="A349" s="54" t="s">
        <v>29</v>
      </c>
      <c r="B349" s="693">
        <f>Ontario!N159</f>
        <v>4</v>
      </c>
      <c r="C349" s="631"/>
      <c r="D349" s="630">
        <f t="shared" ref="D349:D355" si="77">F349*325851</f>
        <v>55394.670000000006</v>
      </c>
      <c r="E349" s="631"/>
      <c r="F349" s="743">
        <f>0.0425*B349</f>
        <v>0.17</v>
      </c>
      <c r="G349" s="696"/>
      <c r="H349" s="428">
        <f>F349*20</f>
        <v>3.4000000000000004</v>
      </c>
      <c r="I349" s="56">
        <v>0</v>
      </c>
      <c r="J349" s="55">
        <f>35*B349</f>
        <v>140</v>
      </c>
      <c r="K349" s="56">
        <f>50*B349</f>
        <v>200</v>
      </c>
      <c r="L349" s="229">
        <f t="shared" ref="L349:L356" si="78">SUM(I349:K349)</f>
        <v>340</v>
      </c>
      <c r="M349" s="724">
        <f>L349/(F349*681)</f>
        <v>2.9368575624082229</v>
      </c>
      <c r="N349" s="698"/>
      <c r="O349" s="259"/>
      <c r="P349" s="259"/>
      <c r="Q349" s="259"/>
      <c r="R349" s="259"/>
      <c r="S349" s="259"/>
      <c r="T349" s="259"/>
      <c r="U349" s="259"/>
    </row>
    <row r="350" spans="1:21" s="255" customFormat="1" ht="13">
      <c r="A350" s="54" t="s">
        <v>51</v>
      </c>
      <c r="B350" s="693">
        <f>Ontario!N160</f>
        <v>42</v>
      </c>
      <c r="C350" s="631"/>
      <c r="D350" s="630">
        <f t="shared" si="77"/>
        <v>1679240.5434000001</v>
      </c>
      <c r="E350" s="631"/>
      <c r="F350" s="743">
        <f>0.1227*B350</f>
        <v>5.1534000000000004</v>
      </c>
      <c r="G350" s="696"/>
      <c r="H350" s="428">
        <f>F350*20</f>
        <v>103.06800000000001</v>
      </c>
      <c r="I350" s="56">
        <v>0</v>
      </c>
      <c r="J350" s="56">
        <f>50*B350</f>
        <v>2100</v>
      </c>
      <c r="K350" s="56">
        <f>200*B350</f>
        <v>8400</v>
      </c>
      <c r="L350" s="229">
        <f t="shared" si="78"/>
        <v>10500</v>
      </c>
      <c r="M350" s="724">
        <f t="shared" ref="M350:M356" si="79">L350/(F350*681)</f>
        <v>2.9919086821599663</v>
      </c>
      <c r="N350" s="698"/>
      <c r="O350" s="259"/>
      <c r="P350" s="259"/>
      <c r="Q350" s="259"/>
      <c r="R350" s="259"/>
      <c r="S350" s="259"/>
      <c r="T350" s="259"/>
      <c r="U350" s="259"/>
    </row>
    <row r="351" spans="1:21" s="255" customFormat="1" ht="13">
      <c r="A351" s="54" t="s">
        <v>117</v>
      </c>
      <c r="B351" s="693">
        <f>Ontario!N161</f>
        <v>1</v>
      </c>
      <c r="C351" s="631"/>
      <c r="D351" s="630">
        <f t="shared" si="77"/>
        <v>209848.04399999999</v>
      </c>
      <c r="E351" s="631"/>
      <c r="F351" s="743">
        <f>0.644*B351</f>
        <v>0.64400000000000002</v>
      </c>
      <c r="G351" s="696"/>
      <c r="H351" s="428">
        <f>F351*5</f>
        <v>3.22</v>
      </c>
      <c r="I351" s="56">
        <v>0</v>
      </c>
      <c r="J351" s="56">
        <f>B351*500</f>
        <v>500</v>
      </c>
      <c r="K351" s="56">
        <f>B351*1750</f>
        <v>1750</v>
      </c>
      <c r="L351" s="229">
        <f t="shared" si="78"/>
        <v>2250</v>
      </c>
      <c r="M351" s="724">
        <f t="shared" si="79"/>
        <v>5.1303800585547377</v>
      </c>
      <c r="N351" s="698"/>
      <c r="O351" s="259"/>
      <c r="P351" s="259"/>
      <c r="Q351" s="259"/>
      <c r="R351" s="259"/>
      <c r="S351" s="259"/>
      <c r="T351" s="259"/>
      <c r="U351" s="259"/>
    </row>
    <row r="352" spans="1:21" s="255" customFormat="1" ht="13">
      <c r="A352" s="54" t="s">
        <v>13</v>
      </c>
      <c r="B352" s="693">
        <f>Ontario!N162</f>
        <v>0</v>
      </c>
      <c r="C352" s="631"/>
      <c r="D352" s="630">
        <f t="shared" si="77"/>
        <v>0</v>
      </c>
      <c r="E352" s="631"/>
      <c r="F352" s="743">
        <f>0.1075*B352</f>
        <v>0</v>
      </c>
      <c r="G352" s="696"/>
      <c r="H352" s="428">
        <f>F352*10</f>
        <v>0</v>
      </c>
      <c r="I352" s="56">
        <v>0</v>
      </c>
      <c r="J352" s="56">
        <f>100*B352</f>
        <v>0</v>
      </c>
      <c r="K352" s="56">
        <f>80*B352</f>
        <v>0</v>
      </c>
      <c r="L352" s="229">
        <f t="shared" si="78"/>
        <v>0</v>
      </c>
      <c r="M352" s="724">
        <v>0</v>
      </c>
      <c r="N352" s="698"/>
      <c r="O352" s="259"/>
      <c r="P352" s="259"/>
      <c r="Q352" s="259"/>
      <c r="R352" s="259"/>
      <c r="S352" s="259"/>
      <c r="T352" s="259"/>
      <c r="U352" s="259"/>
    </row>
    <row r="353" spans="1:21" s="255" customFormat="1" ht="13" hidden="1">
      <c r="A353" s="53" t="s">
        <v>47</v>
      </c>
      <c r="B353" s="693">
        <f>Ontario!N163</f>
        <v>0</v>
      </c>
      <c r="C353" s="631"/>
      <c r="D353" s="630">
        <f t="shared" si="77"/>
        <v>0</v>
      </c>
      <c r="E353" s="631"/>
      <c r="F353" s="743">
        <f>0.1534*B353</f>
        <v>0</v>
      </c>
      <c r="G353" s="696"/>
      <c r="H353" s="428">
        <f>F353*5</f>
        <v>0</v>
      </c>
      <c r="I353" s="56">
        <v>0</v>
      </c>
      <c r="J353" s="56">
        <f>0*B353</f>
        <v>0</v>
      </c>
      <c r="K353" s="56">
        <f>150*B353</f>
        <v>0</v>
      </c>
      <c r="L353" s="229">
        <f t="shared" si="78"/>
        <v>0</v>
      </c>
      <c r="M353" s="697">
        <f>IF(ISERROR(L353/(F353*727)),0,L353/(F353*727))</f>
        <v>0</v>
      </c>
      <c r="N353" s="698"/>
      <c r="O353" s="259"/>
      <c r="P353" s="259"/>
      <c r="Q353" s="259"/>
      <c r="R353" s="259"/>
      <c r="S353" s="259"/>
      <c r="T353" s="259"/>
      <c r="U353" s="259"/>
    </row>
    <row r="354" spans="1:21" s="255" customFormat="1" ht="13">
      <c r="A354" s="53" t="s">
        <v>52</v>
      </c>
      <c r="B354" s="693">
        <f>Ontario!N164</f>
        <v>5</v>
      </c>
      <c r="C354" s="631"/>
      <c r="D354" s="630">
        <f t="shared" si="77"/>
        <v>529507.875</v>
      </c>
      <c r="E354" s="631"/>
      <c r="F354" s="743">
        <f>0.325*B354</f>
        <v>1.625</v>
      </c>
      <c r="G354" s="696"/>
      <c r="H354" s="428">
        <f>F354*10</f>
        <v>16.25</v>
      </c>
      <c r="I354" s="56">
        <v>0</v>
      </c>
      <c r="J354" s="56">
        <v>1625</v>
      </c>
      <c r="K354" s="56">
        <v>529</v>
      </c>
      <c r="L354" s="229">
        <f t="shared" si="78"/>
        <v>2154</v>
      </c>
      <c r="M354" s="724">
        <f t="shared" si="79"/>
        <v>1.9464588275160963</v>
      </c>
      <c r="N354" s="698"/>
      <c r="O354" s="259"/>
      <c r="P354" s="259"/>
      <c r="Q354" s="259"/>
      <c r="R354" s="259"/>
      <c r="S354" s="259"/>
      <c r="T354" s="259"/>
      <c r="U354" s="259"/>
    </row>
    <row r="355" spans="1:21" s="255" customFormat="1" ht="13" hidden="1">
      <c r="A355" s="53" t="s">
        <v>53</v>
      </c>
      <c r="B355" s="693">
        <f>Ontario!N165</f>
        <v>0</v>
      </c>
      <c r="C355" s="631"/>
      <c r="D355" s="630">
        <f t="shared" si="77"/>
        <v>0</v>
      </c>
      <c r="E355" s="631"/>
      <c r="F355" s="743">
        <f>0.00014*B355</f>
        <v>0</v>
      </c>
      <c r="G355" s="696"/>
      <c r="H355" s="428">
        <f>F355*10</f>
        <v>0</v>
      </c>
      <c r="I355" s="56">
        <v>0</v>
      </c>
      <c r="J355" s="56">
        <f>0.45*B355</f>
        <v>0</v>
      </c>
      <c r="K355" s="56">
        <f>0.3*B355</f>
        <v>0</v>
      </c>
      <c r="L355" s="229">
        <f t="shared" si="78"/>
        <v>0</v>
      </c>
      <c r="M355" s="697">
        <f>IF(ISERROR(L355/(F355*727)),0,L355/(F355*727))</f>
        <v>0</v>
      </c>
      <c r="N355" s="698"/>
      <c r="O355" s="259"/>
      <c r="P355" s="259"/>
      <c r="Q355" s="259"/>
      <c r="R355" s="259"/>
      <c r="S355" s="259"/>
      <c r="T355" s="259"/>
      <c r="U355" s="259"/>
    </row>
    <row r="356" spans="1:21" s="255" customFormat="1" ht="13">
      <c r="A356" s="53" t="s">
        <v>56</v>
      </c>
      <c r="B356" s="693">
        <f>Ontario!N166</f>
        <v>750</v>
      </c>
      <c r="C356" s="631"/>
      <c r="D356" s="630">
        <f>F356*325851</f>
        <v>977553</v>
      </c>
      <c r="E356" s="631"/>
      <c r="F356" s="743">
        <f>0.004*B356</f>
        <v>3</v>
      </c>
      <c r="G356" s="696"/>
      <c r="H356" s="428">
        <f>F356*5</f>
        <v>15</v>
      </c>
      <c r="I356" s="56">
        <v>0</v>
      </c>
      <c r="J356" s="56">
        <f>1*B356</f>
        <v>750</v>
      </c>
      <c r="K356" s="56">
        <f>3*B356</f>
        <v>2250</v>
      </c>
      <c r="L356" s="229">
        <f t="shared" si="78"/>
        <v>3000</v>
      </c>
      <c r="M356" s="724">
        <f t="shared" si="79"/>
        <v>1.4684287812041117</v>
      </c>
      <c r="N356" s="698"/>
      <c r="O356" s="259"/>
      <c r="P356" s="259"/>
      <c r="Q356" s="259"/>
      <c r="R356" s="259"/>
      <c r="S356" s="259"/>
      <c r="T356" s="259"/>
      <c r="U356" s="259"/>
    </row>
    <row r="357" spans="1:21" s="255" customFormat="1" ht="13">
      <c r="A357" s="53" t="s">
        <v>89</v>
      </c>
      <c r="B357" s="693">
        <f>Ontario!N167</f>
        <v>0</v>
      </c>
      <c r="C357" s="631"/>
      <c r="D357" s="630">
        <f>F357*325851</f>
        <v>0</v>
      </c>
      <c r="E357" s="631"/>
      <c r="F357" s="743">
        <f>0.018*B357</f>
        <v>0</v>
      </c>
      <c r="G357" s="696"/>
      <c r="H357" s="428">
        <f>F357*10</f>
        <v>0</v>
      </c>
      <c r="I357" s="56">
        <v>0</v>
      </c>
      <c r="J357" s="56">
        <f>0*B357</f>
        <v>0</v>
      </c>
      <c r="K357" s="56">
        <f>13*B357</f>
        <v>0</v>
      </c>
      <c r="L357" s="229">
        <f>SUM(I357:K357)</f>
        <v>0</v>
      </c>
      <c r="M357" s="724">
        <v>0</v>
      </c>
      <c r="N357" s="698"/>
      <c r="O357" s="259"/>
      <c r="P357" s="259"/>
      <c r="Q357" s="259"/>
      <c r="R357" s="259"/>
      <c r="S357" s="259"/>
      <c r="T357" s="259"/>
      <c r="U357" s="259"/>
    </row>
    <row r="358" spans="1:21" s="255" customFormat="1" ht="13" hidden="1">
      <c r="A358" s="53" t="s">
        <v>83</v>
      </c>
      <c r="B358" s="693">
        <f>Ontario!N168</f>
        <v>0</v>
      </c>
      <c r="C358" s="631"/>
      <c r="D358" s="630">
        <f>F358*325851</f>
        <v>0</v>
      </c>
      <c r="E358" s="631"/>
      <c r="F358" s="743">
        <f>0.018*B358</f>
        <v>0</v>
      </c>
      <c r="G358" s="696"/>
      <c r="H358" s="428">
        <f>F358*10</f>
        <v>0</v>
      </c>
      <c r="I358" s="56">
        <v>0</v>
      </c>
      <c r="J358" s="56">
        <f>0*B358</f>
        <v>0</v>
      </c>
      <c r="K358" s="56">
        <f>13*B358</f>
        <v>0</v>
      </c>
      <c r="L358" s="229">
        <f>SUM(I358:K358)</f>
        <v>0</v>
      </c>
      <c r="M358" s="724">
        <v>1</v>
      </c>
      <c r="N358" s="698"/>
      <c r="O358" s="259"/>
      <c r="P358" s="259"/>
      <c r="Q358" s="259"/>
      <c r="R358" s="259"/>
      <c r="S358" s="259"/>
      <c r="T358" s="259"/>
      <c r="U358" s="259"/>
    </row>
    <row r="359" spans="1:21" s="255" customFormat="1" ht="13" hidden="1">
      <c r="A359" s="53" t="s">
        <v>115</v>
      </c>
      <c r="B359" s="693"/>
      <c r="C359" s="631"/>
      <c r="D359" s="630"/>
      <c r="E359" s="631"/>
      <c r="F359" s="743"/>
      <c r="G359" s="696"/>
      <c r="H359" s="428"/>
      <c r="I359" s="56"/>
      <c r="J359" s="56"/>
      <c r="K359" s="56"/>
      <c r="L359" s="229"/>
      <c r="M359" s="724">
        <v>2</v>
      </c>
      <c r="N359" s="698"/>
      <c r="O359" s="259"/>
      <c r="P359" s="259"/>
      <c r="Q359" s="259"/>
      <c r="R359" s="259"/>
      <c r="S359" s="259"/>
      <c r="T359" s="259"/>
      <c r="U359" s="259"/>
    </row>
    <row r="360" spans="1:21" s="255" customFormat="1" ht="13">
      <c r="A360" s="53" t="s">
        <v>113</v>
      </c>
      <c r="B360" s="693">
        <v>2000</v>
      </c>
      <c r="C360" s="631"/>
      <c r="D360" s="630">
        <v>2606808</v>
      </c>
      <c r="E360" s="631"/>
      <c r="F360" s="695">
        <v>8</v>
      </c>
      <c r="G360" s="696"/>
      <c r="H360" s="428">
        <v>80</v>
      </c>
      <c r="I360" s="56">
        <v>0</v>
      </c>
      <c r="J360" s="56">
        <v>0</v>
      </c>
      <c r="K360" s="56">
        <v>26000</v>
      </c>
      <c r="L360" s="308">
        <v>26000</v>
      </c>
      <c r="M360" s="697">
        <v>4.7723935389133629</v>
      </c>
      <c r="N360" s="698"/>
      <c r="O360" s="259"/>
      <c r="P360" s="259"/>
      <c r="Q360" s="259"/>
      <c r="R360" s="259"/>
      <c r="S360" s="259"/>
      <c r="T360" s="259"/>
      <c r="U360" s="259"/>
    </row>
    <row r="361" spans="1:21" s="255" customFormat="1" ht="14" thickBot="1">
      <c r="A361" s="54" t="s">
        <v>124</v>
      </c>
      <c r="B361" s="747">
        <f>Ontario!N171</f>
        <v>0</v>
      </c>
      <c r="C361" s="748"/>
      <c r="D361" s="812">
        <f>F361*325851</f>
        <v>0</v>
      </c>
      <c r="E361" s="748"/>
      <c r="F361" s="809">
        <f>0.018*B361</f>
        <v>0</v>
      </c>
      <c r="G361" s="788"/>
      <c r="H361" s="428">
        <f>F361*10</f>
        <v>0</v>
      </c>
      <c r="I361" s="56">
        <v>0</v>
      </c>
      <c r="J361" s="56">
        <f>0*B361</f>
        <v>0</v>
      </c>
      <c r="K361" s="56">
        <v>0</v>
      </c>
      <c r="L361" s="308">
        <v>0</v>
      </c>
      <c r="M361" s="810">
        <v>0</v>
      </c>
      <c r="N361" s="752"/>
      <c r="O361" s="259"/>
      <c r="P361" s="259"/>
      <c r="Q361" s="259"/>
      <c r="R361" s="259"/>
      <c r="S361" s="259"/>
      <c r="T361" s="259"/>
      <c r="U361" s="259"/>
    </row>
    <row r="362" spans="1:21" s="275" customFormat="1" ht="14" thickBot="1">
      <c r="A362" s="40" t="s">
        <v>60</v>
      </c>
      <c r="B362" s="642">
        <f>SUM(B349:C361)</f>
        <v>2802</v>
      </c>
      <c r="C362" s="643"/>
      <c r="D362" s="645">
        <f>SUM(D349:E361)</f>
        <v>6058352.1324000005</v>
      </c>
      <c r="E362" s="643"/>
      <c r="F362" s="726">
        <f>SUM(F349:G361)</f>
        <v>18.592400000000001</v>
      </c>
      <c r="G362" s="708"/>
      <c r="H362" s="217">
        <f>SUM(H349:H361)</f>
        <v>220.93800000000002</v>
      </c>
      <c r="I362" s="93">
        <f>SUM(I349:I361)</f>
        <v>0</v>
      </c>
      <c r="J362" s="93">
        <f>SUM(J349:J361)</f>
        <v>5115</v>
      </c>
      <c r="K362" s="93">
        <f>SUM(K349:K361)</f>
        <v>39129</v>
      </c>
      <c r="L362" s="93">
        <f>SUM(L349:L361)</f>
        <v>44244</v>
      </c>
      <c r="M362" s="709"/>
      <c r="N362" s="811"/>
      <c r="O362" s="276"/>
      <c r="P362" s="276"/>
      <c r="Q362" s="276"/>
      <c r="R362" s="276"/>
      <c r="S362" s="276"/>
      <c r="T362" s="276"/>
      <c r="U362" s="276"/>
    </row>
    <row r="363" spans="1:21" s="530" customFormat="1" ht="17" thickBot="1">
      <c r="A363" s="531" t="s">
        <v>17</v>
      </c>
      <c r="B363" s="621">
        <f>SUM(,B343,B347,B362)</f>
        <v>7652</v>
      </c>
      <c r="C363" s="622"/>
      <c r="D363" s="623">
        <f>SUM(,D343,D347,D362)</f>
        <v>21340654.856800001</v>
      </c>
      <c r="E363" s="622"/>
      <c r="F363" s="773">
        <f>SUM(,F343,F347,F362)</f>
        <v>65.488799999999998</v>
      </c>
      <c r="G363" s="713"/>
      <c r="H363" s="551">
        <f>SUM(H343,H347,H362)</f>
        <v>800.94399999999996</v>
      </c>
      <c r="I363" s="533">
        <f>SUM(,I343,I347,I362)</f>
        <v>31829.560000000005</v>
      </c>
      <c r="J363" s="533">
        <f>SUM(,J343,J347,J362)</f>
        <v>26298.89</v>
      </c>
      <c r="K363" s="533">
        <f>SUM(,K343,K347,K362)</f>
        <v>88769.45</v>
      </c>
      <c r="L363" s="533">
        <f>SUM(,L343,L347,L362)</f>
        <v>146897.9</v>
      </c>
      <c r="M363" s="714"/>
      <c r="N363" s="774"/>
      <c r="O363" s="135"/>
      <c r="P363" s="135"/>
      <c r="Q363" s="135"/>
      <c r="R363" s="135"/>
      <c r="S363" s="135"/>
      <c r="T363" s="135"/>
      <c r="U363" s="135"/>
    </row>
    <row r="364" spans="1:21">
      <c r="A364" s="164"/>
      <c r="B364" s="169"/>
      <c r="C364" s="169"/>
      <c r="D364" s="169"/>
      <c r="E364" s="169"/>
      <c r="F364" s="224"/>
      <c r="G364" s="224"/>
      <c r="H364" s="224"/>
      <c r="I364" s="170"/>
      <c r="J364" s="170"/>
      <c r="K364" s="170"/>
      <c r="L364" s="170"/>
      <c r="M364" s="311"/>
      <c r="N364" s="311"/>
    </row>
    <row r="365" spans="1:21" ht="18">
      <c r="A365" s="171" t="s">
        <v>167</v>
      </c>
      <c r="B365" s="690" t="s">
        <v>59</v>
      </c>
      <c r="C365" s="690"/>
      <c r="D365" s="690"/>
      <c r="E365" s="690"/>
      <c r="F365" s="224"/>
      <c r="G365" s="224"/>
      <c r="H365" s="224"/>
      <c r="I365" s="170"/>
      <c r="J365" s="170"/>
      <c r="K365" s="170"/>
      <c r="L365" s="170"/>
      <c r="M365" s="311"/>
      <c r="N365" s="311"/>
    </row>
    <row r="366" spans="1:21">
      <c r="B366" s="692" t="s">
        <v>19</v>
      </c>
      <c r="C366" s="692"/>
      <c r="D366" s="692"/>
      <c r="E366" s="692"/>
      <c r="F366" s="224"/>
      <c r="G366" s="224"/>
      <c r="H366" s="224"/>
      <c r="I366" s="170"/>
      <c r="J366" s="170"/>
      <c r="K366" s="170"/>
      <c r="L366" s="170"/>
      <c r="M366" s="311"/>
      <c r="N366" s="311"/>
    </row>
    <row r="367" spans="1:21" ht="17" thickBot="1">
      <c r="B367" s="311"/>
      <c r="C367" s="311"/>
      <c r="D367" s="311"/>
      <c r="E367" s="311"/>
      <c r="F367" s="224"/>
      <c r="G367" s="224"/>
      <c r="H367" s="224"/>
      <c r="I367" s="170"/>
      <c r="J367" s="170"/>
      <c r="K367" s="170"/>
      <c r="L367" s="170"/>
      <c r="M367" s="311"/>
      <c r="N367" s="311"/>
    </row>
    <row r="368" spans="1:21">
      <c r="A368" s="63"/>
      <c r="B368" s="64"/>
      <c r="C368" s="64"/>
      <c r="D368" s="64"/>
      <c r="E368" s="64"/>
      <c r="F368" s="200"/>
      <c r="G368" s="200"/>
      <c r="H368" s="200"/>
      <c r="I368" s="670" t="s">
        <v>0</v>
      </c>
      <c r="J368" s="670"/>
      <c r="K368" s="670"/>
      <c r="L368" s="670"/>
      <c r="M368" s="64"/>
      <c r="N368" s="65"/>
    </row>
    <row r="369" spans="1:21">
      <c r="A369" s="62"/>
      <c r="B369" s="671" t="s">
        <v>1</v>
      </c>
      <c r="C369" s="671"/>
      <c r="D369" s="671" t="s">
        <v>2</v>
      </c>
      <c r="E369" s="671"/>
      <c r="F369" s="672" t="s">
        <v>3</v>
      </c>
      <c r="G369" s="672"/>
      <c r="H369" s="312" t="s">
        <v>3</v>
      </c>
      <c r="I369" s="78" t="s">
        <v>135</v>
      </c>
      <c r="J369" s="66"/>
      <c r="K369" s="66"/>
      <c r="L369" s="79"/>
      <c r="M369" s="673" t="s">
        <v>4</v>
      </c>
      <c r="N369" s="674"/>
    </row>
    <row r="370" spans="1:21" ht="19" thickBot="1">
      <c r="A370" s="67" t="s">
        <v>5</v>
      </c>
      <c r="B370" s="675" t="s">
        <v>6</v>
      </c>
      <c r="C370" s="675"/>
      <c r="D370" s="675" t="s">
        <v>7</v>
      </c>
      <c r="E370" s="675"/>
      <c r="F370" s="676" t="s">
        <v>7</v>
      </c>
      <c r="G370" s="676"/>
      <c r="H370" s="314" t="s">
        <v>58</v>
      </c>
      <c r="I370" s="316" t="s">
        <v>136</v>
      </c>
      <c r="J370" s="313" t="s">
        <v>8</v>
      </c>
      <c r="K370" s="313" t="s">
        <v>9</v>
      </c>
      <c r="L370" s="187" t="s">
        <v>10</v>
      </c>
      <c r="M370" s="677" t="s">
        <v>103</v>
      </c>
      <c r="N370" s="678"/>
    </row>
    <row r="371" spans="1:21" ht="24" thickBot="1">
      <c r="A371" s="60" t="s">
        <v>112</v>
      </c>
      <c r="B371" s="754"/>
      <c r="C371" s="736"/>
      <c r="D371" s="737"/>
      <c r="E371" s="738"/>
      <c r="F371" s="739"/>
      <c r="G371" s="740"/>
      <c r="H371" s="236"/>
      <c r="I371" s="166"/>
      <c r="J371" s="166"/>
      <c r="K371" s="166"/>
      <c r="L371" s="237"/>
      <c r="M371" s="741"/>
      <c r="N371" s="742"/>
    </row>
    <row r="372" spans="1:21" s="530" customFormat="1" ht="17" thickBot="1">
      <c r="A372" s="71" t="s">
        <v>48</v>
      </c>
      <c r="B372" s="662"/>
      <c r="C372" s="716"/>
      <c r="D372" s="729"/>
      <c r="E372" s="716"/>
      <c r="F372" s="717"/>
      <c r="G372" s="718"/>
      <c r="H372" s="529"/>
      <c r="I372" s="72"/>
      <c r="J372" s="72"/>
      <c r="K372" s="72"/>
      <c r="L372" s="522"/>
      <c r="M372" s="719"/>
      <c r="N372" s="689"/>
      <c r="O372" s="135"/>
      <c r="P372" s="135"/>
      <c r="Q372" s="135"/>
      <c r="R372" s="135"/>
      <c r="S372" s="135"/>
      <c r="T372" s="135"/>
      <c r="U372" s="135"/>
    </row>
    <row r="373" spans="1:21" s="255" customFormat="1" ht="13">
      <c r="A373" s="54" t="s">
        <v>29</v>
      </c>
      <c r="B373" s="694">
        <f>Ontario!N117</f>
        <v>10</v>
      </c>
      <c r="C373" s="631"/>
      <c r="D373" s="630">
        <f>F373*325851</f>
        <v>138486.67500000002</v>
      </c>
      <c r="E373" s="631"/>
      <c r="F373" s="695">
        <f>0.0425*B373</f>
        <v>0.42500000000000004</v>
      </c>
      <c r="G373" s="696"/>
      <c r="H373" s="428">
        <f>F373*20</f>
        <v>8.5</v>
      </c>
      <c r="I373" s="96">
        <v>0</v>
      </c>
      <c r="J373" s="89">
        <f>35*B373</f>
        <v>350</v>
      </c>
      <c r="K373" s="89">
        <f>B373*50</f>
        <v>500</v>
      </c>
      <c r="L373" s="154">
        <f t="shared" ref="L373:L379" si="80">I373+J373+K373</f>
        <v>850</v>
      </c>
      <c r="M373" s="724">
        <f>L373/(F373*498.5)</f>
        <v>4.0120361083249749</v>
      </c>
      <c r="N373" s="698"/>
      <c r="O373" s="259"/>
      <c r="P373" s="259"/>
      <c r="Q373" s="259"/>
      <c r="R373" s="259"/>
      <c r="S373" s="259"/>
      <c r="T373" s="259"/>
      <c r="U373" s="259"/>
    </row>
    <row r="374" spans="1:21" s="255" customFormat="1" ht="13">
      <c r="A374" s="54" t="s">
        <v>33</v>
      </c>
      <c r="B374" s="694">
        <f>Ontario!N118</f>
        <v>231</v>
      </c>
      <c r="C374" s="631"/>
      <c r="D374" s="630">
        <f>F374*325851</f>
        <v>2077495.6355999999</v>
      </c>
      <c r="E374" s="631"/>
      <c r="F374" s="695">
        <f>0.0276*B374</f>
        <v>6.3755999999999995</v>
      </c>
      <c r="G374" s="696"/>
      <c r="H374" s="428">
        <f>F374*15</f>
        <v>95.633999999999986</v>
      </c>
      <c r="I374" s="96">
        <f>0*B374</f>
        <v>0</v>
      </c>
      <c r="J374" s="89">
        <f>0*B374</f>
        <v>0</v>
      </c>
      <c r="K374" s="89">
        <f>B374*85</f>
        <v>19635</v>
      </c>
      <c r="L374" s="154">
        <f t="shared" si="80"/>
        <v>19635</v>
      </c>
      <c r="M374" s="724">
        <f>L374/(F374*498.5)</f>
        <v>6.177954152312009</v>
      </c>
      <c r="N374" s="698"/>
      <c r="O374" s="259"/>
      <c r="P374" s="259"/>
      <c r="Q374" s="259"/>
      <c r="R374" s="259"/>
      <c r="S374" s="259"/>
      <c r="T374" s="259"/>
      <c r="U374" s="259"/>
    </row>
    <row r="375" spans="1:21" s="255" customFormat="1" ht="13">
      <c r="A375" s="54" t="s">
        <v>56</v>
      </c>
      <c r="B375" s="694">
        <f>Ontario!N119</f>
        <v>32</v>
      </c>
      <c r="C375" s="631"/>
      <c r="D375" s="630">
        <f>F375*325851</f>
        <v>41708.928</v>
      </c>
      <c r="E375" s="631"/>
      <c r="F375" s="695">
        <f>0.004*B375</f>
        <v>0.128</v>
      </c>
      <c r="G375" s="696"/>
      <c r="H375" s="428">
        <f>F375*5</f>
        <v>0.64</v>
      </c>
      <c r="I375" s="96">
        <f>0*B375</f>
        <v>0</v>
      </c>
      <c r="J375" s="89">
        <f>2*B375</f>
        <v>64</v>
      </c>
      <c r="K375" s="89">
        <f>B375*3</f>
        <v>96</v>
      </c>
      <c r="L375" s="154">
        <f t="shared" si="80"/>
        <v>160</v>
      </c>
      <c r="M375" s="724">
        <v>0</v>
      </c>
      <c r="N375" s="698"/>
      <c r="O375" s="259"/>
      <c r="P375" s="259"/>
      <c r="Q375" s="259"/>
      <c r="R375" s="259"/>
      <c r="S375" s="259"/>
      <c r="T375" s="259"/>
      <c r="U375" s="259"/>
    </row>
    <row r="376" spans="1:21" s="255" customFormat="1" ht="13">
      <c r="A376" s="54" t="s">
        <v>52</v>
      </c>
      <c r="B376" s="694">
        <f>Ontario!N120</f>
        <v>1</v>
      </c>
      <c r="C376" s="631"/>
      <c r="D376" s="652">
        <f>F376*325851</f>
        <v>105901.575</v>
      </c>
      <c r="E376" s="651"/>
      <c r="F376" s="720">
        <f>0.325*B376</f>
        <v>0.32500000000000001</v>
      </c>
      <c r="G376" s="721"/>
      <c r="H376" s="430">
        <f>F376*10</f>
        <v>3.25</v>
      </c>
      <c r="I376" s="107">
        <v>0</v>
      </c>
      <c r="J376" s="121">
        <f>45*B376</f>
        <v>45</v>
      </c>
      <c r="K376" s="121">
        <f>B376*80</f>
        <v>80</v>
      </c>
      <c r="L376" s="155">
        <f t="shared" si="80"/>
        <v>125</v>
      </c>
      <c r="M376" s="724">
        <v>0</v>
      </c>
      <c r="N376" s="698"/>
      <c r="O376" s="259"/>
      <c r="P376" s="259"/>
      <c r="Q376" s="259"/>
      <c r="R376" s="259"/>
      <c r="S376" s="259"/>
      <c r="T376" s="259"/>
      <c r="U376" s="259"/>
    </row>
    <row r="377" spans="1:21" s="255" customFormat="1" ht="13">
      <c r="A377" s="53" t="s">
        <v>170</v>
      </c>
      <c r="B377" s="694">
        <v>1</v>
      </c>
      <c r="C377" s="631"/>
      <c r="D377" s="652">
        <f>F377*325851</f>
        <v>53648.108639999991</v>
      </c>
      <c r="E377" s="651"/>
      <c r="F377" s="720">
        <f>0.00014*1176</f>
        <v>0.16463999999999998</v>
      </c>
      <c r="G377" s="721"/>
      <c r="H377" s="430">
        <f>F377*10</f>
        <v>1.6463999999999999</v>
      </c>
      <c r="I377" s="107">
        <v>0</v>
      </c>
      <c r="J377" s="121">
        <f>1176*0.45</f>
        <v>529.20000000000005</v>
      </c>
      <c r="K377" s="121">
        <f>1176*0.3</f>
        <v>352.8</v>
      </c>
      <c r="L377" s="155">
        <f t="shared" si="80"/>
        <v>882</v>
      </c>
      <c r="M377" s="724">
        <f>L377/(F377*498.5)</f>
        <v>10.746525290156184</v>
      </c>
      <c r="N377" s="698"/>
      <c r="O377" s="259"/>
      <c r="P377" s="259"/>
      <c r="Q377" s="259"/>
      <c r="R377" s="259"/>
      <c r="S377" s="259"/>
      <c r="T377" s="259"/>
      <c r="U377" s="259"/>
    </row>
    <row r="378" spans="1:21" s="255" customFormat="1" ht="13">
      <c r="A378" s="53" t="s">
        <v>113</v>
      </c>
      <c r="B378" s="694">
        <f>Ontario!N122</f>
        <v>83</v>
      </c>
      <c r="C378" s="631"/>
      <c r="D378" s="652">
        <f>F378*325900</f>
        <v>108198.8</v>
      </c>
      <c r="E378" s="651"/>
      <c r="F378" s="720">
        <f>B378*0.004</f>
        <v>0.33200000000000002</v>
      </c>
      <c r="G378" s="721"/>
      <c r="H378" s="428">
        <f>F378*5</f>
        <v>1.6600000000000001</v>
      </c>
      <c r="I378" s="107">
        <v>0</v>
      </c>
      <c r="J378" s="121">
        <v>0</v>
      </c>
      <c r="K378" s="121">
        <f>2075*3</f>
        <v>6225</v>
      </c>
      <c r="L378" s="155">
        <f t="shared" si="80"/>
        <v>6225</v>
      </c>
      <c r="M378" s="724">
        <f>L378/(F378*498.5)</f>
        <v>37.612838515546635</v>
      </c>
      <c r="N378" s="698"/>
      <c r="O378" s="259"/>
      <c r="P378" s="259"/>
      <c r="Q378" s="259"/>
      <c r="R378" s="259"/>
      <c r="S378" s="259"/>
      <c r="T378" s="259"/>
      <c r="U378" s="259"/>
    </row>
    <row r="379" spans="1:21" s="255" customFormat="1" ht="14" thickBot="1">
      <c r="A379" s="53" t="s">
        <v>114</v>
      </c>
      <c r="B379" s="693">
        <f>Ontario!N123</f>
        <v>52</v>
      </c>
      <c r="C379" s="631"/>
      <c r="D379" s="650">
        <f>F379*325900</f>
        <v>8799300</v>
      </c>
      <c r="E379" s="651"/>
      <c r="F379" s="720">
        <v>27</v>
      </c>
      <c r="G379" s="721"/>
      <c r="H379" s="430">
        <v>255</v>
      </c>
      <c r="I379" s="107">
        <v>0</v>
      </c>
      <c r="J379" s="121">
        <v>21413.8</v>
      </c>
      <c r="K379" s="121">
        <v>17709</v>
      </c>
      <c r="L379" s="155">
        <f t="shared" si="80"/>
        <v>39122.800000000003</v>
      </c>
      <c r="M379" s="724">
        <f>L379/(F379*498.5)</f>
        <v>2.9067053010884507</v>
      </c>
      <c r="N379" s="698"/>
      <c r="O379" s="259"/>
      <c r="P379" s="259"/>
      <c r="Q379" s="259"/>
      <c r="R379" s="259"/>
      <c r="S379" s="259"/>
      <c r="T379" s="259"/>
      <c r="U379" s="259"/>
    </row>
    <row r="380" spans="1:21" s="275" customFormat="1" ht="14" thickBot="1">
      <c r="A380" s="40" t="s">
        <v>60</v>
      </c>
      <c r="B380" s="642">
        <f>SUM(B373:C379)</f>
        <v>410</v>
      </c>
      <c r="C380" s="706"/>
      <c r="D380" s="645">
        <f>SUM(D373:E379)</f>
        <v>11324739.722240001</v>
      </c>
      <c r="E380" s="706"/>
      <c r="F380" s="707">
        <f>SUM(F373:G379)</f>
        <v>34.750239999999998</v>
      </c>
      <c r="G380" s="708"/>
      <c r="H380" s="309">
        <f>SUM(H373:H379)</f>
        <v>366.3304</v>
      </c>
      <c r="I380" s="91">
        <f>SUM(I373:I379)</f>
        <v>0</v>
      </c>
      <c r="J380" s="91">
        <f>SUM(J373:J379)</f>
        <v>22402</v>
      </c>
      <c r="K380" s="91">
        <f>SUM(K373:K379)</f>
        <v>44597.8</v>
      </c>
      <c r="L380" s="91">
        <f>SUM(L373:L379)</f>
        <v>66999.8</v>
      </c>
      <c r="M380" s="744"/>
      <c r="N380" s="710"/>
      <c r="O380" s="276"/>
      <c r="P380" s="276"/>
      <c r="Q380" s="276"/>
      <c r="R380" s="276"/>
      <c r="S380" s="276"/>
      <c r="T380" s="276"/>
      <c r="U380" s="276"/>
    </row>
    <row r="381" spans="1:21" s="530" customFormat="1" ht="17" thickBot="1">
      <c r="A381" s="71" t="s">
        <v>104</v>
      </c>
      <c r="B381" s="662"/>
      <c r="C381" s="716"/>
      <c r="D381" s="729"/>
      <c r="E381" s="716"/>
      <c r="F381" s="687"/>
      <c r="G381" s="718"/>
      <c r="H381" s="529"/>
      <c r="I381" s="100"/>
      <c r="J381" s="100"/>
      <c r="K381" s="100"/>
      <c r="L381" s="179"/>
      <c r="M381" s="688"/>
      <c r="N381" s="689"/>
      <c r="O381" s="135"/>
      <c r="P381" s="135"/>
      <c r="Q381" s="135"/>
      <c r="R381" s="135"/>
      <c r="S381" s="135"/>
      <c r="T381" s="135"/>
      <c r="U381" s="135"/>
    </row>
    <row r="382" spans="1:21" s="255" customFormat="1" ht="14" thickBot="1">
      <c r="A382" s="53" t="s">
        <v>104</v>
      </c>
      <c r="B382" s="693">
        <f>Ontario!N126</f>
        <v>1009</v>
      </c>
      <c r="C382" s="631"/>
      <c r="D382" s="630">
        <f>F382*325851</f>
        <v>13973305.5075</v>
      </c>
      <c r="E382" s="631"/>
      <c r="F382" s="745">
        <f>0.0425*B382</f>
        <v>42.8825</v>
      </c>
      <c r="G382" s="721"/>
      <c r="H382" s="430">
        <f>F382*20</f>
        <v>857.65</v>
      </c>
      <c r="I382" s="96">
        <f>73.34*B382</f>
        <v>74000.06</v>
      </c>
      <c r="J382" s="96">
        <f>35.66*B382</f>
        <v>35980.939999999995</v>
      </c>
      <c r="K382" s="96">
        <f>B382*50</f>
        <v>50450</v>
      </c>
      <c r="L382" s="126">
        <f>I382+J382+K382</f>
        <v>160431</v>
      </c>
      <c r="M382" s="724">
        <f>L382/(F382*498.5)</f>
        <v>7.5048675438078938</v>
      </c>
      <c r="N382" s="698"/>
      <c r="O382" s="259"/>
      <c r="P382" s="259"/>
      <c r="Q382" s="259"/>
      <c r="R382" s="259"/>
      <c r="S382" s="259"/>
      <c r="T382" s="259"/>
      <c r="U382" s="259"/>
    </row>
    <row r="383" spans="1:21" s="275" customFormat="1" ht="14" thickBot="1">
      <c r="A383" s="40" t="s">
        <v>60</v>
      </c>
      <c r="B383" s="642">
        <f>SUM(B382)</f>
        <v>1009</v>
      </c>
      <c r="C383" s="706"/>
      <c r="D383" s="645">
        <f>SUM(D382)</f>
        <v>13973305.5075</v>
      </c>
      <c r="E383" s="706"/>
      <c r="F383" s="707">
        <f>SUM(F382)</f>
        <v>42.8825</v>
      </c>
      <c r="G383" s="708"/>
      <c r="H383" s="309">
        <f>SUM(H382)</f>
        <v>857.65</v>
      </c>
      <c r="I383" s="91">
        <f>SUM(I382)</f>
        <v>74000.06</v>
      </c>
      <c r="J383" s="91">
        <f>SUM(J382)</f>
        <v>35980.939999999995</v>
      </c>
      <c r="K383" s="91">
        <f>SUM(K382)</f>
        <v>50450</v>
      </c>
      <c r="L383" s="86">
        <f>SUM(L382)</f>
        <v>160431</v>
      </c>
      <c r="M383" s="744"/>
      <c r="N383" s="710"/>
      <c r="O383" s="276"/>
      <c r="P383" s="276"/>
      <c r="Q383" s="276"/>
      <c r="R383" s="276"/>
      <c r="S383" s="276"/>
      <c r="T383" s="276"/>
      <c r="U383" s="276"/>
    </row>
    <row r="384" spans="1:21" s="530" customFormat="1" ht="17" thickBot="1">
      <c r="A384" s="71" t="s">
        <v>50</v>
      </c>
      <c r="B384" s="662"/>
      <c r="C384" s="716"/>
      <c r="D384" s="729"/>
      <c r="E384" s="716"/>
      <c r="F384" s="687"/>
      <c r="G384" s="718"/>
      <c r="H384" s="529"/>
      <c r="I384" s="100"/>
      <c r="J384" s="100"/>
      <c r="K384" s="100"/>
      <c r="L384" s="179"/>
      <c r="M384" s="688"/>
      <c r="N384" s="689"/>
      <c r="O384" s="135"/>
      <c r="P384" s="135"/>
      <c r="Q384" s="135"/>
      <c r="R384" s="135"/>
      <c r="S384" s="135"/>
      <c r="T384" s="135"/>
      <c r="U384" s="135"/>
    </row>
    <row r="385" spans="1:21">
      <c r="A385" s="54" t="s">
        <v>29</v>
      </c>
      <c r="B385" s="693">
        <f>Ontario!N129</f>
        <v>0</v>
      </c>
      <c r="C385" s="631"/>
      <c r="D385" s="630">
        <f t="shared" ref="D385:D391" si="81">F385*325851</f>
        <v>0</v>
      </c>
      <c r="E385" s="631"/>
      <c r="F385" s="743">
        <f>0.0425*B385</f>
        <v>0</v>
      </c>
      <c r="G385" s="696"/>
      <c r="H385" s="428">
        <f>F385*20</f>
        <v>0</v>
      </c>
      <c r="I385" s="96">
        <v>0</v>
      </c>
      <c r="J385" s="96">
        <f>35*B385</f>
        <v>0</v>
      </c>
      <c r="K385" s="96">
        <f>50*B385</f>
        <v>0</v>
      </c>
      <c r="L385" s="126">
        <f t="shared" ref="L385:L392" si="82">SUM(I385:K385)</f>
        <v>0</v>
      </c>
      <c r="M385" s="724">
        <v>0</v>
      </c>
      <c r="N385" s="698"/>
    </row>
    <row r="386" spans="1:21">
      <c r="A386" s="54" t="s">
        <v>51</v>
      </c>
      <c r="B386" s="693">
        <f>Ontario!N130</f>
        <v>18</v>
      </c>
      <c r="C386" s="631"/>
      <c r="D386" s="630">
        <f t="shared" si="81"/>
        <v>719674.51860000007</v>
      </c>
      <c r="E386" s="631"/>
      <c r="F386" s="743">
        <f>0.1227*B386</f>
        <v>2.2086000000000001</v>
      </c>
      <c r="G386" s="696"/>
      <c r="H386" s="428">
        <f>F386*20</f>
        <v>44.172000000000004</v>
      </c>
      <c r="I386" s="96">
        <v>0</v>
      </c>
      <c r="J386" s="96">
        <f>50*B386</f>
        <v>900</v>
      </c>
      <c r="K386" s="96">
        <f>200*B386</f>
        <v>3600</v>
      </c>
      <c r="L386" s="126">
        <f t="shared" si="82"/>
        <v>4500</v>
      </c>
      <c r="M386" s="724">
        <f>L386/(F386*498.5)</f>
        <v>4.0872413491493225</v>
      </c>
      <c r="N386" s="698"/>
    </row>
    <row r="387" spans="1:21">
      <c r="A387" s="54" t="s">
        <v>117</v>
      </c>
      <c r="B387" s="693">
        <f>Ontario!N131</f>
        <v>1</v>
      </c>
      <c r="C387" s="631"/>
      <c r="D387" s="630">
        <f t="shared" si="81"/>
        <v>209848.04399999999</v>
      </c>
      <c r="E387" s="631"/>
      <c r="F387" s="743">
        <f>0.644*B387</f>
        <v>0.64400000000000002</v>
      </c>
      <c r="G387" s="696"/>
      <c r="H387" s="428">
        <f>F387*5</f>
        <v>3.22</v>
      </c>
      <c r="I387" s="96">
        <v>0</v>
      </c>
      <c r="J387" s="96">
        <f>B387*500</f>
        <v>500</v>
      </c>
      <c r="K387" s="96">
        <f>B387*1750</f>
        <v>1750</v>
      </c>
      <c r="L387" s="126">
        <f t="shared" si="82"/>
        <v>2250</v>
      </c>
      <c r="M387" s="724">
        <v>0</v>
      </c>
      <c r="N387" s="698"/>
    </row>
    <row r="388" spans="1:21" hidden="1">
      <c r="A388" s="54" t="s">
        <v>13</v>
      </c>
      <c r="B388" s="693">
        <f>Ontario!N132</f>
        <v>0</v>
      </c>
      <c r="C388" s="631"/>
      <c r="D388" s="630">
        <f t="shared" si="81"/>
        <v>0</v>
      </c>
      <c r="E388" s="631"/>
      <c r="F388" s="743">
        <f>0.1075*B388</f>
        <v>0</v>
      </c>
      <c r="G388" s="696"/>
      <c r="H388" s="428">
        <f>F388*10</f>
        <v>0</v>
      </c>
      <c r="I388" s="96">
        <v>0</v>
      </c>
      <c r="J388" s="96">
        <f>100*B388</f>
        <v>0</v>
      </c>
      <c r="K388" s="96">
        <f>80*B388</f>
        <v>0</v>
      </c>
      <c r="L388" s="126">
        <f t="shared" si="82"/>
        <v>0</v>
      </c>
      <c r="M388" s="724">
        <v>0</v>
      </c>
      <c r="N388" s="698"/>
    </row>
    <row r="389" spans="1:21" hidden="1">
      <c r="A389" s="53" t="s">
        <v>47</v>
      </c>
      <c r="B389" s="693">
        <f>Ontario!N133</f>
        <v>0</v>
      </c>
      <c r="C389" s="631"/>
      <c r="D389" s="630">
        <f t="shared" si="81"/>
        <v>0</v>
      </c>
      <c r="E389" s="631"/>
      <c r="F389" s="743">
        <f>0.1534*B389</f>
        <v>0</v>
      </c>
      <c r="G389" s="696"/>
      <c r="H389" s="428">
        <f>F389*5</f>
        <v>0</v>
      </c>
      <c r="I389" s="96">
        <v>0</v>
      </c>
      <c r="J389" s="96">
        <f>0*B389</f>
        <v>0</v>
      </c>
      <c r="K389" s="96">
        <f>150*B389</f>
        <v>0</v>
      </c>
      <c r="L389" s="126">
        <f t="shared" si="82"/>
        <v>0</v>
      </c>
      <c r="M389" s="724">
        <v>0</v>
      </c>
      <c r="N389" s="698"/>
    </row>
    <row r="390" spans="1:21">
      <c r="A390" s="53" t="s">
        <v>52</v>
      </c>
      <c r="B390" s="693">
        <f>Ontario!N134</f>
        <v>2</v>
      </c>
      <c r="C390" s="631"/>
      <c r="D390" s="630">
        <f t="shared" si="81"/>
        <v>211803.15</v>
      </c>
      <c r="E390" s="631"/>
      <c r="F390" s="743">
        <f>0.325*B390</f>
        <v>0.65</v>
      </c>
      <c r="G390" s="696"/>
      <c r="H390" s="428">
        <f>F390*10</f>
        <v>6.5</v>
      </c>
      <c r="I390" s="96">
        <v>0</v>
      </c>
      <c r="J390" s="96">
        <f>B390*480</f>
        <v>960</v>
      </c>
      <c r="K390" s="96">
        <f>B390*800</f>
        <v>1600</v>
      </c>
      <c r="L390" s="126">
        <f t="shared" si="82"/>
        <v>2560</v>
      </c>
      <c r="M390" s="724">
        <f>L390/(F390*498.5)</f>
        <v>7.9006249517784113</v>
      </c>
      <c r="N390" s="698"/>
    </row>
    <row r="391" spans="1:21">
      <c r="A391" s="53" t="s">
        <v>53</v>
      </c>
      <c r="B391" s="693">
        <f>Ontario!N135</f>
        <v>0</v>
      </c>
      <c r="C391" s="631"/>
      <c r="D391" s="630">
        <f t="shared" si="81"/>
        <v>0</v>
      </c>
      <c r="E391" s="631"/>
      <c r="F391" s="743">
        <f>0.00014*B391</f>
        <v>0</v>
      </c>
      <c r="G391" s="696"/>
      <c r="H391" s="428">
        <f>F391*10</f>
        <v>0</v>
      </c>
      <c r="I391" s="96">
        <v>0</v>
      </c>
      <c r="J391" s="96">
        <f>0.45*B391</f>
        <v>0</v>
      </c>
      <c r="K391" s="96">
        <f>0.3*B391</f>
        <v>0</v>
      </c>
      <c r="L391" s="126">
        <f t="shared" si="82"/>
        <v>0</v>
      </c>
      <c r="M391" s="724">
        <v>0</v>
      </c>
      <c r="N391" s="698"/>
    </row>
    <row r="392" spans="1:21">
      <c r="A392" s="53" t="s">
        <v>56</v>
      </c>
      <c r="B392" s="693">
        <f>Ontario!N136</f>
        <v>71</v>
      </c>
      <c r="C392" s="631"/>
      <c r="D392" s="630">
        <f>F392*325851</f>
        <v>92541.684000000008</v>
      </c>
      <c r="E392" s="631"/>
      <c r="F392" s="743">
        <f>0.004*B392</f>
        <v>0.28400000000000003</v>
      </c>
      <c r="G392" s="696"/>
      <c r="H392" s="428">
        <f>F392*5</f>
        <v>1.4200000000000002</v>
      </c>
      <c r="I392" s="96">
        <v>0</v>
      </c>
      <c r="J392" s="96">
        <f>1*B392</f>
        <v>71</v>
      </c>
      <c r="K392" s="96">
        <f>3*B392</f>
        <v>213</v>
      </c>
      <c r="L392" s="126">
        <f t="shared" si="82"/>
        <v>284</v>
      </c>
      <c r="M392" s="724">
        <f>L392/(F392*498.5)</f>
        <v>2.0060180541624875</v>
      </c>
      <c r="N392" s="698"/>
    </row>
    <row r="393" spans="1:21">
      <c r="A393" s="53" t="s">
        <v>89</v>
      </c>
      <c r="B393" s="693">
        <f>Ontario!N137</f>
        <v>0</v>
      </c>
      <c r="C393" s="631"/>
      <c r="D393" s="630">
        <f>F393*325851</f>
        <v>0</v>
      </c>
      <c r="E393" s="631"/>
      <c r="F393" s="743">
        <f>0.018*B393</f>
        <v>0</v>
      </c>
      <c r="G393" s="696"/>
      <c r="H393" s="428">
        <f>F393*10</f>
        <v>0</v>
      </c>
      <c r="I393" s="96">
        <v>0</v>
      </c>
      <c r="J393" s="96">
        <f>0*B393</f>
        <v>0</v>
      </c>
      <c r="K393" s="96">
        <f>13*B393</f>
        <v>0</v>
      </c>
      <c r="L393" s="126">
        <f>SUM(I393:K393)</f>
        <v>0</v>
      </c>
      <c r="M393" s="724">
        <v>0</v>
      </c>
      <c r="N393" s="698"/>
    </row>
    <row r="394" spans="1:21" ht="17" thickBot="1">
      <c r="A394" s="53" t="s">
        <v>83</v>
      </c>
      <c r="B394" s="693">
        <f>Ontario!N138</f>
        <v>0</v>
      </c>
      <c r="C394" s="631"/>
      <c r="D394" s="630">
        <f>F394*325851</f>
        <v>0</v>
      </c>
      <c r="E394" s="631"/>
      <c r="F394" s="743">
        <f>0.153*B394</f>
        <v>0</v>
      </c>
      <c r="G394" s="696"/>
      <c r="H394" s="428">
        <f>F394*5</f>
        <v>0</v>
      </c>
      <c r="I394" s="96">
        <v>0</v>
      </c>
      <c r="J394" s="96">
        <f>0*B394</f>
        <v>0</v>
      </c>
      <c r="K394" s="96">
        <f>60*B394</f>
        <v>0</v>
      </c>
      <c r="L394" s="126">
        <f>SUM(I394:K394)</f>
        <v>0</v>
      </c>
      <c r="M394" s="724">
        <v>0</v>
      </c>
      <c r="N394" s="698"/>
    </row>
    <row r="395" spans="1:21" ht="17" hidden="1" thickBot="1">
      <c r="A395" s="54" t="s">
        <v>115</v>
      </c>
      <c r="B395" s="747"/>
      <c r="C395" s="748"/>
      <c r="D395" s="654"/>
      <c r="E395" s="655"/>
      <c r="F395" s="749"/>
      <c r="G395" s="750"/>
      <c r="H395" s="283"/>
      <c r="I395" s="107"/>
      <c r="J395" s="139"/>
      <c r="K395" s="139"/>
      <c r="L395" s="139"/>
      <c r="M395" s="751"/>
      <c r="N395" s="752"/>
    </row>
    <row r="396" spans="1:21" s="274" customFormat="1" ht="17" thickBot="1">
      <c r="A396" s="40" t="s">
        <v>60</v>
      </c>
      <c r="B396" s="642">
        <f>SUM(B385:C394)</f>
        <v>92</v>
      </c>
      <c r="C396" s="706"/>
      <c r="D396" s="645">
        <f>SUM(D385:E394)</f>
        <v>1233867.3966000001</v>
      </c>
      <c r="E396" s="643"/>
      <c r="F396" s="707">
        <f>SUM(F385:G394)</f>
        <v>3.7866</v>
      </c>
      <c r="G396" s="708"/>
      <c r="H396" s="230">
        <f>SUM(H385:H394)</f>
        <v>55.312000000000005</v>
      </c>
      <c r="I396" s="91">
        <f>SUM(I385:I394)</f>
        <v>0</v>
      </c>
      <c r="J396" s="91">
        <f>SUM(J385:J394)</f>
        <v>2431</v>
      </c>
      <c r="K396" s="91">
        <f>SUM(K385:K394)</f>
        <v>7163</v>
      </c>
      <c r="L396" s="86">
        <f>SUM(L385:L394)</f>
        <v>9594</v>
      </c>
      <c r="M396" s="744"/>
      <c r="N396" s="710"/>
      <c r="O396" s="613"/>
      <c r="P396" s="613"/>
      <c r="Q396" s="613"/>
      <c r="R396" s="613"/>
      <c r="S396" s="613"/>
      <c r="T396" s="613"/>
      <c r="U396" s="613"/>
    </row>
    <row r="397" spans="1:21" s="530" customFormat="1" ht="17" thickBot="1">
      <c r="A397" s="531" t="s">
        <v>17</v>
      </c>
      <c r="B397" s="711">
        <f>SUM(,B380,B383,B396)</f>
        <v>1511</v>
      </c>
      <c r="C397" s="622"/>
      <c r="D397" s="623">
        <f>SUM(,D380,D383,D396)</f>
        <v>26531912.626340002</v>
      </c>
      <c r="E397" s="622"/>
      <c r="F397" s="712">
        <f>SUM(,F380,F383,F396)</f>
        <v>81.419340000000005</v>
      </c>
      <c r="G397" s="713"/>
      <c r="H397" s="532">
        <f>(H396+H380+H383)</f>
        <v>1279.2924</v>
      </c>
      <c r="I397" s="552">
        <f>SUM(,I380,I383,I396)</f>
        <v>74000.06</v>
      </c>
      <c r="J397" s="535">
        <f>SUM(,J380,J383,J396)</f>
        <v>60813.939999999995</v>
      </c>
      <c r="K397" s="535">
        <f>SUM(,K380,K383,K396)</f>
        <v>102210.8</v>
      </c>
      <c r="L397" s="553">
        <f>SUM(,L380,L383,L396)</f>
        <v>237024.8</v>
      </c>
      <c r="M397" s="746"/>
      <c r="N397" s="715"/>
      <c r="O397" s="135"/>
      <c r="P397" s="135"/>
      <c r="Q397" s="135"/>
      <c r="R397" s="135"/>
      <c r="S397" s="135"/>
      <c r="T397" s="135"/>
      <c r="U397" s="135"/>
    </row>
    <row r="398" spans="1:21">
      <c r="A398" s="164"/>
      <c r="B398" s="169"/>
      <c r="C398" s="169"/>
      <c r="D398" s="169"/>
      <c r="E398" s="169"/>
      <c r="F398" s="224"/>
      <c r="G398" s="224"/>
      <c r="H398" s="224"/>
      <c r="I398" s="170"/>
      <c r="J398" s="170"/>
      <c r="K398" s="170"/>
      <c r="L398" s="170"/>
      <c r="M398" s="183"/>
      <c r="N398" s="183"/>
    </row>
    <row r="399" spans="1:21" ht="18">
      <c r="A399" s="171" t="s">
        <v>167</v>
      </c>
      <c r="B399" s="690" t="s">
        <v>59</v>
      </c>
      <c r="C399" s="690"/>
      <c r="D399" s="690"/>
      <c r="E399" s="691"/>
      <c r="F399" s="224"/>
      <c r="G399" s="224"/>
      <c r="H399" s="224"/>
      <c r="I399" s="170"/>
      <c r="J399" s="170"/>
      <c r="K399" s="170"/>
      <c r="L399" s="170"/>
      <c r="M399" s="183"/>
      <c r="N399" s="183"/>
    </row>
    <row r="400" spans="1:21">
      <c r="B400" s="692" t="s">
        <v>19</v>
      </c>
      <c r="C400" s="692"/>
      <c r="D400" s="692"/>
      <c r="E400" s="692"/>
      <c r="F400" s="224"/>
      <c r="G400" s="224"/>
      <c r="H400" s="224"/>
      <c r="I400" s="170"/>
      <c r="J400" s="170"/>
      <c r="K400" s="170"/>
      <c r="L400" s="170"/>
      <c r="M400" s="183"/>
      <c r="N400" s="183"/>
    </row>
    <row r="401" spans="1:21" ht="17" thickBot="1">
      <c r="B401" s="286"/>
      <c r="C401" s="286"/>
      <c r="D401" s="286"/>
      <c r="E401" s="286"/>
      <c r="F401" s="224"/>
      <c r="G401" s="224"/>
      <c r="H401" s="224"/>
      <c r="I401" s="170"/>
      <c r="J401" s="170"/>
      <c r="K401" s="170"/>
      <c r="L401" s="170"/>
      <c r="M401" s="286"/>
      <c r="N401" s="286"/>
    </row>
    <row r="402" spans="1:21">
      <c r="A402" s="63"/>
      <c r="B402" s="64"/>
      <c r="C402" s="64"/>
      <c r="D402" s="64"/>
      <c r="E402" s="64"/>
      <c r="F402" s="200"/>
      <c r="G402" s="200"/>
      <c r="H402" s="200"/>
      <c r="I402" s="670" t="s">
        <v>0</v>
      </c>
      <c r="J402" s="670"/>
      <c r="K402" s="670"/>
      <c r="L402" s="670"/>
      <c r="M402" s="64"/>
      <c r="N402" s="65"/>
    </row>
    <row r="403" spans="1:21">
      <c r="A403" s="62"/>
      <c r="B403" s="671" t="s">
        <v>1</v>
      </c>
      <c r="C403" s="671"/>
      <c r="D403" s="671" t="s">
        <v>2</v>
      </c>
      <c r="E403" s="671"/>
      <c r="F403" s="672" t="s">
        <v>3</v>
      </c>
      <c r="G403" s="672"/>
      <c r="H403" s="207" t="s">
        <v>3</v>
      </c>
      <c r="I403" s="78" t="s">
        <v>135</v>
      </c>
      <c r="J403" s="66"/>
      <c r="K403" s="66"/>
      <c r="L403" s="79"/>
      <c r="M403" s="671" t="s">
        <v>4</v>
      </c>
      <c r="N403" s="674"/>
    </row>
    <row r="404" spans="1:21" ht="19" thickBot="1">
      <c r="A404" s="67" t="s">
        <v>5</v>
      </c>
      <c r="B404" s="675" t="s">
        <v>6</v>
      </c>
      <c r="C404" s="675"/>
      <c r="D404" s="675" t="s">
        <v>7</v>
      </c>
      <c r="E404" s="675"/>
      <c r="F404" s="676" t="s">
        <v>7</v>
      </c>
      <c r="G404" s="676"/>
      <c r="H404" s="208" t="s">
        <v>58</v>
      </c>
      <c r="I404" s="185" t="s">
        <v>136</v>
      </c>
      <c r="J404" s="184" t="s">
        <v>8</v>
      </c>
      <c r="K404" s="184" t="s">
        <v>9</v>
      </c>
      <c r="L404" s="187" t="s">
        <v>10</v>
      </c>
      <c r="M404" s="675" t="s">
        <v>103</v>
      </c>
      <c r="N404" s="678"/>
    </row>
    <row r="405" spans="1:21" ht="24" thickBot="1">
      <c r="A405" s="60" t="s">
        <v>102</v>
      </c>
      <c r="B405" s="735"/>
      <c r="C405" s="736"/>
      <c r="D405" s="737"/>
      <c r="E405" s="738"/>
      <c r="F405" s="739"/>
      <c r="G405" s="740"/>
      <c r="H405" s="236"/>
      <c r="I405" s="166"/>
      <c r="J405" s="166"/>
      <c r="K405" s="166"/>
      <c r="L405" s="237"/>
      <c r="M405" s="735"/>
      <c r="N405" s="742"/>
    </row>
    <row r="406" spans="1:21" s="530" customFormat="1" ht="17" thickBot="1">
      <c r="A406" s="71" t="s">
        <v>48</v>
      </c>
      <c r="B406" s="663"/>
      <c r="C406" s="716"/>
      <c r="D406" s="729"/>
      <c r="E406" s="716"/>
      <c r="F406" s="717"/>
      <c r="G406" s="718"/>
      <c r="H406" s="529"/>
      <c r="I406" s="72"/>
      <c r="J406" s="72"/>
      <c r="K406" s="72"/>
      <c r="L406" s="522"/>
      <c r="M406" s="688"/>
      <c r="N406" s="689"/>
      <c r="O406" s="135"/>
      <c r="P406" s="135"/>
      <c r="Q406" s="135"/>
      <c r="R406" s="135"/>
      <c r="S406" s="135"/>
      <c r="T406" s="135"/>
      <c r="U406" s="135"/>
    </row>
    <row r="407" spans="1:21" s="255" customFormat="1" ht="13" hidden="1">
      <c r="A407" s="54" t="s">
        <v>28</v>
      </c>
      <c r="B407" s="694">
        <f>Ontario!N79</f>
        <v>0</v>
      </c>
      <c r="C407" s="631"/>
      <c r="D407" s="630">
        <f t="shared" ref="D407:D413" si="83">F407*325851</f>
        <v>0</v>
      </c>
      <c r="E407" s="631"/>
      <c r="F407" s="695">
        <f>0.0379*B407</f>
        <v>0</v>
      </c>
      <c r="G407" s="696"/>
      <c r="H407" s="235">
        <f>F407*20</f>
        <v>0</v>
      </c>
      <c r="I407" s="96">
        <v>0</v>
      </c>
      <c r="J407" s="96">
        <f>0*B407</f>
        <v>0</v>
      </c>
      <c r="K407" s="96">
        <f>60*B407</f>
        <v>0</v>
      </c>
      <c r="L407" s="126">
        <f t="shared" ref="L407:L413" si="84">I407+J407+K407</f>
        <v>0</v>
      </c>
      <c r="M407" s="724">
        <v>0</v>
      </c>
      <c r="N407" s="698"/>
      <c r="O407" s="259"/>
      <c r="P407" s="259"/>
      <c r="Q407" s="259"/>
      <c r="R407" s="259"/>
      <c r="S407" s="259"/>
      <c r="T407" s="259"/>
      <c r="U407" s="259"/>
    </row>
    <row r="408" spans="1:21" s="255" customFormat="1" ht="13">
      <c r="A408" s="54" t="s">
        <v>29</v>
      </c>
      <c r="B408" s="693">
        <f>Ontario!N80</f>
        <v>36</v>
      </c>
      <c r="C408" s="631"/>
      <c r="D408" s="630">
        <f t="shared" si="83"/>
        <v>498552.03</v>
      </c>
      <c r="E408" s="631"/>
      <c r="F408" s="695">
        <f>0.0425*B408</f>
        <v>1.53</v>
      </c>
      <c r="G408" s="696"/>
      <c r="H408" s="428">
        <f>F408*20</f>
        <v>30.6</v>
      </c>
      <c r="I408" s="96">
        <v>0</v>
      </c>
      <c r="J408" s="96">
        <f>35*B408</f>
        <v>1260</v>
      </c>
      <c r="K408" s="96">
        <f>B408*50</f>
        <v>1800</v>
      </c>
      <c r="L408" s="126">
        <f t="shared" si="84"/>
        <v>3060</v>
      </c>
      <c r="M408" s="724">
        <f t="shared" ref="M408:M413" si="85">L408/(F408*498.5)</f>
        <v>4.0120361083249749</v>
      </c>
      <c r="N408" s="698"/>
      <c r="O408" s="259"/>
      <c r="P408" s="259"/>
      <c r="Q408" s="259"/>
      <c r="R408" s="259"/>
      <c r="S408" s="259"/>
      <c r="T408" s="259"/>
      <c r="U408" s="259"/>
    </row>
    <row r="409" spans="1:21" s="255" customFormat="1" ht="13">
      <c r="A409" s="54" t="s">
        <v>33</v>
      </c>
      <c r="B409" s="693">
        <f>Ontario!N81</f>
        <v>47</v>
      </c>
      <c r="C409" s="631"/>
      <c r="D409" s="630">
        <f t="shared" si="83"/>
        <v>422693.91719999997</v>
      </c>
      <c r="E409" s="631"/>
      <c r="F409" s="695">
        <f>0.0276*B409</f>
        <v>1.2971999999999999</v>
      </c>
      <c r="G409" s="696"/>
      <c r="H409" s="428">
        <f>F409*15</f>
        <v>19.457999999999998</v>
      </c>
      <c r="I409" s="96">
        <f>0*B409</f>
        <v>0</v>
      </c>
      <c r="J409" s="96">
        <f>50*B409</f>
        <v>2350</v>
      </c>
      <c r="K409" s="96">
        <f>B409*110</f>
        <v>5170</v>
      </c>
      <c r="L409" s="126">
        <f t="shared" si="84"/>
        <v>7520</v>
      </c>
      <c r="M409" s="724">
        <f t="shared" si="85"/>
        <v>11.6290901690579</v>
      </c>
      <c r="N409" s="698"/>
      <c r="O409" s="259"/>
      <c r="P409" s="259"/>
      <c r="Q409" s="259"/>
      <c r="R409" s="259"/>
      <c r="S409" s="259"/>
      <c r="T409" s="259"/>
      <c r="U409" s="259"/>
    </row>
    <row r="410" spans="1:21" s="255" customFormat="1" ht="13">
      <c r="A410" s="54" t="s">
        <v>56</v>
      </c>
      <c r="B410" s="693">
        <f>Ontario!N82</f>
        <v>0</v>
      </c>
      <c r="C410" s="631"/>
      <c r="D410" s="630">
        <f t="shared" si="83"/>
        <v>0</v>
      </c>
      <c r="E410" s="631"/>
      <c r="F410" s="695">
        <f>0.004*B410</f>
        <v>0</v>
      </c>
      <c r="G410" s="696"/>
      <c r="H410" s="428">
        <f>F410*5</f>
        <v>0</v>
      </c>
      <c r="I410" s="96">
        <f>0*B410</f>
        <v>0</v>
      </c>
      <c r="J410" s="96">
        <f>2*B410</f>
        <v>0</v>
      </c>
      <c r="K410" s="96">
        <f>B410*4</f>
        <v>0</v>
      </c>
      <c r="L410" s="126">
        <f t="shared" si="84"/>
        <v>0</v>
      </c>
      <c r="M410" s="724">
        <v>0</v>
      </c>
      <c r="N410" s="698"/>
      <c r="O410" s="259"/>
      <c r="P410" s="259"/>
      <c r="Q410" s="259"/>
      <c r="R410" s="259"/>
      <c r="S410" s="259"/>
      <c r="T410" s="259"/>
      <c r="U410" s="259"/>
    </row>
    <row r="411" spans="1:21" s="255" customFormat="1" ht="13">
      <c r="A411" s="54" t="s">
        <v>52</v>
      </c>
      <c r="B411" s="727">
        <f>Ontario!N83</f>
        <v>0</v>
      </c>
      <c r="C411" s="651"/>
      <c r="D411" s="652">
        <f t="shared" si="83"/>
        <v>0</v>
      </c>
      <c r="E411" s="651"/>
      <c r="F411" s="720">
        <f>0.325*B411</f>
        <v>0</v>
      </c>
      <c r="G411" s="721"/>
      <c r="H411" s="430">
        <f>F411*10</f>
        <v>0</v>
      </c>
      <c r="I411" s="107">
        <v>0</v>
      </c>
      <c r="J411" s="107">
        <f>0*B411</f>
        <v>0</v>
      </c>
      <c r="K411" s="107">
        <f>B411*80</f>
        <v>0</v>
      </c>
      <c r="L411" s="139">
        <f t="shared" si="84"/>
        <v>0</v>
      </c>
      <c r="M411" s="724">
        <v>0</v>
      </c>
      <c r="N411" s="698"/>
      <c r="O411" s="259"/>
      <c r="P411" s="259"/>
      <c r="Q411" s="259"/>
      <c r="R411" s="259"/>
      <c r="S411" s="259"/>
      <c r="T411" s="259"/>
      <c r="U411" s="259"/>
    </row>
    <row r="412" spans="1:21" s="255" customFormat="1" ht="13">
      <c r="A412" s="53" t="s">
        <v>179</v>
      </c>
      <c r="B412" s="727">
        <f>Ontario!N84</f>
        <v>0</v>
      </c>
      <c r="C412" s="651"/>
      <c r="D412" s="652">
        <f>F412*325851</f>
        <v>0</v>
      </c>
      <c r="E412" s="651"/>
      <c r="F412" s="745">
        <f>0.00014*0</f>
        <v>0</v>
      </c>
      <c r="G412" s="721"/>
      <c r="H412" s="430">
        <f>F412*10</f>
        <v>0</v>
      </c>
      <c r="I412" s="107">
        <v>0</v>
      </c>
      <c r="J412" s="107">
        <v>0</v>
      </c>
      <c r="K412" s="107">
        <f>B412*0</f>
        <v>0</v>
      </c>
      <c r="L412" s="139">
        <f t="shared" si="84"/>
        <v>0</v>
      </c>
      <c r="M412" s="724">
        <v>0</v>
      </c>
      <c r="N412" s="698"/>
      <c r="O412" s="259"/>
      <c r="P412" s="259"/>
      <c r="Q412" s="259"/>
      <c r="R412" s="259"/>
      <c r="S412" s="259"/>
      <c r="T412" s="259"/>
      <c r="U412" s="259"/>
    </row>
    <row r="413" spans="1:21" s="255" customFormat="1" ht="14" thickBot="1">
      <c r="A413" s="53" t="s">
        <v>107</v>
      </c>
      <c r="B413" s="804">
        <f>Ontario!N85</f>
        <v>5</v>
      </c>
      <c r="C413" s="655"/>
      <c r="D413" s="652">
        <f t="shared" si="83"/>
        <v>124084.06079999999</v>
      </c>
      <c r="E413" s="651"/>
      <c r="F413" s="745">
        <f>0.00014*2720</f>
        <v>0.38079999999999997</v>
      </c>
      <c r="G413" s="721"/>
      <c r="H413" s="430">
        <f>F413*10</f>
        <v>3.8079999999999998</v>
      </c>
      <c r="I413" s="107">
        <v>0</v>
      </c>
      <c r="J413" s="107">
        <f>0.45*2720</f>
        <v>1224</v>
      </c>
      <c r="K413" s="107">
        <f>2720*0.3</f>
        <v>816</v>
      </c>
      <c r="L413" s="139">
        <f t="shared" si="84"/>
        <v>2040</v>
      </c>
      <c r="M413" s="724">
        <f t="shared" si="85"/>
        <v>10.746525290156184</v>
      </c>
      <c r="N413" s="698"/>
      <c r="O413" s="259"/>
      <c r="P413" s="259"/>
      <c r="Q413" s="259"/>
      <c r="R413" s="259"/>
      <c r="S413" s="259"/>
      <c r="T413" s="259"/>
      <c r="U413" s="259"/>
    </row>
    <row r="414" spans="1:21" s="275" customFormat="1" ht="14" thickBot="1">
      <c r="A414" s="40" t="s">
        <v>60</v>
      </c>
      <c r="B414" s="642">
        <f>SUM(B407:C413)</f>
        <v>88</v>
      </c>
      <c r="C414" s="706"/>
      <c r="D414" s="645">
        <f>SUM(D407:E413)</f>
        <v>1045330.008</v>
      </c>
      <c r="E414" s="706"/>
      <c r="F414" s="707">
        <f>SUM(F407:G413)</f>
        <v>3.2079999999999997</v>
      </c>
      <c r="G414" s="708"/>
      <c r="H414" s="309">
        <f>SUM(H407:H413)</f>
        <v>53.866</v>
      </c>
      <c r="I414" s="91">
        <f>SUM(I407:I413)</f>
        <v>0</v>
      </c>
      <c r="J414" s="91">
        <f>SUM(J407:J413)</f>
        <v>4834</v>
      </c>
      <c r="K414" s="91">
        <f>SUM(K407:K413)</f>
        <v>7786</v>
      </c>
      <c r="L414" s="86">
        <f>SUM(L407:L413)</f>
        <v>12620</v>
      </c>
      <c r="M414" s="744"/>
      <c r="N414" s="710"/>
      <c r="O414" s="276"/>
      <c r="P414" s="276"/>
      <c r="Q414" s="276"/>
      <c r="R414" s="276"/>
      <c r="S414" s="276"/>
      <c r="T414" s="276"/>
      <c r="U414" s="276"/>
    </row>
    <row r="415" spans="1:21" s="530" customFormat="1" ht="17" thickBot="1">
      <c r="A415" s="71" t="s">
        <v>104</v>
      </c>
      <c r="B415" s="662"/>
      <c r="C415" s="716"/>
      <c r="D415" s="729"/>
      <c r="E415" s="716"/>
      <c r="F415" s="687"/>
      <c r="G415" s="718"/>
      <c r="H415" s="529"/>
      <c r="I415" s="100"/>
      <c r="J415" s="100"/>
      <c r="K415" s="100"/>
      <c r="L415" s="179"/>
      <c r="M415" s="688"/>
      <c r="N415" s="689"/>
      <c r="O415" s="135"/>
      <c r="P415" s="135"/>
      <c r="Q415" s="135"/>
      <c r="R415" s="135"/>
      <c r="S415" s="135"/>
      <c r="T415" s="135"/>
      <c r="U415" s="135"/>
    </row>
    <row r="416" spans="1:21" s="255" customFormat="1" ht="14" thickBot="1">
      <c r="A416" s="53" t="s">
        <v>104</v>
      </c>
      <c r="B416" s="693">
        <f>Ontario!N88</f>
        <v>55</v>
      </c>
      <c r="C416" s="631"/>
      <c r="D416" s="630">
        <f>F416*325851</f>
        <v>761676.71250000014</v>
      </c>
      <c r="E416" s="631"/>
      <c r="F416" s="745">
        <f>0.0425*B416</f>
        <v>2.3375000000000004</v>
      </c>
      <c r="G416" s="721"/>
      <c r="H416" s="430">
        <f>F416*20</f>
        <v>46.750000000000007</v>
      </c>
      <c r="I416" s="96">
        <f>73.34*B416</f>
        <v>4033.7000000000003</v>
      </c>
      <c r="J416" s="96">
        <f>35.66*B416</f>
        <v>1961.2999999999997</v>
      </c>
      <c r="K416" s="96">
        <f>B416*165</f>
        <v>9075</v>
      </c>
      <c r="L416" s="126">
        <f>I416+J416+K416</f>
        <v>15070</v>
      </c>
      <c r="M416" s="724">
        <f>L416/(F416*498.5)</f>
        <v>12.932916396247565</v>
      </c>
      <c r="N416" s="698"/>
      <c r="O416" s="259"/>
      <c r="P416" s="259"/>
      <c r="Q416" s="259"/>
      <c r="R416" s="259"/>
      <c r="S416" s="259"/>
      <c r="T416" s="259"/>
      <c r="U416" s="259"/>
    </row>
    <row r="417" spans="1:21" s="275" customFormat="1" ht="14" thickBot="1">
      <c r="A417" s="40" t="s">
        <v>60</v>
      </c>
      <c r="B417" s="642">
        <f>SUM(B416)</f>
        <v>55</v>
      </c>
      <c r="C417" s="706"/>
      <c r="D417" s="645">
        <f>SUM(D416)</f>
        <v>761676.71250000014</v>
      </c>
      <c r="E417" s="706"/>
      <c r="F417" s="707">
        <f>SUM(F416)</f>
        <v>2.3375000000000004</v>
      </c>
      <c r="G417" s="708"/>
      <c r="H417" s="230">
        <f>SUM(H416)</f>
        <v>46.750000000000007</v>
      </c>
      <c r="I417" s="91">
        <f>SUM(I416)</f>
        <v>4033.7000000000003</v>
      </c>
      <c r="J417" s="91">
        <f>SUM(J416)</f>
        <v>1961.2999999999997</v>
      </c>
      <c r="K417" s="91">
        <f>SUM(K416)</f>
        <v>9075</v>
      </c>
      <c r="L417" s="86">
        <f>SUM(L416)</f>
        <v>15070</v>
      </c>
      <c r="M417" s="744"/>
      <c r="N417" s="710"/>
      <c r="O417" s="276"/>
      <c r="P417" s="276"/>
      <c r="Q417" s="276"/>
      <c r="R417" s="276"/>
      <c r="S417" s="276"/>
      <c r="T417" s="276"/>
      <c r="U417" s="276"/>
    </row>
    <row r="418" spans="1:21" s="530" customFormat="1" ht="17" thickBot="1">
      <c r="A418" s="71" t="s">
        <v>50</v>
      </c>
      <c r="B418" s="662"/>
      <c r="C418" s="716"/>
      <c r="D418" s="729"/>
      <c r="E418" s="716"/>
      <c r="F418" s="687"/>
      <c r="G418" s="718"/>
      <c r="H418" s="529"/>
      <c r="I418" s="100"/>
      <c r="J418" s="100"/>
      <c r="K418" s="100"/>
      <c r="L418" s="179"/>
      <c r="M418" s="688"/>
      <c r="N418" s="689"/>
      <c r="O418" s="135"/>
      <c r="P418" s="135"/>
      <c r="Q418" s="135"/>
      <c r="R418" s="135"/>
      <c r="S418" s="135"/>
      <c r="T418" s="135"/>
      <c r="U418" s="135"/>
    </row>
    <row r="419" spans="1:21" hidden="1">
      <c r="A419" s="260" t="s">
        <v>26</v>
      </c>
      <c r="B419" s="693">
        <f>Ontario!N91</f>
        <v>0</v>
      </c>
      <c r="C419" s="631"/>
      <c r="D419" s="630">
        <f t="shared" ref="D419:D427" si="86">F419*325851</f>
        <v>0</v>
      </c>
      <c r="E419" s="631"/>
      <c r="F419" s="805">
        <f>0.0379*B419</f>
        <v>0</v>
      </c>
      <c r="G419" s="806"/>
      <c r="H419" s="315">
        <f>F419*20</f>
        <v>0</v>
      </c>
      <c r="I419" s="96">
        <v>0</v>
      </c>
      <c r="J419" s="96">
        <f>35.66*B419</f>
        <v>0</v>
      </c>
      <c r="K419" s="96">
        <f>135*B419</f>
        <v>0</v>
      </c>
      <c r="L419" s="126">
        <f>SUM(I419:K419)</f>
        <v>0</v>
      </c>
      <c r="M419" s="724">
        <v>0</v>
      </c>
      <c r="N419" s="698"/>
    </row>
    <row r="420" spans="1:21">
      <c r="A420" s="54" t="s">
        <v>25</v>
      </c>
      <c r="B420" s="693">
        <f>Ontario!N92</f>
        <v>6</v>
      </c>
      <c r="C420" s="631"/>
      <c r="D420" s="630">
        <f t="shared" si="86"/>
        <v>74098.517400000012</v>
      </c>
      <c r="E420" s="631"/>
      <c r="F420" s="743">
        <f>0.0379*B420</f>
        <v>0.22740000000000002</v>
      </c>
      <c r="G420" s="696"/>
      <c r="H420" s="428">
        <f>F420*20</f>
        <v>4.548</v>
      </c>
      <c r="I420" s="96">
        <v>0</v>
      </c>
      <c r="J420" s="96">
        <f>0*B420</f>
        <v>0</v>
      </c>
      <c r="K420" s="96">
        <f>60*B420</f>
        <v>360</v>
      </c>
      <c r="L420" s="126">
        <f t="shared" ref="L420:L428" si="87">SUM(I420:K420)</f>
        <v>360</v>
      </c>
      <c r="M420" s="724">
        <f>L420/(F420*498.5)</f>
        <v>3.1757541754551251</v>
      </c>
      <c r="N420" s="698"/>
    </row>
    <row r="421" spans="1:21">
      <c r="A421" s="54" t="s">
        <v>29</v>
      </c>
      <c r="B421" s="693">
        <f>Ontario!N93</f>
        <v>2</v>
      </c>
      <c r="C421" s="631"/>
      <c r="D421" s="630">
        <f t="shared" si="86"/>
        <v>27697.335000000003</v>
      </c>
      <c r="E421" s="631"/>
      <c r="F421" s="743">
        <f>0.0425*B421</f>
        <v>8.5000000000000006E-2</v>
      </c>
      <c r="G421" s="696"/>
      <c r="H421" s="428">
        <f>F421*20</f>
        <v>1.7000000000000002</v>
      </c>
      <c r="I421" s="96">
        <v>0</v>
      </c>
      <c r="J421" s="96">
        <f>135*B421</f>
        <v>270</v>
      </c>
      <c r="K421" s="96">
        <f>165*B421</f>
        <v>330</v>
      </c>
      <c r="L421" s="126">
        <f t="shared" si="87"/>
        <v>600</v>
      </c>
      <c r="M421" s="724">
        <f>L421/(F421*498.5)</f>
        <v>14.160127441146969</v>
      </c>
      <c r="N421" s="698"/>
    </row>
    <row r="422" spans="1:21">
      <c r="A422" s="54" t="s">
        <v>51</v>
      </c>
      <c r="B422" s="693">
        <f>Ontario!N94</f>
        <v>63</v>
      </c>
      <c r="C422" s="631"/>
      <c r="D422" s="630">
        <f t="shared" si="86"/>
        <v>2518860.8151000002</v>
      </c>
      <c r="E422" s="631"/>
      <c r="F422" s="743">
        <f>0.1227*B422</f>
        <v>7.7301000000000002</v>
      </c>
      <c r="G422" s="696"/>
      <c r="H422" s="428">
        <f>F422*20</f>
        <v>154.602</v>
      </c>
      <c r="I422" s="96">
        <v>0</v>
      </c>
      <c r="J422" s="96">
        <f>0*B422</f>
        <v>0</v>
      </c>
      <c r="K422" s="96">
        <f>400*B422</f>
        <v>25200</v>
      </c>
      <c r="L422" s="126">
        <f t="shared" si="87"/>
        <v>25200</v>
      </c>
      <c r="M422" s="724">
        <f>L422/(F422*498.5)</f>
        <v>6.5395861586389161</v>
      </c>
      <c r="N422" s="698"/>
    </row>
    <row r="423" spans="1:21" hidden="1">
      <c r="A423" s="54" t="s">
        <v>20</v>
      </c>
      <c r="B423" s="693">
        <f>Ontario!N95</f>
        <v>0</v>
      </c>
      <c r="C423" s="631"/>
      <c r="D423" s="630">
        <f t="shared" si="86"/>
        <v>0</v>
      </c>
      <c r="E423" s="631"/>
      <c r="F423" s="743">
        <f>0.644*B423</f>
        <v>0</v>
      </c>
      <c r="G423" s="696"/>
      <c r="H423" s="428">
        <f>F423*5</f>
        <v>0</v>
      </c>
      <c r="I423" s="96">
        <v>0</v>
      </c>
      <c r="J423" s="96">
        <f>43.75*B423</f>
        <v>0</v>
      </c>
      <c r="K423" s="96">
        <f>625*B423</f>
        <v>0</v>
      </c>
      <c r="L423" s="126">
        <f t="shared" si="87"/>
        <v>0</v>
      </c>
      <c r="M423" s="724">
        <v>0</v>
      </c>
      <c r="N423" s="698"/>
    </row>
    <row r="424" spans="1:21">
      <c r="A424" s="54" t="s">
        <v>13</v>
      </c>
      <c r="B424" s="693">
        <f>Ontario!N96</f>
        <v>3</v>
      </c>
      <c r="C424" s="631"/>
      <c r="D424" s="630">
        <f t="shared" si="86"/>
        <v>105086.94750000001</v>
      </c>
      <c r="E424" s="631"/>
      <c r="F424" s="743">
        <f>0.1075*B424</f>
        <v>0.32250000000000001</v>
      </c>
      <c r="G424" s="696"/>
      <c r="H424" s="428">
        <f>F424*10</f>
        <v>3.2250000000000001</v>
      </c>
      <c r="I424" s="96">
        <v>0</v>
      </c>
      <c r="J424" s="96">
        <f>100*B424</f>
        <v>300</v>
      </c>
      <c r="K424" s="96">
        <f>80*B424</f>
        <v>240</v>
      </c>
      <c r="L424" s="126">
        <f t="shared" si="87"/>
        <v>540</v>
      </c>
      <c r="M424" s="724">
        <f>L424/(F424*498.5)</f>
        <v>3.3589139511557926</v>
      </c>
      <c r="N424" s="698"/>
    </row>
    <row r="425" spans="1:21">
      <c r="A425" s="53" t="s">
        <v>47</v>
      </c>
      <c r="B425" s="693">
        <f>Ontario!N97</f>
        <v>1</v>
      </c>
      <c r="C425" s="631"/>
      <c r="D425" s="630">
        <f t="shared" si="86"/>
        <v>49985.543400000002</v>
      </c>
      <c r="E425" s="631"/>
      <c r="F425" s="743">
        <f>0.1534*B425</f>
        <v>0.15340000000000001</v>
      </c>
      <c r="G425" s="696"/>
      <c r="H425" s="428">
        <f>F425*5</f>
        <v>0.76700000000000002</v>
      </c>
      <c r="I425" s="96">
        <v>0</v>
      </c>
      <c r="J425" s="96">
        <f>0*B425</f>
        <v>0</v>
      </c>
      <c r="K425" s="96">
        <f>150*B425</f>
        <v>150</v>
      </c>
      <c r="L425" s="126">
        <f t="shared" si="87"/>
        <v>150</v>
      </c>
      <c r="M425" s="724">
        <f>L425/(F425*498.5)</f>
        <v>1.9615561155435013</v>
      </c>
      <c r="N425" s="698"/>
    </row>
    <row r="426" spans="1:21">
      <c r="A426" s="53" t="s">
        <v>52</v>
      </c>
      <c r="B426" s="693">
        <f>Ontario!N98</f>
        <v>16</v>
      </c>
      <c r="C426" s="631"/>
      <c r="D426" s="630">
        <f t="shared" si="86"/>
        <v>1694425.2</v>
      </c>
      <c r="E426" s="631"/>
      <c r="F426" s="743">
        <f>0.325*B426</f>
        <v>5.2</v>
      </c>
      <c r="G426" s="696"/>
      <c r="H426" s="428">
        <f>F426*10</f>
        <v>52</v>
      </c>
      <c r="I426" s="96">
        <v>0</v>
      </c>
      <c r="J426" s="96">
        <v>6120</v>
      </c>
      <c r="K426" s="96">
        <v>10200</v>
      </c>
      <c r="L426" s="126">
        <f t="shared" si="87"/>
        <v>16320</v>
      </c>
      <c r="M426" s="724">
        <f>L426/(F426*498.5)</f>
        <v>6.2958105084484215</v>
      </c>
      <c r="N426" s="698"/>
    </row>
    <row r="427" spans="1:21">
      <c r="A427" s="53" t="s">
        <v>53</v>
      </c>
      <c r="B427" s="693">
        <f>Ontario!N99</f>
        <v>0</v>
      </c>
      <c r="C427" s="631"/>
      <c r="D427" s="630">
        <f t="shared" si="86"/>
        <v>0</v>
      </c>
      <c r="E427" s="631"/>
      <c r="F427" s="743">
        <f>0.00014*B427</f>
        <v>0</v>
      </c>
      <c r="G427" s="696"/>
      <c r="H427" s="428">
        <f>F427*10</f>
        <v>0</v>
      </c>
      <c r="I427" s="96">
        <v>0</v>
      </c>
      <c r="J427" s="96">
        <f>0.45*B427</f>
        <v>0</v>
      </c>
      <c r="K427" s="96">
        <f>0.3*B427</f>
        <v>0</v>
      </c>
      <c r="L427" s="126">
        <f t="shared" si="87"/>
        <v>0</v>
      </c>
      <c r="M427" s="724">
        <v>0</v>
      </c>
      <c r="N427" s="698"/>
    </row>
    <row r="428" spans="1:21">
      <c r="A428" s="53" t="s">
        <v>56</v>
      </c>
      <c r="B428" s="693">
        <f>Ontario!N100</f>
        <v>1377</v>
      </c>
      <c r="C428" s="631"/>
      <c r="D428" s="630">
        <f>F428*325851</f>
        <v>1794787.308</v>
      </c>
      <c r="E428" s="631"/>
      <c r="F428" s="743">
        <f>0.004*B428</f>
        <v>5.508</v>
      </c>
      <c r="G428" s="696"/>
      <c r="H428" s="428">
        <f>F428*5</f>
        <v>27.54</v>
      </c>
      <c r="I428" s="96">
        <v>0</v>
      </c>
      <c r="J428" s="96">
        <f>0*B428</f>
        <v>0</v>
      </c>
      <c r="K428" s="96">
        <f>4*B428</f>
        <v>5508</v>
      </c>
      <c r="L428" s="126">
        <f t="shared" si="87"/>
        <v>5508</v>
      </c>
      <c r="M428" s="724">
        <f>L428/(F428*498.5)</f>
        <v>2.0060180541624875</v>
      </c>
      <c r="N428" s="698"/>
    </row>
    <row r="429" spans="1:21" hidden="1">
      <c r="A429" s="53" t="s">
        <v>89</v>
      </c>
      <c r="B429" s="693">
        <f>Ontario!N101</f>
        <v>0</v>
      </c>
      <c r="C429" s="631"/>
      <c r="D429" s="630">
        <f>F429*325851</f>
        <v>0</v>
      </c>
      <c r="E429" s="631"/>
      <c r="F429" s="743">
        <f>0.018*B429</f>
        <v>0</v>
      </c>
      <c r="G429" s="696"/>
      <c r="H429" s="428">
        <f>F429*10</f>
        <v>0</v>
      </c>
      <c r="I429" s="96">
        <v>0</v>
      </c>
      <c r="J429" s="96">
        <f>0*B429</f>
        <v>0</v>
      </c>
      <c r="K429" s="96">
        <f>13*B429</f>
        <v>0</v>
      </c>
      <c r="L429" s="126">
        <f>SUM(I429:K429)</f>
        <v>0</v>
      </c>
      <c r="M429" s="724">
        <v>0</v>
      </c>
      <c r="N429" s="698"/>
    </row>
    <row r="430" spans="1:21" ht="17" thickBot="1">
      <c r="A430" s="53" t="s">
        <v>83</v>
      </c>
      <c r="B430" s="693">
        <f>Ontario!N102</f>
        <v>0</v>
      </c>
      <c r="C430" s="631"/>
      <c r="D430" s="630">
        <f>F430*325851</f>
        <v>0</v>
      </c>
      <c r="E430" s="631"/>
      <c r="F430" s="743">
        <f>0.153*B430</f>
        <v>0</v>
      </c>
      <c r="G430" s="696"/>
      <c r="H430" s="428">
        <f>F430*5</f>
        <v>0</v>
      </c>
      <c r="I430" s="96">
        <v>0</v>
      </c>
      <c r="J430" s="96">
        <f>0*B430</f>
        <v>0</v>
      </c>
      <c r="K430" s="96">
        <f>60*B430</f>
        <v>0</v>
      </c>
      <c r="L430" s="126">
        <f>SUM(I430:K430)</f>
        <v>0</v>
      </c>
      <c r="M430" s="724">
        <v>0</v>
      </c>
      <c r="N430" s="698"/>
    </row>
    <row r="431" spans="1:21" s="274" customFormat="1" ht="17" thickBot="1">
      <c r="A431" s="40" t="s">
        <v>60</v>
      </c>
      <c r="B431" s="642">
        <f>SUM(B419:C430)</f>
        <v>1468</v>
      </c>
      <c r="C431" s="706"/>
      <c r="D431" s="645">
        <f>SUM(D419:E430)</f>
        <v>6264941.6664000005</v>
      </c>
      <c r="E431" s="643"/>
      <c r="F431" s="707">
        <f>SUM(F419:G430)</f>
        <v>19.226399999999998</v>
      </c>
      <c r="G431" s="708"/>
      <c r="H431" s="230">
        <f>SUM(H419:H430)</f>
        <v>244.38199999999998</v>
      </c>
      <c r="I431" s="91">
        <f>SUM(I419:I430)</f>
        <v>0</v>
      </c>
      <c r="J431" s="91">
        <f>SUM(J419:J430)</f>
        <v>6690</v>
      </c>
      <c r="K431" s="91">
        <f>SUM(K419:K430)</f>
        <v>41988</v>
      </c>
      <c r="L431" s="86">
        <f>SUM(L419:L430)</f>
        <v>48678</v>
      </c>
      <c r="M431" s="744"/>
      <c r="N431" s="710"/>
      <c r="O431" s="613"/>
      <c r="P431" s="613"/>
      <c r="Q431" s="613"/>
      <c r="R431" s="613"/>
      <c r="S431" s="613"/>
      <c r="T431" s="613"/>
      <c r="U431" s="613"/>
    </row>
    <row r="432" spans="1:21" ht="17" hidden="1" thickBot="1">
      <c r="A432" s="71" t="s">
        <v>54</v>
      </c>
      <c r="B432" s="663"/>
      <c r="C432" s="716"/>
      <c r="D432" s="189"/>
      <c r="E432" s="186"/>
      <c r="F432" s="203"/>
      <c r="G432" s="198"/>
      <c r="H432" s="209"/>
      <c r="I432" s="100"/>
      <c r="J432" s="100"/>
      <c r="K432" s="100"/>
      <c r="L432" s="179"/>
      <c r="M432" s="194"/>
      <c r="N432" s="193"/>
    </row>
    <row r="433" spans="1:21" hidden="1">
      <c r="A433" s="260" t="s">
        <v>29</v>
      </c>
      <c r="B433" s="694">
        <f>Ontario!N105</f>
        <v>0</v>
      </c>
      <c r="C433" s="631"/>
      <c r="D433" s="694">
        <f t="shared" ref="D433:D438" si="88">F433*325851</f>
        <v>0</v>
      </c>
      <c r="E433" s="631"/>
      <c r="F433" s="807">
        <f>0.0425*B433</f>
        <v>0</v>
      </c>
      <c r="G433" s="806"/>
      <c r="H433" s="233">
        <f>F433*20</f>
        <v>0</v>
      </c>
      <c r="I433" s="96">
        <v>0</v>
      </c>
      <c r="J433" s="96">
        <f>35.66*B433</f>
        <v>0</v>
      </c>
      <c r="K433" s="96">
        <f>0*B433</f>
        <v>0</v>
      </c>
      <c r="L433" s="126">
        <f t="shared" ref="L433:L438" si="89">SUM(I433:K433)</f>
        <v>0</v>
      </c>
      <c r="M433" s="724">
        <v>0</v>
      </c>
      <c r="N433" s="698"/>
    </row>
    <row r="434" spans="1:21" hidden="1">
      <c r="A434" s="54" t="s">
        <v>51</v>
      </c>
      <c r="B434" s="694">
        <f>Ontario!N106</f>
        <v>0</v>
      </c>
      <c r="C434" s="631"/>
      <c r="D434" s="694">
        <f t="shared" si="88"/>
        <v>0</v>
      </c>
      <c r="E434" s="631"/>
      <c r="F434" s="807">
        <f>0.125*B434</f>
        <v>0</v>
      </c>
      <c r="G434" s="806"/>
      <c r="H434" s="233">
        <f>F434*20</f>
        <v>0</v>
      </c>
      <c r="I434" s="96">
        <v>0</v>
      </c>
      <c r="J434" s="96">
        <f>0*B434</f>
        <v>0</v>
      </c>
      <c r="K434" s="96">
        <f>0*B434</f>
        <v>0</v>
      </c>
      <c r="L434" s="126">
        <f t="shared" si="89"/>
        <v>0</v>
      </c>
      <c r="M434" s="724">
        <v>0</v>
      </c>
      <c r="N434" s="698"/>
    </row>
    <row r="435" spans="1:21" hidden="1">
      <c r="A435" s="54" t="s">
        <v>15</v>
      </c>
      <c r="B435" s="694">
        <f>Ontario!N107</f>
        <v>0</v>
      </c>
      <c r="C435" s="631"/>
      <c r="D435" s="694">
        <f t="shared" si="88"/>
        <v>0</v>
      </c>
      <c r="E435" s="631"/>
      <c r="F435" s="807">
        <f>0.1534*B435</f>
        <v>0</v>
      </c>
      <c r="G435" s="806"/>
      <c r="H435" s="233">
        <f>F435*5</f>
        <v>0</v>
      </c>
      <c r="I435" s="96">
        <v>0</v>
      </c>
      <c r="J435" s="96">
        <f>0*B435</f>
        <v>0</v>
      </c>
      <c r="K435" s="96">
        <f>325*B435</f>
        <v>0</v>
      </c>
      <c r="L435" s="126">
        <f t="shared" si="89"/>
        <v>0</v>
      </c>
      <c r="M435" s="724">
        <v>0</v>
      </c>
      <c r="N435" s="698"/>
    </row>
    <row r="436" spans="1:21" hidden="1">
      <c r="A436" s="54" t="s">
        <v>30</v>
      </c>
      <c r="B436" s="694">
        <f>Ontario!N108</f>
        <v>0</v>
      </c>
      <c r="C436" s="631"/>
      <c r="D436" s="694">
        <f t="shared" si="88"/>
        <v>0</v>
      </c>
      <c r="E436" s="631"/>
      <c r="F436" s="807">
        <f>0.609*B436</f>
        <v>0</v>
      </c>
      <c r="G436" s="806"/>
      <c r="H436" s="233">
        <f>F436*10</f>
        <v>0</v>
      </c>
      <c r="I436" s="96">
        <v>0</v>
      </c>
      <c r="J436" s="96">
        <f>0*B436</f>
        <v>0</v>
      </c>
      <c r="K436" s="96">
        <f>0*B436</f>
        <v>0</v>
      </c>
      <c r="L436" s="126">
        <f t="shared" si="89"/>
        <v>0</v>
      </c>
      <c r="M436" s="724">
        <v>0</v>
      </c>
      <c r="N436" s="698"/>
    </row>
    <row r="437" spans="1:21" hidden="1">
      <c r="A437" s="54" t="s">
        <v>55</v>
      </c>
      <c r="B437" s="694">
        <f>Ontario!N109</f>
        <v>0</v>
      </c>
      <c r="C437" s="631"/>
      <c r="D437" s="694">
        <f t="shared" si="88"/>
        <v>0</v>
      </c>
      <c r="E437" s="631"/>
      <c r="F437" s="733">
        <f>0.992*B437</f>
        <v>0</v>
      </c>
      <c r="G437" s="734"/>
      <c r="H437" s="233">
        <f>F437*10</f>
        <v>0</v>
      </c>
      <c r="I437" s="96">
        <v>0</v>
      </c>
      <c r="J437" s="96">
        <f>0*B437</f>
        <v>0</v>
      </c>
      <c r="K437" s="96">
        <f>4980*B437</f>
        <v>0</v>
      </c>
      <c r="L437" s="126">
        <f t="shared" si="89"/>
        <v>0</v>
      </c>
      <c r="M437" s="724">
        <v>0</v>
      </c>
      <c r="N437" s="698"/>
    </row>
    <row r="438" spans="1:21" ht="17" hidden="1" thickBot="1">
      <c r="A438" s="68" t="s">
        <v>81</v>
      </c>
      <c r="B438" s="694">
        <f>Ontario!N110</f>
        <v>0</v>
      </c>
      <c r="C438" s="631"/>
      <c r="D438" s="694">
        <f t="shared" si="88"/>
        <v>0</v>
      </c>
      <c r="E438" s="631"/>
      <c r="F438" s="807">
        <v>0</v>
      </c>
      <c r="G438" s="806"/>
      <c r="H438" s="233">
        <f>F438*10</f>
        <v>0</v>
      </c>
      <c r="I438" s="96">
        <v>0</v>
      </c>
      <c r="J438" s="96">
        <v>0</v>
      </c>
      <c r="K438" s="96">
        <v>0</v>
      </c>
      <c r="L438" s="126">
        <f t="shared" si="89"/>
        <v>0</v>
      </c>
      <c r="M438" s="751">
        <v>0</v>
      </c>
      <c r="N438" s="752"/>
    </row>
    <row r="439" spans="1:21" s="274" customFormat="1" ht="17" hidden="1" thickBot="1">
      <c r="A439" s="40" t="s">
        <v>60</v>
      </c>
      <c r="B439" s="644">
        <f>SUM(B433:C438)</f>
        <v>0</v>
      </c>
      <c r="C439" s="706"/>
      <c r="D439" s="642">
        <f>SUM(D433:E438)</f>
        <v>0</v>
      </c>
      <c r="E439" s="706"/>
      <c r="F439" s="808">
        <f>SUM(F433:G438)</f>
        <v>0</v>
      </c>
      <c r="G439" s="708"/>
      <c r="H439" s="230">
        <f>SUM(H433:H438)</f>
        <v>0</v>
      </c>
      <c r="I439" s="261">
        <f>SUM(I433:I438)</f>
        <v>0</v>
      </c>
      <c r="J439" s="262">
        <f>SUM(J433:J438)</f>
        <v>0</v>
      </c>
      <c r="K439" s="262">
        <f>SUM(K433:K438)</f>
        <v>0</v>
      </c>
      <c r="L439" s="262">
        <f>SUM(L433:L438)</f>
        <v>0</v>
      </c>
      <c r="M439" s="744"/>
      <c r="N439" s="710"/>
      <c r="O439" s="613"/>
      <c r="P439" s="613"/>
      <c r="Q439" s="613"/>
      <c r="R439" s="613"/>
      <c r="S439" s="613"/>
      <c r="T439" s="613"/>
      <c r="U439" s="613"/>
    </row>
    <row r="440" spans="1:21" s="530" customFormat="1" ht="17" thickBot="1">
      <c r="A440" s="531" t="s">
        <v>17</v>
      </c>
      <c r="B440" s="711">
        <f>SUM(B439,B414,B417,B431)</f>
        <v>1611</v>
      </c>
      <c r="C440" s="622"/>
      <c r="D440" s="623">
        <f>SUM(D439,D431,D417,D414)</f>
        <v>8071948.3869000012</v>
      </c>
      <c r="E440" s="622"/>
      <c r="F440" s="773">
        <f>SUM(F439,F414,F417,F431)</f>
        <v>24.771899999999999</v>
      </c>
      <c r="G440" s="713"/>
      <c r="H440" s="568">
        <f>SUM(H439,H414,H417,H431)</f>
        <v>344.99799999999999</v>
      </c>
      <c r="I440" s="536">
        <f>SUM(I439,I414,I417,I431)</f>
        <v>4033.7000000000003</v>
      </c>
      <c r="J440" s="535">
        <f>SUM(J439,J414,J417,J431)</f>
        <v>13485.3</v>
      </c>
      <c r="K440" s="535">
        <f>SUM(K439,K414,K417,K431)</f>
        <v>58849</v>
      </c>
      <c r="L440" s="553">
        <f>SUM(L439,L414,L417,L431)</f>
        <v>76368</v>
      </c>
      <c r="M440" s="746"/>
      <c r="N440" s="715"/>
      <c r="O440" s="135"/>
      <c r="P440" s="135"/>
      <c r="Q440" s="135"/>
      <c r="R440" s="135"/>
      <c r="S440" s="135"/>
      <c r="T440" s="135"/>
      <c r="U440" s="135"/>
    </row>
    <row r="441" spans="1:21">
      <c r="A441" s="164"/>
      <c r="B441" s="169"/>
      <c r="C441" s="169"/>
      <c r="D441" s="169"/>
      <c r="E441" s="169"/>
      <c r="F441" s="224"/>
      <c r="G441" s="224"/>
      <c r="H441" s="224"/>
      <c r="I441" s="170"/>
      <c r="J441" s="170"/>
      <c r="K441" s="170"/>
      <c r="L441" s="170"/>
      <c r="M441" s="183"/>
      <c r="N441" s="183"/>
    </row>
    <row r="442" spans="1:21" ht="18">
      <c r="A442" s="171" t="s">
        <v>167</v>
      </c>
      <c r="B442" s="690" t="s">
        <v>59</v>
      </c>
      <c r="C442" s="690"/>
      <c r="D442" s="690"/>
      <c r="E442" s="691"/>
      <c r="F442" s="224"/>
      <c r="G442" s="224"/>
      <c r="H442" s="224"/>
      <c r="I442" s="170"/>
      <c r="J442" s="170"/>
      <c r="K442" s="170"/>
      <c r="L442" s="170"/>
      <c r="M442" s="183"/>
      <c r="N442" s="183"/>
    </row>
    <row r="443" spans="1:21">
      <c r="B443" s="692" t="s">
        <v>19</v>
      </c>
      <c r="C443" s="692"/>
      <c r="D443" s="692"/>
      <c r="E443" s="692"/>
      <c r="F443" s="224"/>
      <c r="G443" s="224"/>
      <c r="H443" s="224"/>
      <c r="I443" s="170"/>
      <c r="J443" s="170"/>
      <c r="K443" s="170"/>
      <c r="L443" s="170"/>
      <c r="M443" s="183"/>
      <c r="N443" s="183"/>
    </row>
    <row r="444" spans="1:21" ht="17" thickBot="1">
      <c r="A444" s="440"/>
      <c r="B444" s="286"/>
      <c r="C444" s="286"/>
      <c r="D444" s="286"/>
      <c r="E444" s="286"/>
      <c r="F444" s="224"/>
      <c r="G444" s="224"/>
      <c r="H444" s="224"/>
      <c r="I444" s="170"/>
      <c r="J444" s="170"/>
      <c r="K444" s="170"/>
      <c r="L444" s="170"/>
      <c r="M444" s="286"/>
      <c r="N444" s="286"/>
    </row>
    <row r="445" spans="1:21">
      <c r="A445" s="63"/>
      <c r="B445" s="64"/>
      <c r="C445" s="64"/>
      <c r="D445" s="64"/>
      <c r="E445" s="64"/>
      <c r="F445" s="200"/>
      <c r="G445" s="200"/>
      <c r="H445" s="200"/>
      <c r="I445" s="670" t="s">
        <v>0</v>
      </c>
      <c r="J445" s="670"/>
      <c r="K445" s="670"/>
      <c r="L445" s="670"/>
      <c r="M445" s="64"/>
      <c r="N445" s="65"/>
    </row>
    <row r="446" spans="1:21">
      <c r="A446" s="62"/>
      <c r="B446" s="671" t="s">
        <v>1</v>
      </c>
      <c r="C446" s="671"/>
      <c r="D446" s="671" t="s">
        <v>2</v>
      </c>
      <c r="E446" s="671"/>
      <c r="F446" s="672" t="s">
        <v>3</v>
      </c>
      <c r="G446" s="672"/>
      <c r="H446" s="207" t="s">
        <v>3</v>
      </c>
      <c r="I446" s="78" t="s">
        <v>135</v>
      </c>
      <c r="J446" s="66"/>
      <c r="K446" s="66"/>
      <c r="L446" s="79"/>
      <c r="M446" s="671" t="s">
        <v>4</v>
      </c>
      <c r="N446" s="674"/>
    </row>
    <row r="447" spans="1:21" ht="19" thickBot="1">
      <c r="A447" s="67" t="s">
        <v>5</v>
      </c>
      <c r="B447" s="675" t="s">
        <v>6</v>
      </c>
      <c r="C447" s="675"/>
      <c r="D447" s="675" t="s">
        <v>7</v>
      </c>
      <c r="E447" s="675"/>
      <c r="F447" s="676" t="s">
        <v>7</v>
      </c>
      <c r="G447" s="676"/>
      <c r="H447" s="208" t="s">
        <v>58</v>
      </c>
      <c r="I447" s="185" t="s">
        <v>136</v>
      </c>
      <c r="J447" s="184" t="s">
        <v>8</v>
      </c>
      <c r="K447" s="184" t="s">
        <v>9</v>
      </c>
      <c r="L447" s="187" t="s">
        <v>10</v>
      </c>
      <c r="M447" s="675" t="s">
        <v>103</v>
      </c>
      <c r="N447" s="678"/>
    </row>
    <row r="448" spans="1:21" ht="24" thickBot="1">
      <c r="A448" s="60" t="s">
        <v>94</v>
      </c>
      <c r="B448" s="735"/>
      <c r="C448" s="736"/>
      <c r="D448" s="737"/>
      <c r="E448" s="738"/>
      <c r="F448" s="739"/>
      <c r="G448" s="740"/>
      <c r="H448" s="223"/>
      <c r="I448" s="166"/>
      <c r="J448" s="166"/>
      <c r="K448" s="166"/>
      <c r="L448" s="167"/>
      <c r="M448" s="741"/>
      <c r="N448" s="742"/>
    </row>
    <row r="449" spans="1:21" s="530" customFormat="1" ht="17" thickBot="1">
      <c r="A449" s="71" t="s">
        <v>48</v>
      </c>
      <c r="B449" s="663"/>
      <c r="C449" s="716"/>
      <c r="D449" s="729"/>
      <c r="E449" s="716"/>
      <c r="F449" s="717"/>
      <c r="G449" s="718"/>
      <c r="H449" s="524"/>
      <c r="I449" s="72"/>
      <c r="J449" s="72"/>
      <c r="K449" s="72"/>
      <c r="L449" s="521"/>
      <c r="M449" s="719"/>
      <c r="N449" s="689"/>
      <c r="O449" s="135"/>
      <c r="P449" s="135"/>
      <c r="Q449" s="135"/>
      <c r="R449" s="135"/>
      <c r="S449" s="135"/>
      <c r="T449" s="135"/>
      <c r="U449" s="135"/>
    </row>
    <row r="450" spans="1:21">
      <c r="A450" s="54" t="s">
        <v>28</v>
      </c>
      <c r="B450" s="694">
        <f>Ontario!N41</f>
        <v>1</v>
      </c>
      <c r="C450" s="631"/>
      <c r="D450" s="630">
        <f t="shared" ref="D450:D456" si="90">F450*325851</f>
        <v>12349.752900000001</v>
      </c>
      <c r="E450" s="631"/>
      <c r="F450" s="695">
        <f>0.0379*B450</f>
        <v>3.7900000000000003E-2</v>
      </c>
      <c r="G450" s="696"/>
      <c r="H450" s="427">
        <f>F450*20</f>
        <v>0.75800000000000001</v>
      </c>
      <c r="I450" s="96">
        <v>0</v>
      </c>
      <c r="J450" s="96">
        <f>0*B450</f>
        <v>0</v>
      </c>
      <c r="K450" s="96">
        <f>60*B450</f>
        <v>60</v>
      </c>
      <c r="L450" s="106">
        <f t="shared" ref="L450:L456" si="91">I450+J450+K450</f>
        <v>60</v>
      </c>
      <c r="M450" s="697">
        <f t="shared" ref="M450:M456" si="92">L450/(F450*498.5)</f>
        <v>3.1757541754551251</v>
      </c>
      <c r="N450" s="698"/>
    </row>
    <row r="451" spans="1:21">
      <c r="A451" s="54" t="s">
        <v>29</v>
      </c>
      <c r="B451" s="694">
        <f>Ontario!N42</f>
        <v>136</v>
      </c>
      <c r="C451" s="631"/>
      <c r="D451" s="630">
        <f t="shared" si="90"/>
        <v>1883418.78</v>
      </c>
      <c r="E451" s="631"/>
      <c r="F451" s="695">
        <f>0.0425*B451</f>
        <v>5.78</v>
      </c>
      <c r="G451" s="696"/>
      <c r="H451" s="427">
        <f>F451*20</f>
        <v>115.60000000000001</v>
      </c>
      <c r="I451" s="96">
        <v>0</v>
      </c>
      <c r="J451" s="96">
        <f>0*B451</f>
        <v>0</v>
      </c>
      <c r="K451" s="96">
        <f>B451*165</f>
        <v>22440</v>
      </c>
      <c r="L451" s="106">
        <f t="shared" si="91"/>
        <v>22440</v>
      </c>
      <c r="M451" s="697">
        <f t="shared" si="92"/>
        <v>7.7880700926308339</v>
      </c>
      <c r="N451" s="698"/>
    </row>
    <row r="452" spans="1:21">
      <c r="A452" s="54" t="s">
        <v>33</v>
      </c>
      <c r="B452" s="694">
        <f>Ontario!N43</f>
        <v>140</v>
      </c>
      <c r="C452" s="631"/>
      <c r="D452" s="630">
        <f t="shared" si="90"/>
        <v>1259088.264</v>
      </c>
      <c r="E452" s="631"/>
      <c r="F452" s="695">
        <f>0.0276*B452</f>
        <v>3.8639999999999999</v>
      </c>
      <c r="G452" s="696"/>
      <c r="H452" s="427">
        <f>F452*15</f>
        <v>57.96</v>
      </c>
      <c r="I452" s="96">
        <f>0*B452</f>
        <v>0</v>
      </c>
      <c r="J452" s="96">
        <f>0*B452</f>
        <v>0</v>
      </c>
      <c r="K452" s="96">
        <f>B452*110</f>
        <v>15400</v>
      </c>
      <c r="L452" s="106">
        <f t="shared" si="91"/>
        <v>15400</v>
      </c>
      <c r="M452" s="697">
        <f t="shared" si="92"/>
        <v>7.994999491227305</v>
      </c>
      <c r="N452" s="698"/>
    </row>
    <row r="453" spans="1:21">
      <c r="A453" s="54" t="s">
        <v>56</v>
      </c>
      <c r="B453" s="694">
        <f>Ontario!N44</f>
        <v>54</v>
      </c>
      <c r="C453" s="631"/>
      <c r="D453" s="630">
        <f t="shared" si="90"/>
        <v>70383.816000000006</v>
      </c>
      <c r="E453" s="631"/>
      <c r="F453" s="695">
        <f>0.004*B453</f>
        <v>0.216</v>
      </c>
      <c r="G453" s="696"/>
      <c r="H453" s="427">
        <f>F453*5</f>
        <v>1.08</v>
      </c>
      <c r="I453" s="96">
        <f>0*B453</f>
        <v>0</v>
      </c>
      <c r="J453" s="96">
        <f>0*B453</f>
        <v>0</v>
      </c>
      <c r="K453" s="96">
        <f>B453*4</f>
        <v>216</v>
      </c>
      <c r="L453" s="106">
        <f t="shared" si="91"/>
        <v>216</v>
      </c>
      <c r="M453" s="697">
        <f t="shared" si="92"/>
        <v>2.0060180541624875</v>
      </c>
      <c r="N453" s="698"/>
    </row>
    <row r="454" spans="1:21">
      <c r="A454" s="54" t="s">
        <v>30</v>
      </c>
      <c r="B454" s="727">
        <f>Ontario!N45</f>
        <v>1</v>
      </c>
      <c r="C454" s="651"/>
      <c r="D454" s="652">
        <f t="shared" si="90"/>
        <v>105901.575</v>
      </c>
      <c r="E454" s="651"/>
      <c r="F454" s="720">
        <f>0.325*B454</f>
        <v>0.32500000000000001</v>
      </c>
      <c r="G454" s="721"/>
      <c r="H454" s="429">
        <f>F454*10</f>
        <v>3.25</v>
      </c>
      <c r="I454" s="107">
        <v>0</v>
      </c>
      <c r="J454" s="107">
        <f>0*B454</f>
        <v>0</v>
      </c>
      <c r="K454" s="107">
        <f>B454*80</f>
        <v>80</v>
      </c>
      <c r="L454" s="108">
        <f t="shared" si="91"/>
        <v>80</v>
      </c>
      <c r="M454" s="697">
        <f t="shared" si="92"/>
        <v>0.49378905948615071</v>
      </c>
      <c r="N454" s="698"/>
    </row>
    <row r="455" spans="1:21">
      <c r="A455" s="53" t="s">
        <v>87</v>
      </c>
      <c r="B455" s="650">
        <v>11</v>
      </c>
      <c r="C455" s="651"/>
      <c r="D455" s="652">
        <f t="shared" si="90"/>
        <v>683876.52773999993</v>
      </c>
      <c r="E455" s="651"/>
      <c r="F455" s="720">
        <f>0.00014*14991</f>
        <v>2.0987399999999998</v>
      </c>
      <c r="G455" s="721"/>
      <c r="H455" s="429">
        <f>F455*10</f>
        <v>20.987399999999997</v>
      </c>
      <c r="I455" s="107">
        <v>0</v>
      </c>
      <c r="J455" s="107">
        <f>20580</f>
        <v>20580</v>
      </c>
      <c r="K455" s="107">
        <f>B455*0</f>
        <v>0</v>
      </c>
      <c r="L455" s="108">
        <f t="shared" si="91"/>
        <v>20580</v>
      </c>
      <c r="M455" s="697">
        <f t="shared" si="92"/>
        <v>19.670779398431439</v>
      </c>
      <c r="N455" s="698"/>
    </row>
    <row r="456" spans="1:21" ht="17" thickBot="1">
      <c r="A456" s="53" t="s">
        <v>85</v>
      </c>
      <c r="B456" s="727">
        <v>15</v>
      </c>
      <c r="C456" s="651"/>
      <c r="D456" s="650">
        <f t="shared" si="90"/>
        <v>600986.55035999988</v>
      </c>
      <c r="E456" s="651"/>
      <c r="F456" s="720">
        <f>0.00014*13174</f>
        <v>1.8443599999999998</v>
      </c>
      <c r="G456" s="721"/>
      <c r="H456" s="429">
        <f>F456*10</f>
        <v>18.443599999999996</v>
      </c>
      <c r="I456" s="107">
        <v>0</v>
      </c>
      <c r="J456" s="107">
        <f>0.3*13174</f>
        <v>3952.2</v>
      </c>
      <c r="K456" s="107">
        <f>13174*0.3</f>
        <v>3952.2</v>
      </c>
      <c r="L456" s="108">
        <f t="shared" si="91"/>
        <v>7904.4</v>
      </c>
      <c r="M456" s="697">
        <f t="shared" si="92"/>
        <v>8.5972202321249469</v>
      </c>
      <c r="N456" s="698"/>
    </row>
    <row r="457" spans="1:21" s="274" customFormat="1" ht="17" thickBot="1">
      <c r="A457" s="40" t="s">
        <v>60</v>
      </c>
      <c r="B457" s="642">
        <f>SUM(B450:C456)</f>
        <v>358</v>
      </c>
      <c r="C457" s="706"/>
      <c r="D457" s="644">
        <f>SUM(D450:E456)</f>
        <v>4616005.2659999998</v>
      </c>
      <c r="E457" s="706"/>
      <c r="F457" s="707">
        <f>SUM(F450:G456)</f>
        <v>14.165999999999997</v>
      </c>
      <c r="G457" s="708"/>
      <c r="H457" s="310">
        <f>SUM(H450:H456)</f>
        <v>218.07900000000004</v>
      </c>
      <c r="I457" s="91">
        <f>SUM(I450:I456)</f>
        <v>0</v>
      </c>
      <c r="J457" s="91">
        <f>SUM(J450:J456)</f>
        <v>24532.2</v>
      </c>
      <c r="K457" s="91">
        <f>SUM(K450:K456)</f>
        <v>42148.2</v>
      </c>
      <c r="L457" s="98">
        <f>SUM(L450:L456)</f>
        <v>66680.399999999994</v>
      </c>
      <c r="M457" s="709"/>
      <c r="N457" s="710"/>
      <c r="O457" s="613"/>
      <c r="P457" s="613"/>
      <c r="Q457" s="613"/>
      <c r="R457" s="613"/>
      <c r="S457" s="613"/>
      <c r="T457" s="613"/>
      <c r="U457" s="613"/>
    </row>
    <row r="458" spans="1:21" s="530" customFormat="1" ht="17" thickBot="1">
      <c r="A458" s="71" t="s">
        <v>104</v>
      </c>
      <c r="B458" s="662"/>
      <c r="C458" s="716"/>
      <c r="D458" s="663"/>
      <c r="E458" s="716"/>
      <c r="F458" s="687"/>
      <c r="G458" s="718"/>
      <c r="H458" s="524"/>
      <c r="I458" s="100"/>
      <c r="J458" s="100"/>
      <c r="K458" s="100"/>
      <c r="L458" s="101"/>
      <c r="M458" s="719"/>
      <c r="N458" s="689"/>
      <c r="O458" s="135"/>
      <c r="P458" s="135"/>
      <c r="Q458" s="135"/>
      <c r="R458" s="135"/>
      <c r="S458" s="135"/>
      <c r="T458" s="135"/>
      <c r="U458" s="135"/>
    </row>
    <row r="459" spans="1:21" s="255" customFormat="1" ht="14" thickBot="1">
      <c r="A459" s="53" t="s">
        <v>104</v>
      </c>
      <c r="B459" s="797">
        <f>Ontario!N50</f>
        <v>757</v>
      </c>
      <c r="C459" s="798"/>
      <c r="D459" s="694">
        <f>F459*325851</f>
        <v>10483441.297499999</v>
      </c>
      <c r="E459" s="631"/>
      <c r="F459" s="745">
        <f>0.0425*B459</f>
        <v>32.172499999999999</v>
      </c>
      <c r="G459" s="721"/>
      <c r="H459" s="429">
        <f>F459*20</f>
        <v>643.45000000000005</v>
      </c>
      <c r="I459" s="96">
        <f>73.34*B459</f>
        <v>55518.380000000005</v>
      </c>
      <c r="J459" s="96">
        <f>35.66*B459</f>
        <v>26994.62</v>
      </c>
      <c r="K459" s="96">
        <f>B459*165</f>
        <v>124905</v>
      </c>
      <c r="L459" s="106">
        <f>I459+J459+K459</f>
        <v>207418</v>
      </c>
      <c r="M459" s="697">
        <f>L459/(F459*498.5)</f>
        <v>12.932916396247567</v>
      </c>
      <c r="N459" s="698"/>
      <c r="O459" s="259"/>
      <c r="P459" s="259"/>
      <c r="Q459" s="259"/>
      <c r="R459" s="259"/>
      <c r="S459" s="259"/>
      <c r="T459" s="259"/>
      <c r="U459" s="259"/>
    </row>
    <row r="460" spans="1:21" s="275" customFormat="1" ht="14" thickBot="1">
      <c r="A460" s="40" t="s">
        <v>60</v>
      </c>
      <c r="B460" s="642">
        <f>SUM(B459)</f>
        <v>757</v>
      </c>
      <c r="C460" s="706"/>
      <c r="D460" s="644">
        <f>SUM(D459)</f>
        <v>10483441.297499999</v>
      </c>
      <c r="E460" s="706"/>
      <c r="F460" s="707">
        <f>SUM(F459)</f>
        <v>32.172499999999999</v>
      </c>
      <c r="G460" s="708"/>
      <c r="H460" s="310">
        <f>SUM(H459)</f>
        <v>643.45000000000005</v>
      </c>
      <c r="I460" s="86">
        <f>SUM(I459)</f>
        <v>55518.380000000005</v>
      </c>
      <c r="J460" s="91">
        <f>SUM(J459)</f>
        <v>26994.62</v>
      </c>
      <c r="K460" s="91">
        <f>SUM(K459)</f>
        <v>124905</v>
      </c>
      <c r="L460" s="86">
        <f>SUM(L459)</f>
        <v>207418</v>
      </c>
      <c r="M460" s="709"/>
      <c r="N460" s="710"/>
      <c r="O460" s="276"/>
      <c r="P460" s="276"/>
      <c r="Q460" s="276"/>
      <c r="R460" s="276"/>
      <c r="S460" s="276"/>
      <c r="T460" s="276"/>
      <c r="U460" s="276"/>
    </row>
    <row r="461" spans="1:21" s="530" customFormat="1" ht="17" thickBot="1">
      <c r="A461" s="71" t="s">
        <v>50</v>
      </c>
      <c r="B461" s="801"/>
      <c r="C461" s="802"/>
      <c r="D461" s="663"/>
      <c r="E461" s="716"/>
      <c r="F461" s="687"/>
      <c r="G461" s="718"/>
      <c r="H461" s="524"/>
      <c r="I461" s="100"/>
      <c r="J461" s="100"/>
      <c r="K461" s="100"/>
      <c r="L461" s="101"/>
      <c r="M461" s="719"/>
      <c r="N461" s="689"/>
      <c r="O461" s="135"/>
      <c r="P461" s="135"/>
      <c r="Q461" s="135"/>
      <c r="R461" s="135"/>
      <c r="S461" s="135"/>
      <c r="T461" s="135"/>
      <c r="U461" s="135"/>
    </row>
    <row r="462" spans="1:21">
      <c r="A462" s="260" t="s">
        <v>26</v>
      </c>
      <c r="B462" s="799">
        <f>Ontario!N53</f>
        <v>0</v>
      </c>
      <c r="C462" s="800"/>
      <c r="D462" s="694">
        <f t="shared" ref="D462:D470" si="93">F462*325851</f>
        <v>0</v>
      </c>
      <c r="E462" s="631"/>
      <c r="F462" s="743">
        <f>0.0379*B462</f>
        <v>0</v>
      </c>
      <c r="G462" s="696"/>
      <c r="H462" s="427">
        <f>F462*20</f>
        <v>0</v>
      </c>
      <c r="I462" s="96">
        <v>0</v>
      </c>
      <c r="J462" s="96">
        <f>35.66*B462</f>
        <v>0</v>
      </c>
      <c r="K462" s="96">
        <f>135*B462</f>
        <v>0</v>
      </c>
      <c r="L462" s="106">
        <f>SUM(I462:K462)</f>
        <v>0</v>
      </c>
      <c r="M462" s="697">
        <v>0</v>
      </c>
      <c r="N462" s="698"/>
    </row>
    <row r="463" spans="1:21">
      <c r="A463" s="54" t="s">
        <v>25</v>
      </c>
      <c r="B463" s="693">
        <f>Ontario!N54</f>
        <v>0</v>
      </c>
      <c r="C463" s="631"/>
      <c r="D463" s="694">
        <f t="shared" si="93"/>
        <v>0</v>
      </c>
      <c r="E463" s="631"/>
      <c r="F463" s="743">
        <f>0.0379*B463</f>
        <v>0</v>
      </c>
      <c r="G463" s="696"/>
      <c r="H463" s="427">
        <f>F463*20</f>
        <v>0</v>
      </c>
      <c r="I463" s="96">
        <v>0</v>
      </c>
      <c r="J463" s="96">
        <f>0*B463</f>
        <v>0</v>
      </c>
      <c r="K463" s="96">
        <f>60*B463</f>
        <v>0</v>
      </c>
      <c r="L463" s="106">
        <f t="shared" ref="L463:L471" si="94">SUM(I463:K463)</f>
        <v>0</v>
      </c>
      <c r="M463" s="697">
        <v>0</v>
      </c>
      <c r="N463" s="698"/>
    </row>
    <row r="464" spans="1:21">
      <c r="A464" s="54" t="s">
        <v>29</v>
      </c>
      <c r="B464" s="693">
        <f>Ontario!N55</f>
        <v>266</v>
      </c>
      <c r="C464" s="631"/>
      <c r="D464" s="694">
        <f t="shared" si="93"/>
        <v>3683745.5550000006</v>
      </c>
      <c r="E464" s="631"/>
      <c r="F464" s="743">
        <f>0.0425*B464</f>
        <v>11.305000000000001</v>
      </c>
      <c r="G464" s="696"/>
      <c r="H464" s="427">
        <f>F464*20</f>
        <v>226.10000000000002</v>
      </c>
      <c r="I464" s="96">
        <v>0</v>
      </c>
      <c r="J464" s="96">
        <f>135*B464</f>
        <v>35910</v>
      </c>
      <c r="K464" s="96">
        <f>165*B464</f>
        <v>43890</v>
      </c>
      <c r="L464" s="106">
        <f t="shared" si="94"/>
        <v>79800</v>
      </c>
      <c r="M464" s="697">
        <f>L464/(F464*498.5)</f>
        <v>14.160127441146969</v>
      </c>
      <c r="N464" s="698"/>
    </row>
    <row r="465" spans="1:21">
      <c r="A465" s="54" t="s">
        <v>51</v>
      </c>
      <c r="B465" s="693">
        <f>Ontario!N56</f>
        <v>67</v>
      </c>
      <c r="C465" s="631"/>
      <c r="D465" s="694">
        <f t="shared" si="93"/>
        <v>2678788.4859000002</v>
      </c>
      <c r="E465" s="631"/>
      <c r="F465" s="743">
        <f>0.1227*B465</f>
        <v>8.2209000000000003</v>
      </c>
      <c r="G465" s="696"/>
      <c r="H465" s="427">
        <f>F465*20</f>
        <v>164.41800000000001</v>
      </c>
      <c r="I465" s="96">
        <v>0</v>
      </c>
      <c r="J465" s="96">
        <f>0*B465</f>
        <v>0</v>
      </c>
      <c r="K465" s="96">
        <f>400*B465</f>
        <v>26800</v>
      </c>
      <c r="L465" s="106">
        <f t="shared" si="94"/>
        <v>26800</v>
      </c>
      <c r="M465" s="697">
        <f>L465/(F465*498.5)</f>
        <v>6.5395861586389152</v>
      </c>
      <c r="N465" s="698"/>
    </row>
    <row r="466" spans="1:21">
      <c r="A466" s="54" t="s">
        <v>20</v>
      </c>
      <c r="B466" s="693">
        <f>Ontario!N57</f>
        <v>0</v>
      </c>
      <c r="C466" s="631"/>
      <c r="D466" s="694">
        <f t="shared" si="93"/>
        <v>0</v>
      </c>
      <c r="E466" s="631"/>
      <c r="F466" s="743">
        <f>0.644*B466</f>
        <v>0</v>
      </c>
      <c r="G466" s="696"/>
      <c r="H466" s="427">
        <f>F466*5</f>
        <v>0</v>
      </c>
      <c r="I466" s="96">
        <v>0</v>
      </c>
      <c r="J466" s="96">
        <f>43.75*B466</f>
        <v>0</v>
      </c>
      <c r="K466" s="96">
        <f>625*B466</f>
        <v>0</v>
      </c>
      <c r="L466" s="106">
        <f t="shared" si="94"/>
        <v>0</v>
      </c>
      <c r="M466" s="697">
        <v>0</v>
      </c>
      <c r="N466" s="698"/>
    </row>
    <row r="467" spans="1:21">
      <c r="A467" s="54" t="s">
        <v>13</v>
      </c>
      <c r="B467" s="693">
        <f>Ontario!N58</f>
        <v>2</v>
      </c>
      <c r="C467" s="631"/>
      <c r="D467" s="694">
        <f t="shared" si="93"/>
        <v>17986.975200000001</v>
      </c>
      <c r="E467" s="631"/>
      <c r="F467" s="743">
        <f>0.0276*B467</f>
        <v>5.5199999999999999E-2</v>
      </c>
      <c r="G467" s="696"/>
      <c r="H467" s="427">
        <f>F467*10</f>
        <v>0.55200000000000005</v>
      </c>
      <c r="I467" s="96">
        <v>0</v>
      </c>
      <c r="J467" s="96">
        <f>100*B467</f>
        <v>200</v>
      </c>
      <c r="K467" s="96">
        <f>80*B467</f>
        <v>160</v>
      </c>
      <c r="L467" s="106">
        <f t="shared" si="94"/>
        <v>360</v>
      </c>
      <c r="M467" s="697">
        <f t="shared" ref="M467:M473" si="95">L467/(F467*498.5)</f>
        <v>13.082726440190136</v>
      </c>
      <c r="N467" s="698"/>
    </row>
    <row r="468" spans="1:21">
      <c r="A468" s="53" t="s">
        <v>47</v>
      </c>
      <c r="B468" s="693">
        <f>Ontario!N59</f>
        <v>1</v>
      </c>
      <c r="C468" s="631"/>
      <c r="D468" s="694">
        <f t="shared" si="93"/>
        <v>49985.543400000002</v>
      </c>
      <c r="E468" s="631"/>
      <c r="F468" s="743">
        <f>0.1534*B468</f>
        <v>0.15340000000000001</v>
      </c>
      <c r="G468" s="696"/>
      <c r="H468" s="427">
        <f>F468*5</f>
        <v>0.76700000000000002</v>
      </c>
      <c r="I468" s="96">
        <v>0</v>
      </c>
      <c r="J468" s="96">
        <f>0*B468</f>
        <v>0</v>
      </c>
      <c r="K468" s="96">
        <f>150*B468</f>
        <v>150</v>
      </c>
      <c r="L468" s="106">
        <f t="shared" si="94"/>
        <v>150</v>
      </c>
      <c r="M468" s="697">
        <f t="shared" si="95"/>
        <v>1.9615561155435013</v>
      </c>
      <c r="N468" s="698"/>
    </row>
    <row r="469" spans="1:21">
      <c r="A469" s="53" t="s">
        <v>30</v>
      </c>
      <c r="B469" s="693">
        <f>Ontario!N60</f>
        <v>39</v>
      </c>
      <c r="C469" s="631"/>
      <c r="D469" s="694">
        <f t="shared" si="93"/>
        <v>4130161.4250000003</v>
      </c>
      <c r="E469" s="631"/>
      <c r="F469" s="743">
        <f>0.325*B469</f>
        <v>12.675000000000001</v>
      </c>
      <c r="G469" s="696"/>
      <c r="H469" s="427">
        <f>F469*10</f>
        <v>126.75</v>
      </c>
      <c r="I469" s="96">
        <v>0</v>
      </c>
      <c r="J469" s="96">
        <f>0*B469</f>
        <v>0</v>
      </c>
      <c r="K469" s="96">
        <f>669*B469</f>
        <v>26091</v>
      </c>
      <c r="L469" s="106">
        <f t="shared" si="94"/>
        <v>26091</v>
      </c>
      <c r="M469" s="697">
        <f t="shared" si="95"/>
        <v>4.1293110099529358</v>
      </c>
      <c r="N469" s="698"/>
    </row>
    <row r="470" spans="1:21">
      <c r="A470" s="53" t="s">
        <v>53</v>
      </c>
      <c r="B470" s="693">
        <f>Ontario!N61</f>
        <v>0</v>
      </c>
      <c r="C470" s="631"/>
      <c r="D470" s="694">
        <f t="shared" si="93"/>
        <v>0</v>
      </c>
      <c r="E470" s="631"/>
      <c r="F470" s="743">
        <f>0.00014*B470</f>
        <v>0</v>
      </c>
      <c r="G470" s="696"/>
      <c r="H470" s="427">
        <f>F470*10</f>
        <v>0</v>
      </c>
      <c r="I470" s="96">
        <v>0</v>
      </c>
      <c r="J470" s="96">
        <f>0.3*B470</f>
        <v>0</v>
      </c>
      <c r="K470" s="96">
        <f>0.3*B470</f>
        <v>0</v>
      </c>
      <c r="L470" s="106">
        <f t="shared" si="94"/>
        <v>0</v>
      </c>
      <c r="M470" s="697">
        <v>0</v>
      </c>
      <c r="N470" s="698"/>
    </row>
    <row r="471" spans="1:21">
      <c r="A471" s="53" t="s">
        <v>56</v>
      </c>
      <c r="B471" s="693">
        <f>Ontario!N62</f>
        <v>43</v>
      </c>
      <c r="C471" s="631"/>
      <c r="D471" s="694">
        <f>F471*325851</f>
        <v>56046.372000000003</v>
      </c>
      <c r="E471" s="631"/>
      <c r="F471" s="743">
        <f>0.004*B471</f>
        <v>0.17200000000000001</v>
      </c>
      <c r="G471" s="696"/>
      <c r="H471" s="427">
        <f>F471*5</f>
        <v>0.8600000000000001</v>
      </c>
      <c r="I471" s="96">
        <v>0</v>
      </c>
      <c r="J471" s="96">
        <f>0*B471</f>
        <v>0</v>
      </c>
      <c r="K471" s="96">
        <f>4*B471</f>
        <v>172</v>
      </c>
      <c r="L471" s="106">
        <f t="shared" si="94"/>
        <v>172</v>
      </c>
      <c r="M471" s="697">
        <f t="shared" si="95"/>
        <v>2.0060180541624875</v>
      </c>
      <c r="N471" s="698"/>
    </row>
    <row r="472" spans="1:21">
      <c r="A472" s="53" t="s">
        <v>89</v>
      </c>
      <c r="B472" s="693">
        <f>Ontario!N63</f>
        <v>0</v>
      </c>
      <c r="C472" s="631"/>
      <c r="D472" s="694">
        <f>F472*325851</f>
        <v>0</v>
      </c>
      <c r="E472" s="631"/>
      <c r="F472" s="743">
        <f>0.018*B472</f>
        <v>0</v>
      </c>
      <c r="G472" s="696"/>
      <c r="H472" s="427">
        <f>F472*10</f>
        <v>0</v>
      </c>
      <c r="I472" s="96">
        <v>0</v>
      </c>
      <c r="J472" s="96">
        <f>0*B472</f>
        <v>0</v>
      </c>
      <c r="K472" s="96">
        <f>13*B472</f>
        <v>0</v>
      </c>
      <c r="L472" s="106">
        <f>SUM(I472:K472)</f>
        <v>0</v>
      </c>
      <c r="M472" s="697">
        <v>0</v>
      </c>
      <c r="N472" s="698"/>
    </row>
    <row r="473" spans="1:21" ht="17" thickBot="1">
      <c r="A473" s="53" t="s">
        <v>83</v>
      </c>
      <c r="B473" s="693">
        <f>Ontario!N64</f>
        <v>3</v>
      </c>
      <c r="C473" s="631"/>
      <c r="D473" s="694">
        <f>F473*325851</f>
        <v>149565.609</v>
      </c>
      <c r="E473" s="631"/>
      <c r="F473" s="743">
        <f>0.153*B473</f>
        <v>0.45899999999999996</v>
      </c>
      <c r="G473" s="696"/>
      <c r="H473" s="427">
        <f>F473*5</f>
        <v>2.2949999999999999</v>
      </c>
      <c r="I473" s="96">
        <v>0</v>
      </c>
      <c r="J473" s="96">
        <f>0*B473</f>
        <v>0</v>
      </c>
      <c r="K473" s="96">
        <f>60*B473</f>
        <v>180</v>
      </c>
      <c r="L473" s="106">
        <f>SUM(I473:K473)</f>
        <v>180</v>
      </c>
      <c r="M473" s="697">
        <f t="shared" si="95"/>
        <v>0.78667374673038726</v>
      </c>
      <c r="N473" s="698"/>
    </row>
    <row r="474" spans="1:21" s="274" customFormat="1" ht="17" thickBot="1">
      <c r="A474" s="40" t="s">
        <v>60</v>
      </c>
      <c r="B474" s="642">
        <f>SUM(B462:C473)</f>
        <v>421</v>
      </c>
      <c r="C474" s="706"/>
      <c r="D474" s="644">
        <f>SUM(D462:E473)</f>
        <v>10766279.965500001</v>
      </c>
      <c r="E474" s="643"/>
      <c r="F474" s="707">
        <f>SUM(F462:G473)</f>
        <v>33.040500000000002</v>
      </c>
      <c r="G474" s="708"/>
      <c r="H474" s="310">
        <f>SUM(H462:H473)</f>
        <v>521.74199999999996</v>
      </c>
      <c r="I474" s="86">
        <f>SUM(I462:I473)</f>
        <v>0</v>
      </c>
      <c r="J474" s="91">
        <f>SUM(J462:J473)</f>
        <v>36110</v>
      </c>
      <c r="K474" s="91">
        <f>SUM(K462:K473)</f>
        <v>97443</v>
      </c>
      <c r="L474" s="86">
        <f>SUM(L462:L473)</f>
        <v>133553</v>
      </c>
      <c r="M474" s="709"/>
      <c r="N474" s="710"/>
      <c r="O474" s="613"/>
      <c r="P474" s="613"/>
      <c r="Q474" s="613"/>
      <c r="R474" s="613"/>
      <c r="S474" s="613"/>
      <c r="T474" s="613"/>
      <c r="U474" s="613"/>
    </row>
    <row r="475" spans="1:21" s="530" customFormat="1" ht="17" thickBot="1">
      <c r="A475" s="71" t="s">
        <v>54</v>
      </c>
      <c r="B475" s="662"/>
      <c r="C475" s="716"/>
      <c r="D475" s="521"/>
      <c r="E475" s="522"/>
      <c r="F475" s="529"/>
      <c r="G475" s="524"/>
      <c r="H475" s="524"/>
      <c r="I475" s="100"/>
      <c r="J475" s="100"/>
      <c r="K475" s="100"/>
      <c r="L475" s="101"/>
      <c r="M475" s="526"/>
      <c r="N475" s="527"/>
      <c r="O475" s="135"/>
      <c r="P475" s="135"/>
      <c r="Q475" s="135"/>
      <c r="R475" s="135"/>
      <c r="S475" s="135"/>
      <c r="T475" s="135"/>
      <c r="U475" s="135"/>
    </row>
    <row r="476" spans="1:21">
      <c r="A476" s="260" t="s">
        <v>29</v>
      </c>
      <c r="B476" s="769">
        <f>Ontario!N67</f>
        <v>0</v>
      </c>
      <c r="C476" s="800"/>
      <c r="D476" s="769">
        <f t="shared" ref="D476:D481" si="96">F476*325851</f>
        <v>0</v>
      </c>
      <c r="E476" s="800"/>
      <c r="F476" s="743">
        <f>0.0425*B476</f>
        <v>0</v>
      </c>
      <c r="G476" s="696"/>
      <c r="H476" s="427">
        <f>F476*20</f>
        <v>0</v>
      </c>
      <c r="I476" s="96">
        <v>0</v>
      </c>
      <c r="J476" s="96">
        <f>35.66*B476</f>
        <v>0</v>
      </c>
      <c r="K476" s="96">
        <f>0*B476</f>
        <v>0</v>
      </c>
      <c r="L476" s="106">
        <f>SUM(I476:K476)</f>
        <v>0</v>
      </c>
      <c r="M476" s="697">
        <v>0</v>
      </c>
      <c r="N476" s="698"/>
    </row>
    <row r="477" spans="1:21">
      <c r="A477" s="54" t="s">
        <v>51</v>
      </c>
      <c r="B477" s="694">
        <f>Ontario!N68</f>
        <v>0</v>
      </c>
      <c r="C477" s="631"/>
      <c r="D477" s="694">
        <f t="shared" si="96"/>
        <v>0</v>
      </c>
      <c r="E477" s="631"/>
      <c r="F477" s="743">
        <f>0.125*B477</f>
        <v>0</v>
      </c>
      <c r="G477" s="696"/>
      <c r="H477" s="427">
        <f>F477*20</f>
        <v>0</v>
      </c>
      <c r="I477" s="96">
        <v>0</v>
      </c>
      <c r="J477" s="96">
        <f>0*B477</f>
        <v>0</v>
      </c>
      <c r="K477" s="96">
        <f>0*B477</f>
        <v>0</v>
      </c>
      <c r="L477" s="106">
        <f>SUM(I477:K477)</f>
        <v>0</v>
      </c>
      <c r="M477" s="697">
        <v>0</v>
      </c>
      <c r="N477" s="698"/>
    </row>
    <row r="478" spans="1:21">
      <c r="A478" s="54" t="s">
        <v>15</v>
      </c>
      <c r="B478" s="694">
        <f>Ontario!N69</f>
        <v>29</v>
      </c>
      <c r="C478" s="631"/>
      <c r="D478" s="694">
        <f t="shared" si="96"/>
        <v>1449580.7586000001</v>
      </c>
      <c r="E478" s="631"/>
      <c r="F478" s="743">
        <f>0.1534*B478</f>
        <v>4.4485999999999999</v>
      </c>
      <c r="G478" s="696"/>
      <c r="H478" s="427">
        <f>F478*5</f>
        <v>22.242999999999999</v>
      </c>
      <c r="I478" s="96">
        <v>0</v>
      </c>
      <c r="J478" s="96">
        <f>0*B478</f>
        <v>0</v>
      </c>
      <c r="K478" s="96">
        <f>325*B478</f>
        <v>9425</v>
      </c>
      <c r="L478" s="106">
        <f>SUM(I478:K478)</f>
        <v>9425</v>
      </c>
      <c r="M478" s="697">
        <f>L478/(F478*498.5)</f>
        <v>4.2500382503442529</v>
      </c>
      <c r="N478" s="698"/>
    </row>
    <row r="479" spans="1:21">
      <c r="A479" s="54" t="s">
        <v>30</v>
      </c>
      <c r="B479" s="694">
        <f>Ontario!N70</f>
        <v>0</v>
      </c>
      <c r="C479" s="631"/>
      <c r="D479" s="694">
        <f t="shared" si="96"/>
        <v>0</v>
      </c>
      <c r="E479" s="631"/>
      <c r="F479" s="743">
        <f>0.609*B479</f>
        <v>0</v>
      </c>
      <c r="G479" s="696"/>
      <c r="H479" s="427">
        <f>F479*10</f>
        <v>0</v>
      </c>
      <c r="I479" s="96">
        <v>0</v>
      </c>
      <c r="J479" s="96">
        <f>0*B479</f>
        <v>0</v>
      </c>
      <c r="K479" s="96">
        <f>0*B479</f>
        <v>0</v>
      </c>
      <c r="L479" s="106">
        <f>SUM(I479:K479)</f>
        <v>0</v>
      </c>
      <c r="M479" s="697">
        <v>0</v>
      </c>
      <c r="N479" s="698"/>
    </row>
    <row r="480" spans="1:21">
      <c r="A480" s="54" t="s">
        <v>55</v>
      </c>
      <c r="B480" s="694">
        <f>Ontario!N71</f>
        <v>86</v>
      </c>
      <c r="C480" s="631"/>
      <c r="D480" s="694">
        <f t="shared" si="96"/>
        <v>27799000.511999998</v>
      </c>
      <c r="E480" s="631"/>
      <c r="F480" s="745">
        <f>0.992*B480</f>
        <v>85.311999999999998</v>
      </c>
      <c r="G480" s="721"/>
      <c r="H480" s="427">
        <f>F480*10</f>
        <v>853.12</v>
      </c>
      <c r="I480" s="96">
        <v>0</v>
      </c>
      <c r="J480" s="96">
        <f>0*B480</f>
        <v>0</v>
      </c>
      <c r="K480" s="96">
        <f>4980*B480</f>
        <v>428280</v>
      </c>
      <c r="L480" s="106">
        <f>SUM(I480:K480)</f>
        <v>428280</v>
      </c>
      <c r="M480" s="697">
        <f>L480/(F480*498.5)</f>
        <v>10.070534183194745</v>
      </c>
      <c r="N480" s="698"/>
    </row>
    <row r="481" spans="1:21" ht="17" thickBot="1">
      <c r="A481" s="68" t="s">
        <v>81</v>
      </c>
      <c r="B481" s="803">
        <f>Ontario!N72</f>
        <v>1</v>
      </c>
      <c r="C481" s="748"/>
      <c r="D481" s="694">
        <f t="shared" si="96"/>
        <v>7448921.2748999996</v>
      </c>
      <c r="E481" s="631"/>
      <c r="F481" s="743">
        <f>0.00014*163285</f>
        <v>22.8599</v>
      </c>
      <c r="G481" s="696"/>
      <c r="H481" s="427">
        <f>F481*10</f>
        <v>228.59899999999999</v>
      </c>
      <c r="I481" s="96">
        <v>0</v>
      </c>
      <c r="J481" s="96">
        <v>0</v>
      </c>
      <c r="K481" s="96">
        <f>163285*0.75</f>
        <v>122463.75</v>
      </c>
      <c r="L481" s="106">
        <f>I481+J481+K481</f>
        <v>122463.75</v>
      </c>
      <c r="M481" s="697">
        <f>L481/(F481*498.5)</f>
        <v>10.746525290156184</v>
      </c>
      <c r="N481" s="698"/>
    </row>
    <row r="482" spans="1:21" s="274" customFormat="1" ht="17" thickBot="1">
      <c r="A482" s="40" t="s">
        <v>60</v>
      </c>
      <c r="B482" s="642">
        <f>SUM(B476:C481)</f>
        <v>116</v>
      </c>
      <c r="C482" s="706"/>
      <c r="D482" s="644">
        <f>SUM(D476:E481)</f>
        <v>36697502.545499995</v>
      </c>
      <c r="E482" s="706"/>
      <c r="F482" s="726">
        <f>SUM(F476:G481)</f>
        <v>112.62049999999999</v>
      </c>
      <c r="G482" s="707"/>
      <c r="H482" s="43">
        <f>SUM(H476:H481)</f>
        <v>1103.962</v>
      </c>
      <c r="I482" s="180">
        <f>SUM(I476:J481)</f>
        <v>0</v>
      </c>
      <c r="J482" s="86">
        <f>SUM(J476:J481)</f>
        <v>0</v>
      </c>
      <c r="K482" s="86">
        <f>SUM(K476:K481)</f>
        <v>560168.75</v>
      </c>
      <c r="L482" s="86">
        <f>SUM(L476:L481)</f>
        <v>560168.75</v>
      </c>
      <c r="M482" s="709"/>
      <c r="N482" s="710"/>
      <c r="O482" s="613"/>
      <c r="P482" s="613"/>
      <c r="Q482" s="613"/>
      <c r="R482" s="613"/>
      <c r="S482" s="613"/>
      <c r="T482" s="613"/>
      <c r="U482" s="613"/>
    </row>
    <row r="483" spans="1:21" s="530" customFormat="1" ht="17" thickBot="1">
      <c r="A483" s="531" t="s">
        <v>17</v>
      </c>
      <c r="B483" s="711">
        <f>SUM(B482,B457,B460,B474)</f>
        <v>1652</v>
      </c>
      <c r="C483" s="622"/>
      <c r="D483" s="623">
        <f>SUM(D482,D474,D460,D457)</f>
        <v>62563229.074499995</v>
      </c>
      <c r="E483" s="622"/>
      <c r="F483" s="773">
        <f>SUM(F482,F457,F460,F474)</f>
        <v>191.99950000000001</v>
      </c>
      <c r="G483" s="713"/>
      <c r="H483" s="532">
        <f>(H482+H474+H460+H457)</f>
        <v>2487.2330000000002</v>
      </c>
      <c r="I483" s="535">
        <f>SUM(I482,I457,I460,I474)</f>
        <v>55518.380000000005</v>
      </c>
      <c r="J483" s="535">
        <f>SUM(J482,J457,J460,J474)</f>
        <v>87636.82</v>
      </c>
      <c r="K483" s="535">
        <f>SUM(K482,K457,K460,K474)</f>
        <v>824664.95</v>
      </c>
      <c r="L483" s="535">
        <f>SUM(L482,L457,L460,L474)</f>
        <v>967820.15</v>
      </c>
      <c r="M483" s="714"/>
      <c r="N483" s="715"/>
      <c r="O483" s="135"/>
      <c r="P483" s="135"/>
      <c r="Q483" s="135"/>
      <c r="R483" s="135"/>
      <c r="S483" s="135"/>
      <c r="T483" s="135"/>
      <c r="U483" s="135"/>
    </row>
    <row r="484" spans="1:21">
      <c r="A484" s="164"/>
      <c r="B484" s="169"/>
      <c r="C484" s="169"/>
      <c r="D484" s="169"/>
      <c r="E484" s="169"/>
      <c r="F484" s="224"/>
      <c r="G484" s="224"/>
      <c r="H484" s="224"/>
      <c r="I484" s="170"/>
      <c r="J484" s="170"/>
      <c r="K484" s="170"/>
      <c r="L484" s="170"/>
      <c r="M484" s="183"/>
      <c r="N484" s="183"/>
    </row>
    <row r="485" spans="1:21" ht="18">
      <c r="A485" s="171" t="s">
        <v>167</v>
      </c>
      <c r="B485" s="690" t="s">
        <v>59</v>
      </c>
      <c r="C485" s="690"/>
      <c r="D485" s="690"/>
      <c r="E485" s="691"/>
      <c r="F485" s="224"/>
      <c r="G485" s="224"/>
      <c r="H485" s="224"/>
      <c r="I485" s="170"/>
      <c r="J485" s="170"/>
      <c r="K485" s="170"/>
      <c r="L485" s="170"/>
      <c r="M485" s="183"/>
      <c r="N485" s="183"/>
    </row>
    <row r="486" spans="1:21">
      <c r="B486" s="692" t="s">
        <v>19</v>
      </c>
      <c r="C486" s="692"/>
      <c r="D486" s="692"/>
      <c r="E486" s="692"/>
      <c r="F486" s="224"/>
      <c r="G486" s="224"/>
      <c r="H486" s="224"/>
      <c r="I486" s="170"/>
      <c r="J486" s="170"/>
      <c r="K486" s="170"/>
      <c r="L486" s="170"/>
      <c r="M486" s="183"/>
      <c r="N486" s="183"/>
    </row>
    <row r="487" spans="1:21" ht="17" thickBot="1">
      <c r="A487" s="440"/>
      <c r="B487" s="286"/>
      <c r="C487" s="286"/>
      <c r="D487" s="286"/>
      <c r="E487" s="286"/>
      <c r="F487" s="224"/>
      <c r="G487" s="224"/>
      <c r="H487" s="224"/>
      <c r="I487" s="170"/>
      <c r="J487" s="170"/>
      <c r="K487" s="170"/>
      <c r="L487" s="170"/>
      <c r="M487" s="286"/>
      <c r="N487" s="286"/>
    </row>
    <row r="488" spans="1:21">
      <c r="A488" s="63"/>
      <c r="B488" s="64"/>
      <c r="C488" s="64"/>
      <c r="D488" s="64"/>
      <c r="E488" s="64"/>
      <c r="F488" s="200"/>
      <c r="G488" s="200"/>
      <c r="H488" s="200"/>
      <c r="I488" s="670" t="s">
        <v>0</v>
      </c>
      <c r="J488" s="670"/>
      <c r="K488" s="670"/>
      <c r="L488" s="670"/>
      <c r="M488" s="64"/>
      <c r="N488" s="65"/>
    </row>
    <row r="489" spans="1:21">
      <c r="A489" s="62"/>
      <c r="B489" s="671" t="s">
        <v>1</v>
      </c>
      <c r="C489" s="671"/>
      <c r="D489" s="671" t="s">
        <v>2</v>
      </c>
      <c r="E489" s="671"/>
      <c r="F489" s="672" t="s">
        <v>3</v>
      </c>
      <c r="G489" s="672"/>
      <c r="H489" s="207" t="s">
        <v>3</v>
      </c>
      <c r="I489" s="78" t="s">
        <v>135</v>
      </c>
      <c r="J489" s="66"/>
      <c r="K489" s="66"/>
      <c r="L489" s="79"/>
      <c r="M489" s="671" t="s">
        <v>4</v>
      </c>
      <c r="N489" s="674"/>
    </row>
    <row r="490" spans="1:21" ht="19" thickBot="1">
      <c r="A490" s="67" t="s">
        <v>5</v>
      </c>
      <c r="B490" s="675" t="s">
        <v>6</v>
      </c>
      <c r="C490" s="675"/>
      <c r="D490" s="675" t="s">
        <v>7</v>
      </c>
      <c r="E490" s="675"/>
      <c r="F490" s="676" t="s">
        <v>7</v>
      </c>
      <c r="G490" s="676"/>
      <c r="H490" s="208" t="s">
        <v>58</v>
      </c>
      <c r="I490" s="185" t="s">
        <v>136</v>
      </c>
      <c r="J490" s="184" t="s">
        <v>8</v>
      </c>
      <c r="K490" s="184" t="s">
        <v>9</v>
      </c>
      <c r="L490" s="187" t="s">
        <v>10</v>
      </c>
      <c r="M490" s="675" t="s">
        <v>103</v>
      </c>
      <c r="N490" s="678"/>
    </row>
    <row r="491" spans="1:21" ht="24" thickBot="1">
      <c r="A491" s="60" t="s">
        <v>95</v>
      </c>
      <c r="B491" s="741"/>
      <c r="C491" s="736"/>
      <c r="D491" s="737"/>
      <c r="E491" s="738"/>
      <c r="F491" s="739"/>
      <c r="G491" s="740"/>
      <c r="H491" s="223"/>
      <c r="I491" s="166"/>
      <c r="J491" s="166"/>
      <c r="K491" s="166"/>
      <c r="L491" s="167"/>
      <c r="M491" s="741"/>
      <c r="N491" s="742"/>
    </row>
    <row r="492" spans="1:21" s="530" customFormat="1" ht="17" thickBot="1">
      <c r="A492" s="71" t="s">
        <v>48</v>
      </c>
      <c r="B492" s="663"/>
      <c r="C492" s="716"/>
      <c r="D492" s="729"/>
      <c r="E492" s="716"/>
      <c r="F492" s="717"/>
      <c r="G492" s="718"/>
      <c r="H492" s="524"/>
      <c r="I492" s="72"/>
      <c r="J492" s="72"/>
      <c r="K492" s="72"/>
      <c r="L492" s="521"/>
      <c r="M492" s="719"/>
      <c r="N492" s="689"/>
      <c r="O492" s="135"/>
      <c r="P492" s="135"/>
      <c r="Q492" s="135"/>
      <c r="R492" s="135"/>
      <c r="S492" s="135"/>
      <c r="T492" s="135"/>
      <c r="U492" s="135"/>
    </row>
    <row r="493" spans="1:21">
      <c r="A493" s="54" t="s">
        <v>28</v>
      </c>
      <c r="B493" s="694">
        <f>Ontario!N6</f>
        <v>6</v>
      </c>
      <c r="C493" s="631"/>
      <c r="D493" s="630">
        <f t="shared" ref="D493:D499" si="97">F493*325851</f>
        <v>74098.517400000012</v>
      </c>
      <c r="E493" s="631"/>
      <c r="F493" s="695">
        <f>0.0379*B493</f>
        <v>0.22740000000000002</v>
      </c>
      <c r="G493" s="696"/>
      <c r="H493" s="427">
        <f>F493*20</f>
        <v>4.548</v>
      </c>
      <c r="I493" s="96">
        <v>0</v>
      </c>
      <c r="J493" s="96">
        <f>0*B493</f>
        <v>0</v>
      </c>
      <c r="K493" s="96">
        <f>60*B493</f>
        <v>360</v>
      </c>
      <c r="L493" s="106">
        <f t="shared" ref="L493:L499" si="98">I493+J493+K493</f>
        <v>360</v>
      </c>
      <c r="M493" s="697">
        <f t="shared" ref="M493:M499" si="99">L493/(F493*427)</f>
        <v>3.7075256591671661</v>
      </c>
      <c r="N493" s="698"/>
    </row>
    <row r="494" spans="1:21">
      <c r="A494" s="54" t="s">
        <v>29</v>
      </c>
      <c r="B494" s="694">
        <f>Ontario!N7</f>
        <v>9</v>
      </c>
      <c r="C494" s="631"/>
      <c r="D494" s="630">
        <f t="shared" si="97"/>
        <v>124638.00750000001</v>
      </c>
      <c r="E494" s="631"/>
      <c r="F494" s="695">
        <f>0.0425*B494</f>
        <v>0.38250000000000001</v>
      </c>
      <c r="G494" s="696"/>
      <c r="H494" s="427">
        <f>F494*20</f>
        <v>7.65</v>
      </c>
      <c r="I494" s="96">
        <v>0</v>
      </c>
      <c r="J494" s="96">
        <f>0*B494</f>
        <v>0</v>
      </c>
      <c r="K494" s="96">
        <f>B494*165</f>
        <v>1485</v>
      </c>
      <c r="L494" s="106">
        <f t="shared" si="98"/>
        <v>1485</v>
      </c>
      <c r="M494" s="697">
        <f t="shared" si="99"/>
        <v>9.0921614547458312</v>
      </c>
      <c r="N494" s="698"/>
    </row>
    <row r="495" spans="1:21">
      <c r="A495" s="54" t="s">
        <v>33</v>
      </c>
      <c r="B495" s="694">
        <f>Ontario!N8</f>
        <v>168</v>
      </c>
      <c r="C495" s="631"/>
      <c r="D495" s="630">
        <f t="shared" si="97"/>
        <v>1510905.9168</v>
      </c>
      <c r="E495" s="631"/>
      <c r="F495" s="695">
        <f>0.0276*B495</f>
        <v>4.6368</v>
      </c>
      <c r="G495" s="696"/>
      <c r="H495" s="427">
        <f>F495*15</f>
        <v>69.552000000000007</v>
      </c>
      <c r="I495" s="96">
        <f>0*B495</f>
        <v>0</v>
      </c>
      <c r="J495" s="96">
        <f>0*B495</f>
        <v>0</v>
      </c>
      <c r="K495" s="96">
        <f>B495*110</f>
        <v>18480</v>
      </c>
      <c r="L495" s="106">
        <f t="shared" si="98"/>
        <v>18480</v>
      </c>
      <c r="M495" s="697">
        <f t="shared" si="99"/>
        <v>9.3337406238332825</v>
      </c>
      <c r="N495" s="698"/>
    </row>
    <row r="496" spans="1:21">
      <c r="A496" s="54" t="s">
        <v>56</v>
      </c>
      <c r="B496" s="694">
        <f>Ontario!N9</f>
        <v>110</v>
      </c>
      <c r="C496" s="631"/>
      <c r="D496" s="630">
        <f>F496*325851</f>
        <v>143374.44</v>
      </c>
      <c r="E496" s="631"/>
      <c r="F496" s="695">
        <f>0.004*B496</f>
        <v>0.44</v>
      </c>
      <c r="G496" s="696"/>
      <c r="H496" s="427">
        <f>F496*5</f>
        <v>2.2000000000000002</v>
      </c>
      <c r="I496" s="96">
        <f>0*B496</f>
        <v>0</v>
      </c>
      <c r="J496" s="96">
        <f>0*B496</f>
        <v>0</v>
      </c>
      <c r="K496" s="96">
        <f>B496*4</f>
        <v>440</v>
      </c>
      <c r="L496" s="106">
        <f>I496+J496+K496</f>
        <v>440</v>
      </c>
      <c r="M496" s="697">
        <f>L496/(F496*427)</f>
        <v>2.3419203747072599</v>
      </c>
      <c r="N496" s="698"/>
    </row>
    <row r="497" spans="1:21">
      <c r="A497" s="54" t="s">
        <v>30</v>
      </c>
      <c r="B497" s="694">
        <f>Ontario!N10</f>
        <v>1</v>
      </c>
      <c r="C497" s="631"/>
      <c r="D497" s="630">
        <f t="shared" si="97"/>
        <v>105901.575</v>
      </c>
      <c r="E497" s="631"/>
      <c r="F497" s="695">
        <f>0.325*B497</f>
        <v>0.32500000000000001</v>
      </c>
      <c r="G497" s="696"/>
      <c r="H497" s="427">
        <f>F497*10</f>
        <v>3.25</v>
      </c>
      <c r="I497" s="96">
        <v>0</v>
      </c>
      <c r="J497" s="96">
        <f>160*B497</f>
        <v>160</v>
      </c>
      <c r="K497" s="96">
        <f>B497*80</f>
        <v>80</v>
      </c>
      <c r="L497" s="106">
        <f t="shared" si="98"/>
        <v>240</v>
      </c>
      <c r="M497" s="697">
        <f t="shared" si="99"/>
        <v>1.7294181228607457</v>
      </c>
      <c r="N497" s="698"/>
    </row>
    <row r="498" spans="1:21">
      <c r="A498" s="53" t="s">
        <v>74</v>
      </c>
      <c r="B498" s="694">
        <f>Ontario!N11</f>
        <v>3</v>
      </c>
      <c r="C498" s="631"/>
      <c r="D498" s="630">
        <f t="shared" si="97"/>
        <v>122350.53348</v>
      </c>
      <c r="E498" s="631"/>
      <c r="F498" s="745">
        <f>0.00014*2682</f>
        <v>0.37547999999999998</v>
      </c>
      <c r="G498" s="721"/>
      <c r="H498" s="427">
        <f>F498*10</f>
        <v>3.7547999999999999</v>
      </c>
      <c r="I498" s="96">
        <v>0</v>
      </c>
      <c r="J498" s="96">
        <f>2*2682</f>
        <v>5364</v>
      </c>
      <c r="K498" s="96">
        <f>B498*0</f>
        <v>0</v>
      </c>
      <c r="L498" s="106">
        <f t="shared" si="98"/>
        <v>5364</v>
      </c>
      <c r="M498" s="697">
        <f t="shared" si="99"/>
        <v>33.456005352960858</v>
      </c>
      <c r="N498" s="698"/>
    </row>
    <row r="499" spans="1:21" ht="17" thickBot="1">
      <c r="A499" s="53" t="s">
        <v>75</v>
      </c>
      <c r="B499" s="694">
        <f>Ontario!N12</f>
        <v>5</v>
      </c>
      <c r="C499" s="631"/>
      <c r="D499" s="630">
        <f t="shared" si="97"/>
        <v>227046.45977999998</v>
      </c>
      <c r="E499" s="631"/>
      <c r="F499" s="743">
        <f>0.00014*4977</f>
        <v>0.69677999999999995</v>
      </c>
      <c r="G499" s="696"/>
      <c r="H499" s="427">
        <f>F499*10</f>
        <v>6.9677999999999995</v>
      </c>
      <c r="I499" s="96">
        <v>0</v>
      </c>
      <c r="J499" s="96">
        <f>0.3*4977</f>
        <v>1493.1</v>
      </c>
      <c r="K499" s="96">
        <f>4377*0.3</f>
        <v>1313.1</v>
      </c>
      <c r="L499" s="106">
        <f t="shared" si="98"/>
        <v>2806.2</v>
      </c>
      <c r="M499" s="697">
        <f t="shared" si="99"/>
        <v>9.431810550681007</v>
      </c>
      <c r="N499" s="698"/>
    </row>
    <row r="500" spans="1:21" s="274" customFormat="1" ht="17" thickBot="1">
      <c r="A500" s="40" t="s">
        <v>60</v>
      </c>
      <c r="B500" s="644">
        <f>SUM(B493:C499)</f>
        <v>302</v>
      </c>
      <c r="C500" s="706"/>
      <c r="D500" s="645">
        <f>SUM(D493:E499)</f>
        <v>2308315.4499599999</v>
      </c>
      <c r="E500" s="706"/>
      <c r="F500" s="707">
        <f>SUM(F493:G499)</f>
        <v>7.0839599999999994</v>
      </c>
      <c r="G500" s="708"/>
      <c r="H500" s="310">
        <f>SUM(H493:H499)</f>
        <v>97.922600000000003</v>
      </c>
      <c r="I500" s="91">
        <f>SUM(I493:I499)</f>
        <v>0</v>
      </c>
      <c r="J500" s="91">
        <f>SUM(J493:J499)</f>
        <v>7017.1</v>
      </c>
      <c r="K500" s="91">
        <f>SUM(K493:K499)</f>
        <v>22158.1</v>
      </c>
      <c r="L500" s="98">
        <f>SUM(L493:L499)</f>
        <v>29175.200000000001</v>
      </c>
      <c r="M500" s="753"/>
      <c r="N500" s="732"/>
      <c r="O500" s="613"/>
      <c r="P500" s="613"/>
      <c r="Q500" s="613"/>
      <c r="R500" s="613"/>
      <c r="S500" s="613"/>
      <c r="T500" s="613"/>
      <c r="U500" s="613"/>
    </row>
    <row r="501" spans="1:21" s="530" customFormat="1" ht="17" thickBot="1">
      <c r="A501" s="71" t="s">
        <v>105</v>
      </c>
      <c r="B501" s="663"/>
      <c r="C501" s="716"/>
      <c r="D501" s="729"/>
      <c r="E501" s="716"/>
      <c r="F501" s="687"/>
      <c r="G501" s="718"/>
      <c r="H501" s="524"/>
      <c r="I501" s="100"/>
      <c r="J501" s="100"/>
      <c r="K501" s="100"/>
      <c r="L501" s="101"/>
      <c r="M501" s="719"/>
      <c r="N501" s="689"/>
      <c r="O501" s="135"/>
      <c r="P501" s="135"/>
      <c r="Q501" s="135"/>
      <c r="R501" s="135"/>
      <c r="S501" s="135"/>
      <c r="T501" s="135"/>
      <c r="U501" s="135"/>
    </row>
    <row r="502" spans="1:21" s="259" customFormat="1" ht="14" thickBot="1">
      <c r="A502" s="53" t="s">
        <v>105</v>
      </c>
      <c r="B502" s="650">
        <f>Ontario!N15</f>
        <v>708</v>
      </c>
      <c r="C502" s="651"/>
      <c r="D502" s="652">
        <f>F502*325851</f>
        <v>8743625.0532000009</v>
      </c>
      <c r="E502" s="651"/>
      <c r="F502" s="745">
        <f>0.0379*B502</f>
        <v>26.833200000000001</v>
      </c>
      <c r="G502" s="721"/>
      <c r="H502" s="429">
        <f>F502*20</f>
        <v>536.66399999999999</v>
      </c>
      <c r="I502" s="107">
        <f>73.34*B502</f>
        <v>51924.72</v>
      </c>
      <c r="J502" s="107">
        <f>35.66*B502</f>
        <v>25247.279999999999</v>
      </c>
      <c r="K502" s="107">
        <f>B502*60</f>
        <v>42480</v>
      </c>
      <c r="L502" s="108">
        <f>I502+J502+K502</f>
        <v>119652</v>
      </c>
      <c r="M502" s="634">
        <f>L502/(F502*427)</f>
        <v>10.442863939987518</v>
      </c>
      <c r="N502" s="635"/>
    </row>
    <row r="503" spans="1:21" s="275" customFormat="1" ht="14" thickBot="1">
      <c r="A503" s="40" t="s">
        <v>60</v>
      </c>
      <c r="B503" s="644">
        <f>SUM(B502)</f>
        <v>708</v>
      </c>
      <c r="C503" s="706"/>
      <c r="D503" s="645">
        <f>SUM(D502)</f>
        <v>8743625.0532000009</v>
      </c>
      <c r="E503" s="706"/>
      <c r="F503" s="707">
        <f>SUM(F502)</f>
        <v>26.833200000000001</v>
      </c>
      <c r="G503" s="708"/>
      <c r="H503" s="310">
        <f>SUM(H502)</f>
        <v>536.66399999999999</v>
      </c>
      <c r="I503" s="91">
        <f>SUM(I502)</f>
        <v>51924.72</v>
      </c>
      <c r="J503" s="91">
        <f>SUM(J502)</f>
        <v>25247.279999999999</v>
      </c>
      <c r="K503" s="91">
        <f>SUM(K502)</f>
        <v>42480</v>
      </c>
      <c r="L503" s="98">
        <f>SUM(L502)</f>
        <v>119652</v>
      </c>
      <c r="M503" s="753"/>
      <c r="N503" s="732"/>
      <c r="O503" s="276"/>
      <c r="P503" s="276"/>
      <c r="Q503" s="276"/>
      <c r="R503" s="276"/>
      <c r="S503" s="276"/>
      <c r="T503" s="276"/>
      <c r="U503" s="276"/>
    </row>
    <row r="504" spans="1:21" s="530" customFormat="1" ht="17" thickBot="1">
      <c r="A504" s="71" t="s">
        <v>50</v>
      </c>
      <c r="B504" s="663"/>
      <c r="C504" s="716"/>
      <c r="D504" s="729"/>
      <c r="E504" s="716"/>
      <c r="F504" s="687"/>
      <c r="G504" s="718"/>
      <c r="H504" s="524"/>
      <c r="I504" s="100"/>
      <c r="J504" s="100"/>
      <c r="K504" s="100"/>
      <c r="L504" s="101"/>
      <c r="M504" s="719"/>
      <c r="N504" s="689"/>
      <c r="O504" s="135"/>
      <c r="P504" s="135"/>
      <c r="Q504" s="135"/>
      <c r="R504" s="135"/>
      <c r="S504" s="135"/>
      <c r="T504" s="135"/>
      <c r="U504" s="135"/>
    </row>
    <row r="505" spans="1:21">
      <c r="A505" s="54" t="s">
        <v>26</v>
      </c>
      <c r="B505" s="694">
        <f>Ontario!N18</f>
        <v>0</v>
      </c>
      <c r="C505" s="631"/>
      <c r="D505" s="630">
        <f t="shared" ref="D505:D513" si="100">F505*325851</f>
        <v>0</v>
      </c>
      <c r="E505" s="631"/>
      <c r="F505" s="743">
        <f>0.0379*B505</f>
        <v>0</v>
      </c>
      <c r="G505" s="696"/>
      <c r="H505" s="427">
        <f>F505*20</f>
        <v>0</v>
      </c>
      <c r="I505" s="96">
        <v>0</v>
      </c>
      <c r="J505" s="96">
        <f>35.66*B505</f>
        <v>0</v>
      </c>
      <c r="K505" s="96">
        <f>135*B505</f>
        <v>0</v>
      </c>
      <c r="L505" s="106">
        <f>SUM(I505:K505)</f>
        <v>0</v>
      </c>
      <c r="M505" s="697">
        <v>0</v>
      </c>
      <c r="N505" s="698"/>
    </row>
    <row r="506" spans="1:21">
      <c r="A506" s="54" t="s">
        <v>25</v>
      </c>
      <c r="B506" s="694">
        <f>Ontario!N19</f>
        <v>8</v>
      </c>
      <c r="C506" s="631"/>
      <c r="D506" s="630">
        <f t="shared" si="100"/>
        <v>98798.023200000011</v>
      </c>
      <c r="E506" s="631"/>
      <c r="F506" s="743">
        <f>0.0379*B506</f>
        <v>0.30320000000000003</v>
      </c>
      <c r="G506" s="696"/>
      <c r="H506" s="427">
        <f>F506*20</f>
        <v>6.0640000000000001</v>
      </c>
      <c r="I506" s="96">
        <v>0</v>
      </c>
      <c r="J506" s="96">
        <f>0*B506</f>
        <v>0</v>
      </c>
      <c r="K506" s="96">
        <f>135*B506</f>
        <v>1080</v>
      </c>
      <c r="L506" s="106">
        <f t="shared" ref="L506:L521" si="101">SUM(I506:K506)</f>
        <v>1080</v>
      </c>
      <c r="M506" s="697">
        <f t="shared" ref="M506:M511" si="102">L506/(F506*427)</f>
        <v>8.3419327331261233</v>
      </c>
      <c r="N506" s="698"/>
    </row>
    <row r="507" spans="1:21">
      <c r="A507" s="54" t="s">
        <v>29</v>
      </c>
      <c r="B507" s="694">
        <f>Ontario!N20</f>
        <v>1140</v>
      </c>
      <c r="C507" s="631"/>
      <c r="D507" s="630">
        <f t="shared" si="100"/>
        <v>15787480.950000001</v>
      </c>
      <c r="E507" s="631"/>
      <c r="F507" s="743">
        <f>0.0425*B507</f>
        <v>48.45</v>
      </c>
      <c r="G507" s="696"/>
      <c r="H507" s="427">
        <f>F507*20</f>
        <v>969</v>
      </c>
      <c r="I507" s="96">
        <v>0</v>
      </c>
      <c r="J507" s="96">
        <f>135*B507</f>
        <v>153900</v>
      </c>
      <c r="K507" s="96">
        <f>165*B507</f>
        <v>188100</v>
      </c>
      <c r="L507" s="106">
        <f t="shared" si="101"/>
        <v>342000</v>
      </c>
      <c r="M507" s="697">
        <f t="shared" si="102"/>
        <v>16.531202644992423</v>
      </c>
      <c r="N507" s="698"/>
    </row>
    <row r="508" spans="1:21">
      <c r="A508" s="54" t="s">
        <v>51</v>
      </c>
      <c r="B508" s="694">
        <f>Ontario!N21</f>
        <v>262</v>
      </c>
      <c r="C508" s="631"/>
      <c r="D508" s="630">
        <f t="shared" si="100"/>
        <v>2356293.7512000003</v>
      </c>
      <c r="E508" s="631"/>
      <c r="F508" s="743">
        <f>0.0276*B508</f>
        <v>7.2312000000000003</v>
      </c>
      <c r="G508" s="696"/>
      <c r="H508" s="427">
        <f>F508*15</f>
        <v>108.468</v>
      </c>
      <c r="I508" s="96">
        <v>0</v>
      </c>
      <c r="J508" s="96">
        <f>0*B508</f>
        <v>0</v>
      </c>
      <c r="K508" s="96">
        <f>400*B508</f>
        <v>104800</v>
      </c>
      <c r="L508" s="106">
        <f t="shared" si="101"/>
        <v>104800</v>
      </c>
      <c r="M508" s="697">
        <f t="shared" si="102"/>
        <v>33.94087499575739</v>
      </c>
      <c r="N508" s="698"/>
    </row>
    <row r="509" spans="1:21">
      <c r="A509" s="54" t="s">
        <v>20</v>
      </c>
      <c r="B509" s="694">
        <f>Ontario!N22</f>
        <v>9</v>
      </c>
      <c r="C509" s="631"/>
      <c r="D509" s="630">
        <f t="shared" si="100"/>
        <v>1888632.3960000002</v>
      </c>
      <c r="E509" s="631"/>
      <c r="F509" s="743">
        <f>0.644*B509</f>
        <v>5.7960000000000003</v>
      </c>
      <c r="G509" s="696"/>
      <c r="H509" s="427">
        <f>F509*5</f>
        <v>28.98</v>
      </c>
      <c r="I509" s="96">
        <v>0</v>
      </c>
      <c r="J509" s="96">
        <f>175*B509</f>
        <v>1575</v>
      </c>
      <c r="K509" s="96">
        <f>625*B509</f>
        <v>5625</v>
      </c>
      <c r="L509" s="106">
        <f t="shared" si="101"/>
        <v>7200</v>
      </c>
      <c r="M509" s="697">
        <f t="shared" si="102"/>
        <v>2.9092178567792044</v>
      </c>
      <c r="N509" s="698"/>
    </row>
    <row r="510" spans="1:21">
      <c r="A510" s="54" t="s">
        <v>13</v>
      </c>
      <c r="B510" s="694">
        <f>Ontario!N23</f>
        <v>5</v>
      </c>
      <c r="C510" s="631"/>
      <c r="D510" s="630">
        <f t="shared" si="100"/>
        <v>44967.438000000002</v>
      </c>
      <c r="E510" s="631"/>
      <c r="F510" s="743">
        <f>0.0276*B510</f>
        <v>0.13800000000000001</v>
      </c>
      <c r="G510" s="696"/>
      <c r="H510" s="427">
        <f>F510*15</f>
        <v>2.0700000000000003</v>
      </c>
      <c r="I510" s="96">
        <v>0</v>
      </c>
      <c r="J510" s="96">
        <f>290*B510</f>
        <v>1450</v>
      </c>
      <c r="K510" s="96">
        <f>130*B510</f>
        <v>650</v>
      </c>
      <c r="L510" s="106">
        <f t="shared" si="101"/>
        <v>2100</v>
      </c>
      <c r="M510" s="697">
        <f t="shared" si="102"/>
        <v>35.637918745545257</v>
      </c>
      <c r="N510" s="698"/>
    </row>
    <row r="511" spans="1:21">
      <c r="A511" s="53" t="s">
        <v>47</v>
      </c>
      <c r="B511" s="694">
        <f>Ontario!N24</f>
        <v>1</v>
      </c>
      <c r="C511" s="631"/>
      <c r="D511" s="630">
        <f t="shared" si="100"/>
        <v>49985.543400000002</v>
      </c>
      <c r="E511" s="631"/>
      <c r="F511" s="743">
        <f>0.1534*B511</f>
        <v>0.15340000000000001</v>
      </c>
      <c r="G511" s="696"/>
      <c r="H511" s="427">
        <f>F511*5</f>
        <v>0.76700000000000002</v>
      </c>
      <c r="I511" s="96">
        <v>0</v>
      </c>
      <c r="J511" s="96">
        <f>0*B511</f>
        <v>0</v>
      </c>
      <c r="K511" s="96">
        <f>150*B511</f>
        <v>150</v>
      </c>
      <c r="L511" s="106">
        <f t="shared" si="101"/>
        <v>150</v>
      </c>
      <c r="M511" s="697">
        <f t="shared" si="102"/>
        <v>2.2900134042117926</v>
      </c>
      <c r="N511" s="698"/>
    </row>
    <row r="512" spans="1:21">
      <c r="A512" s="53" t="s">
        <v>30</v>
      </c>
      <c r="B512" s="694">
        <f>Ontario!N26</f>
        <v>0</v>
      </c>
      <c r="C512" s="631"/>
      <c r="D512" s="630">
        <f t="shared" si="100"/>
        <v>0</v>
      </c>
      <c r="E512" s="631"/>
      <c r="F512" s="743">
        <f>0.325*B512</f>
        <v>0</v>
      </c>
      <c r="G512" s="696"/>
      <c r="H512" s="427">
        <f>F512*10</f>
        <v>0</v>
      </c>
      <c r="I512" s="96">
        <v>0</v>
      </c>
      <c r="J512" s="96">
        <f>0*B512</f>
        <v>0</v>
      </c>
      <c r="K512" s="96">
        <f>630*B512</f>
        <v>0</v>
      </c>
      <c r="L512" s="106">
        <f t="shared" si="101"/>
        <v>0</v>
      </c>
      <c r="M512" s="697">
        <v>0</v>
      </c>
      <c r="N512" s="698"/>
    </row>
    <row r="513" spans="1:21">
      <c r="A513" s="53" t="s">
        <v>53</v>
      </c>
      <c r="B513" s="694">
        <f>Ontario!N29</f>
        <v>0</v>
      </c>
      <c r="C513" s="631"/>
      <c r="D513" s="630">
        <f t="shared" si="100"/>
        <v>0</v>
      </c>
      <c r="E513" s="631"/>
      <c r="F513" s="743">
        <f>0.00014*B513</f>
        <v>0</v>
      </c>
      <c r="G513" s="696"/>
      <c r="H513" s="427">
        <f>F513*10</f>
        <v>0</v>
      </c>
      <c r="I513" s="96">
        <v>0</v>
      </c>
      <c r="J513" s="96">
        <f>0.3*B513</f>
        <v>0</v>
      </c>
      <c r="K513" s="96">
        <f>0.3*B513</f>
        <v>0</v>
      </c>
      <c r="L513" s="106">
        <f t="shared" si="101"/>
        <v>0</v>
      </c>
      <c r="M513" s="697">
        <v>0</v>
      </c>
      <c r="N513" s="698"/>
    </row>
    <row r="514" spans="1:21" ht="17" thickBot="1">
      <c r="A514" s="53" t="s">
        <v>56</v>
      </c>
      <c r="B514" s="694">
        <f>Ontario!N30</f>
        <v>0</v>
      </c>
      <c r="C514" s="631"/>
      <c r="D514" s="630">
        <f>F514*325851</f>
        <v>0</v>
      </c>
      <c r="E514" s="631"/>
      <c r="F514" s="787">
        <f>0.004*B514</f>
        <v>0</v>
      </c>
      <c r="G514" s="788"/>
      <c r="H514" s="427">
        <f>F514*5</f>
        <v>0</v>
      </c>
      <c r="I514" s="96">
        <v>0</v>
      </c>
      <c r="J514" s="96">
        <f>0*B514</f>
        <v>0</v>
      </c>
      <c r="K514" s="96">
        <f>4*B514</f>
        <v>0</v>
      </c>
      <c r="L514" s="106">
        <f t="shared" si="101"/>
        <v>0</v>
      </c>
      <c r="M514" s="697">
        <v>0</v>
      </c>
      <c r="N514" s="698"/>
    </row>
    <row r="515" spans="1:21" s="274" customFormat="1" ht="17" thickBot="1">
      <c r="A515" s="40" t="s">
        <v>60</v>
      </c>
      <c r="B515" s="644">
        <f>SUM(B505:C514)</f>
        <v>1425</v>
      </c>
      <c r="C515" s="706"/>
      <c r="D515" s="645">
        <f>SUM(D505:E514)</f>
        <v>20226158.101800006</v>
      </c>
      <c r="E515" s="643"/>
      <c r="F515" s="707">
        <f>SUM(F505:G514)</f>
        <v>62.071799999999996</v>
      </c>
      <c r="G515" s="707"/>
      <c r="H515" s="217">
        <f>SUM(H505:H514)</f>
        <v>1115.3489999999999</v>
      </c>
      <c r="I515" s="91">
        <f>SUM(I505:I514)</f>
        <v>0</v>
      </c>
      <c r="J515" s="91">
        <f>SUM(J505:J514)</f>
        <v>156925</v>
      </c>
      <c r="K515" s="91">
        <f>SUM(K505:K514)</f>
        <v>300405</v>
      </c>
      <c r="L515" s="91">
        <f>SUM(L505:L514)</f>
        <v>457330</v>
      </c>
      <c r="M515" s="753"/>
      <c r="N515" s="732"/>
      <c r="O515" s="613"/>
      <c r="P515" s="613"/>
      <c r="Q515" s="613"/>
      <c r="R515" s="613"/>
      <c r="S515" s="613"/>
      <c r="T515" s="613"/>
      <c r="U515" s="613"/>
    </row>
    <row r="516" spans="1:21" s="530" customFormat="1" ht="17" thickBot="1">
      <c r="A516" s="71" t="s">
        <v>54</v>
      </c>
      <c r="B516" s="663"/>
      <c r="C516" s="716"/>
      <c r="D516" s="729"/>
      <c r="E516" s="716"/>
      <c r="F516" s="687"/>
      <c r="G516" s="718"/>
      <c r="H516" s="524"/>
      <c r="I516" s="100"/>
      <c r="J516" s="100"/>
      <c r="K516" s="100"/>
      <c r="L516" s="101"/>
      <c r="M516" s="719"/>
      <c r="N516" s="689"/>
      <c r="O516" s="135"/>
      <c r="P516" s="135"/>
      <c r="Q516" s="135"/>
      <c r="R516" s="135"/>
      <c r="S516" s="135"/>
      <c r="T516" s="135"/>
      <c r="U516" s="135"/>
    </row>
    <row r="517" spans="1:21">
      <c r="A517" s="260" t="s">
        <v>29</v>
      </c>
      <c r="B517" s="769">
        <f>Ontario!N30</f>
        <v>0</v>
      </c>
      <c r="C517" s="770"/>
      <c r="D517" s="630">
        <f>F517*325851</f>
        <v>0</v>
      </c>
      <c r="E517" s="631"/>
      <c r="F517" s="743">
        <f>0.0425*B517</f>
        <v>0</v>
      </c>
      <c r="G517" s="696"/>
      <c r="H517" s="427">
        <f>F517*20</f>
        <v>0</v>
      </c>
      <c r="I517" s="96">
        <v>0</v>
      </c>
      <c r="J517" s="96">
        <f>35.66*B517</f>
        <v>0</v>
      </c>
      <c r="K517" s="96">
        <f>630*B517</f>
        <v>0</v>
      </c>
      <c r="L517" s="106">
        <f t="shared" si="101"/>
        <v>0</v>
      </c>
      <c r="M517" s="697">
        <v>0</v>
      </c>
      <c r="N517" s="698"/>
    </row>
    <row r="518" spans="1:21">
      <c r="A518" s="54" t="s">
        <v>51</v>
      </c>
      <c r="B518" s="694">
        <f>Ontario!N31</f>
        <v>5</v>
      </c>
      <c r="C518" s="766"/>
      <c r="D518" s="630">
        <f>F518*325851</f>
        <v>199909.58850000001</v>
      </c>
      <c r="E518" s="631"/>
      <c r="F518" s="743">
        <f>0.1227*B518</f>
        <v>0.61350000000000005</v>
      </c>
      <c r="G518" s="696"/>
      <c r="H518" s="427">
        <f>F518*20</f>
        <v>12.270000000000001</v>
      </c>
      <c r="I518" s="96">
        <v>0</v>
      </c>
      <c r="J518" s="96">
        <f>0*B518</f>
        <v>0</v>
      </c>
      <c r="K518" s="96">
        <f>1225*B518</f>
        <v>6125</v>
      </c>
      <c r="L518" s="106">
        <f t="shared" si="101"/>
        <v>6125</v>
      </c>
      <c r="M518" s="697">
        <f>L518/(F518*427)</f>
        <v>23.381030635830424</v>
      </c>
      <c r="N518" s="698"/>
    </row>
    <row r="519" spans="1:21">
      <c r="A519" s="54" t="s">
        <v>15</v>
      </c>
      <c r="B519" s="694">
        <f>Ontario!N32</f>
        <v>7</v>
      </c>
      <c r="C519" s="766"/>
      <c r="D519" s="630">
        <f>F519*325851</f>
        <v>349898.80380000005</v>
      </c>
      <c r="E519" s="631"/>
      <c r="F519" s="743">
        <f>0.1534*B519</f>
        <v>1.0738000000000001</v>
      </c>
      <c r="G519" s="696"/>
      <c r="H519" s="427">
        <f>F519*5</f>
        <v>5.3690000000000007</v>
      </c>
      <c r="I519" s="96">
        <v>0</v>
      </c>
      <c r="J519" s="96">
        <f>0*B519</f>
        <v>0</v>
      </c>
      <c r="K519" s="96">
        <f>380*B519</f>
        <v>2660</v>
      </c>
      <c r="L519" s="106">
        <f t="shared" si="101"/>
        <v>2660</v>
      </c>
      <c r="M519" s="697">
        <f>L519/(F519*427)</f>
        <v>5.8013672906698748</v>
      </c>
      <c r="N519" s="698"/>
    </row>
    <row r="520" spans="1:21">
      <c r="A520" s="54" t="s">
        <v>30</v>
      </c>
      <c r="B520" s="694">
        <f>Ontario!N33</f>
        <v>0</v>
      </c>
      <c r="C520" s="766"/>
      <c r="D520" s="630">
        <f>F520*325851</f>
        <v>0</v>
      </c>
      <c r="E520" s="631"/>
      <c r="F520" s="743">
        <f>0.466*B520</f>
        <v>0</v>
      </c>
      <c r="G520" s="696"/>
      <c r="H520" s="427">
        <f>F520*10</f>
        <v>0</v>
      </c>
      <c r="I520" s="96">
        <v>0</v>
      </c>
      <c r="J520" s="96">
        <f>0*B520</f>
        <v>0</v>
      </c>
      <c r="K520" s="96">
        <f>1004*B520</f>
        <v>0</v>
      </c>
      <c r="L520" s="106">
        <f t="shared" si="101"/>
        <v>0</v>
      </c>
      <c r="M520" s="697">
        <v>0</v>
      </c>
      <c r="N520" s="698"/>
    </row>
    <row r="521" spans="1:21" ht="17" thickBot="1">
      <c r="A521" s="54" t="s">
        <v>55</v>
      </c>
      <c r="B521" s="694">
        <f>Ontario!N34</f>
        <v>0</v>
      </c>
      <c r="C521" s="766"/>
      <c r="D521" s="630">
        <f>F521*325851</f>
        <v>0</v>
      </c>
      <c r="E521" s="631"/>
      <c r="F521" s="745">
        <f>0.823*B521</f>
        <v>0</v>
      </c>
      <c r="G521" s="721"/>
      <c r="H521" s="427">
        <f>F521*10</f>
        <v>0</v>
      </c>
      <c r="I521" s="96">
        <v>0</v>
      </c>
      <c r="J521" s="96">
        <f>0*B521</f>
        <v>0</v>
      </c>
      <c r="K521" s="96">
        <f>3124*B521</f>
        <v>0</v>
      </c>
      <c r="L521" s="106">
        <f t="shared" si="101"/>
        <v>0</v>
      </c>
      <c r="M521" s="697">
        <v>0</v>
      </c>
      <c r="N521" s="698"/>
    </row>
    <row r="522" spans="1:21" s="274" customFormat="1" ht="17" thickBot="1">
      <c r="A522" s="40" t="s">
        <v>60</v>
      </c>
      <c r="B522" s="644">
        <f>SUM(B517:C521)</f>
        <v>12</v>
      </c>
      <c r="C522" s="706"/>
      <c r="D522" s="645">
        <f>SUM(D517:E521)</f>
        <v>549808.39230000007</v>
      </c>
      <c r="E522" s="643"/>
      <c r="F522" s="707">
        <f>SUM(F517:G521)</f>
        <v>1.6873</v>
      </c>
      <c r="G522" s="708"/>
      <c r="H522" s="231">
        <f>SUM(H517:H521)</f>
        <v>17.639000000000003</v>
      </c>
      <c r="I522" s="91">
        <f>SUM(I517:I521)</f>
        <v>0</v>
      </c>
      <c r="J522" s="91">
        <f>SUM(J517:J521)</f>
        <v>0</v>
      </c>
      <c r="K522" s="91">
        <f>SUM(K517:K521)</f>
        <v>8785</v>
      </c>
      <c r="L522" s="98">
        <f>SUM(L517:L521)</f>
        <v>8785</v>
      </c>
      <c r="M522" s="753"/>
      <c r="N522" s="732"/>
      <c r="O522" s="613"/>
      <c r="P522" s="613"/>
      <c r="Q522" s="613"/>
      <c r="R522" s="613"/>
      <c r="S522" s="613"/>
      <c r="T522" s="613"/>
      <c r="U522" s="613"/>
    </row>
    <row r="523" spans="1:21" s="530" customFormat="1" ht="17" thickBot="1">
      <c r="A523" s="71" t="s">
        <v>17</v>
      </c>
      <c r="B523" s="711">
        <f>SUM(B522,B500,B503,B515)</f>
        <v>2447</v>
      </c>
      <c r="C523" s="622"/>
      <c r="D523" s="623">
        <f>SUM(D522,D515,D503,D500)</f>
        <v>31827906.997260004</v>
      </c>
      <c r="E523" s="622"/>
      <c r="F523" s="773">
        <f>SUM(F522,F500,F503,F515)</f>
        <v>97.676259999999999</v>
      </c>
      <c r="G523" s="713"/>
      <c r="H523" s="532">
        <f>(H522+H515+H503+H500)</f>
        <v>1767.5745999999999</v>
      </c>
      <c r="I523" s="536">
        <f>SUM(I522,I500,I503,I515)</f>
        <v>51924.72</v>
      </c>
      <c r="J523" s="536">
        <f>SUM(J522,J500,J503,J515)</f>
        <v>189189.38</v>
      </c>
      <c r="K523" s="536">
        <f>SUM(K522,K500,K503,K515)</f>
        <v>373828.1</v>
      </c>
      <c r="L523" s="570">
        <f>SUM(L522,L500,L503,L515)</f>
        <v>614942.19999999995</v>
      </c>
      <c r="M523" s="714"/>
      <c r="N523" s="774"/>
      <c r="O523" s="135"/>
      <c r="P523" s="135"/>
      <c r="Q523" s="135"/>
      <c r="R523" s="135"/>
      <c r="S523" s="135"/>
      <c r="T523" s="135"/>
      <c r="U523" s="135"/>
    </row>
    <row r="524" spans="1:21" s="168" customFormat="1">
      <c r="A524" s="45"/>
      <c r="B524" s="46"/>
      <c r="C524" s="46"/>
      <c r="D524" s="46"/>
      <c r="E524" s="46"/>
      <c r="F524" s="210"/>
      <c r="G524" s="210"/>
      <c r="H524" s="210"/>
      <c r="I524" s="47"/>
      <c r="J524" s="47"/>
      <c r="K524" s="47"/>
      <c r="L524" s="47"/>
      <c r="M524" s="48"/>
      <c r="N524" s="49"/>
      <c r="O524" s="135"/>
      <c r="P524" s="135"/>
      <c r="Q524" s="135"/>
      <c r="R524" s="135"/>
      <c r="S524" s="135"/>
      <c r="T524" s="135"/>
      <c r="U524" s="135"/>
    </row>
    <row r="525" spans="1:21" ht="18">
      <c r="A525" s="171" t="s">
        <v>167</v>
      </c>
      <c r="B525" s="690" t="s">
        <v>59</v>
      </c>
      <c r="C525" s="690"/>
      <c r="D525" s="690"/>
      <c r="E525" s="690"/>
      <c r="F525" s="210"/>
      <c r="G525" s="210"/>
      <c r="H525" s="210"/>
      <c r="I525" s="47"/>
      <c r="J525" s="47"/>
      <c r="K525" s="47"/>
      <c r="L525" s="47"/>
      <c r="M525" s="48"/>
      <c r="N525" s="49"/>
    </row>
    <row r="526" spans="1:21">
      <c r="A526" s="168"/>
      <c r="B526" s="692" t="s">
        <v>19</v>
      </c>
      <c r="C526" s="692"/>
      <c r="D526" s="692"/>
      <c r="E526" s="692"/>
      <c r="F526" s="210"/>
      <c r="G526" s="210"/>
      <c r="H526" s="210"/>
      <c r="I526" s="47"/>
      <c r="J526" s="47"/>
      <c r="K526" s="47"/>
      <c r="L526" s="47"/>
      <c r="M526" s="48"/>
      <c r="N526" s="49"/>
    </row>
    <row r="527" spans="1:21" ht="17" thickBot="1">
      <c r="A527" s="441"/>
      <c r="B527" s="286"/>
      <c r="C527" s="286"/>
      <c r="D527" s="286"/>
      <c r="E527" s="286"/>
      <c r="F527" s="210"/>
      <c r="G527" s="210"/>
      <c r="H527" s="210"/>
      <c r="I527" s="47"/>
      <c r="J527" s="47"/>
      <c r="K527" s="47"/>
      <c r="L527" s="47"/>
      <c r="M527" s="48"/>
      <c r="N527" s="49"/>
    </row>
    <row r="528" spans="1:21">
      <c r="A528" s="63"/>
      <c r="B528" s="64"/>
      <c r="C528" s="64"/>
      <c r="D528" s="64"/>
      <c r="E528" s="64"/>
      <c r="F528" s="200"/>
      <c r="G528" s="200"/>
      <c r="H528" s="200"/>
      <c r="I528" s="670" t="s">
        <v>0</v>
      </c>
      <c r="J528" s="670"/>
      <c r="K528" s="670"/>
      <c r="L528" s="670"/>
      <c r="M528" s="64"/>
      <c r="N528" s="65"/>
    </row>
    <row r="529" spans="1:21">
      <c r="A529" s="62"/>
      <c r="B529" s="671" t="s">
        <v>1</v>
      </c>
      <c r="C529" s="671"/>
      <c r="D529" s="671" t="s">
        <v>2</v>
      </c>
      <c r="E529" s="671"/>
      <c r="F529" s="672" t="s">
        <v>3</v>
      </c>
      <c r="G529" s="672"/>
      <c r="H529" s="207" t="s">
        <v>3</v>
      </c>
      <c r="I529" s="78" t="s">
        <v>135</v>
      </c>
      <c r="J529" s="66"/>
      <c r="K529" s="66"/>
      <c r="L529" s="79"/>
      <c r="M529" s="671" t="s">
        <v>4</v>
      </c>
      <c r="N529" s="674"/>
    </row>
    <row r="530" spans="1:21" ht="19" thickBot="1">
      <c r="A530" s="67" t="s">
        <v>5</v>
      </c>
      <c r="B530" s="675" t="s">
        <v>6</v>
      </c>
      <c r="C530" s="675"/>
      <c r="D530" s="675" t="s">
        <v>7</v>
      </c>
      <c r="E530" s="675"/>
      <c r="F530" s="676" t="s">
        <v>7</v>
      </c>
      <c r="G530" s="676"/>
      <c r="H530" s="208" t="s">
        <v>58</v>
      </c>
      <c r="I530" s="185" t="s">
        <v>136</v>
      </c>
      <c r="J530" s="184" t="s">
        <v>8</v>
      </c>
      <c r="K530" s="184" t="s">
        <v>9</v>
      </c>
      <c r="L530" s="187" t="s">
        <v>10</v>
      </c>
      <c r="M530" s="675" t="s">
        <v>103</v>
      </c>
      <c r="N530" s="678"/>
    </row>
    <row r="531" spans="1:21" ht="24" thickBot="1">
      <c r="A531" s="60" t="s">
        <v>96</v>
      </c>
      <c r="B531" s="779"/>
      <c r="C531" s="780"/>
      <c r="D531" s="781"/>
      <c r="E531" s="782"/>
      <c r="F531" s="783"/>
      <c r="G531" s="784"/>
      <c r="H531" s="225"/>
      <c r="I531" s="172"/>
      <c r="J531" s="172"/>
      <c r="K531" s="172"/>
      <c r="L531" s="173"/>
      <c r="M531" s="785"/>
      <c r="N531" s="786"/>
    </row>
    <row r="532" spans="1:21" s="530" customFormat="1" ht="17" thickBot="1">
      <c r="A532" s="71" t="s">
        <v>48</v>
      </c>
      <c r="B532" s="663"/>
      <c r="C532" s="716"/>
      <c r="D532" s="729"/>
      <c r="E532" s="716"/>
      <c r="F532" s="717"/>
      <c r="G532" s="718"/>
      <c r="H532" s="524"/>
      <c r="I532" s="72"/>
      <c r="J532" s="72"/>
      <c r="K532" s="72"/>
      <c r="L532" s="521"/>
      <c r="M532" s="719"/>
      <c r="N532" s="689"/>
      <c r="O532" s="135"/>
      <c r="P532" s="135"/>
      <c r="Q532" s="135"/>
      <c r="R532" s="135"/>
      <c r="S532" s="135"/>
      <c r="T532" s="135"/>
      <c r="U532" s="135"/>
    </row>
    <row r="533" spans="1:21">
      <c r="A533" s="54" t="s">
        <v>28</v>
      </c>
      <c r="B533" s="694">
        <f>[1]Ontario!$N$4</f>
        <v>16</v>
      </c>
      <c r="C533" s="631"/>
      <c r="D533" s="630">
        <f>F533*325851</f>
        <v>180912.47520000002</v>
      </c>
      <c r="E533" s="631"/>
      <c r="F533" s="695">
        <f>0.0347*B533</f>
        <v>0.55520000000000003</v>
      </c>
      <c r="G533" s="696"/>
      <c r="H533" s="427">
        <f>F533*20</f>
        <v>11.104000000000001</v>
      </c>
      <c r="I533" s="96">
        <v>0</v>
      </c>
      <c r="J533" s="96">
        <v>0</v>
      </c>
      <c r="K533" s="96">
        <f>60*B533</f>
        <v>960</v>
      </c>
      <c r="L533" s="106">
        <f t="shared" ref="L533:L538" si="103">I533+J533+K533</f>
        <v>960</v>
      </c>
      <c r="M533" s="697">
        <f>L533/(F533*427)</f>
        <v>4.0494300427214869</v>
      </c>
      <c r="N533" s="698"/>
    </row>
    <row r="534" spans="1:21">
      <c r="A534" s="54" t="s">
        <v>29</v>
      </c>
      <c r="B534" s="694">
        <f>[1]Ontario!$N$5</f>
        <v>3</v>
      </c>
      <c r="C534" s="631"/>
      <c r="D534" s="630">
        <f t="shared" ref="D534:D551" si="104">F534*325851</f>
        <v>41546.002500000002</v>
      </c>
      <c r="E534" s="631"/>
      <c r="F534" s="695">
        <f>0.0425*B534</f>
        <v>0.1275</v>
      </c>
      <c r="G534" s="696"/>
      <c r="H534" s="427">
        <f>F534*20</f>
        <v>2.5499999999999998</v>
      </c>
      <c r="I534" s="96">
        <v>0</v>
      </c>
      <c r="J534" s="96">
        <v>0</v>
      </c>
      <c r="K534" s="96">
        <f>B534*265</f>
        <v>795</v>
      </c>
      <c r="L534" s="106">
        <f t="shared" si="103"/>
        <v>795</v>
      </c>
      <c r="M534" s="697">
        <f>L534/(F534*427)</f>
        <v>14.602562336409973</v>
      </c>
      <c r="N534" s="698"/>
    </row>
    <row r="535" spans="1:21">
      <c r="A535" s="54" t="s">
        <v>33</v>
      </c>
      <c r="B535" s="694">
        <f>[1]Ontario!$N$7</f>
        <v>177</v>
      </c>
      <c r="C535" s="631"/>
      <c r="D535" s="630">
        <f t="shared" si="104"/>
        <v>4879358.0442000004</v>
      </c>
      <c r="E535" s="631"/>
      <c r="F535" s="695">
        <f>0.0846*B535</f>
        <v>14.9742</v>
      </c>
      <c r="G535" s="696"/>
      <c r="H535" s="427">
        <f>F535*15</f>
        <v>224.613</v>
      </c>
      <c r="I535" s="96">
        <v>0</v>
      </c>
      <c r="J535" s="96">
        <v>0</v>
      </c>
      <c r="K535" s="96">
        <f>B535*110</f>
        <v>19470</v>
      </c>
      <c r="L535" s="106">
        <f t="shared" si="103"/>
        <v>19470</v>
      </c>
      <c r="M535" s="697">
        <f>L535/(F535*427)</f>
        <v>3.0450501325980923</v>
      </c>
      <c r="N535" s="698"/>
    </row>
    <row r="536" spans="1:21">
      <c r="A536" s="53" t="s">
        <v>24</v>
      </c>
      <c r="B536" s="694">
        <f>[1]Ontario!$N$8</f>
        <v>0</v>
      </c>
      <c r="C536" s="631"/>
      <c r="D536" s="630">
        <f t="shared" si="104"/>
        <v>0</v>
      </c>
      <c r="E536" s="631"/>
      <c r="F536" s="743">
        <f>0.004*B536</f>
        <v>0</v>
      </c>
      <c r="G536" s="696"/>
      <c r="H536" s="427">
        <f>F536*5</f>
        <v>0</v>
      </c>
      <c r="I536" s="96">
        <v>0</v>
      </c>
      <c r="J536" s="96">
        <v>0</v>
      </c>
      <c r="K536" s="96">
        <f>B536*4</f>
        <v>0</v>
      </c>
      <c r="L536" s="106">
        <f t="shared" si="103"/>
        <v>0</v>
      </c>
      <c r="M536" s="697">
        <v>0</v>
      </c>
      <c r="N536" s="698"/>
    </row>
    <row r="537" spans="1:21">
      <c r="A537" s="53" t="s">
        <v>72</v>
      </c>
      <c r="B537" s="694">
        <f>[1]Ontario!$N$10</f>
        <v>9</v>
      </c>
      <c r="C537" s="631"/>
      <c r="D537" s="630">
        <f t="shared" si="104"/>
        <v>1906228.35</v>
      </c>
      <c r="E537" s="631"/>
      <c r="F537" s="743">
        <f>0.65*B537</f>
        <v>5.8500000000000005</v>
      </c>
      <c r="G537" s="696"/>
      <c r="H537" s="427">
        <f>F537*10</f>
        <v>58.500000000000007</v>
      </c>
      <c r="I537" s="96">
        <v>0</v>
      </c>
      <c r="J537" s="96">
        <f>160*B537</f>
        <v>1440</v>
      </c>
      <c r="K537" s="96">
        <f>80*B537</f>
        <v>720</v>
      </c>
      <c r="L537" s="106">
        <f t="shared" si="103"/>
        <v>2160</v>
      </c>
      <c r="M537" s="697">
        <f>L537/(F537*427)</f>
        <v>0.86470906143037285</v>
      </c>
      <c r="N537" s="698"/>
    </row>
    <row r="538" spans="1:21" ht="17" thickBot="1">
      <c r="A538" s="53" t="s">
        <v>73</v>
      </c>
      <c r="B538" s="694">
        <f>[1]Ontario!$N$11</f>
        <v>10</v>
      </c>
      <c r="C538" s="631"/>
      <c r="D538" s="630">
        <f t="shared" si="104"/>
        <v>2118031.5</v>
      </c>
      <c r="E538" s="631"/>
      <c r="F538" s="743">
        <f>0.65*B538</f>
        <v>6.5</v>
      </c>
      <c r="G538" s="696"/>
      <c r="H538" s="427">
        <f>F538*10</f>
        <v>65</v>
      </c>
      <c r="I538" s="96">
        <v>0</v>
      </c>
      <c r="J538" s="96">
        <v>0</v>
      </c>
      <c r="K538" s="96">
        <f>240*B538</f>
        <v>2400</v>
      </c>
      <c r="L538" s="106">
        <f t="shared" si="103"/>
        <v>2400</v>
      </c>
      <c r="M538" s="697">
        <f>L538/(F538*427)</f>
        <v>0.86470906143037296</v>
      </c>
      <c r="N538" s="698"/>
    </row>
    <row r="539" spans="1:21" s="274" customFormat="1" ht="17" thickBot="1">
      <c r="A539" s="40" t="s">
        <v>60</v>
      </c>
      <c r="B539" s="644">
        <f>SUM(B533:C538)</f>
        <v>215</v>
      </c>
      <c r="C539" s="706"/>
      <c r="D539" s="645">
        <f>SUM(D533:E538)</f>
        <v>9126076.3718999997</v>
      </c>
      <c r="E539" s="706"/>
      <c r="F539" s="707">
        <f>SUM(F533:G538)</f>
        <v>28.006900000000002</v>
      </c>
      <c r="G539" s="708"/>
      <c r="H539" s="310">
        <f>SUM(H533:H538)</f>
        <v>361.767</v>
      </c>
      <c r="I539" s="91">
        <f>SUM(I533:I538)</f>
        <v>0</v>
      </c>
      <c r="J539" s="91">
        <f>SUM(J533:J538)</f>
        <v>1440</v>
      </c>
      <c r="K539" s="91">
        <f>SUM(K533:K538)</f>
        <v>24345</v>
      </c>
      <c r="L539" s="98">
        <f>SUM(L533:L538)</f>
        <v>25785</v>
      </c>
      <c r="M539" s="753"/>
      <c r="N539" s="732"/>
      <c r="O539" s="613"/>
      <c r="P539" s="613"/>
      <c r="Q539" s="613"/>
      <c r="R539" s="613"/>
      <c r="S539" s="613"/>
      <c r="T539" s="613"/>
      <c r="U539" s="613"/>
    </row>
    <row r="540" spans="1:21" s="530" customFormat="1" ht="17" thickBot="1">
      <c r="A540" s="71" t="s">
        <v>105</v>
      </c>
      <c r="B540" s="775"/>
      <c r="C540" s="776"/>
      <c r="D540" s="777"/>
      <c r="E540" s="776"/>
      <c r="F540" s="771"/>
      <c r="G540" s="772"/>
      <c r="H540" s="571"/>
      <c r="I540" s="572"/>
      <c r="J540" s="572"/>
      <c r="K540" s="572"/>
      <c r="L540" s="573"/>
      <c r="M540" s="755"/>
      <c r="N540" s="756"/>
      <c r="O540" s="135"/>
      <c r="P540" s="135"/>
      <c r="Q540" s="135"/>
      <c r="R540" s="135"/>
      <c r="S540" s="135"/>
      <c r="T540" s="135"/>
      <c r="U540" s="135"/>
    </row>
    <row r="541" spans="1:21" ht="17" thickBot="1">
      <c r="A541" s="54" t="s">
        <v>31</v>
      </c>
      <c r="B541" s="694">
        <f>[1]Ontario!$N$6</f>
        <v>950</v>
      </c>
      <c r="C541" s="631"/>
      <c r="D541" s="630">
        <f>F541*325851</f>
        <v>10741678.215000002</v>
      </c>
      <c r="E541" s="631"/>
      <c r="F541" s="743">
        <f>0.0347*B541</f>
        <v>32.965000000000003</v>
      </c>
      <c r="G541" s="696"/>
      <c r="H541" s="427">
        <f>F541*20</f>
        <v>659.30000000000007</v>
      </c>
      <c r="I541" s="96">
        <f>73.34*B541</f>
        <v>69673</v>
      </c>
      <c r="J541" s="96">
        <f>35.66*B541</f>
        <v>33877</v>
      </c>
      <c r="K541" s="96">
        <f>B541*60</f>
        <v>57000</v>
      </c>
      <c r="L541" s="106">
        <f>I541+J541+K541</f>
        <v>160550</v>
      </c>
      <c r="M541" s="697">
        <f>L541/(F541*427)</f>
        <v>11.405894620332187</v>
      </c>
      <c r="N541" s="698"/>
    </row>
    <row r="542" spans="1:21" s="274" customFormat="1" ht="17" thickBot="1">
      <c r="A542" s="40" t="s">
        <v>60</v>
      </c>
      <c r="B542" s="644">
        <f>SUM(B541)</f>
        <v>950</v>
      </c>
      <c r="C542" s="706"/>
      <c r="D542" s="645">
        <f>SUM(D541)</f>
        <v>10741678.215000002</v>
      </c>
      <c r="E542" s="706"/>
      <c r="F542" s="707">
        <f>SUM(F541)</f>
        <v>32.965000000000003</v>
      </c>
      <c r="G542" s="708"/>
      <c r="H542" s="310">
        <f>SUM(H541)</f>
        <v>659.30000000000007</v>
      </c>
      <c r="I542" s="86">
        <f>SUM(I541)</f>
        <v>69673</v>
      </c>
      <c r="J542" s="86">
        <f>SUM(J541)</f>
        <v>33877</v>
      </c>
      <c r="K542" s="86">
        <f>SUM(K541)</f>
        <v>57000</v>
      </c>
      <c r="L542" s="86">
        <f>SUM(L541)</f>
        <v>160550</v>
      </c>
      <c r="M542" s="753"/>
      <c r="N542" s="732"/>
      <c r="O542" s="613"/>
      <c r="P542" s="613"/>
      <c r="Q542" s="613"/>
      <c r="R542" s="613"/>
      <c r="S542" s="613"/>
      <c r="T542" s="613"/>
      <c r="U542" s="613"/>
    </row>
    <row r="543" spans="1:21" s="530" customFormat="1" ht="17" thickBot="1">
      <c r="A543" s="71" t="s">
        <v>50</v>
      </c>
      <c r="B543" s="775"/>
      <c r="C543" s="776"/>
      <c r="D543" s="777"/>
      <c r="E543" s="776"/>
      <c r="F543" s="771"/>
      <c r="G543" s="772"/>
      <c r="H543" s="571"/>
      <c r="I543" s="572"/>
      <c r="J543" s="572"/>
      <c r="K543" s="572"/>
      <c r="L543" s="573"/>
      <c r="M543" s="755"/>
      <c r="N543" s="756"/>
      <c r="O543" s="135"/>
      <c r="P543" s="135"/>
      <c r="Q543" s="135"/>
      <c r="R543" s="135"/>
      <c r="S543" s="135"/>
      <c r="T543" s="135"/>
      <c r="U543" s="135"/>
    </row>
    <row r="544" spans="1:21">
      <c r="A544" s="54" t="s">
        <v>26</v>
      </c>
      <c r="B544" s="694">
        <f>[1]Ontario!$N$13</f>
        <v>0</v>
      </c>
      <c r="C544" s="631"/>
      <c r="D544" s="630">
        <f t="shared" si="104"/>
        <v>0</v>
      </c>
      <c r="E544" s="631"/>
      <c r="F544" s="743">
        <f>0.0278*B544</f>
        <v>0</v>
      </c>
      <c r="G544" s="696"/>
      <c r="H544" s="427">
        <f>F544*20</f>
        <v>0</v>
      </c>
      <c r="I544" s="96">
        <v>0</v>
      </c>
      <c r="J544" s="96">
        <f>15*B544</f>
        <v>0</v>
      </c>
      <c r="K544" s="96">
        <f>135*B544</f>
        <v>0</v>
      </c>
      <c r="L544" s="106">
        <f>SUM(I544:K544)</f>
        <v>0</v>
      </c>
      <c r="M544" s="697">
        <v>0</v>
      </c>
      <c r="N544" s="698"/>
    </row>
    <row r="545" spans="1:21">
      <c r="A545" s="54" t="s">
        <v>25</v>
      </c>
      <c r="B545" s="694">
        <f>[1]Ontario!$N$14</f>
        <v>260</v>
      </c>
      <c r="C545" s="631"/>
      <c r="D545" s="630">
        <f t="shared" si="104"/>
        <v>2939827.7220000001</v>
      </c>
      <c r="E545" s="631"/>
      <c r="F545" s="743">
        <f>0.0347*B545</f>
        <v>9.0220000000000002</v>
      </c>
      <c r="G545" s="696"/>
      <c r="H545" s="427">
        <f>F545*20</f>
        <v>180.44</v>
      </c>
      <c r="I545" s="96">
        <v>0</v>
      </c>
      <c r="J545" s="96">
        <f>15*B545</f>
        <v>3900</v>
      </c>
      <c r="K545" s="96">
        <f>135*B545</f>
        <v>35100</v>
      </c>
      <c r="L545" s="106">
        <f t="shared" ref="L545:L551" si="105">SUM(I545:K545)</f>
        <v>39000</v>
      </c>
      <c r="M545" s="697">
        <f>L545/(F545*427)</f>
        <v>10.123575106803717</v>
      </c>
      <c r="N545" s="698"/>
    </row>
    <row r="546" spans="1:21">
      <c r="A546" s="54" t="s">
        <v>32</v>
      </c>
      <c r="B546" s="694">
        <f>[1]Ontario!$N$15</f>
        <v>0</v>
      </c>
      <c r="C546" s="631"/>
      <c r="D546" s="630">
        <f t="shared" si="104"/>
        <v>0</v>
      </c>
      <c r="E546" s="631"/>
      <c r="F546" s="743">
        <f>0.0425*B546</f>
        <v>0</v>
      </c>
      <c r="G546" s="696"/>
      <c r="H546" s="427">
        <f>F546*20</f>
        <v>0</v>
      </c>
      <c r="I546" s="96">
        <v>0</v>
      </c>
      <c r="J546" s="96">
        <f>45*B546</f>
        <v>0</v>
      </c>
      <c r="K546" s="96">
        <f>165*B546</f>
        <v>0</v>
      </c>
      <c r="L546" s="106">
        <f t="shared" si="105"/>
        <v>0</v>
      </c>
      <c r="M546" s="697">
        <v>0</v>
      </c>
      <c r="N546" s="698"/>
    </row>
    <row r="547" spans="1:21">
      <c r="A547" s="54" t="s">
        <v>27</v>
      </c>
      <c r="B547" s="694">
        <f>[1]Ontario!$N$16</f>
        <v>0</v>
      </c>
      <c r="C547" s="631"/>
      <c r="D547" s="630">
        <f t="shared" si="104"/>
        <v>0</v>
      </c>
      <c r="E547" s="631"/>
      <c r="F547" s="743">
        <f>0.1225*B547</f>
        <v>0</v>
      </c>
      <c r="G547" s="696"/>
      <c r="H547" s="427">
        <f>F547*20</f>
        <v>0</v>
      </c>
      <c r="I547" s="96">
        <v>0</v>
      </c>
      <c r="J547" s="96">
        <v>0</v>
      </c>
      <c r="K547" s="96">
        <f>400*B547</f>
        <v>0</v>
      </c>
      <c r="L547" s="106">
        <f t="shared" si="105"/>
        <v>0</v>
      </c>
      <c r="M547" s="697">
        <v>0</v>
      </c>
      <c r="N547" s="698"/>
    </row>
    <row r="548" spans="1:21">
      <c r="A548" s="54" t="s">
        <v>20</v>
      </c>
      <c r="B548" s="694">
        <f>[1]Ontario!$N$17</f>
        <v>2</v>
      </c>
      <c r="C548" s="631"/>
      <c r="D548" s="630">
        <f t="shared" si="104"/>
        <v>419696.08799999999</v>
      </c>
      <c r="E548" s="631"/>
      <c r="F548" s="743">
        <f>0.644*B548</f>
        <v>1.288</v>
      </c>
      <c r="G548" s="696"/>
      <c r="H548" s="427">
        <f>F548*5</f>
        <v>6.44</v>
      </c>
      <c r="I548" s="96">
        <v>0</v>
      </c>
      <c r="J548" s="96">
        <v>0</v>
      </c>
      <c r="K548" s="96">
        <f>625*B548</f>
        <v>1250</v>
      </c>
      <c r="L548" s="106">
        <f t="shared" si="105"/>
        <v>1250</v>
      </c>
      <c r="M548" s="697">
        <f>L548/(F548*427)</f>
        <v>2.2728264506087537</v>
      </c>
      <c r="N548" s="698"/>
    </row>
    <row r="549" spans="1:21">
      <c r="A549" s="54" t="s">
        <v>33</v>
      </c>
      <c r="B549" s="694">
        <f>[1]Ontario!$N$18</f>
        <v>41</v>
      </c>
      <c r="C549" s="631"/>
      <c r="D549" s="630">
        <f t="shared" si="104"/>
        <v>1130246.7786000001</v>
      </c>
      <c r="E549" s="631"/>
      <c r="F549" s="743">
        <f>0.0846*B549</f>
        <v>3.4685999999999999</v>
      </c>
      <c r="G549" s="696"/>
      <c r="H549" s="427">
        <f>F549*15</f>
        <v>52.028999999999996</v>
      </c>
      <c r="I549" s="96">
        <v>0</v>
      </c>
      <c r="J549" s="96">
        <f>70*B549</f>
        <v>2870</v>
      </c>
      <c r="K549" s="96">
        <f>130*B549</f>
        <v>5330</v>
      </c>
      <c r="L549" s="106">
        <f t="shared" si="105"/>
        <v>8200</v>
      </c>
      <c r="M549" s="697">
        <f>L549/(F549*427)</f>
        <v>5.5364547865419853</v>
      </c>
      <c r="N549" s="698"/>
    </row>
    <row r="550" spans="1:21">
      <c r="A550" s="53" t="s">
        <v>15</v>
      </c>
      <c r="B550" s="694">
        <f>[1]Ontario!$N$19</f>
        <v>0</v>
      </c>
      <c r="C550" s="631"/>
      <c r="D550" s="630">
        <f t="shared" si="104"/>
        <v>0</v>
      </c>
      <c r="E550" s="631"/>
      <c r="F550" s="743">
        <f>0.1534*B550</f>
        <v>0</v>
      </c>
      <c r="G550" s="696"/>
      <c r="H550" s="427">
        <f>F550*5</f>
        <v>0</v>
      </c>
      <c r="I550" s="96">
        <v>0</v>
      </c>
      <c r="J550" s="96">
        <v>0</v>
      </c>
      <c r="K550" s="96">
        <f>150*B550</f>
        <v>0</v>
      </c>
      <c r="L550" s="106">
        <f t="shared" si="105"/>
        <v>0</v>
      </c>
      <c r="M550" s="697">
        <v>0</v>
      </c>
      <c r="N550" s="698"/>
    </row>
    <row r="551" spans="1:21" ht="17" thickBot="1">
      <c r="A551" s="53" t="s">
        <v>72</v>
      </c>
      <c r="B551" s="694">
        <f>[1]Ontario!$N$20</f>
        <v>14</v>
      </c>
      <c r="C551" s="631"/>
      <c r="D551" s="630">
        <f t="shared" si="104"/>
        <v>2965244.1</v>
      </c>
      <c r="E551" s="631"/>
      <c r="F551" s="743">
        <f>0.65*B551</f>
        <v>9.1</v>
      </c>
      <c r="G551" s="696"/>
      <c r="H551" s="427">
        <f>F551*10</f>
        <v>91</v>
      </c>
      <c r="I551" s="96">
        <v>0</v>
      </c>
      <c r="J551" s="96">
        <v>0</v>
      </c>
      <c r="K551" s="96">
        <f>630*B551</f>
        <v>8820</v>
      </c>
      <c r="L551" s="106">
        <f t="shared" si="105"/>
        <v>8820</v>
      </c>
      <c r="M551" s="697">
        <f>L551/(F551*427)</f>
        <v>2.2698612862547289</v>
      </c>
      <c r="N551" s="698"/>
    </row>
    <row r="552" spans="1:21" s="274" customFormat="1" ht="17" thickBot="1">
      <c r="A552" s="40" t="s">
        <v>60</v>
      </c>
      <c r="B552" s="644">
        <f>SUM(B544:C551)</f>
        <v>317</v>
      </c>
      <c r="C552" s="706"/>
      <c r="D552" s="645">
        <f>SUM(D544:E551)</f>
        <v>7455014.6886</v>
      </c>
      <c r="E552" s="706"/>
      <c r="F552" s="707">
        <f>SUM(F544:G551)</f>
        <v>22.878599999999999</v>
      </c>
      <c r="G552" s="708"/>
      <c r="H552" s="230">
        <f>SUM(H544:H551)</f>
        <v>329.90899999999999</v>
      </c>
      <c r="I552" s="180">
        <f>SUM(I544:I551)</f>
        <v>0</v>
      </c>
      <c r="J552" s="180">
        <f>SUM(J544:J551)</f>
        <v>6770</v>
      </c>
      <c r="K552" s="180">
        <f>SUM(K544:K551)</f>
        <v>50500</v>
      </c>
      <c r="L552" s="91">
        <f>SUM(L544:L551)</f>
        <v>57270</v>
      </c>
      <c r="M552" s="753"/>
      <c r="N552" s="732"/>
      <c r="O552" s="613"/>
      <c r="P552" s="613"/>
      <c r="Q552" s="613"/>
      <c r="R552" s="613"/>
      <c r="S552" s="613"/>
      <c r="T552" s="613"/>
      <c r="U552" s="613"/>
    </row>
    <row r="553" spans="1:21" s="530" customFormat="1" ht="17" thickBot="1">
      <c r="A553" s="531" t="s">
        <v>17</v>
      </c>
      <c r="B553" s="711">
        <f>B539+B542+B552</f>
        <v>1482</v>
      </c>
      <c r="C553" s="622"/>
      <c r="D553" s="623">
        <f>D539+D542+D552</f>
        <v>27322769.275500003</v>
      </c>
      <c r="E553" s="622"/>
      <c r="F553" s="773">
        <f>F539+F542+F552</f>
        <v>83.850500000000011</v>
      </c>
      <c r="G553" s="713"/>
      <c r="H553" s="532">
        <f>(H552+H542+H539)</f>
        <v>1350.9760000000001</v>
      </c>
      <c r="I553" s="533">
        <f>I539+I542+I552</f>
        <v>69673</v>
      </c>
      <c r="J553" s="533">
        <f>J539+J542+J552</f>
        <v>42087</v>
      </c>
      <c r="K553" s="533">
        <f>K539+K542+K552</f>
        <v>131845</v>
      </c>
      <c r="L553" s="533">
        <f>L539+L542+L552</f>
        <v>243605</v>
      </c>
      <c r="M553" s="789"/>
      <c r="N553" s="790"/>
      <c r="O553" s="135"/>
      <c r="P553" s="135"/>
      <c r="Q553" s="135"/>
      <c r="R553" s="135"/>
      <c r="S553" s="135"/>
      <c r="T553" s="135"/>
      <c r="U553" s="135"/>
    </row>
    <row r="555" spans="1:21" ht="18">
      <c r="A555" s="171" t="s">
        <v>167</v>
      </c>
      <c r="B555" s="690" t="s">
        <v>59</v>
      </c>
      <c r="C555" s="690"/>
      <c r="D555" s="690"/>
      <c r="E555" s="691"/>
    </row>
    <row r="556" spans="1:21">
      <c r="B556" s="692" t="s">
        <v>19</v>
      </c>
      <c r="C556" s="692"/>
      <c r="D556" s="692"/>
      <c r="E556" s="692"/>
    </row>
    <row r="557" spans="1:21" ht="17" thickBot="1">
      <c r="A557" s="440"/>
      <c r="B557" s="286"/>
      <c r="C557" s="286"/>
      <c r="D557" s="286"/>
      <c r="E557" s="286"/>
    </row>
    <row r="558" spans="1:21">
      <c r="A558" s="63"/>
      <c r="B558" s="64"/>
      <c r="C558" s="64"/>
      <c r="D558" s="64"/>
      <c r="E558" s="64"/>
      <c r="F558" s="200"/>
      <c r="G558" s="200"/>
      <c r="H558" s="200"/>
      <c r="I558" s="670" t="s">
        <v>0</v>
      </c>
      <c r="J558" s="670"/>
      <c r="K558" s="670"/>
      <c r="L558" s="670"/>
      <c r="M558" s="64"/>
      <c r="N558" s="65"/>
    </row>
    <row r="559" spans="1:21">
      <c r="A559" s="62"/>
      <c r="B559" s="671" t="s">
        <v>1</v>
      </c>
      <c r="C559" s="671"/>
      <c r="D559" s="671" t="s">
        <v>2</v>
      </c>
      <c r="E559" s="671"/>
      <c r="F559" s="672" t="s">
        <v>3</v>
      </c>
      <c r="G559" s="672"/>
      <c r="H559" s="207" t="s">
        <v>3</v>
      </c>
      <c r="I559" s="78" t="s">
        <v>135</v>
      </c>
      <c r="J559" s="66"/>
      <c r="K559" s="66"/>
      <c r="L559" s="79"/>
      <c r="M559" s="671" t="s">
        <v>4</v>
      </c>
      <c r="N559" s="674"/>
    </row>
    <row r="560" spans="1:21" ht="19" thickBot="1">
      <c r="A560" s="67" t="s">
        <v>5</v>
      </c>
      <c r="B560" s="675" t="s">
        <v>6</v>
      </c>
      <c r="C560" s="675"/>
      <c r="D560" s="675" t="s">
        <v>7</v>
      </c>
      <c r="E560" s="675"/>
      <c r="F560" s="676" t="s">
        <v>7</v>
      </c>
      <c r="G560" s="676"/>
      <c r="H560" s="208" t="s">
        <v>58</v>
      </c>
      <c r="I560" s="185" t="s">
        <v>136</v>
      </c>
      <c r="J560" s="184" t="s">
        <v>8</v>
      </c>
      <c r="K560" s="184" t="s">
        <v>9</v>
      </c>
      <c r="L560" s="187" t="s">
        <v>10</v>
      </c>
      <c r="M560" s="675" t="s">
        <v>103</v>
      </c>
      <c r="N560" s="678"/>
    </row>
    <row r="561" spans="1:21" ht="24" thickBot="1">
      <c r="A561" s="60" t="s">
        <v>97</v>
      </c>
      <c r="B561" s="735"/>
      <c r="C561" s="736"/>
      <c r="D561" s="737"/>
      <c r="E561" s="738"/>
      <c r="F561" s="739"/>
      <c r="G561" s="740"/>
      <c r="H561" s="223"/>
      <c r="I561" s="166"/>
      <c r="J561" s="166"/>
      <c r="K561" s="166"/>
      <c r="L561" s="167"/>
      <c r="M561" s="741"/>
      <c r="N561" s="742"/>
    </row>
    <row r="562" spans="1:21" s="530" customFormat="1" ht="17" thickBot="1">
      <c r="A562" s="71" t="s">
        <v>61</v>
      </c>
      <c r="B562" s="663"/>
      <c r="C562" s="716"/>
      <c r="D562" s="729"/>
      <c r="E562" s="716"/>
      <c r="F562" s="717"/>
      <c r="G562" s="718"/>
      <c r="H562" s="524"/>
      <c r="I562" s="72"/>
      <c r="J562" s="72"/>
      <c r="K562" s="72"/>
      <c r="L562" s="521"/>
      <c r="M562" s="719"/>
      <c r="N562" s="689"/>
      <c r="O562" s="135"/>
      <c r="P562" s="135"/>
      <c r="Q562" s="135"/>
      <c r="R562" s="135"/>
      <c r="S562" s="135"/>
      <c r="T562" s="135"/>
      <c r="U562" s="135"/>
    </row>
    <row r="563" spans="1:21">
      <c r="A563" s="54" t="s">
        <v>62</v>
      </c>
      <c r="B563" s="765">
        <v>392</v>
      </c>
      <c r="C563" s="766"/>
      <c r="D563" s="630">
        <f>F563*325851</f>
        <v>4432355.6424000002</v>
      </c>
      <c r="E563" s="631"/>
      <c r="F563" s="695">
        <f>0.0347*B563</f>
        <v>13.602400000000001</v>
      </c>
      <c r="G563" s="696"/>
      <c r="H563" s="427">
        <f>F563*20</f>
        <v>272.048</v>
      </c>
      <c r="I563" s="96">
        <v>0</v>
      </c>
      <c r="J563" s="96">
        <f>B563*6.5</f>
        <v>2548</v>
      </c>
      <c r="K563" s="96">
        <f>B563*60</f>
        <v>23520</v>
      </c>
      <c r="L563" s="106">
        <f t="shared" ref="L563:L569" si="106">I563+J563+K563</f>
        <v>26068</v>
      </c>
      <c r="M563" s="634">
        <f>L563/(F563*427)</f>
        <v>4.4881182973496472</v>
      </c>
      <c r="N563" s="635"/>
    </row>
    <row r="564" spans="1:21">
      <c r="A564" s="54" t="s">
        <v>63</v>
      </c>
      <c r="B564" s="765">
        <v>0</v>
      </c>
      <c r="C564" s="766"/>
      <c r="D564" s="630">
        <f>F564*325851</f>
        <v>0</v>
      </c>
      <c r="E564" s="631"/>
      <c r="F564" s="695">
        <f>0.0347*B564</f>
        <v>0</v>
      </c>
      <c r="G564" s="696"/>
      <c r="H564" s="427">
        <f>F564*20</f>
        <v>0</v>
      </c>
      <c r="I564" s="96">
        <v>0</v>
      </c>
      <c r="J564" s="96">
        <v>0</v>
      </c>
      <c r="K564" s="96">
        <v>0</v>
      </c>
      <c r="L564" s="106">
        <f t="shared" si="106"/>
        <v>0</v>
      </c>
      <c r="M564" s="697">
        <v>0</v>
      </c>
      <c r="N564" s="698"/>
    </row>
    <row r="565" spans="1:21">
      <c r="A565" s="54" t="s">
        <v>64</v>
      </c>
      <c r="B565" s="765">
        <v>53</v>
      </c>
      <c r="C565" s="766"/>
      <c r="D565" s="630">
        <f>F565*325851</f>
        <v>599272.57410000009</v>
      </c>
      <c r="E565" s="631"/>
      <c r="F565" s="695">
        <f>0.0347*B565</f>
        <v>1.8391000000000002</v>
      </c>
      <c r="G565" s="696"/>
      <c r="H565" s="427">
        <f>F565*20</f>
        <v>36.782000000000004</v>
      </c>
      <c r="I565" s="96">
        <v>0</v>
      </c>
      <c r="J565" s="96">
        <f>B565*1</f>
        <v>53</v>
      </c>
      <c r="K565" s="96">
        <f>B564*60</f>
        <v>0</v>
      </c>
      <c r="L565" s="106">
        <f t="shared" si="106"/>
        <v>53</v>
      </c>
      <c r="M565" s="697">
        <f>L565/(F565*427)</f>
        <v>6.7490500712024767E-2</v>
      </c>
      <c r="N565" s="698"/>
    </row>
    <row r="566" spans="1:21" ht="17" thickBot="1">
      <c r="A566" s="54" t="s">
        <v>13</v>
      </c>
      <c r="B566" s="765">
        <v>181</v>
      </c>
      <c r="C566" s="766"/>
      <c r="D566" s="630">
        <f>F566*325851</f>
        <v>1627821.2555999998</v>
      </c>
      <c r="E566" s="631"/>
      <c r="F566" s="743">
        <f>0.0276*B566</f>
        <v>4.9955999999999996</v>
      </c>
      <c r="G566" s="696"/>
      <c r="H566" s="427">
        <f>F566*15</f>
        <v>74.933999999999997</v>
      </c>
      <c r="I566" s="96">
        <v>0</v>
      </c>
      <c r="J566" s="96">
        <f>B566*1</f>
        <v>181</v>
      </c>
      <c r="K566" s="96">
        <f>B566*110</f>
        <v>19910</v>
      </c>
      <c r="L566" s="106">
        <f>I566+J566+K566</f>
        <v>20091</v>
      </c>
      <c r="M566" s="697">
        <f>L566/(F566*427)</f>
        <v>9.4185928113226751</v>
      </c>
      <c r="N566" s="698"/>
    </row>
    <row r="567" spans="1:21" s="274" customFormat="1" ht="17" thickBot="1">
      <c r="A567" s="40" t="s">
        <v>60</v>
      </c>
      <c r="B567" s="644">
        <f>SUM(B563:C566)</f>
        <v>626</v>
      </c>
      <c r="C567" s="706"/>
      <c r="D567" s="645">
        <f>SUM(D563:E566)</f>
        <v>6659449.4720999999</v>
      </c>
      <c r="E567" s="706"/>
      <c r="F567" s="707">
        <f>SUM(F563:G566)</f>
        <v>20.437100000000001</v>
      </c>
      <c r="G567" s="708"/>
      <c r="H567" s="310">
        <f>SUM(H563:H566)</f>
        <v>383.76400000000001</v>
      </c>
      <c r="I567" s="86">
        <f>SUM(I563:I566)</f>
        <v>0</v>
      </c>
      <c r="J567" s="86">
        <f>SUM(J563:J566)</f>
        <v>2782</v>
      </c>
      <c r="K567" s="86">
        <f>SUM(K563:K566)</f>
        <v>43430</v>
      </c>
      <c r="L567" s="86">
        <f>SUM(L563:L566)</f>
        <v>46212</v>
      </c>
      <c r="M567" s="753"/>
      <c r="N567" s="732"/>
      <c r="O567" s="613"/>
      <c r="P567" s="613"/>
      <c r="Q567" s="613"/>
      <c r="R567" s="613"/>
      <c r="S567" s="613"/>
      <c r="T567" s="613"/>
      <c r="U567" s="613"/>
    </row>
    <row r="568" spans="1:21" s="530" customFormat="1" ht="17" thickBot="1">
      <c r="A568" s="71" t="s">
        <v>105</v>
      </c>
      <c r="B568" s="775"/>
      <c r="C568" s="776"/>
      <c r="D568" s="777"/>
      <c r="E568" s="776"/>
      <c r="F568" s="771"/>
      <c r="G568" s="772"/>
      <c r="H568" s="571"/>
      <c r="I568" s="572"/>
      <c r="J568" s="572"/>
      <c r="K568" s="572"/>
      <c r="L568" s="573"/>
      <c r="M568" s="755"/>
      <c r="N568" s="756"/>
      <c r="O568" s="135"/>
      <c r="P568" s="135"/>
      <c r="Q568" s="135"/>
      <c r="R568" s="135"/>
      <c r="S568" s="135"/>
      <c r="T568" s="135"/>
      <c r="U568" s="135"/>
    </row>
    <row r="569" spans="1:21" ht="17" thickBot="1">
      <c r="A569" s="54" t="s">
        <v>65</v>
      </c>
      <c r="B569" s="694">
        <v>2132</v>
      </c>
      <c r="C569" s="631"/>
      <c r="D569" s="630">
        <f>F569*325851</f>
        <v>24106587.3204</v>
      </c>
      <c r="E569" s="631"/>
      <c r="F569" s="743">
        <f>0.0347*B569</f>
        <v>73.980400000000003</v>
      </c>
      <c r="G569" s="696"/>
      <c r="H569" s="427">
        <f>F569*20</f>
        <v>1479.6080000000002</v>
      </c>
      <c r="I569" s="96">
        <v>0</v>
      </c>
      <c r="J569" s="96">
        <f>B569*105</f>
        <v>223860</v>
      </c>
      <c r="K569" s="96">
        <f>B569*60</f>
        <v>127920</v>
      </c>
      <c r="L569" s="106">
        <f t="shared" si="106"/>
        <v>351780</v>
      </c>
      <c r="M569" s="697">
        <f>L569/(F569*427)</f>
        <v>11.135932617484087</v>
      </c>
      <c r="N569" s="698"/>
    </row>
    <row r="570" spans="1:21" s="274" customFormat="1" ht="17" thickBot="1">
      <c r="A570" s="40" t="s">
        <v>60</v>
      </c>
      <c r="B570" s="644">
        <f>SUM(B569)</f>
        <v>2132</v>
      </c>
      <c r="C570" s="706"/>
      <c r="D570" s="645">
        <f>SUM(D569)</f>
        <v>24106587.3204</v>
      </c>
      <c r="E570" s="706"/>
      <c r="F570" s="726">
        <f>SUM(F569)</f>
        <v>73.980400000000003</v>
      </c>
      <c r="G570" s="708"/>
      <c r="H570" s="324">
        <f>SUM(H569)</f>
        <v>1479.6080000000002</v>
      </c>
      <c r="I570" s="86">
        <f>SUM(I569)</f>
        <v>0</v>
      </c>
      <c r="J570" s="86">
        <f>SUM(J569)</f>
        <v>223860</v>
      </c>
      <c r="K570" s="86">
        <f>SUM(K569)</f>
        <v>127920</v>
      </c>
      <c r="L570" s="86">
        <f>SUM(L569)</f>
        <v>351780</v>
      </c>
      <c r="M570" s="753"/>
      <c r="N570" s="732"/>
      <c r="O570" s="613"/>
      <c r="P570" s="613"/>
      <c r="Q570" s="613"/>
      <c r="R570" s="613"/>
      <c r="S570" s="613"/>
      <c r="T570" s="613"/>
      <c r="U570" s="613"/>
    </row>
    <row r="571" spans="1:21" s="530" customFormat="1" ht="17" thickBot="1">
      <c r="A571" s="71" t="s">
        <v>50</v>
      </c>
      <c r="B571" s="775"/>
      <c r="C571" s="776"/>
      <c r="D571" s="777"/>
      <c r="E571" s="776"/>
      <c r="F571" s="771"/>
      <c r="G571" s="772"/>
      <c r="H571" s="571"/>
      <c r="I571" s="572"/>
      <c r="J571" s="572"/>
      <c r="K571" s="572"/>
      <c r="L571" s="573"/>
      <c r="M571" s="755"/>
      <c r="N571" s="756"/>
      <c r="O571" s="135"/>
      <c r="P571" s="135"/>
      <c r="Q571" s="135"/>
      <c r="R571" s="135"/>
      <c r="S571" s="135"/>
      <c r="T571" s="135"/>
      <c r="U571" s="135"/>
    </row>
    <row r="572" spans="1:21">
      <c r="A572" s="54" t="s">
        <v>66</v>
      </c>
      <c r="B572" s="765">
        <v>672</v>
      </c>
      <c r="C572" s="766"/>
      <c r="D572" s="630">
        <f t="shared" ref="D572:D577" si="107">F572*325851</f>
        <v>7598323.9583999999</v>
      </c>
      <c r="E572" s="631"/>
      <c r="F572" s="743">
        <f>0.0347*B572</f>
        <v>23.3184</v>
      </c>
      <c r="G572" s="696"/>
      <c r="H572" s="427">
        <f>F572*20</f>
        <v>466.36799999999999</v>
      </c>
      <c r="I572" s="96">
        <v>0</v>
      </c>
      <c r="J572" s="96">
        <f>B572*1</f>
        <v>672</v>
      </c>
      <c r="K572" s="96">
        <f>B572*60</f>
        <v>40320</v>
      </c>
      <c r="L572" s="106">
        <f>I572+J572+K572</f>
        <v>40992</v>
      </c>
      <c r="M572" s="697">
        <f>L572/(F572*427)</f>
        <v>4.1169205434335119</v>
      </c>
      <c r="N572" s="698"/>
    </row>
    <row r="573" spans="1:21">
      <c r="A573" s="54" t="s">
        <v>23</v>
      </c>
      <c r="B573" s="765">
        <v>0</v>
      </c>
      <c r="C573" s="766"/>
      <c r="D573" s="630">
        <f t="shared" si="107"/>
        <v>0</v>
      </c>
      <c r="E573" s="631"/>
      <c r="F573" s="743">
        <f>0.644*B573</f>
        <v>0</v>
      </c>
      <c r="G573" s="696"/>
      <c r="H573" s="427">
        <f>F573*5</f>
        <v>0</v>
      </c>
      <c r="I573" s="258">
        <v>0</v>
      </c>
      <c r="J573" s="96">
        <v>0</v>
      </c>
      <c r="K573" s="96">
        <v>0</v>
      </c>
      <c r="L573" s="126">
        <v>0</v>
      </c>
      <c r="M573" s="697">
        <v>0</v>
      </c>
      <c r="N573" s="698"/>
    </row>
    <row r="574" spans="1:21">
      <c r="A574" s="54" t="s">
        <v>13</v>
      </c>
      <c r="B574" s="765">
        <v>52</v>
      </c>
      <c r="C574" s="766"/>
      <c r="D574" s="630">
        <f t="shared" si="107"/>
        <v>467661.35519999999</v>
      </c>
      <c r="E574" s="631"/>
      <c r="F574" s="743">
        <f>0.0276*B574</f>
        <v>1.4352</v>
      </c>
      <c r="G574" s="696"/>
      <c r="H574" s="427">
        <f>F574*15</f>
        <v>21.527999999999999</v>
      </c>
      <c r="I574" s="96">
        <v>0</v>
      </c>
      <c r="J574" s="96">
        <v>0</v>
      </c>
      <c r="K574" s="96">
        <f>B574*250</f>
        <v>13000</v>
      </c>
      <c r="L574" s="106">
        <f>I574+J574+K574</f>
        <v>13000</v>
      </c>
      <c r="M574" s="697">
        <f>L574/(F574*427)</f>
        <v>21.213046872348368</v>
      </c>
      <c r="N574" s="698"/>
    </row>
    <row r="575" spans="1:21">
      <c r="A575" s="53" t="s">
        <v>47</v>
      </c>
      <c r="B575" s="765">
        <v>2</v>
      </c>
      <c r="C575" s="766"/>
      <c r="D575" s="630">
        <f t="shared" si="107"/>
        <v>99971.086800000005</v>
      </c>
      <c r="E575" s="631"/>
      <c r="F575" s="743">
        <f>0.1534*B575</f>
        <v>0.30680000000000002</v>
      </c>
      <c r="G575" s="696"/>
      <c r="H575" s="427">
        <f>F575*5</f>
        <v>1.534</v>
      </c>
      <c r="I575" s="96">
        <v>0</v>
      </c>
      <c r="J575" s="96">
        <v>0</v>
      </c>
      <c r="K575" s="96">
        <f>B575*100</f>
        <v>200</v>
      </c>
      <c r="L575" s="106">
        <f>I575+J575+K575</f>
        <v>200</v>
      </c>
      <c r="M575" s="697">
        <f>L575/(F575*427)</f>
        <v>1.5266756028078616</v>
      </c>
      <c r="N575" s="698"/>
    </row>
    <row r="576" spans="1:21">
      <c r="A576" s="53" t="s">
        <v>16</v>
      </c>
      <c r="B576" s="765">
        <v>0</v>
      </c>
      <c r="C576" s="766"/>
      <c r="D576" s="630">
        <f t="shared" si="107"/>
        <v>0</v>
      </c>
      <c r="E576" s="631"/>
      <c r="F576" s="743">
        <f>0.004*B576</f>
        <v>0</v>
      </c>
      <c r="G576" s="696"/>
      <c r="H576" s="427">
        <f>F576*5</f>
        <v>0</v>
      </c>
      <c r="I576" s="96">
        <v>0</v>
      </c>
      <c r="J576" s="96">
        <v>0</v>
      </c>
      <c r="K576" s="96">
        <v>0</v>
      </c>
      <c r="L576" s="106">
        <f>I576+J576+K576</f>
        <v>0</v>
      </c>
      <c r="M576" s="697">
        <v>0</v>
      </c>
      <c r="N576" s="698"/>
    </row>
    <row r="577" spans="1:21" ht="17" thickBot="1">
      <c r="A577" s="53" t="s">
        <v>72</v>
      </c>
      <c r="B577" s="765">
        <v>13</v>
      </c>
      <c r="C577" s="766"/>
      <c r="D577" s="630">
        <f t="shared" si="107"/>
        <v>2753440.95</v>
      </c>
      <c r="E577" s="631"/>
      <c r="F577" s="787">
        <f>0.65*B577</f>
        <v>8.4500000000000011</v>
      </c>
      <c r="G577" s="788"/>
      <c r="H577" s="427">
        <f>F577*10</f>
        <v>84.500000000000014</v>
      </c>
      <c r="I577" s="96">
        <v>0</v>
      </c>
      <c r="J577" s="96">
        <v>0</v>
      </c>
      <c r="K577" s="96">
        <v>0</v>
      </c>
      <c r="L577" s="106">
        <f>I577+J577+K577</f>
        <v>0</v>
      </c>
      <c r="M577" s="697">
        <v>0</v>
      </c>
      <c r="N577" s="698"/>
    </row>
    <row r="578" spans="1:21" s="274" customFormat="1" ht="17" thickBot="1">
      <c r="A578" s="40" t="s">
        <v>60</v>
      </c>
      <c r="B578" s="644">
        <f>SUM(B572:C577)</f>
        <v>739</v>
      </c>
      <c r="C578" s="706"/>
      <c r="D578" s="645">
        <f>SUM(D572:E577)</f>
        <v>10919397.350400001</v>
      </c>
      <c r="E578" s="706"/>
      <c r="F578" s="707">
        <f>SUM(F572:G577)</f>
        <v>33.510399999999997</v>
      </c>
      <c r="G578" s="708"/>
      <c r="H578" s="217">
        <f>SUM(H572:H577)</f>
        <v>573.93000000000006</v>
      </c>
      <c r="I578" s="91">
        <f>SUM(I572:I577)</f>
        <v>0</v>
      </c>
      <c r="J578" s="91">
        <f>SUM(J572:J577)</f>
        <v>672</v>
      </c>
      <c r="K578" s="91">
        <f>SUM(K572:K577)</f>
        <v>53520</v>
      </c>
      <c r="L578" s="98">
        <f>SUM(L572:L577)</f>
        <v>54192</v>
      </c>
      <c r="M578" s="753"/>
      <c r="N578" s="732"/>
      <c r="O578" s="613"/>
      <c r="P578" s="613"/>
      <c r="Q578" s="613"/>
      <c r="R578" s="613"/>
      <c r="S578" s="613"/>
      <c r="T578" s="613"/>
      <c r="U578" s="613"/>
    </row>
    <row r="579" spans="1:21" s="530" customFormat="1" ht="17" thickBot="1">
      <c r="A579" s="538" t="s">
        <v>17</v>
      </c>
      <c r="B579" s="761">
        <f>B567+B570+B578</f>
        <v>3497</v>
      </c>
      <c r="C579" s="762"/>
      <c r="D579" s="623">
        <f>SUM(D578,D567,D570)</f>
        <v>41685434.142900005</v>
      </c>
      <c r="E579" s="778"/>
      <c r="F579" s="773">
        <f>SUM(F578,F567,F570)</f>
        <v>127.92789999999999</v>
      </c>
      <c r="G579" s="713"/>
      <c r="H579" s="532">
        <f>(H578+H570+H567)</f>
        <v>2437.3020000000006</v>
      </c>
      <c r="I579" s="539">
        <f>I567+I570+I578</f>
        <v>0</v>
      </c>
      <c r="J579" s="539">
        <f>J567+J570+J578</f>
        <v>227314</v>
      </c>
      <c r="K579" s="539">
        <f>K567+K570+K578</f>
        <v>224870</v>
      </c>
      <c r="L579" s="539">
        <f>L567+L570+L578</f>
        <v>452184</v>
      </c>
      <c r="M579" s="757"/>
      <c r="N579" s="758"/>
      <c r="O579" s="135"/>
      <c r="P579" s="135"/>
      <c r="Q579" s="135"/>
      <c r="R579" s="135"/>
      <c r="S579" s="135"/>
      <c r="T579" s="135"/>
      <c r="U579" s="135"/>
    </row>
    <row r="581" spans="1:21" ht="17" thickBot="1">
      <c r="A581" s="440"/>
    </row>
    <row r="582" spans="1:21" ht="24" thickBot="1">
      <c r="A582" s="60" t="s">
        <v>98</v>
      </c>
      <c r="B582" s="735"/>
      <c r="C582" s="736"/>
      <c r="D582" s="737"/>
      <c r="E582" s="738"/>
      <c r="F582" s="739"/>
      <c r="G582" s="740"/>
      <c r="H582" s="223"/>
      <c r="I582" s="166"/>
      <c r="J582" s="166"/>
      <c r="K582" s="166"/>
      <c r="L582" s="167"/>
      <c r="M582" s="741"/>
      <c r="N582" s="742"/>
    </row>
    <row r="583" spans="1:21" s="530" customFormat="1" ht="17" thickBot="1">
      <c r="A583" s="71" t="s">
        <v>61</v>
      </c>
      <c r="B583" s="663"/>
      <c r="C583" s="716"/>
      <c r="D583" s="729"/>
      <c r="E583" s="716"/>
      <c r="F583" s="717"/>
      <c r="G583" s="718"/>
      <c r="H583" s="524"/>
      <c r="I583" s="72"/>
      <c r="J583" s="72"/>
      <c r="K583" s="72"/>
      <c r="L583" s="521"/>
      <c r="M583" s="719"/>
      <c r="N583" s="689"/>
      <c r="O583" s="135"/>
      <c r="P583" s="135"/>
      <c r="Q583" s="135"/>
      <c r="R583" s="135"/>
      <c r="S583" s="135"/>
      <c r="T583" s="135"/>
      <c r="U583" s="135"/>
    </row>
    <row r="584" spans="1:21">
      <c r="A584" s="54" t="s">
        <v>62</v>
      </c>
      <c r="B584" s="765">
        <v>214</v>
      </c>
      <c r="C584" s="766"/>
      <c r="D584" s="630">
        <f>F584*325851</f>
        <v>2419704.3558</v>
      </c>
      <c r="E584" s="631"/>
      <c r="F584" s="695">
        <f>0.0347*B584</f>
        <v>7.4258000000000006</v>
      </c>
      <c r="G584" s="696"/>
      <c r="H584" s="427">
        <f>F584*20</f>
        <v>148.51600000000002</v>
      </c>
      <c r="I584" s="96">
        <v>0</v>
      </c>
      <c r="J584" s="96">
        <f>B584*6.5</f>
        <v>1391</v>
      </c>
      <c r="K584" s="96">
        <f>B584*60</f>
        <v>12840</v>
      </c>
      <c r="L584" s="106">
        <f t="shared" ref="L584:L591" si="108">I584+J584+K584</f>
        <v>14231</v>
      </c>
      <c r="M584" s="697">
        <f>L584/(F584*427)</f>
        <v>4.4881182973496481</v>
      </c>
      <c r="N584" s="698"/>
    </row>
    <row r="585" spans="1:21">
      <c r="A585" s="54" t="s">
        <v>63</v>
      </c>
      <c r="B585" s="765">
        <v>11</v>
      </c>
      <c r="C585" s="766"/>
      <c r="D585" s="630">
        <f>F585*325851</f>
        <v>124377.32670000002</v>
      </c>
      <c r="E585" s="631"/>
      <c r="F585" s="695">
        <f>0.0347*B585</f>
        <v>0.38170000000000004</v>
      </c>
      <c r="G585" s="696"/>
      <c r="H585" s="427">
        <f>F585*20</f>
        <v>7.6340000000000003</v>
      </c>
      <c r="I585" s="96">
        <v>0</v>
      </c>
      <c r="J585" s="96">
        <f>B585*11</f>
        <v>121</v>
      </c>
      <c r="K585" s="96">
        <f>B585*60</f>
        <v>660</v>
      </c>
      <c r="L585" s="106">
        <f t="shared" si="108"/>
        <v>781</v>
      </c>
      <c r="M585" s="697">
        <f>L585/(F585*427)</f>
        <v>4.7918255505537592</v>
      </c>
      <c r="N585" s="698"/>
    </row>
    <row r="586" spans="1:21">
      <c r="A586" s="54" t="s">
        <v>64</v>
      </c>
      <c r="B586" s="765">
        <v>107</v>
      </c>
      <c r="C586" s="766"/>
      <c r="D586" s="630">
        <f>F586*325851</f>
        <v>1209852.1779</v>
      </c>
      <c r="E586" s="631"/>
      <c r="F586" s="695">
        <f>0.0347*B586</f>
        <v>3.7129000000000003</v>
      </c>
      <c r="G586" s="696"/>
      <c r="H586" s="427">
        <f>F586*20</f>
        <v>74.25800000000001</v>
      </c>
      <c r="I586" s="96">
        <v>0</v>
      </c>
      <c r="J586" s="96">
        <f>B586*1</f>
        <v>107</v>
      </c>
      <c r="K586" s="96">
        <f>B586*60</f>
        <v>6420</v>
      </c>
      <c r="L586" s="106">
        <f t="shared" si="108"/>
        <v>6527</v>
      </c>
      <c r="M586" s="697">
        <f>L586/(F586*427)</f>
        <v>4.1169205434335119</v>
      </c>
      <c r="N586" s="698"/>
    </row>
    <row r="587" spans="1:21">
      <c r="A587" s="54" t="s">
        <v>13</v>
      </c>
      <c r="B587" s="765">
        <v>250</v>
      </c>
      <c r="C587" s="766"/>
      <c r="D587" s="630">
        <f>F587*325851</f>
        <v>2248371.9</v>
      </c>
      <c r="E587" s="631"/>
      <c r="F587" s="695">
        <f>0.0276*B587</f>
        <v>6.8999999999999995</v>
      </c>
      <c r="G587" s="696"/>
      <c r="H587" s="427">
        <f>F587*15</f>
        <v>103.49999999999999</v>
      </c>
      <c r="I587" s="96">
        <v>0</v>
      </c>
      <c r="J587" s="96">
        <f>B587*1</f>
        <v>250</v>
      </c>
      <c r="K587" s="96">
        <f>B587*110</f>
        <v>27500</v>
      </c>
      <c r="L587" s="106">
        <f>I587+J587+K587</f>
        <v>27750</v>
      </c>
      <c r="M587" s="697">
        <f>L587/(F587*427)</f>
        <v>9.4185928113226769</v>
      </c>
      <c r="N587" s="698"/>
    </row>
    <row r="588" spans="1:21" ht="17" thickBot="1">
      <c r="A588" s="53" t="s">
        <v>14</v>
      </c>
      <c r="B588" s="765">
        <v>7</v>
      </c>
      <c r="C588" s="766"/>
      <c r="D588" s="694">
        <f>46.8*B588*365</f>
        <v>119573.99999999999</v>
      </c>
      <c r="E588" s="631"/>
      <c r="F588" s="695">
        <f>D588/325900</f>
        <v>0.36690395826940775</v>
      </c>
      <c r="G588" s="696"/>
      <c r="H588" s="427">
        <f>F588*5</f>
        <v>1.8345197913470388</v>
      </c>
      <c r="I588" s="96">
        <v>0</v>
      </c>
      <c r="J588" s="96">
        <f>B588*53</f>
        <v>371</v>
      </c>
      <c r="K588" s="96">
        <v>0</v>
      </c>
      <c r="L588" s="106">
        <f>I588+J588+K588</f>
        <v>371</v>
      </c>
      <c r="M588" s="697">
        <f>L588/(F588*427)</f>
        <v>2.3680651010540976</v>
      </c>
      <c r="N588" s="698"/>
    </row>
    <row r="589" spans="1:21" s="274" customFormat="1" ht="17" thickBot="1">
      <c r="A589" s="40" t="s">
        <v>60</v>
      </c>
      <c r="B589" s="644">
        <f>SUM(B584:C588)</f>
        <v>589</v>
      </c>
      <c r="C589" s="706"/>
      <c r="D589" s="645">
        <f>SUM(D584:E588)</f>
        <v>6121879.7604</v>
      </c>
      <c r="E589" s="706"/>
      <c r="F589" s="707">
        <f>SUM(F584:G588)</f>
        <v>18.787303958269408</v>
      </c>
      <c r="G589" s="708"/>
      <c r="H589" s="321">
        <f>SUM(H584:H588)</f>
        <v>335.74251979134704</v>
      </c>
      <c r="I589" s="86">
        <f>SUM(I584:I588)</f>
        <v>0</v>
      </c>
      <c r="J589" s="86">
        <f>SUM(J584:J588)</f>
        <v>2240</v>
      </c>
      <c r="K589" s="86">
        <f>SUM(K584:K588)</f>
        <v>47420</v>
      </c>
      <c r="L589" s="86">
        <f>SUM(L584:L588)</f>
        <v>49660</v>
      </c>
      <c r="M589" s="753"/>
      <c r="N589" s="732"/>
      <c r="O589" s="613"/>
      <c r="P589" s="613"/>
      <c r="Q589" s="613"/>
      <c r="R589" s="613"/>
      <c r="S589" s="613"/>
      <c r="T589" s="613"/>
      <c r="U589" s="613"/>
    </row>
    <row r="590" spans="1:21" s="530" customFormat="1" ht="17" thickBot="1">
      <c r="A590" s="71" t="s">
        <v>105</v>
      </c>
      <c r="B590" s="775"/>
      <c r="C590" s="776"/>
      <c r="D590" s="777"/>
      <c r="E590" s="776"/>
      <c r="F590" s="771"/>
      <c r="G590" s="772"/>
      <c r="H590" s="571"/>
      <c r="I590" s="572"/>
      <c r="J590" s="572"/>
      <c r="K590" s="572"/>
      <c r="L590" s="573"/>
      <c r="M590" s="755"/>
      <c r="N590" s="756"/>
      <c r="O590" s="135"/>
      <c r="P590" s="135"/>
      <c r="Q590" s="135"/>
      <c r="R590" s="135"/>
      <c r="S590" s="135"/>
      <c r="T590" s="135"/>
      <c r="U590" s="135"/>
    </row>
    <row r="591" spans="1:21" ht="17" thickBot="1">
      <c r="A591" s="54" t="s">
        <v>11</v>
      </c>
      <c r="B591" s="694">
        <v>1066</v>
      </c>
      <c r="C591" s="631"/>
      <c r="D591" s="630">
        <f>F591*325851</f>
        <v>12053293.6602</v>
      </c>
      <c r="E591" s="631"/>
      <c r="F591" s="743">
        <f>0.0347*B591</f>
        <v>36.990200000000002</v>
      </c>
      <c r="G591" s="696"/>
      <c r="H591" s="427">
        <f>F591*20</f>
        <v>739.80400000000009</v>
      </c>
      <c r="I591" s="96">
        <v>0</v>
      </c>
      <c r="J591" s="96">
        <f>B591*105</f>
        <v>111930</v>
      </c>
      <c r="K591" s="96">
        <f>B591*60</f>
        <v>63960</v>
      </c>
      <c r="L591" s="106">
        <f t="shared" si="108"/>
        <v>175890</v>
      </c>
      <c r="M591" s="697">
        <f>L591/(F591*427)</f>
        <v>11.135932617484087</v>
      </c>
      <c r="N591" s="698"/>
    </row>
    <row r="592" spans="1:21" s="274" customFormat="1" ht="17" thickBot="1">
      <c r="A592" s="40" t="s">
        <v>60</v>
      </c>
      <c r="B592" s="644">
        <f>SUM(B591)</f>
        <v>1066</v>
      </c>
      <c r="C592" s="706"/>
      <c r="D592" s="645">
        <f>SUM(D591)</f>
        <v>12053293.6602</v>
      </c>
      <c r="E592" s="706"/>
      <c r="F592" s="707">
        <f>SUM(F591)</f>
        <v>36.990200000000002</v>
      </c>
      <c r="G592" s="708"/>
      <c r="H592" s="321">
        <f>SUM(H591)</f>
        <v>739.80400000000009</v>
      </c>
      <c r="I592" s="86">
        <f>SUM(I591)</f>
        <v>0</v>
      </c>
      <c r="J592" s="86">
        <f>SUM(J591)</f>
        <v>111930</v>
      </c>
      <c r="K592" s="86">
        <f>SUM(K591)</f>
        <v>63960</v>
      </c>
      <c r="L592" s="86">
        <f>SUM(L591)</f>
        <v>175890</v>
      </c>
      <c r="M592" s="753"/>
      <c r="N592" s="732"/>
      <c r="O592" s="613"/>
      <c r="P592" s="613"/>
      <c r="Q592" s="613"/>
      <c r="R592" s="613"/>
      <c r="S592" s="613"/>
      <c r="T592" s="613"/>
      <c r="U592" s="613"/>
    </row>
    <row r="593" spans="1:21" s="530" customFormat="1" ht="17" thickBot="1">
      <c r="A593" s="71" t="s">
        <v>50</v>
      </c>
      <c r="B593" s="775"/>
      <c r="C593" s="776"/>
      <c r="D593" s="777"/>
      <c r="E593" s="776"/>
      <c r="F593" s="771"/>
      <c r="G593" s="772"/>
      <c r="H593" s="571"/>
      <c r="I593" s="572"/>
      <c r="J593" s="572"/>
      <c r="K593" s="572"/>
      <c r="L593" s="573"/>
      <c r="M593" s="755"/>
      <c r="N593" s="756"/>
      <c r="O593" s="135"/>
      <c r="P593" s="135"/>
      <c r="Q593" s="135"/>
      <c r="R593" s="135"/>
      <c r="S593" s="135"/>
      <c r="T593" s="135"/>
      <c r="U593" s="135"/>
    </row>
    <row r="594" spans="1:21">
      <c r="A594" s="54" t="s">
        <v>67</v>
      </c>
      <c r="B594" s="765">
        <v>5</v>
      </c>
      <c r="C594" s="766"/>
      <c r="D594" s="630">
        <f t="shared" ref="D594:D599" si="109">F594*325851</f>
        <v>56535.148500000003</v>
      </c>
      <c r="E594" s="631"/>
      <c r="F594" s="743">
        <f>0.0347*B594</f>
        <v>0.17350000000000002</v>
      </c>
      <c r="G594" s="696"/>
      <c r="H594" s="427">
        <f>F594*20</f>
        <v>3.47</v>
      </c>
      <c r="I594" s="96">
        <v>0</v>
      </c>
      <c r="J594" s="96">
        <v>0</v>
      </c>
      <c r="K594" s="96">
        <v>0</v>
      </c>
      <c r="L594" s="106">
        <f>I594+J594+K594</f>
        <v>0</v>
      </c>
      <c r="M594" s="697">
        <f>L594/(F594*427)</f>
        <v>0</v>
      </c>
      <c r="N594" s="698"/>
    </row>
    <row r="595" spans="1:21">
      <c r="A595" s="54" t="s">
        <v>68</v>
      </c>
      <c r="B595" s="765">
        <v>0</v>
      </c>
      <c r="C595" s="766"/>
      <c r="D595" s="630">
        <f t="shared" si="109"/>
        <v>0</v>
      </c>
      <c r="E595" s="631"/>
      <c r="F595" s="743">
        <f>0.644*B595</f>
        <v>0</v>
      </c>
      <c r="G595" s="696"/>
      <c r="H595" s="427">
        <f>F595*5</f>
        <v>0</v>
      </c>
      <c r="I595" s="96">
        <v>0</v>
      </c>
      <c r="J595" s="96">
        <v>0</v>
      </c>
      <c r="K595" s="96">
        <v>0</v>
      </c>
      <c r="L595" s="106">
        <v>0</v>
      </c>
      <c r="M595" s="697">
        <v>0</v>
      </c>
      <c r="N595" s="698"/>
    </row>
    <row r="596" spans="1:21">
      <c r="A596" s="54" t="s">
        <v>13</v>
      </c>
      <c r="B596" s="765">
        <v>1</v>
      </c>
      <c r="C596" s="766"/>
      <c r="D596" s="630">
        <f t="shared" si="109"/>
        <v>8993.4876000000004</v>
      </c>
      <c r="E596" s="631"/>
      <c r="F596" s="743">
        <f>0.0276*B596</f>
        <v>2.76E-2</v>
      </c>
      <c r="G596" s="696"/>
      <c r="H596" s="427">
        <f>F596*15</f>
        <v>0.41399999999999998</v>
      </c>
      <c r="I596" s="96">
        <v>0</v>
      </c>
      <c r="J596" s="96">
        <v>0</v>
      </c>
      <c r="K596" s="96">
        <f>B596*250</f>
        <v>250</v>
      </c>
      <c r="L596" s="106">
        <f>I596+J596+K596</f>
        <v>250</v>
      </c>
      <c r="M596" s="697">
        <f>L596/(F596*427)</f>
        <v>21.213046872348368</v>
      </c>
      <c r="N596" s="698"/>
    </row>
    <row r="597" spans="1:21">
      <c r="A597" s="53" t="s">
        <v>47</v>
      </c>
      <c r="B597" s="765">
        <v>0</v>
      </c>
      <c r="C597" s="766"/>
      <c r="D597" s="630">
        <f t="shared" si="109"/>
        <v>0</v>
      </c>
      <c r="E597" s="631"/>
      <c r="F597" s="743">
        <f>0.1534*B597</f>
        <v>0</v>
      </c>
      <c r="G597" s="696"/>
      <c r="H597" s="427">
        <f>F597*5</f>
        <v>0</v>
      </c>
      <c r="I597" s="96">
        <v>0</v>
      </c>
      <c r="J597" s="96">
        <v>0</v>
      </c>
      <c r="K597" s="96">
        <v>0</v>
      </c>
      <c r="L597" s="106">
        <f>I597+J597+K597</f>
        <v>0</v>
      </c>
      <c r="M597" s="697">
        <v>0</v>
      </c>
      <c r="N597" s="698"/>
    </row>
    <row r="598" spans="1:21">
      <c r="A598" s="53" t="s">
        <v>16</v>
      </c>
      <c r="B598" s="765">
        <v>0</v>
      </c>
      <c r="C598" s="766"/>
      <c r="D598" s="630">
        <f t="shared" si="109"/>
        <v>0</v>
      </c>
      <c r="E598" s="631"/>
      <c r="F598" s="743">
        <f>0.004*B598</f>
        <v>0</v>
      </c>
      <c r="G598" s="696"/>
      <c r="H598" s="427">
        <f>F598*5</f>
        <v>0</v>
      </c>
      <c r="I598" s="96">
        <v>0</v>
      </c>
      <c r="J598" s="96">
        <v>0</v>
      </c>
      <c r="K598" s="96">
        <v>0</v>
      </c>
      <c r="L598" s="106">
        <f>I598+J598+K598</f>
        <v>0</v>
      </c>
      <c r="M598" s="697">
        <v>0</v>
      </c>
      <c r="N598" s="698"/>
    </row>
    <row r="599" spans="1:21" ht="17" thickBot="1">
      <c r="A599" s="54" t="s">
        <v>69</v>
      </c>
      <c r="B599" s="765">
        <v>3</v>
      </c>
      <c r="C599" s="766"/>
      <c r="D599" s="630">
        <f t="shared" si="109"/>
        <v>3128169.6000000006</v>
      </c>
      <c r="E599" s="631"/>
      <c r="F599" s="743">
        <f>3.2*B599</f>
        <v>9.6000000000000014</v>
      </c>
      <c r="G599" s="696"/>
      <c r="H599" s="427">
        <v>148</v>
      </c>
      <c r="I599" s="96">
        <v>0</v>
      </c>
      <c r="J599" s="96">
        <v>0</v>
      </c>
      <c r="K599" s="96">
        <f>B599*2000</f>
        <v>6000</v>
      </c>
      <c r="L599" s="106">
        <f>I599+J599+K599</f>
        <v>6000</v>
      </c>
      <c r="M599" s="697">
        <f>L599/(F599*427)</f>
        <v>1.4637002341920373</v>
      </c>
      <c r="N599" s="698"/>
    </row>
    <row r="600" spans="1:21" s="274" customFormat="1" ht="17" thickBot="1">
      <c r="A600" s="40" t="s">
        <v>60</v>
      </c>
      <c r="B600" s="644">
        <f>SUM(B594:C599)</f>
        <v>9</v>
      </c>
      <c r="C600" s="706"/>
      <c r="D600" s="645">
        <f>SUM(D593:E599)</f>
        <v>3193698.2361000003</v>
      </c>
      <c r="E600" s="706"/>
      <c r="F600" s="726">
        <f>SUM(F593:G599)</f>
        <v>9.8011000000000017</v>
      </c>
      <c r="G600" s="708"/>
      <c r="H600" s="217">
        <f>SUM(H594:H599)</f>
        <v>151.88400000000001</v>
      </c>
      <c r="I600" s="91">
        <f>SUM(I594:I599)</f>
        <v>0</v>
      </c>
      <c r="J600" s="91">
        <f>SUM(J594:J599)</f>
        <v>0</v>
      </c>
      <c r="K600" s="91">
        <f>SUM(K594:K599)</f>
        <v>6250</v>
      </c>
      <c r="L600" s="98">
        <f>SUM(L594:L599)</f>
        <v>6250</v>
      </c>
      <c r="M600" s="753"/>
      <c r="N600" s="732"/>
      <c r="O600" s="613"/>
      <c r="P600" s="613"/>
      <c r="Q600" s="613"/>
      <c r="R600" s="613"/>
      <c r="S600" s="613"/>
      <c r="T600" s="613"/>
      <c r="U600" s="613"/>
    </row>
    <row r="601" spans="1:21" s="530" customFormat="1" ht="17" thickBot="1">
      <c r="A601" s="538" t="s">
        <v>17</v>
      </c>
      <c r="B601" s="761">
        <f>B589+B592+B600</f>
        <v>1664</v>
      </c>
      <c r="C601" s="762"/>
      <c r="D601" s="759">
        <f>SUM(D600,D592,D589)</f>
        <v>21368871.6567</v>
      </c>
      <c r="E601" s="760"/>
      <c r="F601" s="763">
        <f>SUM(F600,F592,F589)</f>
        <v>65.578603958269412</v>
      </c>
      <c r="G601" s="764"/>
      <c r="H601" s="575">
        <f>336+740+152</f>
        <v>1228</v>
      </c>
      <c r="I601" s="576">
        <f>I600+I592+I589</f>
        <v>0</v>
      </c>
      <c r="J601" s="539">
        <f>J589+J592+J600</f>
        <v>114170</v>
      </c>
      <c r="K601" s="539">
        <f>K589+K592+K600</f>
        <v>117630</v>
      </c>
      <c r="L601" s="539">
        <f>L589+L592+L600</f>
        <v>231800</v>
      </c>
      <c r="M601" s="757"/>
      <c r="N601" s="758"/>
      <c r="O601" s="135"/>
      <c r="P601" s="135"/>
      <c r="Q601" s="135"/>
      <c r="R601" s="135"/>
      <c r="S601" s="135"/>
      <c r="T601" s="135"/>
      <c r="U601" s="135"/>
    </row>
    <row r="602" spans="1:21">
      <c r="H602" s="323"/>
    </row>
    <row r="603" spans="1:21" ht="18">
      <c r="A603" s="171" t="s">
        <v>167</v>
      </c>
      <c r="B603" s="690" t="s">
        <v>59</v>
      </c>
      <c r="C603" s="690"/>
      <c r="D603" s="690"/>
      <c r="E603" s="691"/>
    </row>
    <row r="604" spans="1:21">
      <c r="B604" s="692" t="s">
        <v>19</v>
      </c>
      <c r="C604" s="692"/>
      <c r="D604" s="692"/>
      <c r="E604" s="692"/>
    </row>
    <row r="605" spans="1:21" ht="17" thickBot="1">
      <c r="B605" s="286"/>
      <c r="C605" s="286"/>
      <c r="D605" s="286"/>
      <c r="E605" s="286"/>
    </row>
    <row r="606" spans="1:21">
      <c r="A606" s="63"/>
      <c r="B606" s="64"/>
      <c r="C606" s="64"/>
      <c r="D606" s="64"/>
      <c r="E606" s="64"/>
      <c r="F606" s="200"/>
      <c r="G606" s="200"/>
      <c r="H606" s="200"/>
      <c r="I606" s="670" t="s">
        <v>0</v>
      </c>
      <c r="J606" s="670"/>
      <c r="K606" s="670"/>
      <c r="L606" s="670"/>
      <c r="M606" s="64"/>
      <c r="N606" s="65"/>
    </row>
    <row r="607" spans="1:21">
      <c r="A607" s="62"/>
      <c r="B607" s="671" t="s">
        <v>1</v>
      </c>
      <c r="C607" s="671"/>
      <c r="D607" s="671" t="s">
        <v>2</v>
      </c>
      <c r="E607" s="671"/>
      <c r="F607" s="672" t="s">
        <v>3</v>
      </c>
      <c r="G607" s="672"/>
      <c r="H607" s="207" t="s">
        <v>3</v>
      </c>
      <c r="I607" s="78" t="s">
        <v>135</v>
      </c>
      <c r="J607" s="66"/>
      <c r="K607" s="66"/>
      <c r="L607" s="79"/>
      <c r="M607" s="671" t="s">
        <v>4</v>
      </c>
      <c r="N607" s="674"/>
    </row>
    <row r="608" spans="1:21" ht="19" thickBot="1">
      <c r="A608" s="67" t="s">
        <v>5</v>
      </c>
      <c r="B608" s="675" t="s">
        <v>6</v>
      </c>
      <c r="C608" s="675"/>
      <c r="D608" s="675" t="s">
        <v>7</v>
      </c>
      <c r="E608" s="675"/>
      <c r="F608" s="676" t="s">
        <v>7</v>
      </c>
      <c r="G608" s="676"/>
      <c r="H608" s="208" t="s">
        <v>58</v>
      </c>
      <c r="I608" s="185" t="s">
        <v>136</v>
      </c>
      <c r="J608" s="184" t="s">
        <v>8</v>
      </c>
      <c r="K608" s="184" t="s">
        <v>9</v>
      </c>
      <c r="L608" s="187" t="s">
        <v>10</v>
      </c>
      <c r="M608" s="675" t="s">
        <v>103</v>
      </c>
      <c r="N608" s="678"/>
    </row>
    <row r="609" spans="1:21" ht="24" thickBot="1">
      <c r="A609" s="60" t="s">
        <v>99</v>
      </c>
      <c r="B609" s="735"/>
      <c r="C609" s="736"/>
      <c r="D609" s="737"/>
      <c r="E609" s="738"/>
      <c r="F609" s="739"/>
      <c r="G609" s="740"/>
      <c r="H609" s="223"/>
      <c r="I609" s="166"/>
      <c r="J609" s="166"/>
      <c r="K609" s="166"/>
      <c r="L609" s="167"/>
      <c r="M609" s="741"/>
      <c r="N609" s="742"/>
    </row>
    <row r="610" spans="1:21" s="530" customFormat="1" ht="17" thickBot="1">
      <c r="A610" s="71" t="s">
        <v>61</v>
      </c>
      <c r="B610" s="663"/>
      <c r="C610" s="716"/>
      <c r="D610" s="729"/>
      <c r="E610" s="716"/>
      <c r="F610" s="717"/>
      <c r="G610" s="718"/>
      <c r="H610" s="524"/>
      <c r="I610" s="72"/>
      <c r="J610" s="72"/>
      <c r="K610" s="72"/>
      <c r="L610" s="521"/>
      <c r="M610" s="719"/>
      <c r="N610" s="689"/>
      <c r="O610" s="135"/>
      <c r="P610" s="135"/>
      <c r="Q610" s="135"/>
      <c r="R610" s="135"/>
      <c r="S610" s="135"/>
      <c r="T610" s="135"/>
      <c r="U610" s="135"/>
    </row>
    <row r="611" spans="1:21">
      <c r="A611" s="54" t="s">
        <v>62</v>
      </c>
      <c r="B611" s="765">
        <v>405</v>
      </c>
      <c r="C611" s="766"/>
      <c r="D611" s="630">
        <f>F611*325851</f>
        <v>4579347.0285</v>
      </c>
      <c r="E611" s="631"/>
      <c r="F611" s="695">
        <f>0.0347*B611</f>
        <v>14.053500000000001</v>
      </c>
      <c r="G611" s="696"/>
      <c r="H611" s="427">
        <f>F611*20</f>
        <v>281.07000000000005</v>
      </c>
      <c r="I611" s="96">
        <v>0</v>
      </c>
      <c r="J611" s="96">
        <v>810</v>
      </c>
      <c r="K611" s="96">
        <v>24300</v>
      </c>
      <c r="L611" s="106">
        <f t="shared" ref="L611:L618" si="110">I611+J611+K611</f>
        <v>25110</v>
      </c>
      <c r="M611" s="791">
        <v>4.7</v>
      </c>
      <c r="N611" s="792"/>
    </row>
    <row r="612" spans="1:21">
      <c r="A612" s="54" t="s">
        <v>63</v>
      </c>
      <c r="B612" s="765">
        <v>22</v>
      </c>
      <c r="C612" s="766"/>
      <c r="D612" s="630">
        <f>F612*325851</f>
        <v>248754.65340000004</v>
      </c>
      <c r="E612" s="631"/>
      <c r="F612" s="695">
        <f>0.0347*B612</f>
        <v>0.76340000000000008</v>
      </c>
      <c r="G612" s="696"/>
      <c r="H612" s="427">
        <f>F612*20</f>
        <v>15.268000000000001</v>
      </c>
      <c r="I612" s="96">
        <v>0</v>
      </c>
      <c r="J612" s="96">
        <v>242</v>
      </c>
      <c r="K612" s="96">
        <v>1320</v>
      </c>
      <c r="L612" s="106">
        <f t="shared" si="110"/>
        <v>1562</v>
      </c>
      <c r="M612" s="791">
        <v>5.3</v>
      </c>
      <c r="N612" s="792"/>
    </row>
    <row r="613" spans="1:21">
      <c r="A613" s="54" t="s">
        <v>64</v>
      </c>
      <c r="B613" s="765">
        <v>201</v>
      </c>
      <c r="C613" s="766"/>
      <c r="D613" s="630">
        <f>F613*325851</f>
        <v>2272712.9697000002</v>
      </c>
      <c r="E613" s="631"/>
      <c r="F613" s="743">
        <f>0.0347*B613</f>
        <v>6.9747000000000003</v>
      </c>
      <c r="G613" s="696"/>
      <c r="H613" s="427">
        <f>F613*20</f>
        <v>139.494</v>
      </c>
      <c r="I613" s="96">
        <v>0</v>
      </c>
      <c r="J613" s="96">
        <v>201</v>
      </c>
      <c r="K613" s="96">
        <v>12060</v>
      </c>
      <c r="L613" s="106">
        <f t="shared" si="110"/>
        <v>12261</v>
      </c>
      <c r="M613" s="791">
        <v>4.5999999999999996</v>
      </c>
      <c r="N613" s="792"/>
    </row>
    <row r="614" spans="1:21">
      <c r="A614" s="54" t="s">
        <v>13</v>
      </c>
      <c r="B614" s="765">
        <v>226</v>
      </c>
      <c r="C614" s="766"/>
      <c r="D614" s="630">
        <f>F614*325851</f>
        <v>2032528.1975999998</v>
      </c>
      <c r="E614" s="631"/>
      <c r="F614" s="743">
        <f>0.0276*B614</f>
        <v>6.2375999999999996</v>
      </c>
      <c r="G614" s="696"/>
      <c r="H614" s="427">
        <f>F614*15</f>
        <v>93.563999999999993</v>
      </c>
      <c r="I614" s="96">
        <v>0</v>
      </c>
      <c r="J614" s="96">
        <v>226</v>
      </c>
      <c r="K614" s="96">
        <v>24860</v>
      </c>
      <c r="L614" s="106">
        <f>I614+J614+K614</f>
        <v>25086</v>
      </c>
      <c r="M614" s="791">
        <v>5.7</v>
      </c>
      <c r="N614" s="792"/>
    </row>
    <row r="615" spans="1:21" ht="17" thickBot="1">
      <c r="A615" s="53" t="s">
        <v>14</v>
      </c>
      <c r="B615" s="765">
        <v>28</v>
      </c>
      <c r="C615" s="766"/>
      <c r="D615" s="694">
        <v>802854</v>
      </c>
      <c r="E615" s="631"/>
      <c r="F615" s="743">
        <v>2.46</v>
      </c>
      <c r="G615" s="696"/>
      <c r="H615" s="427">
        <f>F615*5</f>
        <v>12.3</v>
      </c>
      <c r="I615" s="96">
        <v>0</v>
      </c>
      <c r="J615" s="96">
        <v>1484</v>
      </c>
      <c r="K615" s="96">
        <v>0</v>
      </c>
      <c r="L615" s="106">
        <f>I615+J615+K615</f>
        <v>1484</v>
      </c>
      <c r="M615" s="791">
        <v>2.4</v>
      </c>
      <c r="N615" s="792"/>
    </row>
    <row r="616" spans="1:21" s="274" customFormat="1" ht="17" thickBot="1">
      <c r="A616" s="40" t="s">
        <v>60</v>
      </c>
      <c r="B616" s="644">
        <f>SUM(B611:C615)</f>
        <v>882</v>
      </c>
      <c r="C616" s="706"/>
      <c r="D616" s="644">
        <f>SUM(D611:E615)</f>
        <v>9936196.849200001</v>
      </c>
      <c r="E616" s="706"/>
      <c r="F616" s="707">
        <f>SUM(F611:G615)</f>
        <v>30.489200000000004</v>
      </c>
      <c r="G616" s="708"/>
      <c r="H616" s="310">
        <f>SUM(H611:H615)</f>
        <v>541.69600000000003</v>
      </c>
      <c r="I616" s="86">
        <f>SUM(I611:I615)</f>
        <v>0</v>
      </c>
      <c r="J616" s="86">
        <f>SUM(J611:J615)</f>
        <v>2963</v>
      </c>
      <c r="K616" s="86">
        <f>SUM(K611:K615)</f>
        <v>62540</v>
      </c>
      <c r="L616" s="86">
        <f>SUM(L611:L615)</f>
        <v>65503</v>
      </c>
      <c r="M616" s="753"/>
      <c r="N616" s="732"/>
      <c r="O616" s="613"/>
      <c r="P616" s="613"/>
      <c r="Q616" s="613"/>
      <c r="R616" s="613"/>
      <c r="S616" s="613"/>
      <c r="T616" s="613"/>
      <c r="U616" s="613"/>
    </row>
    <row r="617" spans="1:21" s="530" customFormat="1" ht="17" thickBot="1">
      <c r="A617" s="71" t="s">
        <v>105</v>
      </c>
      <c r="B617" s="775"/>
      <c r="C617" s="776"/>
      <c r="D617" s="775"/>
      <c r="E617" s="776"/>
      <c r="F617" s="771"/>
      <c r="G617" s="772"/>
      <c r="H617" s="571"/>
      <c r="I617" s="572"/>
      <c r="J617" s="572"/>
      <c r="K617" s="572"/>
      <c r="L617" s="573"/>
      <c r="M617" s="755"/>
      <c r="N617" s="756"/>
      <c r="O617" s="135"/>
      <c r="P617" s="135"/>
      <c r="Q617" s="135"/>
      <c r="R617" s="135"/>
      <c r="S617" s="135"/>
      <c r="T617" s="135"/>
      <c r="U617" s="135"/>
    </row>
    <row r="618" spans="1:21" ht="17" thickBot="1">
      <c r="A618" s="54" t="s">
        <v>11</v>
      </c>
      <c r="B618" s="765">
        <v>512</v>
      </c>
      <c r="C618" s="766"/>
      <c r="D618" s="694">
        <f>F618*325851</f>
        <v>5789199.2064000005</v>
      </c>
      <c r="E618" s="631"/>
      <c r="F618" s="743">
        <f>0.0347*B618</f>
        <v>17.766400000000001</v>
      </c>
      <c r="G618" s="696"/>
      <c r="H618" s="427">
        <f>F618*20</f>
        <v>355.32800000000003</v>
      </c>
      <c r="I618" s="96">
        <v>0</v>
      </c>
      <c r="J618" s="96">
        <v>17408</v>
      </c>
      <c r="K618" s="96">
        <v>30720</v>
      </c>
      <c r="L618" s="106">
        <f t="shared" si="110"/>
        <v>48128</v>
      </c>
      <c r="M618" s="791">
        <v>4.2</v>
      </c>
      <c r="N618" s="792"/>
    </row>
    <row r="619" spans="1:21" s="274" customFormat="1" ht="17" thickBot="1">
      <c r="A619" s="40" t="s">
        <v>60</v>
      </c>
      <c r="B619" s="644">
        <f>SUM(B618)</f>
        <v>512</v>
      </c>
      <c r="C619" s="706"/>
      <c r="D619" s="644">
        <f>SUM(D618)</f>
        <v>5789199.2064000005</v>
      </c>
      <c r="E619" s="643"/>
      <c r="F619" s="707">
        <f>SUM(F618)</f>
        <v>17.766400000000001</v>
      </c>
      <c r="G619" s="708"/>
      <c r="H619" s="310">
        <f>SUM(H618)</f>
        <v>355.32800000000003</v>
      </c>
      <c r="I619" s="86">
        <f>SUM(I618)</f>
        <v>0</v>
      </c>
      <c r="J619" s="86">
        <f>SUM(J618)</f>
        <v>17408</v>
      </c>
      <c r="K619" s="86">
        <f>SUM(K618)</f>
        <v>30720</v>
      </c>
      <c r="L619" s="86">
        <f>SUM(L618)</f>
        <v>48128</v>
      </c>
      <c r="M619" s="753"/>
      <c r="N619" s="732"/>
      <c r="O619" s="613"/>
      <c r="P619" s="613"/>
      <c r="Q619" s="613"/>
      <c r="R619" s="613"/>
      <c r="S619" s="613"/>
      <c r="T619" s="613"/>
      <c r="U619" s="613"/>
    </row>
    <row r="620" spans="1:21" s="530" customFormat="1" ht="17" thickBot="1">
      <c r="A620" s="71" t="s">
        <v>50</v>
      </c>
      <c r="B620" s="775"/>
      <c r="C620" s="776"/>
      <c r="D620" s="775"/>
      <c r="E620" s="776"/>
      <c r="F620" s="771"/>
      <c r="G620" s="772"/>
      <c r="H620" s="571"/>
      <c r="I620" s="572"/>
      <c r="J620" s="572"/>
      <c r="K620" s="572"/>
      <c r="L620" s="573"/>
      <c r="M620" s="755"/>
      <c r="N620" s="756"/>
      <c r="O620" s="135"/>
      <c r="P620" s="135"/>
      <c r="Q620" s="135"/>
      <c r="R620" s="135"/>
      <c r="S620" s="135"/>
      <c r="T620" s="135"/>
      <c r="U620" s="135"/>
    </row>
    <row r="621" spans="1:21">
      <c r="A621" s="54" t="s">
        <v>13</v>
      </c>
      <c r="B621" s="765">
        <v>51</v>
      </c>
      <c r="C621" s="766"/>
      <c r="D621" s="694">
        <f>F621*325851</f>
        <v>458667.8676</v>
      </c>
      <c r="E621" s="631"/>
      <c r="F621" s="743">
        <f>0.0276*B621</f>
        <v>1.4076</v>
      </c>
      <c r="G621" s="696"/>
      <c r="H621" s="427">
        <f>F621*15</f>
        <v>21.114000000000001</v>
      </c>
      <c r="I621" s="96">
        <v>0</v>
      </c>
      <c r="J621" s="96">
        <v>0</v>
      </c>
      <c r="K621" s="96">
        <v>12750</v>
      </c>
      <c r="L621" s="106">
        <f>I621+J621+K621</f>
        <v>12750</v>
      </c>
      <c r="M621" s="697">
        <v>5</v>
      </c>
      <c r="N621" s="698"/>
    </row>
    <row r="622" spans="1:21">
      <c r="A622" s="53" t="s">
        <v>70</v>
      </c>
      <c r="B622" s="765">
        <v>7</v>
      </c>
      <c r="C622" s="766"/>
      <c r="D622" s="694">
        <f>F622*325851</f>
        <v>349898.80380000005</v>
      </c>
      <c r="E622" s="631"/>
      <c r="F622" s="743">
        <f>0.1534*B622</f>
        <v>1.0738000000000001</v>
      </c>
      <c r="G622" s="696"/>
      <c r="H622" s="427">
        <f>F622*5</f>
        <v>5.3690000000000007</v>
      </c>
      <c r="I622" s="96">
        <v>0</v>
      </c>
      <c r="J622" s="96">
        <v>0</v>
      </c>
      <c r="K622" s="96">
        <v>700</v>
      </c>
      <c r="L622" s="106">
        <f>I622+J622+K622</f>
        <v>700</v>
      </c>
      <c r="M622" s="791">
        <v>1.5</v>
      </c>
      <c r="N622" s="792"/>
    </row>
    <row r="623" spans="1:21">
      <c r="A623" s="53" t="s">
        <v>71</v>
      </c>
      <c r="B623" s="765">
        <v>82</v>
      </c>
      <c r="C623" s="766"/>
      <c r="D623" s="694">
        <f>F623*325851</f>
        <v>4098814.5588000002</v>
      </c>
      <c r="E623" s="631"/>
      <c r="F623" s="743">
        <f>0.1534*B623</f>
        <v>12.578800000000001</v>
      </c>
      <c r="G623" s="696"/>
      <c r="H623" s="427">
        <f>F623*5</f>
        <v>62.894000000000005</v>
      </c>
      <c r="I623" s="96">
        <v>0</v>
      </c>
      <c r="J623" s="96">
        <v>8200</v>
      </c>
      <c r="K623" s="96">
        <v>8200</v>
      </c>
      <c r="L623" s="106">
        <f>I623+J623+K623</f>
        <v>16400</v>
      </c>
      <c r="M623" s="791">
        <v>3.1</v>
      </c>
      <c r="N623" s="792"/>
    </row>
    <row r="624" spans="1:21" ht="17" thickBot="1">
      <c r="A624" s="53" t="s">
        <v>16</v>
      </c>
      <c r="B624" s="767">
        <v>0</v>
      </c>
      <c r="C624" s="768"/>
      <c r="D624" s="694">
        <f>F624*325851</f>
        <v>0</v>
      </c>
      <c r="E624" s="631"/>
      <c r="F624" s="743">
        <f>0.004*B624</f>
        <v>0</v>
      </c>
      <c r="G624" s="696"/>
      <c r="H624" s="427">
        <f>F624*5</f>
        <v>0</v>
      </c>
      <c r="I624" s="96">
        <v>0</v>
      </c>
      <c r="J624" s="96">
        <v>0</v>
      </c>
      <c r="K624" s="96">
        <v>0</v>
      </c>
      <c r="L624" s="106">
        <f>I624+J624+K624</f>
        <v>0</v>
      </c>
      <c r="M624" s="697">
        <v>0</v>
      </c>
      <c r="N624" s="698"/>
    </row>
    <row r="625" spans="1:21" s="274" customFormat="1" ht="17" thickBot="1">
      <c r="A625" s="40" t="s">
        <v>60</v>
      </c>
      <c r="B625" s="642">
        <f>SUM(B621:C624)</f>
        <v>140</v>
      </c>
      <c r="C625" s="706"/>
      <c r="D625" s="644">
        <f>SUM(D621:E624)</f>
        <v>4907381.2302000001</v>
      </c>
      <c r="E625" s="706"/>
      <c r="F625" s="707">
        <f>SUM(F621:G624)</f>
        <v>15.060200000000002</v>
      </c>
      <c r="G625" s="708"/>
      <c r="H625" s="230">
        <f>SUM(H621:H624)</f>
        <v>89.37700000000001</v>
      </c>
      <c r="I625" s="91">
        <f>SUM(I621:I624)</f>
        <v>0</v>
      </c>
      <c r="J625" s="98">
        <f>SUM(J621:J624)</f>
        <v>8200</v>
      </c>
      <c r="K625" s="180">
        <f>SUM(K621:K624)</f>
        <v>21650</v>
      </c>
      <c r="L625" s="91">
        <f>SUM(L621:L624)</f>
        <v>29850</v>
      </c>
      <c r="M625" s="753"/>
      <c r="N625" s="732"/>
      <c r="O625" s="613"/>
      <c r="P625" s="613"/>
      <c r="Q625" s="613"/>
      <c r="R625" s="613"/>
      <c r="S625" s="613"/>
      <c r="T625" s="613"/>
      <c r="U625" s="613"/>
    </row>
    <row r="626" spans="1:21" s="530" customFormat="1" ht="17" thickBot="1">
      <c r="A626" s="538" t="s">
        <v>17</v>
      </c>
      <c r="B626" s="761">
        <f>B616+B619+B625</f>
        <v>1534</v>
      </c>
      <c r="C626" s="762"/>
      <c r="D626" s="759">
        <f>SUM(D625,D616,D619)</f>
        <v>20632777.285800003</v>
      </c>
      <c r="E626" s="760"/>
      <c r="F626" s="763">
        <f>SUM(F625,F616,F619)</f>
        <v>63.31580000000001</v>
      </c>
      <c r="G626" s="764"/>
      <c r="H626" s="576">
        <f>H616+H619+H625</f>
        <v>986.40100000000007</v>
      </c>
      <c r="I626" s="539">
        <f>I616+I619+I625</f>
        <v>0</v>
      </c>
      <c r="J626" s="539">
        <f>J616+J619+J625</f>
        <v>28571</v>
      </c>
      <c r="K626" s="539">
        <f>K616+K619+K625</f>
        <v>114910</v>
      </c>
      <c r="L626" s="539">
        <f>L616+L619+L625</f>
        <v>143481</v>
      </c>
      <c r="M626" s="795"/>
      <c r="N626" s="796"/>
      <c r="O626" s="135"/>
      <c r="P626" s="135"/>
      <c r="Q626" s="135"/>
      <c r="R626" s="135"/>
      <c r="S626" s="135"/>
      <c r="T626" s="135"/>
      <c r="U626" s="135"/>
    </row>
    <row r="627" spans="1:21">
      <c r="M627" s="255"/>
      <c r="N627" s="255"/>
    </row>
    <row r="628" spans="1:21" ht="17" thickBot="1">
      <c r="M628" s="255"/>
      <c r="N628" s="255"/>
    </row>
    <row r="629" spans="1:21" ht="24" thickBot="1">
      <c r="A629" s="60" t="s">
        <v>100</v>
      </c>
      <c r="B629" s="174"/>
      <c r="C629" s="175"/>
      <c r="D629" s="176"/>
      <c r="E629" s="175"/>
      <c r="F629" s="227"/>
      <c r="G629" s="228"/>
      <c r="H629" s="228"/>
      <c r="I629" s="177"/>
      <c r="J629" s="177"/>
      <c r="K629" s="177"/>
      <c r="L629" s="177"/>
      <c r="M629" s="256"/>
      <c r="N629" s="257"/>
    </row>
    <row r="630" spans="1:21" s="530" customFormat="1" ht="17" thickBot="1">
      <c r="A630" s="71" t="s">
        <v>61</v>
      </c>
      <c r="B630" s="663"/>
      <c r="C630" s="716"/>
      <c r="D630" s="729"/>
      <c r="E630" s="716"/>
      <c r="F630" s="717"/>
      <c r="G630" s="718"/>
      <c r="H630" s="524"/>
      <c r="I630" s="72"/>
      <c r="J630" s="72"/>
      <c r="K630" s="72"/>
      <c r="L630" s="521"/>
      <c r="M630" s="755"/>
      <c r="N630" s="756"/>
      <c r="O630" s="135"/>
      <c r="P630" s="135"/>
      <c r="Q630" s="135"/>
      <c r="R630" s="135"/>
      <c r="S630" s="135"/>
      <c r="T630" s="135"/>
      <c r="U630" s="135"/>
    </row>
    <row r="631" spans="1:21">
      <c r="A631" s="54" t="s">
        <v>62</v>
      </c>
      <c r="B631" s="765">
        <v>537</v>
      </c>
      <c r="C631" s="766"/>
      <c r="D631" s="630">
        <f>F631*325851</f>
        <v>6071874.9489000002</v>
      </c>
      <c r="E631" s="631"/>
      <c r="F631" s="695">
        <f>0.0347*B631</f>
        <v>18.633900000000001</v>
      </c>
      <c r="G631" s="696"/>
      <c r="H631" s="427">
        <f>F631*20</f>
        <v>372.678</v>
      </c>
      <c r="I631" s="96">
        <v>0</v>
      </c>
      <c r="J631" s="96">
        <v>1074</v>
      </c>
      <c r="K631" s="96">
        <v>32220</v>
      </c>
      <c r="L631" s="96">
        <f>I631+J631+K631</f>
        <v>33294</v>
      </c>
      <c r="M631" s="791">
        <v>4.7</v>
      </c>
      <c r="N631" s="792"/>
    </row>
    <row r="632" spans="1:21">
      <c r="A632" s="54" t="s">
        <v>63</v>
      </c>
      <c r="B632" s="765">
        <v>174</v>
      </c>
      <c r="C632" s="766"/>
      <c r="D632" s="630">
        <f>F632*325851</f>
        <v>1967423.1678000002</v>
      </c>
      <c r="E632" s="631"/>
      <c r="F632" s="695">
        <f>0.0347*B632</f>
        <v>6.0378000000000007</v>
      </c>
      <c r="G632" s="696"/>
      <c r="H632" s="427">
        <f>F632*20</f>
        <v>120.75600000000001</v>
      </c>
      <c r="I632" s="96">
        <v>0</v>
      </c>
      <c r="J632" s="96">
        <v>1914</v>
      </c>
      <c r="K632" s="96">
        <v>10440</v>
      </c>
      <c r="L632" s="96">
        <f>I632+J632+K632</f>
        <v>12354</v>
      </c>
      <c r="M632" s="791">
        <v>5.3</v>
      </c>
      <c r="N632" s="792"/>
    </row>
    <row r="633" spans="1:21">
      <c r="A633" s="54" t="s">
        <v>64</v>
      </c>
      <c r="B633" s="765">
        <v>18</v>
      </c>
      <c r="C633" s="766"/>
      <c r="D633" s="630">
        <f>F633*325851</f>
        <v>203526.53460000001</v>
      </c>
      <c r="E633" s="631"/>
      <c r="F633" s="695">
        <f>0.0347*B633</f>
        <v>0.62460000000000004</v>
      </c>
      <c r="G633" s="696"/>
      <c r="H633" s="427">
        <f>F633*20</f>
        <v>12.492000000000001</v>
      </c>
      <c r="I633" s="96">
        <v>0</v>
      </c>
      <c r="J633" s="96">
        <v>18</v>
      </c>
      <c r="K633" s="96">
        <v>1080</v>
      </c>
      <c r="L633" s="96">
        <f>I633+J633+K633</f>
        <v>1098</v>
      </c>
      <c r="M633" s="791">
        <v>4.3</v>
      </c>
      <c r="N633" s="792"/>
    </row>
    <row r="634" spans="1:21">
      <c r="A634" s="54" t="s">
        <v>13</v>
      </c>
      <c r="B634" s="765">
        <v>189</v>
      </c>
      <c r="C634" s="766"/>
      <c r="D634" s="630">
        <f>F634*325851</f>
        <v>1699769.1564</v>
      </c>
      <c r="E634" s="631"/>
      <c r="F634" s="695">
        <f>0.0276*B634</f>
        <v>5.2164000000000001</v>
      </c>
      <c r="G634" s="696"/>
      <c r="H634" s="427">
        <f>F634*15</f>
        <v>78.246000000000009</v>
      </c>
      <c r="I634" s="96">
        <v>0</v>
      </c>
      <c r="J634" s="96">
        <v>189</v>
      </c>
      <c r="K634" s="96">
        <v>20790</v>
      </c>
      <c r="L634" s="96">
        <f>I634+J634+K634</f>
        <v>20979</v>
      </c>
      <c r="M634" s="791">
        <v>5.7</v>
      </c>
      <c r="N634" s="792"/>
    </row>
    <row r="635" spans="1:21" ht="17" thickBot="1">
      <c r="A635" s="54" t="s">
        <v>14</v>
      </c>
      <c r="B635" s="765">
        <v>29</v>
      </c>
      <c r="C635" s="766"/>
      <c r="D635" s="630">
        <v>1246986</v>
      </c>
      <c r="E635" s="631"/>
      <c r="F635" s="743">
        <v>3.83</v>
      </c>
      <c r="G635" s="696"/>
      <c r="H635" s="427">
        <f>F635*5</f>
        <v>19.149999999999999</v>
      </c>
      <c r="I635" s="96">
        <v>0</v>
      </c>
      <c r="J635" s="96">
        <v>1537</v>
      </c>
      <c r="K635" s="96">
        <v>0</v>
      </c>
      <c r="L635" s="96">
        <f>I635+J635+K635</f>
        <v>1537</v>
      </c>
      <c r="M635" s="791">
        <v>2.4</v>
      </c>
      <c r="N635" s="792"/>
    </row>
    <row r="636" spans="1:21" s="274" customFormat="1" ht="17" thickBot="1">
      <c r="A636" s="40" t="s">
        <v>60</v>
      </c>
      <c r="B636" s="644">
        <f>SUM(B631:C635)</f>
        <v>947</v>
      </c>
      <c r="C636" s="706"/>
      <c r="D636" s="645">
        <f>SUM(D631:E635)</f>
        <v>11189579.807700001</v>
      </c>
      <c r="E636" s="706"/>
      <c r="F636" s="707">
        <f>SUM(F631:G635)</f>
        <v>34.342700000000001</v>
      </c>
      <c r="G636" s="708"/>
      <c r="H636" s="310">
        <f>SUM(H631:H635)</f>
        <v>603.322</v>
      </c>
      <c r="I636" s="86">
        <f>SUM(I631:I635)</f>
        <v>0</v>
      </c>
      <c r="J636" s="86">
        <f>SUM(J631:J635)</f>
        <v>4732</v>
      </c>
      <c r="K636" s="86">
        <f>SUM(K631:K635)</f>
        <v>64530</v>
      </c>
      <c r="L636" s="86">
        <f>SUM(L631:L635)</f>
        <v>69262</v>
      </c>
      <c r="M636" s="753"/>
      <c r="N636" s="732"/>
      <c r="O636" s="613"/>
      <c r="P636" s="613"/>
      <c r="Q636" s="613"/>
      <c r="R636" s="613"/>
      <c r="S636" s="613"/>
      <c r="T636" s="613"/>
      <c r="U636" s="613"/>
    </row>
    <row r="637" spans="1:21" s="530" customFormat="1" ht="17" thickBot="1">
      <c r="A637" s="71" t="s">
        <v>105</v>
      </c>
      <c r="B637" s="775"/>
      <c r="C637" s="776"/>
      <c r="D637" s="777"/>
      <c r="E637" s="776"/>
      <c r="F637" s="771"/>
      <c r="G637" s="772"/>
      <c r="H637" s="571"/>
      <c r="I637" s="572"/>
      <c r="J637" s="572"/>
      <c r="K637" s="572"/>
      <c r="L637" s="573"/>
      <c r="M637" s="755"/>
      <c r="N637" s="756"/>
      <c r="O637" s="135"/>
      <c r="P637" s="135"/>
      <c r="Q637" s="135"/>
      <c r="R637" s="135"/>
      <c r="S637" s="135"/>
      <c r="T637" s="135"/>
      <c r="U637" s="135"/>
    </row>
    <row r="638" spans="1:21" ht="17" thickBot="1">
      <c r="A638" s="54" t="s">
        <v>11</v>
      </c>
      <c r="B638" s="765">
        <v>339</v>
      </c>
      <c r="C638" s="766"/>
      <c r="D638" s="630">
        <f>F638*325851</f>
        <v>3833083.0683000004</v>
      </c>
      <c r="E638" s="631"/>
      <c r="F638" s="743">
        <f>0.0347*B638</f>
        <v>11.763300000000001</v>
      </c>
      <c r="G638" s="696"/>
      <c r="H638" s="427">
        <f>F638*20</f>
        <v>235.26600000000002</v>
      </c>
      <c r="I638" s="96">
        <v>0</v>
      </c>
      <c r="J638" s="96">
        <v>11526</v>
      </c>
      <c r="K638" s="96">
        <v>20340</v>
      </c>
      <c r="L638" s="96">
        <f>I638+J638+K638</f>
        <v>31866</v>
      </c>
      <c r="M638" s="791">
        <v>4.2</v>
      </c>
      <c r="N638" s="792"/>
    </row>
    <row r="639" spans="1:21" s="274" customFormat="1" ht="17" thickBot="1">
      <c r="A639" s="40" t="s">
        <v>60</v>
      </c>
      <c r="B639" s="644">
        <f>SUM(B638)</f>
        <v>339</v>
      </c>
      <c r="C639" s="706"/>
      <c r="D639" s="645">
        <f>SUM(D638)</f>
        <v>3833083.0683000004</v>
      </c>
      <c r="E639" s="706"/>
      <c r="F639" s="707">
        <f>SUM(F638)</f>
        <v>11.763300000000001</v>
      </c>
      <c r="G639" s="708"/>
      <c r="H639" s="310">
        <f>SUM(H638)</f>
        <v>235.26600000000002</v>
      </c>
      <c r="I639" s="86">
        <f>SUM(I638)</f>
        <v>0</v>
      </c>
      <c r="J639" s="86">
        <f>SUM(J638)</f>
        <v>11526</v>
      </c>
      <c r="K639" s="86">
        <f>SUM(K638)</f>
        <v>20340</v>
      </c>
      <c r="L639" s="86">
        <f>SUM(L638)</f>
        <v>31866</v>
      </c>
      <c r="M639" s="753"/>
      <c r="N639" s="732"/>
      <c r="O639" s="613"/>
      <c r="P639" s="613"/>
      <c r="Q639" s="613"/>
      <c r="R639" s="613"/>
      <c r="S639" s="613"/>
      <c r="T639" s="613"/>
      <c r="U639" s="613"/>
    </row>
    <row r="640" spans="1:21" s="530" customFormat="1" ht="17" thickBot="1">
      <c r="A640" s="71" t="s">
        <v>50</v>
      </c>
      <c r="B640" s="775"/>
      <c r="C640" s="776"/>
      <c r="D640" s="777"/>
      <c r="E640" s="776"/>
      <c r="F640" s="771"/>
      <c r="G640" s="772"/>
      <c r="H640" s="571"/>
      <c r="I640" s="572"/>
      <c r="J640" s="572"/>
      <c r="K640" s="572"/>
      <c r="L640" s="573"/>
      <c r="M640" s="755"/>
      <c r="N640" s="756"/>
      <c r="O640" s="135"/>
      <c r="P640" s="135"/>
      <c r="Q640" s="135"/>
      <c r="R640" s="135"/>
      <c r="S640" s="135"/>
      <c r="T640" s="135"/>
      <c r="U640" s="135"/>
    </row>
    <row r="641" spans="1:21">
      <c r="A641" s="54" t="s">
        <v>13</v>
      </c>
      <c r="B641" s="765">
        <v>18</v>
      </c>
      <c r="C641" s="766"/>
      <c r="D641" s="630">
        <f>F641*325851</f>
        <v>161882.77679999999</v>
      </c>
      <c r="E641" s="631"/>
      <c r="F641" s="743">
        <f>0.0276*B641</f>
        <v>0.49680000000000002</v>
      </c>
      <c r="G641" s="696"/>
      <c r="H641" s="427">
        <f>F641*15</f>
        <v>7.452</v>
      </c>
      <c r="I641" s="96">
        <v>0</v>
      </c>
      <c r="J641" s="96">
        <v>0</v>
      </c>
      <c r="K641" s="96">
        <v>4500</v>
      </c>
      <c r="L641" s="96">
        <f>I641+J641+K641</f>
        <v>4500</v>
      </c>
      <c r="M641" s="634">
        <v>5.0999999999999996</v>
      </c>
      <c r="N641" s="635"/>
    </row>
    <row r="642" spans="1:21">
      <c r="A642" s="54" t="s">
        <v>15</v>
      </c>
      <c r="B642" s="765">
        <v>10</v>
      </c>
      <c r="C642" s="766"/>
      <c r="D642" s="630">
        <f>F642*325851</f>
        <v>499855.43400000001</v>
      </c>
      <c r="E642" s="631"/>
      <c r="F642" s="743">
        <f>0.1534*B642</f>
        <v>1.534</v>
      </c>
      <c r="G642" s="696"/>
      <c r="H642" s="427">
        <f>F642*5</f>
        <v>7.67</v>
      </c>
      <c r="I642" s="96">
        <v>0</v>
      </c>
      <c r="J642" s="96">
        <v>1000</v>
      </c>
      <c r="K642" s="96">
        <v>1000</v>
      </c>
      <c r="L642" s="96">
        <f>I642+J642+K642</f>
        <v>2000</v>
      </c>
      <c r="M642" s="791">
        <v>3.1</v>
      </c>
      <c r="N642" s="792"/>
    </row>
    <row r="643" spans="1:21">
      <c r="A643" s="53" t="s">
        <v>16</v>
      </c>
      <c r="B643" s="765">
        <v>141</v>
      </c>
      <c r="C643" s="766"/>
      <c r="D643" s="630">
        <f>F643*325851</f>
        <v>183779.96400000001</v>
      </c>
      <c r="E643" s="631"/>
      <c r="F643" s="743">
        <f>0.004*B643</f>
        <v>0.56400000000000006</v>
      </c>
      <c r="G643" s="696"/>
      <c r="H643" s="427">
        <f>F643*5</f>
        <v>2.8200000000000003</v>
      </c>
      <c r="I643" s="96">
        <v>0</v>
      </c>
      <c r="J643" s="96">
        <v>0</v>
      </c>
      <c r="K643" s="96">
        <v>7050</v>
      </c>
      <c r="L643" s="96">
        <f>I643+J643+K643</f>
        <v>7050</v>
      </c>
      <c r="M643" s="791">
        <v>1.5</v>
      </c>
      <c r="N643" s="792"/>
    </row>
    <row r="644" spans="1:21">
      <c r="A644" s="53" t="s">
        <v>12</v>
      </c>
      <c r="B644" s="765">
        <v>2</v>
      </c>
      <c r="C644" s="766"/>
      <c r="D644" s="630">
        <f>F644*325851</f>
        <v>2085446.4000000001</v>
      </c>
      <c r="E644" s="631"/>
      <c r="F644" s="743">
        <f>3.2*B644</f>
        <v>6.4</v>
      </c>
      <c r="G644" s="696"/>
      <c r="H644" s="427">
        <f>F644*5</f>
        <v>32</v>
      </c>
      <c r="I644" s="96">
        <v>0</v>
      </c>
      <c r="J644" s="96">
        <v>0</v>
      </c>
      <c r="K644" s="96">
        <v>4000</v>
      </c>
      <c r="L644" s="106">
        <f>I644+J644+K644</f>
        <v>4000</v>
      </c>
      <c r="M644" s="791">
        <v>1.6</v>
      </c>
      <c r="N644" s="792"/>
    </row>
    <row r="645" spans="1:21" ht="17" thickBot="1">
      <c r="A645" s="54" t="s">
        <v>21</v>
      </c>
      <c r="B645" s="765" t="s">
        <v>22</v>
      </c>
      <c r="C645" s="766"/>
      <c r="D645" s="630" t="s">
        <v>22</v>
      </c>
      <c r="E645" s="631"/>
      <c r="F645" s="743" t="s">
        <v>22</v>
      </c>
      <c r="G645" s="696"/>
      <c r="H645" s="427" t="s">
        <v>22</v>
      </c>
      <c r="I645" s="96" t="s">
        <v>22</v>
      </c>
      <c r="J645" s="96" t="s">
        <v>22</v>
      </c>
      <c r="K645" s="96" t="s">
        <v>22</v>
      </c>
      <c r="L645" s="96" t="s">
        <v>22</v>
      </c>
      <c r="M645" s="791" t="s">
        <v>22</v>
      </c>
      <c r="N645" s="792"/>
    </row>
    <row r="646" spans="1:21" s="274" customFormat="1" ht="17" thickBot="1">
      <c r="A646" s="40" t="s">
        <v>60</v>
      </c>
      <c r="B646" s="644">
        <f>SUM(B641:C645)</f>
        <v>171</v>
      </c>
      <c r="C646" s="706"/>
      <c r="D646" s="645">
        <f>SUM(D641:E645)</f>
        <v>2930964.5748000001</v>
      </c>
      <c r="E646" s="706"/>
      <c r="F646" s="707">
        <f>SUM(F641:G645)</f>
        <v>8.9948000000000015</v>
      </c>
      <c r="G646" s="708"/>
      <c r="H646" s="231">
        <f>SUM(H641:H645)</f>
        <v>49.942</v>
      </c>
      <c r="I646" s="86">
        <f>SUM(I641:I645)</f>
        <v>0</v>
      </c>
      <c r="J646" s="86">
        <f>SUM(J641:J645)</f>
        <v>1000</v>
      </c>
      <c r="K646" s="86">
        <f>SUM(K641:K645)</f>
        <v>16550</v>
      </c>
      <c r="L646" s="86">
        <f>SUM(L641:L645)</f>
        <v>17550</v>
      </c>
      <c r="M646" s="793"/>
      <c r="N646" s="794"/>
      <c r="O646" s="613"/>
      <c r="P646" s="613"/>
      <c r="Q646" s="613"/>
      <c r="R646" s="613"/>
      <c r="S646" s="613"/>
      <c r="T646" s="613"/>
      <c r="U646" s="613"/>
    </row>
    <row r="647" spans="1:21" s="530" customFormat="1" ht="17" thickBot="1">
      <c r="A647" s="538" t="s">
        <v>17</v>
      </c>
      <c r="B647" s="761">
        <f>B636+B639+B646</f>
        <v>1457</v>
      </c>
      <c r="C647" s="762"/>
      <c r="D647" s="759">
        <f>SUM(D646,D639,D636)</f>
        <v>17953627.450800002</v>
      </c>
      <c r="E647" s="762"/>
      <c r="F647" s="763">
        <f>SUM(F646,F639,F636)</f>
        <v>55.100800000000007</v>
      </c>
      <c r="G647" s="764"/>
      <c r="H647" s="576">
        <f>SUM(F647,H636,H639,H646)</f>
        <v>943.63080000000014</v>
      </c>
      <c r="I647" s="539">
        <f>I636+I639+I646</f>
        <v>0</v>
      </c>
      <c r="J647" s="539">
        <f>J636+J639+J646</f>
        <v>17258</v>
      </c>
      <c r="K647" s="539">
        <f>K636+K639+K646</f>
        <v>101420</v>
      </c>
      <c r="L647" s="539">
        <f>L636+L639+L646</f>
        <v>118678</v>
      </c>
      <c r="M647" s="757"/>
      <c r="N647" s="758"/>
      <c r="O647" s="135"/>
      <c r="P647" s="135"/>
      <c r="Q647" s="135"/>
      <c r="R647" s="135"/>
      <c r="S647" s="135"/>
      <c r="T647" s="135"/>
      <c r="U647" s="135"/>
    </row>
    <row r="649" spans="1:21" ht="18">
      <c r="A649" s="171" t="s">
        <v>167</v>
      </c>
      <c r="B649" s="690" t="s">
        <v>59</v>
      </c>
      <c r="C649" s="690"/>
      <c r="D649" s="690"/>
      <c r="E649" s="691"/>
    </row>
    <row r="650" spans="1:21">
      <c r="B650" s="692" t="s">
        <v>19</v>
      </c>
      <c r="C650" s="692"/>
      <c r="D650" s="692"/>
      <c r="E650" s="692"/>
    </row>
  </sheetData>
  <mergeCells count="2298">
    <mergeCell ref="B37:C37"/>
    <mergeCell ref="D37:E37"/>
    <mergeCell ref="F37:G37"/>
    <mergeCell ref="M37:N37"/>
    <mergeCell ref="B39:E39"/>
    <mergeCell ref="B40:E40"/>
    <mergeCell ref="B32:C32"/>
    <mergeCell ref="D32:E32"/>
    <mergeCell ref="F32:G32"/>
    <mergeCell ref="M32:N32"/>
    <mergeCell ref="B33:C33"/>
    <mergeCell ref="D33:E33"/>
    <mergeCell ref="F33:G33"/>
    <mergeCell ref="M33:N33"/>
    <mergeCell ref="B34:C34"/>
    <mergeCell ref="D34:E34"/>
    <mergeCell ref="F34:G34"/>
    <mergeCell ref="B35:C35"/>
    <mergeCell ref="D35:E35"/>
    <mergeCell ref="F35:G35"/>
    <mergeCell ref="M35:N35"/>
    <mergeCell ref="B36:C36"/>
    <mergeCell ref="D36:E36"/>
    <mergeCell ref="F36:G36"/>
    <mergeCell ref="M36:N36"/>
    <mergeCell ref="B27:C27"/>
    <mergeCell ref="D27:E27"/>
    <mergeCell ref="F27:G27"/>
    <mergeCell ref="M27:N27"/>
    <mergeCell ref="B28:C28"/>
    <mergeCell ref="D28:E28"/>
    <mergeCell ref="F28:G28"/>
    <mergeCell ref="M28:N28"/>
    <mergeCell ref="B29:C29"/>
    <mergeCell ref="D29:E29"/>
    <mergeCell ref="F29:G29"/>
    <mergeCell ref="M29:N29"/>
    <mergeCell ref="B30:C30"/>
    <mergeCell ref="D30:E30"/>
    <mergeCell ref="F30:G30"/>
    <mergeCell ref="M30:N30"/>
    <mergeCell ref="B31:C31"/>
    <mergeCell ref="D31:E31"/>
    <mergeCell ref="F31:G31"/>
    <mergeCell ref="M31:N31"/>
    <mergeCell ref="B22:C22"/>
    <mergeCell ref="D22:E22"/>
    <mergeCell ref="F22:G22"/>
    <mergeCell ref="M22:N22"/>
    <mergeCell ref="B23:C23"/>
    <mergeCell ref="D23:E23"/>
    <mergeCell ref="F23:G23"/>
    <mergeCell ref="M23:N23"/>
    <mergeCell ref="B24:C24"/>
    <mergeCell ref="D24:E24"/>
    <mergeCell ref="F24:G24"/>
    <mergeCell ref="M24:N24"/>
    <mergeCell ref="B25:C25"/>
    <mergeCell ref="D25:E25"/>
    <mergeCell ref="F25:G25"/>
    <mergeCell ref="M25:N25"/>
    <mergeCell ref="B26:C26"/>
    <mergeCell ref="D26:E26"/>
    <mergeCell ref="F26:G26"/>
    <mergeCell ref="M26:N26"/>
    <mergeCell ref="B16:C16"/>
    <mergeCell ref="D16:E16"/>
    <mergeCell ref="F16:G16"/>
    <mergeCell ref="M16:N16"/>
    <mergeCell ref="B17:C17"/>
    <mergeCell ref="D17:E17"/>
    <mergeCell ref="F17:G17"/>
    <mergeCell ref="M17:N17"/>
    <mergeCell ref="B18:C18"/>
    <mergeCell ref="D18:E18"/>
    <mergeCell ref="F18:G18"/>
    <mergeCell ref="M18:N18"/>
    <mergeCell ref="B20:C20"/>
    <mergeCell ref="D20:E20"/>
    <mergeCell ref="F20:G20"/>
    <mergeCell ref="M20:N20"/>
    <mergeCell ref="B21:C21"/>
    <mergeCell ref="D21:E21"/>
    <mergeCell ref="F21:G21"/>
    <mergeCell ref="B19:C19"/>
    <mergeCell ref="D19:E19"/>
    <mergeCell ref="F19:G19"/>
    <mergeCell ref="M19:N19"/>
    <mergeCell ref="B11:C11"/>
    <mergeCell ref="D11:E11"/>
    <mergeCell ref="F11:G11"/>
    <mergeCell ref="M11:N11"/>
    <mergeCell ref="B12:C12"/>
    <mergeCell ref="D12:E12"/>
    <mergeCell ref="F12:G12"/>
    <mergeCell ref="M12:N12"/>
    <mergeCell ref="B13:C13"/>
    <mergeCell ref="D13:E13"/>
    <mergeCell ref="F13:G13"/>
    <mergeCell ref="M13:N13"/>
    <mergeCell ref="B14:C14"/>
    <mergeCell ref="D14:E14"/>
    <mergeCell ref="F14:G14"/>
    <mergeCell ref="B15:C15"/>
    <mergeCell ref="D15:E15"/>
    <mergeCell ref="F15:G15"/>
    <mergeCell ref="M15:N15"/>
    <mergeCell ref="B6:C6"/>
    <mergeCell ref="D6:E6"/>
    <mergeCell ref="F6:G6"/>
    <mergeCell ref="M6:N6"/>
    <mergeCell ref="B7:C7"/>
    <mergeCell ref="D7:E7"/>
    <mergeCell ref="F7:G7"/>
    <mergeCell ref="M7:N7"/>
    <mergeCell ref="B8:C8"/>
    <mergeCell ref="D8:E8"/>
    <mergeCell ref="F8:G8"/>
    <mergeCell ref="M8:N8"/>
    <mergeCell ref="B9:C9"/>
    <mergeCell ref="D9:E9"/>
    <mergeCell ref="F9:G9"/>
    <mergeCell ref="M9:N9"/>
    <mergeCell ref="B10:C10"/>
    <mergeCell ref="D10:E10"/>
    <mergeCell ref="F10:G10"/>
    <mergeCell ref="M10:N10"/>
    <mergeCell ref="I1:L1"/>
    <mergeCell ref="B2:C2"/>
    <mergeCell ref="D2:E2"/>
    <mergeCell ref="F2:G2"/>
    <mergeCell ref="M2:N2"/>
    <mergeCell ref="B3:C3"/>
    <mergeCell ref="D3:E3"/>
    <mergeCell ref="F3:G3"/>
    <mergeCell ref="M3:N3"/>
    <mergeCell ref="B4:C4"/>
    <mergeCell ref="D4:E4"/>
    <mergeCell ref="F4:G4"/>
    <mergeCell ref="M4:N4"/>
    <mergeCell ref="B5:C5"/>
    <mergeCell ref="D5:E5"/>
    <mergeCell ref="F5:G5"/>
    <mergeCell ref="M5:N5"/>
    <mergeCell ref="B116:C116"/>
    <mergeCell ref="D116:E116"/>
    <mergeCell ref="F116:G116"/>
    <mergeCell ref="M116:N116"/>
    <mergeCell ref="B118:E118"/>
    <mergeCell ref="B119:E119"/>
    <mergeCell ref="B110:C110"/>
    <mergeCell ref="D110:E110"/>
    <mergeCell ref="F110:G110"/>
    <mergeCell ref="M110:N110"/>
    <mergeCell ref="B111:C111"/>
    <mergeCell ref="D111:E111"/>
    <mergeCell ref="F111:G111"/>
    <mergeCell ref="M111:N111"/>
    <mergeCell ref="B112:C112"/>
    <mergeCell ref="D112:E112"/>
    <mergeCell ref="F112:G112"/>
    <mergeCell ref="M112:N112"/>
    <mergeCell ref="B113:C113"/>
    <mergeCell ref="D113:E113"/>
    <mergeCell ref="F113:G113"/>
    <mergeCell ref="B114:C114"/>
    <mergeCell ref="D114:E114"/>
    <mergeCell ref="F114:G114"/>
    <mergeCell ref="M114:N114"/>
    <mergeCell ref="B106:C106"/>
    <mergeCell ref="D106:E106"/>
    <mergeCell ref="F106:G106"/>
    <mergeCell ref="M106:N106"/>
    <mergeCell ref="B107:C107"/>
    <mergeCell ref="D107:E107"/>
    <mergeCell ref="F107:G107"/>
    <mergeCell ref="M107:N107"/>
    <mergeCell ref="B108:C108"/>
    <mergeCell ref="D108:E108"/>
    <mergeCell ref="F108:G108"/>
    <mergeCell ref="M108:N108"/>
    <mergeCell ref="B109:C109"/>
    <mergeCell ref="D109:E109"/>
    <mergeCell ref="F109:G109"/>
    <mergeCell ref="M109:N109"/>
    <mergeCell ref="B115:C115"/>
    <mergeCell ref="D115:E115"/>
    <mergeCell ref="F115:G115"/>
    <mergeCell ref="M115:N115"/>
    <mergeCell ref="B101:C101"/>
    <mergeCell ref="D101:E101"/>
    <mergeCell ref="F101:G101"/>
    <mergeCell ref="M101:N101"/>
    <mergeCell ref="B102:C102"/>
    <mergeCell ref="D102:E102"/>
    <mergeCell ref="F102:G102"/>
    <mergeCell ref="M102:N102"/>
    <mergeCell ref="B103:C103"/>
    <mergeCell ref="D103:E103"/>
    <mergeCell ref="F103:G103"/>
    <mergeCell ref="M103:N103"/>
    <mergeCell ref="B104:C104"/>
    <mergeCell ref="D104:E104"/>
    <mergeCell ref="F104:G104"/>
    <mergeCell ref="M104:N104"/>
    <mergeCell ref="B105:C105"/>
    <mergeCell ref="D105:E105"/>
    <mergeCell ref="F105:G105"/>
    <mergeCell ref="M105:N105"/>
    <mergeCell ref="B96:C96"/>
    <mergeCell ref="D96:E96"/>
    <mergeCell ref="F96:G96"/>
    <mergeCell ref="M96:N96"/>
    <mergeCell ref="B97:C97"/>
    <mergeCell ref="D97:E97"/>
    <mergeCell ref="F97:G97"/>
    <mergeCell ref="M97:N97"/>
    <mergeCell ref="B98:C98"/>
    <mergeCell ref="D98:E98"/>
    <mergeCell ref="F98:G98"/>
    <mergeCell ref="M98:N98"/>
    <mergeCell ref="B99:C99"/>
    <mergeCell ref="D99:E99"/>
    <mergeCell ref="F99:G99"/>
    <mergeCell ref="M99:N99"/>
    <mergeCell ref="B100:C100"/>
    <mergeCell ref="D100:E100"/>
    <mergeCell ref="F100:G100"/>
    <mergeCell ref="B91:C91"/>
    <mergeCell ref="D91:E91"/>
    <mergeCell ref="F91:G91"/>
    <mergeCell ref="M91:N91"/>
    <mergeCell ref="B92:C92"/>
    <mergeCell ref="D92:E92"/>
    <mergeCell ref="F92:G92"/>
    <mergeCell ref="M92:N92"/>
    <mergeCell ref="B93:C93"/>
    <mergeCell ref="D93:E93"/>
    <mergeCell ref="F93:G93"/>
    <mergeCell ref="M93:N93"/>
    <mergeCell ref="B94:C94"/>
    <mergeCell ref="D94:E94"/>
    <mergeCell ref="F94:G94"/>
    <mergeCell ref="B95:C95"/>
    <mergeCell ref="D95:E95"/>
    <mergeCell ref="F95:G95"/>
    <mergeCell ref="M95:N95"/>
    <mergeCell ref="B86:C86"/>
    <mergeCell ref="D86:E86"/>
    <mergeCell ref="F86:G86"/>
    <mergeCell ref="M86:N86"/>
    <mergeCell ref="B87:C87"/>
    <mergeCell ref="D87:E87"/>
    <mergeCell ref="F87:G87"/>
    <mergeCell ref="M87:N87"/>
    <mergeCell ref="B88:C88"/>
    <mergeCell ref="D88:E88"/>
    <mergeCell ref="F88:G88"/>
    <mergeCell ref="M88:N88"/>
    <mergeCell ref="B89:C89"/>
    <mergeCell ref="D89:E89"/>
    <mergeCell ref="F89:G89"/>
    <mergeCell ref="M89:N89"/>
    <mergeCell ref="B90:C90"/>
    <mergeCell ref="D90:E90"/>
    <mergeCell ref="F90:G90"/>
    <mergeCell ref="M90:N90"/>
    <mergeCell ref="I81:L81"/>
    <mergeCell ref="B82:C82"/>
    <mergeCell ref="D82:E82"/>
    <mergeCell ref="F82:G82"/>
    <mergeCell ref="M82:N82"/>
    <mergeCell ref="B83:C83"/>
    <mergeCell ref="D83:E83"/>
    <mergeCell ref="F83:G83"/>
    <mergeCell ref="M83:N83"/>
    <mergeCell ref="B84:C84"/>
    <mergeCell ref="D84:E84"/>
    <mergeCell ref="F84:G84"/>
    <mergeCell ref="M84:N84"/>
    <mergeCell ref="B85:C85"/>
    <mergeCell ref="D85:E85"/>
    <mergeCell ref="F85:G85"/>
    <mergeCell ref="M85:N85"/>
    <mergeCell ref="B158:E158"/>
    <mergeCell ref="B159:E159"/>
    <mergeCell ref="B152:C152"/>
    <mergeCell ref="D152:E152"/>
    <mergeCell ref="F152:G152"/>
    <mergeCell ref="M152:N152"/>
    <mergeCell ref="B153:C153"/>
    <mergeCell ref="D153:E153"/>
    <mergeCell ref="F153:G153"/>
    <mergeCell ref="M153:N153"/>
    <mergeCell ref="B154:C154"/>
    <mergeCell ref="D154:E154"/>
    <mergeCell ref="F154:G154"/>
    <mergeCell ref="M154:N154"/>
    <mergeCell ref="B155:C155"/>
    <mergeCell ref="D155:E155"/>
    <mergeCell ref="F155:G155"/>
    <mergeCell ref="M155:N155"/>
    <mergeCell ref="B156:C156"/>
    <mergeCell ref="D156:E156"/>
    <mergeCell ref="F156:G156"/>
    <mergeCell ref="M156:N156"/>
    <mergeCell ref="B147:C147"/>
    <mergeCell ref="D147:E147"/>
    <mergeCell ref="F147:G147"/>
    <mergeCell ref="M147:N147"/>
    <mergeCell ref="B148:C148"/>
    <mergeCell ref="D148:E148"/>
    <mergeCell ref="F148:G148"/>
    <mergeCell ref="M148:N148"/>
    <mergeCell ref="B149:C149"/>
    <mergeCell ref="D149:E149"/>
    <mergeCell ref="F149:G149"/>
    <mergeCell ref="M149:N149"/>
    <mergeCell ref="B150:C150"/>
    <mergeCell ref="D150:E150"/>
    <mergeCell ref="F150:G150"/>
    <mergeCell ref="M150:N150"/>
    <mergeCell ref="B151:C151"/>
    <mergeCell ref="D151:E151"/>
    <mergeCell ref="F151:G151"/>
    <mergeCell ref="M151:N151"/>
    <mergeCell ref="B142:C142"/>
    <mergeCell ref="D142:E142"/>
    <mergeCell ref="F142:G142"/>
    <mergeCell ref="M142:N142"/>
    <mergeCell ref="B143:C143"/>
    <mergeCell ref="D143:E143"/>
    <mergeCell ref="F143:G143"/>
    <mergeCell ref="M143:N143"/>
    <mergeCell ref="B144:C144"/>
    <mergeCell ref="D144:E144"/>
    <mergeCell ref="F144:G144"/>
    <mergeCell ref="M144:N144"/>
    <mergeCell ref="B145:C145"/>
    <mergeCell ref="D145:E145"/>
    <mergeCell ref="F145:G145"/>
    <mergeCell ref="M145:N145"/>
    <mergeCell ref="B146:C146"/>
    <mergeCell ref="D146:E146"/>
    <mergeCell ref="F146:G146"/>
    <mergeCell ref="M146:N146"/>
    <mergeCell ref="B138:C138"/>
    <mergeCell ref="D138:E138"/>
    <mergeCell ref="F138:G138"/>
    <mergeCell ref="M138:N138"/>
    <mergeCell ref="B139:C139"/>
    <mergeCell ref="D139:E139"/>
    <mergeCell ref="F139:G139"/>
    <mergeCell ref="M139:N139"/>
    <mergeCell ref="B140:C140"/>
    <mergeCell ref="D140:E140"/>
    <mergeCell ref="F140:G140"/>
    <mergeCell ref="M140:N140"/>
    <mergeCell ref="B141:C141"/>
    <mergeCell ref="D141:E141"/>
    <mergeCell ref="F141:G141"/>
    <mergeCell ref="M141:N141"/>
    <mergeCell ref="B131:C131"/>
    <mergeCell ref="D131:E131"/>
    <mergeCell ref="F131:G131"/>
    <mergeCell ref="M131:N131"/>
    <mergeCell ref="B133:C133"/>
    <mergeCell ref="D133:E133"/>
    <mergeCell ref="F133:G133"/>
    <mergeCell ref="M133:N133"/>
    <mergeCell ref="B134:C134"/>
    <mergeCell ref="D134:E134"/>
    <mergeCell ref="F134:G134"/>
    <mergeCell ref="M134:N134"/>
    <mergeCell ref="B135:C135"/>
    <mergeCell ref="D135:E135"/>
    <mergeCell ref="F135:G135"/>
    <mergeCell ref="M135:N135"/>
    <mergeCell ref="B136:C136"/>
    <mergeCell ref="D136:E136"/>
    <mergeCell ref="F136:G136"/>
    <mergeCell ref="M136:N136"/>
    <mergeCell ref="B126:C126"/>
    <mergeCell ref="D126:E126"/>
    <mergeCell ref="F126:G126"/>
    <mergeCell ref="M126:N126"/>
    <mergeCell ref="B127:C127"/>
    <mergeCell ref="D127:E127"/>
    <mergeCell ref="F127:G127"/>
    <mergeCell ref="M127:N127"/>
    <mergeCell ref="B128:C128"/>
    <mergeCell ref="D128:E128"/>
    <mergeCell ref="F128:G128"/>
    <mergeCell ref="M128:N128"/>
    <mergeCell ref="B129:C129"/>
    <mergeCell ref="D129:E129"/>
    <mergeCell ref="F129:G129"/>
    <mergeCell ref="M129:N129"/>
    <mergeCell ref="B130:C130"/>
    <mergeCell ref="D130:E130"/>
    <mergeCell ref="F130:G130"/>
    <mergeCell ref="M130:N130"/>
    <mergeCell ref="B132:C132"/>
    <mergeCell ref="D132:E132"/>
    <mergeCell ref="F132:G132"/>
    <mergeCell ref="M132:N132"/>
    <mergeCell ref="K134:L134"/>
    <mergeCell ref="I121:L121"/>
    <mergeCell ref="B122:C122"/>
    <mergeCell ref="D122:E122"/>
    <mergeCell ref="F122:G122"/>
    <mergeCell ref="M122:N122"/>
    <mergeCell ref="B123:C123"/>
    <mergeCell ref="D123:E123"/>
    <mergeCell ref="F123:G123"/>
    <mergeCell ref="M123:N123"/>
    <mergeCell ref="B124:C124"/>
    <mergeCell ref="D124:E124"/>
    <mergeCell ref="F124:G124"/>
    <mergeCell ref="M124:N124"/>
    <mergeCell ref="B125:C125"/>
    <mergeCell ref="D125:E125"/>
    <mergeCell ref="F125:G125"/>
    <mergeCell ref="M125:N125"/>
    <mergeCell ref="F190:G190"/>
    <mergeCell ref="B197:E197"/>
    <mergeCell ref="B198:E198"/>
    <mergeCell ref="B192:C192"/>
    <mergeCell ref="D192:E192"/>
    <mergeCell ref="F192:G192"/>
    <mergeCell ref="M192:N192"/>
    <mergeCell ref="B193:C193"/>
    <mergeCell ref="D193:E193"/>
    <mergeCell ref="F193:G193"/>
    <mergeCell ref="M193:N193"/>
    <mergeCell ref="B194:C194"/>
    <mergeCell ref="D194:E194"/>
    <mergeCell ref="F194:G194"/>
    <mergeCell ref="M194:N194"/>
    <mergeCell ref="B195:C195"/>
    <mergeCell ref="D195:E195"/>
    <mergeCell ref="F195:G195"/>
    <mergeCell ref="M195:N195"/>
    <mergeCell ref="F191:G191"/>
    <mergeCell ref="B190:C190"/>
    <mergeCell ref="D190:E190"/>
    <mergeCell ref="B191:C191"/>
    <mergeCell ref="D191:E191"/>
    <mergeCell ref="M191:N191"/>
    <mergeCell ref="M190:N190"/>
    <mergeCell ref="B186:C186"/>
    <mergeCell ref="D186:E186"/>
    <mergeCell ref="F186:G186"/>
    <mergeCell ref="M186:N186"/>
    <mergeCell ref="B187:C187"/>
    <mergeCell ref="D187:E187"/>
    <mergeCell ref="F187:G187"/>
    <mergeCell ref="M187:N187"/>
    <mergeCell ref="B188:C188"/>
    <mergeCell ref="D188:E188"/>
    <mergeCell ref="F188:G188"/>
    <mergeCell ref="M188:N188"/>
    <mergeCell ref="B189:C189"/>
    <mergeCell ref="D189:E189"/>
    <mergeCell ref="F189:G189"/>
    <mergeCell ref="M189:N189"/>
    <mergeCell ref="B183:C183"/>
    <mergeCell ref="D183:E183"/>
    <mergeCell ref="F183:G183"/>
    <mergeCell ref="M183:N183"/>
    <mergeCell ref="B184:C184"/>
    <mergeCell ref="D184:E184"/>
    <mergeCell ref="F184:G184"/>
    <mergeCell ref="M184:N184"/>
    <mergeCell ref="B185:C185"/>
    <mergeCell ref="D185:E185"/>
    <mergeCell ref="F185:G185"/>
    <mergeCell ref="M185:N185"/>
    <mergeCell ref="B179:C179"/>
    <mergeCell ref="D179:E179"/>
    <mergeCell ref="F179:G179"/>
    <mergeCell ref="M179:N179"/>
    <mergeCell ref="B180:C180"/>
    <mergeCell ref="D180:E180"/>
    <mergeCell ref="F180:G180"/>
    <mergeCell ref="M180:N180"/>
    <mergeCell ref="B181:C181"/>
    <mergeCell ref="D181:E181"/>
    <mergeCell ref="F181:G181"/>
    <mergeCell ref="M181:N181"/>
    <mergeCell ref="B182:C182"/>
    <mergeCell ref="D182:E182"/>
    <mergeCell ref="F182:G182"/>
    <mergeCell ref="M182:N182"/>
    <mergeCell ref="B178:C178"/>
    <mergeCell ref="D178:E178"/>
    <mergeCell ref="F178:G178"/>
    <mergeCell ref="M178:N178"/>
    <mergeCell ref="B171:C171"/>
    <mergeCell ref="D171:E171"/>
    <mergeCell ref="F171:G171"/>
    <mergeCell ref="M171:N171"/>
    <mergeCell ref="B173:C173"/>
    <mergeCell ref="D173:E173"/>
    <mergeCell ref="F173:G173"/>
    <mergeCell ref="M173:N173"/>
    <mergeCell ref="B174:C174"/>
    <mergeCell ref="D174:E174"/>
    <mergeCell ref="F174:G174"/>
    <mergeCell ref="M174:N174"/>
    <mergeCell ref="B175:C175"/>
    <mergeCell ref="D175:E175"/>
    <mergeCell ref="F175:G175"/>
    <mergeCell ref="M175:N175"/>
    <mergeCell ref="B176:C176"/>
    <mergeCell ref="D176:E176"/>
    <mergeCell ref="F176:G176"/>
    <mergeCell ref="M176:N176"/>
    <mergeCell ref="B172:C172"/>
    <mergeCell ref="D172:E172"/>
    <mergeCell ref="F172:G172"/>
    <mergeCell ref="M172:N172"/>
    <mergeCell ref="B166:C166"/>
    <mergeCell ref="D166:E166"/>
    <mergeCell ref="F166:G166"/>
    <mergeCell ref="M166:N166"/>
    <mergeCell ref="B167:C167"/>
    <mergeCell ref="D167:E167"/>
    <mergeCell ref="F167:G167"/>
    <mergeCell ref="M167:N167"/>
    <mergeCell ref="B168:C168"/>
    <mergeCell ref="D168:E168"/>
    <mergeCell ref="F168:G168"/>
    <mergeCell ref="M168:N168"/>
    <mergeCell ref="B169:C169"/>
    <mergeCell ref="D169:E169"/>
    <mergeCell ref="F169:G169"/>
    <mergeCell ref="M169:N169"/>
    <mergeCell ref="B170:C170"/>
    <mergeCell ref="D170:E170"/>
    <mergeCell ref="F170:G170"/>
    <mergeCell ref="M170:N170"/>
    <mergeCell ref="I161:L161"/>
    <mergeCell ref="B162:C162"/>
    <mergeCell ref="D162:E162"/>
    <mergeCell ref="F162:G162"/>
    <mergeCell ref="M162:N162"/>
    <mergeCell ref="B163:C163"/>
    <mergeCell ref="D163:E163"/>
    <mergeCell ref="F163:G163"/>
    <mergeCell ref="M163:N163"/>
    <mergeCell ref="B164:C164"/>
    <mergeCell ref="D164:E164"/>
    <mergeCell ref="F164:G164"/>
    <mergeCell ref="M164:N164"/>
    <mergeCell ref="B165:C165"/>
    <mergeCell ref="D165:E165"/>
    <mergeCell ref="F165:G165"/>
    <mergeCell ref="M165:N165"/>
    <mergeCell ref="B242:E242"/>
    <mergeCell ref="B243:E243"/>
    <mergeCell ref="B236:C236"/>
    <mergeCell ref="D236:E236"/>
    <mergeCell ref="F236:G236"/>
    <mergeCell ref="M236:N236"/>
    <mergeCell ref="B237:C237"/>
    <mergeCell ref="D237:E237"/>
    <mergeCell ref="F237:G237"/>
    <mergeCell ref="M237:N237"/>
    <mergeCell ref="B238:C238"/>
    <mergeCell ref="D238:E238"/>
    <mergeCell ref="F238:G238"/>
    <mergeCell ref="M238:N238"/>
    <mergeCell ref="B239:C239"/>
    <mergeCell ref="D239:E239"/>
    <mergeCell ref="F239:G239"/>
    <mergeCell ref="M239:N239"/>
    <mergeCell ref="B240:C240"/>
    <mergeCell ref="D240:E240"/>
    <mergeCell ref="F240:G240"/>
    <mergeCell ref="M240:N240"/>
    <mergeCell ref="B230:C230"/>
    <mergeCell ref="D230:E230"/>
    <mergeCell ref="F230:G230"/>
    <mergeCell ref="M230:N230"/>
    <mergeCell ref="B231:C231"/>
    <mergeCell ref="D231:E231"/>
    <mergeCell ref="F231:G231"/>
    <mergeCell ref="M231:N231"/>
    <mergeCell ref="B232:C232"/>
    <mergeCell ref="D232:E232"/>
    <mergeCell ref="F232:G232"/>
    <mergeCell ref="M232:N232"/>
    <mergeCell ref="B233:C233"/>
    <mergeCell ref="D233:E233"/>
    <mergeCell ref="F233:G233"/>
    <mergeCell ref="M233:N233"/>
    <mergeCell ref="B234:C234"/>
    <mergeCell ref="D234:E234"/>
    <mergeCell ref="F234:G234"/>
    <mergeCell ref="M234:N234"/>
    <mergeCell ref="B225:C225"/>
    <mergeCell ref="D225:E225"/>
    <mergeCell ref="F225:G225"/>
    <mergeCell ref="M225:N225"/>
    <mergeCell ref="B226:C226"/>
    <mergeCell ref="D226:E226"/>
    <mergeCell ref="F226:G226"/>
    <mergeCell ref="M226:N226"/>
    <mergeCell ref="B227:C227"/>
    <mergeCell ref="D227:E227"/>
    <mergeCell ref="F227:G227"/>
    <mergeCell ref="M227:N227"/>
    <mergeCell ref="B228:C228"/>
    <mergeCell ref="D228:E228"/>
    <mergeCell ref="F228:G228"/>
    <mergeCell ref="M228:N228"/>
    <mergeCell ref="B229:C229"/>
    <mergeCell ref="D229:E229"/>
    <mergeCell ref="F229:G229"/>
    <mergeCell ref="M229:N229"/>
    <mergeCell ref="B220:C220"/>
    <mergeCell ref="D220:E220"/>
    <mergeCell ref="F220:G220"/>
    <mergeCell ref="M220:N220"/>
    <mergeCell ref="B221:C221"/>
    <mergeCell ref="D221:E221"/>
    <mergeCell ref="F221:G221"/>
    <mergeCell ref="M221:N221"/>
    <mergeCell ref="B222:C222"/>
    <mergeCell ref="D222:E222"/>
    <mergeCell ref="F222:G222"/>
    <mergeCell ref="M222:N222"/>
    <mergeCell ref="B223:C223"/>
    <mergeCell ref="D223:E223"/>
    <mergeCell ref="F223:G223"/>
    <mergeCell ref="M223:N223"/>
    <mergeCell ref="B224:C224"/>
    <mergeCell ref="D224:E224"/>
    <mergeCell ref="F224:G224"/>
    <mergeCell ref="M224:N224"/>
    <mergeCell ref="B215:C215"/>
    <mergeCell ref="D215:E215"/>
    <mergeCell ref="F215:G215"/>
    <mergeCell ref="M215:N215"/>
    <mergeCell ref="B216:C216"/>
    <mergeCell ref="D216:E216"/>
    <mergeCell ref="F216:G216"/>
    <mergeCell ref="M216:N216"/>
    <mergeCell ref="B217:C217"/>
    <mergeCell ref="D217:E217"/>
    <mergeCell ref="F217:G217"/>
    <mergeCell ref="M217:N217"/>
    <mergeCell ref="B218:C218"/>
    <mergeCell ref="D218:E218"/>
    <mergeCell ref="F218:G218"/>
    <mergeCell ref="M218:N218"/>
    <mergeCell ref="B219:C219"/>
    <mergeCell ref="D219:E219"/>
    <mergeCell ref="F219:G219"/>
    <mergeCell ref="M219:N219"/>
    <mergeCell ref="B210:C210"/>
    <mergeCell ref="D210:E210"/>
    <mergeCell ref="F210:G210"/>
    <mergeCell ref="M210:N210"/>
    <mergeCell ref="B211:C211"/>
    <mergeCell ref="D211:E211"/>
    <mergeCell ref="F211:G211"/>
    <mergeCell ref="M211:N211"/>
    <mergeCell ref="B212:C212"/>
    <mergeCell ref="D212:E212"/>
    <mergeCell ref="F212:G212"/>
    <mergeCell ref="M212:N212"/>
    <mergeCell ref="B213:C213"/>
    <mergeCell ref="D213:E213"/>
    <mergeCell ref="F213:G213"/>
    <mergeCell ref="M213:N213"/>
    <mergeCell ref="B214:C214"/>
    <mergeCell ref="D214:E214"/>
    <mergeCell ref="F214:G214"/>
    <mergeCell ref="M214:N214"/>
    <mergeCell ref="B205:C205"/>
    <mergeCell ref="D205:E205"/>
    <mergeCell ref="F205:G205"/>
    <mergeCell ref="M205:N205"/>
    <mergeCell ref="B206:C206"/>
    <mergeCell ref="D206:E206"/>
    <mergeCell ref="F206:G206"/>
    <mergeCell ref="M206:N206"/>
    <mergeCell ref="B207:C207"/>
    <mergeCell ref="D207:E207"/>
    <mergeCell ref="F207:G207"/>
    <mergeCell ref="M207:N207"/>
    <mergeCell ref="B208:C208"/>
    <mergeCell ref="D208:E208"/>
    <mergeCell ref="F208:G208"/>
    <mergeCell ref="M208:N208"/>
    <mergeCell ref="B209:C209"/>
    <mergeCell ref="D209:E209"/>
    <mergeCell ref="F209:G209"/>
    <mergeCell ref="M209:N209"/>
    <mergeCell ref="I200:L200"/>
    <mergeCell ref="B201:C201"/>
    <mergeCell ref="D201:E201"/>
    <mergeCell ref="F201:G201"/>
    <mergeCell ref="M201:N201"/>
    <mergeCell ref="B202:C202"/>
    <mergeCell ref="D202:E202"/>
    <mergeCell ref="F202:G202"/>
    <mergeCell ref="M202:N202"/>
    <mergeCell ref="B203:C203"/>
    <mergeCell ref="D203:E203"/>
    <mergeCell ref="F203:G203"/>
    <mergeCell ref="M203:N203"/>
    <mergeCell ref="B204:C204"/>
    <mergeCell ref="D204:E204"/>
    <mergeCell ref="F204:G204"/>
    <mergeCell ref="M204:N204"/>
    <mergeCell ref="B282:C282"/>
    <mergeCell ref="D282:E282"/>
    <mergeCell ref="F282:G282"/>
    <mergeCell ref="M282:N282"/>
    <mergeCell ref="B283:C283"/>
    <mergeCell ref="D283:E283"/>
    <mergeCell ref="F283:G283"/>
    <mergeCell ref="M283:N283"/>
    <mergeCell ref="B284:C284"/>
    <mergeCell ref="D284:E284"/>
    <mergeCell ref="F284:G284"/>
    <mergeCell ref="M284:N284"/>
    <mergeCell ref="B286:E286"/>
    <mergeCell ref="B287:E287"/>
    <mergeCell ref="B255:C255"/>
    <mergeCell ref="D255:E255"/>
    <mergeCell ref="F255:G255"/>
    <mergeCell ref="M255:N255"/>
    <mergeCell ref="B279:C279"/>
    <mergeCell ref="D279:E279"/>
    <mergeCell ref="F279:G279"/>
    <mergeCell ref="M279:N279"/>
    <mergeCell ref="B276:C276"/>
    <mergeCell ref="D276:E276"/>
    <mergeCell ref="F276:G276"/>
    <mergeCell ref="M276:N276"/>
    <mergeCell ref="B277:C277"/>
    <mergeCell ref="D277:E277"/>
    <mergeCell ref="F277:G277"/>
    <mergeCell ref="M277:N277"/>
    <mergeCell ref="B278:C278"/>
    <mergeCell ref="D278:E278"/>
    <mergeCell ref="F278:G278"/>
    <mergeCell ref="M278:N278"/>
    <mergeCell ref="B280:C280"/>
    <mergeCell ref="D280:E280"/>
    <mergeCell ref="F280:G280"/>
    <mergeCell ref="M280:N280"/>
    <mergeCell ref="B281:C281"/>
    <mergeCell ref="D281:E281"/>
    <mergeCell ref="F281:G281"/>
    <mergeCell ref="M281:N281"/>
    <mergeCell ref="B271:C271"/>
    <mergeCell ref="D271:E271"/>
    <mergeCell ref="F271:G271"/>
    <mergeCell ref="M271:N271"/>
    <mergeCell ref="B272:C272"/>
    <mergeCell ref="D272:E272"/>
    <mergeCell ref="F272:G272"/>
    <mergeCell ref="M272:N272"/>
    <mergeCell ref="B273:C273"/>
    <mergeCell ref="D273:E273"/>
    <mergeCell ref="F273:G273"/>
    <mergeCell ref="M273:N273"/>
    <mergeCell ref="B274:C274"/>
    <mergeCell ref="D274:E274"/>
    <mergeCell ref="F274:G274"/>
    <mergeCell ref="M274:N274"/>
    <mergeCell ref="B275:C275"/>
    <mergeCell ref="D275:E275"/>
    <mergeCell ref="F275:G275"/>
    <mergeCell ref="M275:N275"/>
    <mergeCell ref="B266:C266"/>
    <mergeCell ref="D266:E266"/>
    <mergeCell ref="F266:G266"/>
    <mergeCell ref="M266:N266"/>
    <mergeCell ref="B267:C267"/>
    <mergeCell ref="D267:E267"/>
    <mergeCell ref="F267:G267"/>
    <mergeCell ref="M267:N267"/>
    <mergeCell ref="B268:C268"/>
    <mergeCell ref="D268:E268"/>
    <mergeCell ref="F268:G268"/>
    <mergeCell ref="M268:N268"/>
    <mergeCell ref="B269:C269"/>
    <mergeCell ref="D269:E269"/>
    <mergeCell ref="F269:G269"/>
    <mergeCell ref="M269:N269"/>
    <mergeCell ref="B270:C270"/>
    <mergeCell ref="D270:E270"/>
    <mergeCell ref="F270:G270"/>
    <mergeCell ref="M270:N270"/>
    <mergeCell ref="B261:C261"/>
    <mergeCell ref="D261:E261"/>
    <mergeCell ref="F261:G261"/>
    <mergeCell ref="M261:N261"/>
    <mergeCell ref="B262:C262"/>
    <mergeCell ref="D262:E262"/>
    <mergeCell ref="F262:G262"/>
    <mergeCell ref="M262:N262"/>
    <mergeCell ref="B263:C263"/>
    <mergeCell ref="D263:E263"/>
    <mergeCell ref="F263:G263"/>
    <mergeCell ref="M263:N263"/>
    <mergeCell ref="B264:C264"/>
    <mergeCell ref="D264:E264"/>
    <mergeCell ref="F264:G264"/>
    <mergeCell ref="M264:N264"/>
    <mergeCell ref="B265:C265"/>
    <mergeCell ref="D265:E265"/>
    <mergeCell ref="F265:G265"/>
    <mergeCell ref="M265:N265"/>
    <mergeCell ref="B256:C256"/>
    <mergeCell ref="D256:E256"/>
    <mergeCell ref="F256:G256"/>
    <mergeCell ref="M256:N256"/>
    <mergeCell ref="B257:C257"/>
    <mergeCell ref="D257:E257"/>
    <mergeCell ref="F257:G257"/>
    <mergeCell ref="M257:N257"/>
    <mergeCell ref="B258:C258"/>
    <mergeCell ref="D258:E258"/>
    <mergeCell ref="F258:G258"/>
    <mergeCell ref="M258:N258"/>
    <mergeCell ref="B259:C259"/>
    <mergeCell ref="D259:E259"/>
    <mergeCell ref="F259:G259"/>
    <mergeCell ref="M259:N259"/>
    <mergeCell ref="B260:C260"/>
    <mergeCell ref="D260:E260"/>
    <mergeCell ref="F260:G260"/>
    <mergeCell ref="M260:N260"/>
    <mergeCell ref="B250:C250"/>
    <mergeCell ref="D250:E250"/>
    <mergeCell ref="F250:G250"/>
    <mergeCell ref="M250:N250"/>
    <mergeCell ref="B251:C251"/>
    <mergeCell ref="D251:E251"/>
    <mergeCell ref="F251:G251"/>
    <mergeCell ref="M251:N251"/>
    <mergeCell ref="B252:C252"/>
    <mergeCell ref="D252:E252"/>
    <mergeCell ref="F252:G252"/>
    <mergeCell ref="M252:N252"/>
    <mergeCell ref="B253:C253"/>
    <mergeCell ref="D253:E253"/>
    <mergeCell ref="F253:G253"/>
    <mergeCell ref="M253:N253"/>
    <mergeCell ref="B254:C254"/>
    <mergeCell ref="D254:E254"/>
    <mergeCell ref="F254:G254"/>
    <mergeCell ref="M254:N254"/>
    <mergeCell ref="I245:L245"/>
    <mergeCell ref="B246:C246"/>
    <mergeCell ref="D246:E246"/>
    <mergeCell ref="F246:G246"/>
    <mergeCell ref="M246:N246"/>
    <mergeCell ref="B247:C247"/>
    <mergeCell ref="D247:E247"/>
    <mergeCell ref="F247:G247"/>
    <mergeCell ref="M247:N247"/>
    <mergeCell ref="B248:C248"/>
    <mergeCell ref="D248:E248"/>
    <mergeCell ref="F248:G248"/>
    <mergeCell ref="M248:N248"/>
    <mergeCell ref="B249:C249"/>
    <mergeCell ref="D249:E249"/>
    <mergeCell ref="F249:G249"/>
    <mergeCell ref="M249:N249"/>
    <mergeCell ref="B365:E365"/>
    <mergeCell ref="B366:E366"/>
    <mergeCell ref="B363:C363"/>
    <mergeCell ref="D363:E363"/>
    <mergeCell ref="F363:G363"/>
    <mergeCell ref="M363:N363"/>
    <mergeCell ref="B357:C357"/>
    <mergeCell ref="D357:E357"/>
    <mergeCell ref="F357:G357"/>
    <mergeCell ref="M357:N357"/>
    <mergeCell ref="B358:C358"/>
    <mergeCell ref="D358:E358"/>
    <mergeCell ref="F358:G358"/>
    <mergeCell ref="M358:N358"/>
    <mergeCell ref="B346:C346"/>
    <mergeCell ref="D346:E346"/>
    <mergeCell ref="F346:G346"/>
    <mergeCell ref="M346:N346"/>
    <mergeCell ref="B362:C362"/>
    <mergeCell ref="D362:E362"/>
    <mergeCell ref="F362:G362"/>
    <mergeCell ref="M362:N362"/>
    <mergeCell ref="B355:C355"/>
    <mergeCell ref="D355:E355"/>
    <mergeCell ref="B359:C359"/>
    <mergeCell ref="D359:E359"/>
    <mergeCell ref="F359:G359"/>
    <mergeCell ref="M359:N359"/>
    <mergeCell ref="B361:C361"/>
    <mergeCell ref="D361:E361"/>
    <mergeCell ref="B360:C360"/>
    <mergeCell ref="M360:N360"/>
    <mergeCell ref="D360:E360"/>
    <mergeCell ref="F360:G360"/>
    <mergeCell ref="F361:G361"/>
    <mergeCell ref="M361:N361"/>
    <mergeCell ref="B352:C352"/>
    <mergeCell ref="D352:E352"/>
    <mergeCell ref="F352:G352"/>
    <mergeCell ref="M352:N352"/>
    <mergeCell ref="B353:C353"/>
    <mergeCell ref="D353:E353"/>
    <mergeCell ref="F353:G353"/>
    <mergeCell ref="M353:N353"/>
    <mergeCell ref="B354:C354"/>
    <mergeCell ref="D354:E354"/>
    <mergeCell ref="F354:G354"/>
    <mergeCell ref="M354:N354"/>
    <mergeCell ref="F355:G355"/>
    <mergeCell ref="M355:N355"/>
    <mergeCell ref="B356:C356"/>
    <mergeCell ref="D356:E356"/>
    <mergeCell ref="F356:G356"/>
    <mergeCell ref="M356:N356"/>
    <mergeCell ref="B347:C347"/>
    <mergeCell ref="D347:E347"/>
    <mergeCell ref="F347:G347"/>
    <mergeCell ref="M347:N347"/>
    <mergeCell ref="B348:C348"/>
    <mergeCell ref="D348:E348"/>
    <mergeCell ref="F348:G348"/>
    <mergeCell ref="M348:N348"/>
    <mergeCell ref="B349:C349"/>
    <mergeCell ref="D349:E349"/>
    <mergeCell ref="F349:G349"/>
    <mergeCell ref="M349:N349"/>
    <mergeCell ref="B350:C350"/>
    <mergeCell ref="D350:E350"/>
    <mergeCell ref="F350:G350"/>
    <mergeCell ref="M350:N350"/>
    <mergeCell ref="B351:C351"/>
    <mergeCell ref="D351:E351"/>
    <mergeCell ref="F351:G351"/>
    <mergeCell ref="M351:N351"/>
    <mergeCell ref="B341:C341"/>
    <mergeCell ref="D341:E341"/>
    <mergeCell ref="F341:G341"/>
    <mergeCell ref="M341:N341"/>
    <mergeCell ref="B342:C342"/>
    <mergeCell ref="D342:E342"/>
    <mergeCell ref="F342:G342"/>
    <mergeCell ref="M342:N342"/>
    <mergeCell ref="B343:C343"/>
    <mergeCell ref="D343:E343"/>
    <mergeCell ref="F343:G343"/>
    <mergeCell ref="M343:N343"/>
    <mergeCell ref="B344:C344"/>
    <mergeCell ref="D344:E344"/>
    <mergeCell ref="F344:G344"/>
    <mergeCell ref="M344:N344"/>
    <mergeCell ref="B345:C345"/>
    <mergeCell ref="D345:E345"/>
    <mergeCell ref="F345:G345"/>
    <mergeCell ref="M345:N345"/>
    <mergeCell ref="D336:E336"/>
    <mergeCell ref="F336:G336"/>
    <mergeCell ref="M336:N336"/>
    <mergeCell ref="B337:C337"/>
    <mergeCell ref="D337:E337"/>
    <mergeCell ref="F337:G337"/>
    <mergeCell ref="M337:N337"/>
    <mergeCell ref="B338:C338"/>
    <mergeCell ref="D338:E338"/>
    <mergeCell ref="F338:G338"/>
    <mergeCell ref="M338:N338"/>
    <mergeCell ref="B339:C339"/>
    <mergeCell ref="D339:E339"/>
    <mergeCell ref="F339:G339"/>
    <mergeCell ref="M339:N339"/>
    <mergeCell ref="B340:C340"/>
    <mergeCell ref="D340:E340"/>
    <mergeCell ref="F340:G340"/>
    <mergeCell ref="M340:N340"/>
    <mergeCell ref="B438:C438"/>
    <mergeCell ref="D438:E438"/>
    <mergeCell ref="F438:G438"/>
    <mergeCell ref="M438:N438"/>
    <mergeCell ref="B439:C439"/>
    <mergeCell ref="D439:E439"/>
    <mergeCell ref="F439:G439"/>
    <mergeCell ref="M439:N439"/>
    <mergeCell ref="B440:C440"/>
    <mergeCell ref="D440:E440"/>
    <mergeCell ref="F440:G440"/>
    <mergeCell ref="M440:N440"/>
    <mergeCell ref="B442:E442"/>
    <mergeCell ref="B443:E443"/>
    <mergeCell ref="I331:L331"/>
    <mergeCell ref="B332:C332"/>
    <mergeCell ref="D332:E332"/>
    <mergeCell ref="F332:G332"/>
    <mergeCell ref="M332:N332"/>
    <mergeCell ref="B333:C333"/>
    <mergeCell ref="D333:E333"/>
    <mergeCell ref="F333:G333"/>
    <mergeCell ref="M333:N333"/>
    <mergeCell ref="B334:C334"/>
    <mergeCell ref="D334:E334"/>
    <mergeCell ref="F334:G334"/>
    <mergeCell ref="M334:N334"/>
    <mergeCell ref="B335:C335"/>
    <mergeCell ref="D335:E335"/>
    <mergeCell ref="F335:G335"/>
    <mergeCell ref="M335:N335"/>
    <mergeCell ref="B336:C336"/>
    <mergeCell ref="B433:C433"/>
    <mergeCell ref="D433:E433"/>
    <mergeCell ref="F433:G433"/>
    <mergeCell ref="M433:N433"/>
    <mergeCell ref="B434:C434"/>
    <mergeCell ref="D434:E434"/>
    <mergeCell ref="F434:G434"/>
    <mergeCell ref="M434:N434"/>
    <mergeCell ref="B435:C435"/>
    <mergeCell ref="D435:E435"/>
    <mergeCell ref="F435:G435"/>
    <mergeCell ref="M435:N435"/>
    <mergeCell ref="B436:C436"/>
    <mergeCell ref="D436:E436"/>
    <mergeCell ref="F436:G436"/>
    <mergeCell ref="M436:N436"/>
    <mergeCell ref="B437:C437"/>
    <mergeCell ref="D437:E437"/>
    <mergeCell ref="F437:G437"/>
    <mergeCell ref="M437:N437"/>
    <mergeCell ref="B428:C428"/>
    <mergeCell ref="D428:E428"/>
    <mergeCell ref="F428:G428"/>
    <mergeCell ref="M428:N428"/>
    <mergeCell ref="B429:C429"/>
    <mergeCell ref="D429:E429"/>
    <mergeCell ref="F429:G429"/>
    <mergeCell ref="M429:N429"/>
    <mergeCell ref="B430:C430"/>
    <mergeCell ref="D430:E430"/>
    <mergeCell ref="F430:G430"/>
    <mergeCell ref="M430:N430"/>
    <mergeCell ref="B431:C431"/>
    <mergeCell ref="D431:E431"/>
    <mergeCell ref="F431:G431"/>
    <mergeCell ref="M431:N431"/>
    <mergeCell ref="B432:C432"/>
    <mergeCell ref="B423:C423"/>
    <mergeCell ref="D423:E423"/>
    <mergeCell ref="F423:G423"/>
    <mergeCell ref="M423:N423"/>
    <mergeCell ref="B424:C424"/>
    <mergeCell ref="D424:E424"/>
    <mergeCell ref="F424:G424"/>
    <mergeCell ref="M424:N424"/>
    <mergeCell ref="B425:C425"/>
    <mergeCell ref="D425:E425"/>
    <mergeCell ref="F425:G425"/>
    <mergeCell ref="M425:N425"/>
    <mergeCell ref="B426:C426"/>
    <mergeCell ref="D426:E426"/>
    <mergeCell ref="F426:G426"/>
    <mergeCell ref="M426:N426"/>
    <mergeCell ref="B427:C427"/>
    <mergeCell ref="D427:E427"/>
    <mergeCell ref="F427:G427"/>
    <mergeCell ref="M427:N427"/>
    <mergeCell ref="B418:C418"/>
    <mergeCell ref="D418:E418"/>
    <mergeCell ref="F418:G418"/>
    <mergeCell ref="M418:N418"/>
    <mergeCell ref="B419:C419"/>
    <mergeCell ref="D419:E419"/>
    <mergeCell ref="F419:G419"/>
    <mergeCell ref="M419:N419"/>
    <mergeCell ref="B420:C420"/>
    <mergeCell ref="D420:E420"/>
    <mergeCell ref="F420:G420"/>
    <mergeCell ref="M420:N420"/>
    <mergeCell ref="B421:C421"/>
    <mergeCell ref="D421:E421"/>
    <mergeCell ref="F421:G421"/>
    <mergeCell ref="M421:N421"/>
    <mergeCell ref="B422:C422"/>
    <mergeCell ref="D422:E422"/>
    <mergeCell ref="F422:G422"/>
    <mergeCell ref="M422:N422"/>
    <mergeCell ref="B413:C413"/>
    <mergeCell ref="D413:E413"/>
    <mergeCell ref="F413:G413"/>
    <mergeCell ref="M413:N413"/>
    <mergeCell ref="B414:C414"/>
    <mergeCell ref="D414:E414"/>
    <mergeCell ref="F414:G414"/>
    <mergeCell ref="M414:N414"/>
    <mergeCell ref="B415:C415"/>
    <mergeCell ref="D415:E415"/>
    <mergeCell ref="F415:G415"/>
    <mergeCell ref="M415:N415"/>
    <mergeCell ref="B416:C416"/>
    <mergeCell ref="D416:E416"/>
    <mergeCell ref="F416:G416"/>
    <mergeCell ref="M416:N416"/>
    <mergeCell ref="B417:C417"/>
    <mergeCell ref="D417:E417"/>
    <mergeCell ref="F417:G417"/>
    <mergeCell ref="M417:N417"/>
    <mergeCell ref="M408:N408"/>
    <mergeCell ref="B409:C409"/>
    <mergeCell ref="D409:E409"/>
    <mergeCell ref="F409:G409"/>
    <mergeCell ref="M409:N409"/>
    <mergeCell ref="B410:C410"/>
    <mergeCell ref="D410:E410"/>
    <mergeCell ref="F410:G410"/>
    <mergeCell ref="M410:N410"/>
    <mergeCell ref="B411:C411"/>
    <mergeCell ref="D411:E411"/>
    <mergeCell ref="F411:G411"/>
    <mergeCell ref="M411:N411"/>
    <mergeCell ref="B412:C412"/>
    <mergeCell ref="D412:E412"/>
    <mergeCell ref="F412:G412"/>
    <mergeCell ref="M412:N412"/>
    <mergeCell ref="B485:E485"/>
    <mergeCell ref="B486:E486"/>
    <mergeCell ref="B482:C482"/>
    <mergeCell ref="D482:E482"/>
    <mergeCell ref="F482:G482"/>
    <mergeCell ref="M482:N482"/>
    <mergeCell ref="B483:C483"/>
    <mergeCell ref="D483:E483"/>
    <mergeCell ref="I402:L402"/>
    <mergeCell ref="B403:C403"/>
    <mergeCell ref="D403:E403"/>
    <mergeCell ref="F403:G403"/>
    <mergeCell ref="M403:N403"/>
    <mergeCell ref="B404:C404"/>
    <mergeCell ref="D404:E404"/>
    <mergeCell ref="F404:G404"/>
    <mergeCell ref="M404:N404"/>
    <mergeCell ref="B405:C405"/>
    <mergeCell ref="D405:E405"/>
    <mergeCell ref="F405:G405"/>
    <mergeCell ref="M405:N405"/>
    <mergeCell ref="B406:C406"/>
    <mergeCell ref="D406:E406"/>
    <mergeCell ref="F406:G406"/>
    <mergeCell ref="M406:N406"/>
    <mergeCell ref="B407:C407"/>
    <mergeCell ref="D407:E407"/>
    <mergeCell ref="F407:G407"/>
    <mergeCell ref="M407:N407"/>
    <mergeCell ref="B408:C408"/>
    <mergeCell ref="D408:E408"/>
    <mergeCell ref="F408:G408"/>
    <mergeCell ref="B474:C474"/>
    <mergeCell ref="D474:E474"/>
    <mergeCell ref="F474:G474"/>
    <mergeCell ref="M474:N474"/>
    <mergeCell ref="B475:C475"/>
    <mergeCell ref="B476:C476"/>
    <mergeCell ref="M476:N476"/>
    <mergeCell ref="B479:C479"/>
    <mergeCell ref="D479:E479"/>
    <mergeCell ref="F479:G479"/>
    <mergeCell ref="M479:N479"/>
    <mergeCell ref="B480:C480"/>
    <mergeCell ref="D480:E480"/>
    <mergeCell ref="F480:G480"/>
    <mergeCell ref="M480:N480"/>
    <mergeCell ref="F483:G483"/>
    <mergeCell ref="M483:N483"/>
    <mergeCell ref="B477:C477"/>
    <mergeCell ref="D477:E477"/>
    <mergeCell ref="F477:G477"/>
    <mergeCell ref="M477:N477"/>
    <mergeCell ref="B478:C478"/>
    <mergeCell ref="D478:E478"/>
    <mergeCell ref="F478:G478"/>
    <mergeCell ref="M478:N478"/>
    <mergeCell ref="B481:C481"/>
    <mergeCell ref="D481:E481"/>
    <mergeCell ref="F481:G481"/>
    <mergeCell ref="M481:N481"/>
    <mergeCell ref="D476:E476"/>
    <mergeCell ref="F476:G476"/>
    <mergeCell ref="B473:C473"/>
    <mergeCell ref="D473:E473"/>
    <mergeCell ref="M469:N469"/>
    <mergeCell ref="B470:C470"/>
    <mergeCell ref="D470:E470"/>
    <mergeCell ref="F470:G470"/>
    <mergeCell ref="M470:N470"/>
    <mergeCell ref="B471:C471"/>
    <mergeCell ref="D471:E471"/>
    <mergeCell ref="F471:G471"/>
    <mergeCell ref="B468:C468"/>
    <mergeCell ref="D468:E468"/>
    <mergeCell ref="F468:G468"/>
    <mergeCell ref="M468:N468"/>
    <mergeCell ref="B469:C469"/>
    <mergeCell ref="D469:E469"/>
    <mergeCell ref="F469:G469"/>
    <mergeCell ref="F473:G473"/>
    <mergeCell ref="M473:N473"/>
    <mergeCell ref="B472:C472"/>
    <mergeCell ref="D472:E472"/>
    <mergeCell ref="F472:G472"/>
    <mergeCell ref="M472:N472"/>
    <mergeCell ref="D466:E466"/>
    <mergeCell ref="F466:G466"/>
    <mergeCell ref="M466:N466"/>
    <mergeCell ref="B467:C467"/>
    <mergeCell ref="D467:E467"/>
    <mergeCell ref="F467:G467"/>
    <mergeCell ref="M467:N467"/>
    <mergeCell ref="M471:N471"/>
    <mergeCell ref="B464:C464"/>
    <mergeCell ref="D464:E464"/>
    <mergeCell ref="F464:G464"/>
    <mergeCell ref="M464:N464"/>
    <mergeCell ref="B465:C465"/>
    <mergeCell ref="D465:E465"/>
    <mergeCell ref="F465:G465"/>
    <mergeCell ref="M465:N465"/>
    <mergeCell ref="B466:C466"/>
    <mergeCell ref="B459:C459"/>
    <mergeCell ref="D459:E459"/>
    <mergeCell ref="F459:G459"/>
    <mergeCell ref="M459:N459"/>
    <mergeCell ref="B456:C456"/>
    <mergeCell ref="D456:E456"/>
    <mergeCell ref="F456:G456"/>
    <mergeCell ref="M456:N456"/>
    <mergeCell ref="B457:C457"/>
    <mergeCell ref="D457:E457"/>
    <mergeCell ref="F457:G457"/>
    <mergeCell ref="M457:N457"/>
    <mergeCell ref="B462:C462"/>
    <mergeCell ref="D462:E462"/>
    <mergeCell ref="F462:G462"/>
    <mergeCell ref="M462:N462"/>
    <mergeCell ref="B463:C463"/>
    <mergeCell ref="D463:E463"/>
    <mergeCell ref="F463:G463"/>
    <mergeCell ref="M463:N463"/>
    <mergeCell ref="B460:C460"/>
    <mergeCell ref="D460:E460"/>
    <mergeCell ref="F460:G460"/>
    <mergeCell ref="M460:N460"/>
    <mergeCell ref="B461:C461"/>
    <mergeCell ref="D461:E461"/>
    <mergeCell ref="F461:G461"/>
    <mergeCell ref="M461:N461"/>
    <mergeCell ref="B454:C454"/>
    <mergeCell ref="D454:E454"/>
    <mergeCell ref="F454:G454"/>
    <mergeCell ref="M454:N454"/>
    <mergeCell ref="B455:C455"/>
    <mergeCell ref="D455:E455"/>
    <mergeCell ref="F455:G455"/>
    <mergeCell ref="M455:N455"/>
    <mergeCell ref="B452:C452"/>
    <mergeCell ref="D452:E452"/>
    <mergeCell ref="F452:G452"/>
    <mergeCell ref="M452:N452"/>
    <mergeCell ref="B453:C453"/>
    <mergeCell ref="D453:E453"/>
    <mergeCell ref="F453:G453"/>
    <mergeCell ref="M453:N453"/>
    <mergeCell ref="B458:C458"/>
    <mergeCell ref="D458:E458"/>
    <mergeCell ref="F458:G458"/>
    <mergeCell ref="M458:N458"/>
    <mergeCell ref="I445:L445"/>
    <mergeCell ref="B446:C446"/>
    <mergeCell ref="D446:E446"/>
    <mergeCell ref="F446:G446"/>
    <mergeCell ref="M446:N446"/>
    <mergeCell ref="B447:C447"/>
    <mergeCell ref="D447:E447"/>
    <mergeCell ref="F447:G447"/>
    <mergeCell ref="M447:N447"/>
    <mergeCell ref="B450:C450"/>
    <mergeCell ref="D450:E450"/>
    <mergeCell ref="F450:G450"/>
    <mergeCell ref="M450:N450"/>
    <mergeCell ref="B451:C451"/>
    <mergeCell ref="D451:E451"/>
    <mergeCell ref="F451:G451"/>
    <mergeCell ref="M451:N451"/>
    <mergeCell ref="B448:C448"/>
    <mergeCell ref="D448:E448"/>
    <mergeCell ref="F448:G448"/>
    <mergeCell ref="M448:N448"/>
    <mergeCell ref="B449:C449"/>
    <mergeCell ref="D449:E449"/>
    <mergeCell ref="F449:G449"/>
    <mergeCell ref="M449:N449"/>
    <mergeCell ref="B613:C613"/>
    <mergeCell ref="B562:C562"/>
    <mergeCell ref="D562:E562"/>
    <mergeCell ref="F562:G562"/>
    <mergeCell ref="B565:C565"/>
    <mergeCell ref="D565:E565"/>
    <mergeCell ref="F565:G565"/>
    <mergeCell ref="F579:G579"/>
    <mergeCell ref="B573:C573"/>
    <mergeCell ref="D573:E573"/>
    <mergeCell ref="D520:E520"/>
    <mergeCell ref="F519:G519"/>
    <mergeCell ref="F520:G520"/>
    <mergeCell ref="F521:G521"/>
    <mergeCell ref="F533:G533"/>
    <mergeCell ref="B525:E525"/>
    <mergeCell ref="D559:E559"/>
    <mergeCell ref="F523:G523"/>
    <mergeCell ref="B563:C563"/>
    <mergeCell ref="F575:G575"/>
    <mergeCell ref="F559:G559"/>
    <mergeCell ref="B526:E526"/>
    <mergeCell ref="B522:C522"/>
    <mergeCell ref="D522:E522"/>
    <mergeCell ref="F522:G522"/>
    <mergeCell ref="B523:C523"/>
    <mergeCell ref="D523:E523"/>
    <mergeCell ref="F529:G529"/>
    <mergeCell ref="B578:C578"/>
    <mergeCell ref="D578:E578"/>
    <mergeCell ref="F578:G578"/>
    <mergeCell ref="F577:G577"/>
    <mergeCell ref="F608:G608"/>
    <mergeCell ref="M608:N608"/>
    <mergeCell ref="M586:N586"/>
    <mergeCell ref="B607:C607"/>
    <mergeCell ref="B584:C584"/>
    <mergeCell ref="D584:E584"/>
    <mergeCell ref="F584:G584"/>
    <mergeCell ref="M584:N584"/>
    <mergeCell ref="B583:C583"/>
    <mergeCell ref="D583:E583"/>
    <mergeCell ref="F583:G583"/>
    <mergeCell ref="M583:N583"/>
    <mergeCell ref="B585:C585"/>
    <mergeCell ref="M598:N598"/>
    <mergeCell ref="M594:N594"/>
    <mergeCell ref="D599:E599"/>
    <mergeCell ref="B595:C595"/>
    <mergeCell ref="D595:E595"/>
    <mergeCell ref="B596:C596"/>
    <mergeCell ref="D596:E596"/>
    <mergeCell ref="F596:G596"/>
    <mergeCell ref="B599:C599"/>
    <mergeCell ref="B598:C598"/>
    <mergeCell ref="D598:E598"/>
    <mergeCell ref="F595:G595"/>
    <mergeCell ref="M585:N585"/>
    <mergeCell ref="F591:G591"/>
    <mergeCell ref="M609:N609"/>
    <mergeCell ref="B612:C612"/>
    <mergeCell ref="D612:E612"/>
    <mergeCell ref="F612:G612"/>
    <mergeCell ref="M612:N612"/>
    <mergeCell ref="B611:C611"/>
    <mergeCell ref="D611:E611"/>
    <mergeCell ref="F611:G611"/>
    <mergeCell ref="M611:N611"/>
    <mergeCell ref="F615:G615"/>
    <mergeCell ref="M615:N615"/>
    <mergeCell ref="B630:C630"/>
    <mergeCell ref="F573:G573"/>
    <mergeCell ref="M573:N573"/>
    <mergeCell ref="M595:N595"/>
    <mergeCell ref="B610:C610"/>
    <mergeCell ref="D610:E610"/>
    <mergeCell ref="F610:G610"/>
    <mergeCell ref="M610:N610"/>
    <mergeCell ref="B609:C609"/>
    <mergeCell ref="D609:E609"/>
    <mergeCell ref="D614:E614"/>
    <mergeCell ref="F614:G614"/>
    <mergeCell ref="M614:N614"/>
    <mergeCell ref="B620:C620"/>
    <mergeCell ref="D620:E620"/>
    <mergeCell ref="F620:G620"/>
    <mergeCell ref="B619:C619"/>
    <mergeCell ref="D619:E619"/>
    <mergeCell ref="M619:N619"/>
    <mergeCell ref="B618:C618"/>
    <mergeCell ref="B586:C586"/>
    <mergeCell ref="M643:N643"/>
    <mergeCell ref="B641:C641"/>
    <mergeCell ref="F637:G637"/>
    <mergeCell ref="D642:E642"/>
    <mergeCell ref="F642:G642"/>
    <mergeCell ref="M642:N642"/>
    <mergeCell ref="M630:N630"/>
    <mergeCell ref="B633:C633"/>
    <mergeCell ref="D633:E633"/>
    <mergeCell ref="B631:C631"/>
    <mergeCell ref="D631:E631"/>
    <mergeCell ref="F631:G631"/>
    <mergeCell ref="M631:N631"/>
    <mergeCell ref="B634:C634"/>
    <mergeCell ref="D634:E634"/>
    <mergeCell ref="F634:G634"/>
    <mergeCell ref="M634:N634"/>
    <mergeCell ref="M632:N632"/>
    <mergeCell ref="D630:E630"/>
    <mergeCell ref="F630:G630"/>
    <mergeCell ref="D641:E641"/>
    <mergeCell ref="F641:G641"/>
    <mergeCell ref="M641:N641"/>
    <mergeCell ref="B642:C642"/>
    <mergeCell ref="B640:C640"/>
    <mergeCell ref="D640:E640"/>
    <mergeCell ref="F640:G640"/>
    <mergeCell ref="M640:N640"/>
    <mergeCell ref="D635:E635"/>
    <mergeCell ref="F635:G635"/>
    <mergeCell ref="M639:N639"/>
    <mergeCell ref="B638:C638"/>
    <mergeCell ref="M635:N635"/>
    <mergeCell ref="B637:C637"/>
    <mergeCell ref="D637:E637"/>
    <mergeCell ref="D638:E638"/>
    <mergeCell ref="B635:C635"/>
    <mergeCell ref="F638:G638"/>
    <mergeCell ref="M638:N638"/>
    <mergeCell ref="B636:C636"/>
    <mergeCell ref="D636:E636"/>
    <mergeCell ref="F636:G636"/>
    <mergeCell ref="M636:N636"/>
    <mergeCell ref="F623:G623"/>
    <mergeCell ref="M623:N623"/>
    <mergeCell ref="M624:N624"/>
    <mergeCell ref="F633:G633"/>
    <mergeCell ref="M633:N633"/>
    <mergeCell ref="B632:C632"/>
    <mergeCell ref="D632:E632"/>
    <mergeCell ref="F632:G632"/>
    <mergeCell ref="M626:N626"/>
    <mergeCell ref="M621:N621"/>
    <mergeCell ref="B622:C622"/>
    <mergeCell ref="D618:E618"/>
    <mergeCell ref="F618:G618"/>
    <mergeCell ref="M618:N618"/>
    <mergeCell ref="B647:C647"/>
    <mergeCell ref="D647:E647"/>
    <mergeCell ref="F647:G647"/>
    <mergeCell ref="M647:N647"/>
    <mergeCell ref="B645:C645"/>
    <mergeCell ref="D645:E645"/>
    <mergeCell ref="F645:G645"/>
    <mergeCell ref="M645:N645"/>
    <mergeCell ref="B646:C646"/>
    <mergeCell ref="D646:E646"/>
    <mergeCell ref="B644:C644"/>
    <mergeCell ref="D644:E644"/>
    <mergeCell ref="F644:G644"/>
    <mergeCell ref="M644:N644"/>
    <mergeCell ref="B625:C625"/>
    <mergeCell ref="D625:E625"/>
    <mergeCell ref="F625:G625"/>
    <mergeCell ref="M625:N625"/>
    <mergeCell ref="F646:G646"/>
    <mergeCell ref="M646:N646"/>
    <mergeCell ref="B643:C643"/>
    <mergeCell ref="M637:N637"/>
    <mergeCell ref="D624:E624"/>
    <mergeCell ref="F624:G624"/>
    <mergeCell ref="B639:C639"/>
    <mergeCell ref="D639:E639"/>
    <mergeCell ref="F639:G639"/>
    <mergeCell ref="M613:N613"/>
    <mergeCell ref="B614:C614"/>
    <mergeCell ref="M620:N620"/>
    <mergeCell ref="F619:G619"/>
    <mergeCell ref="B617:C617"/>
    <mergeCell ref="B616:C616"/>
    <mergeCell ref="D616:E616"/>
    <mergeCell ref="F616:G616"/>
    <mergeCell ref="D617:E617"/>
    <mergeCell ref="F617:G617"/>
    <mergeCell ref="M622:N622"/>
    <mergeCell ref="B623:C623"/>
    <mergeCell ref="D623:E623"/>
    <mergeCell ref="M562:N562"/>
    <mergeCell ref="D566:E566"/>
    <mergeCell ref="F566:G566"/>
    <mergeCell ref="M566:N566"/>
    <mergeCell ref="M571:N571"/>
    <mergeCell ref="M599:N599"/>
    <mergeCell ref="M563:N563"/>
    <mergeCell ref="F592:G592"/>
    <mergeCell ref="M592:N592"/>
    <mergeCell ref="M596:N596"/>
    <mergeCell ref="D563:E563"/>
    <mergeCell ref="F563:G563"/>
    <mergeCell ref="B597:C597"/>
    <mergeCell ref="D597:E597"/>
    <mergeCell ref="B592:C592"/>
    <mergeCell ref="D592:E592"/>
    <mergeCell ref="B564:C564"/>
    <mergeCell ref="B621:C621"/>
    <mergeCell ref="D621:E621"/>
    <mergeCell ref="M570:N570"/>
    <mergeCell ref="F569:G569"/>
    <mergeCell ref="M565:N565"/>
    <mergeCell ref="B567:C567"/>
    <mergeCell ref="D567:E567"/>
    <mergeCell ref="F567:G567"/>
    <mergeCell ref="M567:N567"/>
    <mergeCell ref="B566:C566"/>
    <mergeCell ref="M569:N569"/>
    <mergeCell ref="B591:C591"/>
    <mergeCell ref="B570:C570"/>
    <mergeCell ref="D570:E570"/>
    <mergeCell ref="F570:G570"/>
    <mergeCell ref="B587:C587"/>
    <mergeCell ref="D587:E587"/>
    <mergeCell ref="F587:G587"/>
    <mergeCell ref="M587:N587"/>
    <mergeCell ref="B582:C582"/>
    <mergeCell ref="D582:E582"/>
    <mergeCell ref="F582:G582"/>
    <mergeCell ref="M568:N568"/>
    <mergeCell ref="M576:N576"/>
    <mergeCell ref="M575:N575"/>
    <mergeCell ref="B574:C574"/>
    <mergeCell ref="D574:E574"/>
    <mergeCell ref="F574:G574"/>
    <mergeCell ref="M574:N574"/>
    <mergeCell ref="B572:C572"/>
    <mergeCell ref="D572:E572"/>
    <mergeCell ref="F572:G572"/>
    <mergeCell ref="M572:N572"/>
    <mergeCell ref="F568:G568"/>
    <mergeCell ref="I488:L488"/>
    <mergeCell ref="B489:C489"/>
    <mergeCell ref="D489:E489"/>
    <mergeCell ref="F489:G489"/>
    <mergeCell ref="D538:E538"/>
    <mergeCell ref="D493:E493"/>
    <mergeCell ref="F493:G493"/>
    <mergeCell ref="F514:G514"/>
    <mergeCell ref="B503:C503"/>
    <mergeCell ref="D503:E503"/>
    <mergeCell ref="B545:C545"/>
    <mergeCell ref="D545:E545"/>
    <mergeCell ref="B561:C561"/>
    <mergeCell ref="D561:E561"/>
    <mergeCell ref="F561:G561"/>
    <mergeCell ref="M561:N561"/>
    <mergeCell ref="F550:G550"/>
    <mergeCell ref="M550:N550"/>
    <mergeCell ref="M541:N541"/>
    <mergeCell ref="D533:E533"/>
    <mergeCell ref="M534:N534"/>
    <mergeCell ref="B543:C543"/>
    <mergeCell ref="D543:E543"/>
    <mergeCell ref="F543:G543"/>
    <mergeCell ref="M545:N545"/>
    <mergeCell ref="M535:N535"/>
    <mergeCell ref="F551:G551"/>
    <mergeCell ref="M551:N551"/>
    <mergeCell ref="M553:N553"/>
    <mergeCell ref="B536:C536"/>
    <mergeCell ref="F530:G530"/>
    <mergeCell ref="M530:N530"/>
    <mergeCell ref="M564:N564"/>
    <mergeCell ref="M559:N559"/>
    <mergeCell ref="B560:C560"/>
    <mergeCell ref="D560:E560"/>
    <mergeCell ref="D564:E564"/>
    <mergeCell ref="B549:C549"/>
    <mergeCell ref="D549:E549"/>
    <mergeCell ref="B544:C544"/>
    <mergeCell ref="B559:C559"/>
    <mergeCell ref="F560:G560"/>
    <mergeCell ref="M514:N514"/>
    <mergeCell ref="M515:N515"/>
    <mergeCell ref="D514:E514"/>
    <mergeCell ref="D515:E515"/>
    <mergeCell ref="I558:L558"/>
    <mergeCell ref="M560:N560"/>
    <mergeCell ref="M533:N533"/>
    <mergeCell ref="M518:N518"/>
    <mergeCell ref="M519:N519"/>
    <mergeCell ref="B531:C531"/>
    <mergeCell ref="D531:E531"/>
    <mergeCell ref="F531:G531"/>
    <mergeCell ref="M531:N531"/>
    <mergeCell ref="B533:C533"/>
    <mergeCell ref="B534:C534"/>
    <mergeCell ref="M532:N532"/>
    <mergeCell ref="B550:C550"/>
    <mergeCell ref="M543:N543"/>
    <mergeCell ref="B541:C541"/>
    <mergeCell ref="D541:E541"/>
    <mergeCell ref="F541:G541"/>
    <mergeCell ref="M537:N537"/>
    <mergeCell ref="D540:E540"/>
    <mergeCell ref="F540:G540"/>
    <mergeCell ref="M540:N540"/>
    <mergeCell ref="B542:C542"/>
    <mergeCell ref="D542:E542"/>
    <mergeCell ref="F542:G542"/>
    <mergeCell ref="M542:N542"/>
    <mergeCell ref="F537:G537"/>
    <mergeCell ref="F532:G532"/>
    <mergeCell ref="D532:E532"/>
    <mergeCell ref="B532:C532"/>
    <mergeCell ref="B493:C493"/>
    <mergeCell ref="M536:N536"/>
    <mergeCell ref="B551:C551"/>
    <mergeCell ref="D551:E551"/>
    <mergeCell ref="M538:N538"/>
    <mergeCell ref="B547:C547"/>
    <mergeCell ref="D547:E547"/>
    <mergeCell ref="F547:G547"/>
    <mergeCell ref="B548:C548"/>
    <mergeCell ref="M539:N539"/>
    <mergeCell ref="F539:G539"/>
    <mergeCell ref="F549:G549"/>
    <mergeCell ref="M549:N549"/>
    <mergeCell ref="D548:E548"/>
    <mergeCell ref="F548:G548"/>
    <mergeCell ref="M548:N548"/>
    <mergeCell ref="B546:C546"/>
    <mergeCell ref="D546:E546"/>
    <mergeCell ref="F546:G546"/>
    <mergeCell ref="M546:N546"/>
    <mergeCell ref="M547:N547"/>
    <mergeCell ref="M489:N489"/>
    <mergeCell ref="B490:C490"/>
    <mergeCell ref="D490:E490"/>
    <mergeCell ref="F490:G490"/>
    <mergeCell ref="M490:N490"/>
    <mergeCell ref="B535:C535"/>
    <mergeCell ref="M529:N529"/>
    <mergeCell ref="B530:C530"/>
    <mergeCell ref="D530:E530"/>
    <mergeCell ref="B491:C491"/>
    <mergeCell ref="D491:E491"/>
    <mergeCell ref="F491:G491"/>
    <mergeCell ref="M491:N491"/>
    <mergeCell ref="B492:C492"/>
    <mergeCell ref="D492:E492"/>
    <mergeCell ref="F492:G492"/>
    <mergeCell ref="M492:N492"/>
    <mergeCell ref="M493:N493"/>
    <mergeCell ref="M522:N522"/>
    <mergeCell ref="M498:N498"/>
    <mergeCell ref="B499:C499"/>
    <mergeCell ref="D499:E499"/>
    <mergeCell ref="F499:G499"/>
    <mergeCell ref="M499:N499"/>
    <mergeCell ref="B502:C502"/>
    <mergeCell ref="D502:E502"/>
    <mergeCell ref="F502:G502"/>
    <mergeCell ref="M502:N502"/>
    <mergeCell ref="B500:C500"/>
    <mergeCell ref="D500:E500"/>
    <mergeCell ref="F500:G500"/>
    <mergeCell ref="M500:N500"/>
    <mergeCell ref="B649:E649"/>
    <mergeCell ref="B650:E650"/>
    <mergeCell ref="B555:E555"/>
    <mergeCell ref="B556:E556"/>
    <mergeCell ref="B603:E603"/>
    <mergeCell ref="B604:E604"/>
    <mergeCell ref="B579:C579"/>
    <mergeCell ref="D579:E579"/>
    <mergeCell ref="D569:E569"/>
    <mergeCell ref="B576:C576"/>
    <mergeCell ref="B552:C552"/>
    <mergeCell ref="D552:E552"/>
    <mergeCell ref="F552:G552"/>
    <mergeCell ref="F571:G571"/>
    <mergeCell ref="D571:E571"/>
    <mergeCell ref="B571:C571"/>
    <mergeCell ref="B568:C568"/>
    <mergeCell ref="D568:E568"/>
    <mergeCell ref="D607:E607"/>
    <mergeCell ref="F589:G589"/>
    <mergeCell ref="F564:G564"/>
    <mergeCell ref="D613:E613"/>
    <mergeCell ref="F613:G613"/>
    <mergeCell ref="F621:G621"/>
    <mergeCell ref="D643:E643"/>
    <mergeCell ref="F643:G643"/>
    <mergeCell ref="F609:G609"/>
    <mergeCell ref="D586:E586"/>
    <mergeCell ref="F586:G586"/>
    <mergeCell ref="B594:C594"/>
    <mergeCell ref="D594:E594"/>
    <mergeCell ref="F594:G594"/>
    <mergeCell ref="F545:G545"/>
    <mergeCell ref="D535:E535"/>
    <mergeCell ref="F535:G535"/>
    <mergeCell ref="D550:E550"/>
    <mergeCell ref="D544:E544"/>
    <mergeCell ref="F544:G544"/>
    <mergeCell ref="M544:N544"/>
    <mergeCell ref="F534:G534"/>
    <mergeCell ref="D539:E539"/>
    <mergeCell ref="B540:C540"/>
    <mergeCell ref="F576:G576"/>
    <mergeCell ref="F601:G601"/>
    <mergeCell ref="B600:C600"/>
    <mergeCell ref="D600:E600"/>
    <mergeCell ref="F600:G600"/>
    <mergeCell ref="B601:C601"/>
    <mergeCell ref="B593:C593"/>
    <mergeCell ref="D593:E593"/>
    <mergeCell ref="F598:G598"/>
    <mergeCell ref="M579:N579"/>
    <mergeCell ref="F597:G597"/>
    <mergeCell ref="M597:N597"/>
    <mergeCell ref="B589:C589"/>
    <mergeCell ref="B590:C590"/>
    <mergeCell ref="D590:E590"/>
    <mergeCell ref="F590:G590"/>
    <mergeCell ref="M590:N590"/>
    <mergeCell ref="D588:E588"/>
    <mergeCell ref="D591:E591"/>
    <mergeCell ref="D589:E589"/>
    <mergeCell ref="F585:G585"/>
    <mergeCell ref="M589:N589"/>
    <mergeCell ref="F494:G494"/>
    <mergeCell ref="M494:N494"/>
    <mergeCell ref="B495:C495"/>
    <mergeCell ref="D495:E495"/>
    <mergeCell ref="F495:G495"/>
    <mergeCell ref="M495:N495"/>
    <mergeCell ref="B497:C497"/>
    <mergeCell ref="D497:E497"/>
    <mergeCell ref="F497:G497"/>
    <mergeCell ref="M497:N497"/>
    <mergeCell ref="B496:C496"/>
    <mergeCell ref="D496:E496"/>
    <mergeCell ref="F496:G496"/>
    <mergeCell ref="M496:N496"/>
    <mergeCell ref="B507:C507"/>
    <mergeCell ref="D507:E507"/>
    <mergeCell ref="F507:G507"/>
    <mergeCell ref="M507:N507"/>
    <mergeCell ref="B494:C494"/>
    <mergeCell ref="D494:E494"/>
    <mergeCell ref="F503:G503"/>
    <mergeCell ref="M503:N503"/>
    <mergeCell ref="B501:C501"/>
    <mergeCell ref="D501:E501"/>
    <mergeCell ref="B498:C498"/>
    <mergeCell ref="D498:E498"/>
    <mergeCell ref="F498:G498"/>
    <mergeCell ref="F501:G501"/>
    <mergeCell ref="M501:N501"/>
    <mergeCell ref="F509:G509"/>
    <mergeCell ref="M509:N509"/>
    <mergeCell ref="B504:C504"/>
    <mergeCell ref="D504:E504"/>
    <mergeCell ref="F504:G504"/>
    <mergeCell ref="M504:N504"/>
    <mergeCell ref="B505:C505"/>
    <mergeCell ref="D505:E505"/>
    <mergeCell ref="F505:G505"/>
    <mergeCell ref="M505:N505"/>
    <mergeCell ref="B506:C506"/>
    <mergeCell ref="D506:E506"/>
    <mergeCell ref="F506:G506"/>
    <mergeCell ref="M506:N506"/>
    <mergeCell ref="B508:C508"/>
    <mergeCell ref="D508:E508"/>
    <mergeCell ref="F508:G508"/>
    <mergeCell ref="M508:N508"/>
    <mergeCell ref="B509:C509"/>
    <mergeCell ref="D509:E509"/>
    <mergeCell ref="B519:C519"/>
    <mergeCell ref="F513:G513"/>
    <mergeCell ref="M513:N513"/>
    <mergeCell ref="M517:N517"/>
    <mergeCell ref="F593:G593"/>
    <mergeCell ref="M593:N593"/>
    <mergeCell ref="B520:C520"/>
    <mergeCell ref="B521:C521"/>
    <mergeCell ref="D513:E513"/>
    <mergeCell ref="D521:E521"/>
    <mergeCell ref="D517:E517"/>
    <mergeCell ref="D518:E518"/>
    <mergeCell ref="D519:E519"/>
    <mergeCell ref="B514:C514"/>
    <mergeCell ref="B513:C513"/>
    <mergeCell ref="B569:C569"/>
    <mergeCell ref="B553:C553"/>
    <mergeCell ref="D553:E553"/>
    <mergeCell ref="F553:G553"/>
    <mergeCell ref="D576:E576"/>
    <mergeCell ref="D534:E534"/>
    <mergeCell ref="B539:C539"/>
    <mergeCell ref="B537:C537"/>
    <mergeCell ref="B538:C538"/>
    <mergeCell ref="D537:E537"/>
    <mergeCell ref="D536:E536"/>
    <mergeCell ref="F536:G536"/>
    <mergeCell ref="F538:G538"/>
    <mergeCell ref="M523:N523"/>
    <mergeCell ref="M578:N578"/>
    <mergeCell ref="M520:N520"/>
    <mergeCell ref="M521:N521"/>
    <mergeCell ref="F510:G510"/>
    <mergeCell ref="M510:N510"/>
    <mergeCell ref="B511:C511"/>
    <mergeCell ref="D511:E511"/>
    <mergeCell ref="F511:G511"/>
    <mergeCell ref="M511:N511"/>
    <mergeCell ref="B512:C512"/>
    <mergeCell ref="D512:E512"/>
    <mergeCell ref="F512:G512"/>
    <mergeCell ref="M512:N512"/>
    <mergeCell ref="B516:C516"/>
    <mergeCell ref="F517:G517"/>
    <mergeCell ref="F518:G518"/>
    <mergeCell ref="B517:C517"/>
    <mergeCell ref="B518:C518"/>
    <mergeCell ref="D516:E516"/>
    <mergeCell ref="F516:G516"/>
    <mergeCell ref="M516:N516"/>
    <mergeCell ref="F515:G515"/>
    <mergeCell ref="B515:C515"/>
    <mergeCell ref="M617:N617"/>
    <mergeCell ref="M616:N616"/>
    <mergeCell ref="M601:N601"/>
    <mergeCell ref="I606:L606"/>
    <mergeCell ref="F607:G607"/>
    <mergeCell ref="D601:E601"/>
    <mergeCell ref="M600:N600"/>
    <mergeCell ref="F599:G599"/>
    <mergeCell ref="M384:N384"/>
    <mergeCell ref="B381:C381"/>
    <mergeCell ref="D622:E622"/>
    <mergeCell ref="B626:C626"/>
    <mergeCell ref="D626:E626"/>
    <mergeCell ref="F626:G626"/>
    <mergeCell ref="B615:C615"/>
    <mergeCell ref="D615:E615"/>
    <mergeCell ref="F622:G622"/>
    <mergeCell ref="B624:C624"/>
    <mergeCell ref="M582:N582"/>
    <mergeCell ref="M607:N607"/>
    <mergeCell ref="B608:C608"/>
    <mergeCell ref="D608:E608"/>
    <mergeCell ref="M577:N577"/>
    <mergeCell ref="B575:C575"/>
    <mergeCell ref="D575:E575"/>
    <mergeCell ref="B577:C577"/>
    <mergeCell ref="D577:E577"/>
    <mergeCell ref="D585:E585"/>
    <mergeCell ref="B588:C588"/>
    <mergeCell ref="F588:G588"/>
    <mergeCell ref="M588:N588"/>
    <mergeCell ref="M591:N591"/>
    <mergeCell ref="M552:N552"/>
    <mergeCell ref="I528:L528"/>
    <mergeCell ref="B529:C529"/>
    <mergeCell ref="D529:E529"/>
    <mergeCell ref="B373:C373"/>
    <mergeCell ref="D373:E373"/>
    <mergeCell ref="F373:G373"/>
    <mergeCell ref="M373:N373"/>
    <mergeCell ref="B371:C371"/>
    <mergeCell ref="D371:E371"/>
    <mergeCell ref="F371:G371"/>
    <mergeCell ref="M371:N371"/>
    <mergeCell ref="B372:C372"/>
    <mergeCell ref="D372:E372"/>
    <mergeCell ref="F372:G372"/>
    <mergeCell ref="M372:N372"/>
    <mergeCell ref="D385:E385"/>
    <mergeCell ref="F385:G385"/>
    <mergeCell ref="M385:N385"/>
    <mergeCell ref="B386:C386"/>
    <mergeCell ref="D386:E386"/>
    <mergeCell ref="F386:G386"/>
    <mergeCell ref="M386:N386"/>
    <mergeCell ref="B383:C383"/>
    <mergeCell ref="D383:E383"/>
    <mergeCell ref="F383:G383"/>
    <mergeCell ref="M383:N383"/>
    <mergeCell ref="B384:C384"/>
    <mergeCell ref="M390:N390"/>
    <mergeCell ref="M387:N387"/>
    <mergeCell ref="B510:C510"/>
    <mergeCell ref="D510:E510"/>
    <mergeCell ref="I368:L368"/>
    <mergeCell ref="B369:C369"/>
    <mergeCell ref="D369:E369"/>
    <mergeCell ref="F369:G369"/>
    <mergeCell ref="M369:N369"/>
    <mergeCell ref="B370:C370"/>
    <mergeCell ref="D370:E370"/>
    <mergeCell ref="F370:G370"/>
    <mergeCell ref="M370:N370"/>
    <mergeCell ref="B380:C380"/>
    <mergeCell ref="D380:E380"/>
    <mergeCell ref="F380:G380"/>
    <mergeCell ref="M380:N380"/>
    <mergeCell ref="M378:N378"/>
    <mergeCell ref="M379:N379"/>
    <mergeCell ref="B379:C379"/>
    <mergeCell ref="D379:E379"/>
    <mergeCell ref="F379:G379"/>
    <mergeCell ref="F378:G378"/>
    <mergeCell ref="B374:C374"/>
    <mergeCell ref="D374:E374"/>
    <mergeCell ref="F374:G374"/>
    <mergeCell ref="M374:N374"/>
    <mergeCell ref="B375:C375"/>
    <mergeCell ref="D375:E375"/>
    <mergeCell ref="F375:G375"/>
    <mergeCell ref="M375:N375"/>
    <mergeCell ref="B388:C388"/>
    <mergeCell ref="D388:E388"/>
    <mergeCell ref="F388:G388"/>
    <mergeCell ref="M388:N388"/>
    <mergeCell ref="B385:C385"/>
    <mergeCell ref="D381:E381"/>
    <mergeCell ref="F381:G381"/>
    <mergeCell ref="M381:N381"/>
    <mergeCell ref="B382:C382"/>
    <mergeCell ref="D382:E382"/>
    <mergeCell ref="F382:G382"/>
    <mergeCell ref="M382:N382"/>
    <mergeCell ref="M397:N397"/>
    <mergeCell ref="D384:E384"/>
    <mergeCell ref="F384:G384"/>
    <mergeCell ref="M391:N391"/>
    <mergeCell ref="B392:C392"/>
    <mergeCell ref="M392:N392"/>
    <mergeCell ref="B395:C395"/>
    <mergeCell ref="D395:E395"/>
    <mergeCell ref="F395:G395"/>
    <mergeCell ref="M395:N395"/>
    <mergeCell ref="B399:E399"/>
    <mergeCell ref="B400:E400"/>
    <mergeCell ref="B396:C396"/>
    <mergeCell ref="D396:E396"/>
    <mergeCell ref="F396:G396"/>
    <mergeCell ref="M396:N396"/>
    <mergeCell ref="B397:C397"/>
    <mergeCell ref="D397:E397"/>
    <mergeCell ref="F397:G397"/>
    <mergeCell ref="M393:N393"/>
    <mergeCell ref="B394:C394"/>
    <mergeCell ref="D394:E394"/>
    <mergeCell ref="F394:G394"/>
    <mergeCell ref="M394:N394"/>
    <mergeCell ref="B391:C391"/>
    <mergeCell ref="D391:E391"/>
    <mergeCell ref="F391:G391"/>
    <mergeCell ref="F292:G292"/>
    <mergeCell ref="M292:N292"/>
    <mergeCell ref="B293:C293"/>
    <mergeCell ref="D293:E293"/>
    <mergeCell ref="F293:G293"/>
    <mergeCell ref="M293:N293"/>
    <mergeCell ref="M297:N297"/>
    <mergeCell ref="B393:C393"/>
    <mergeCell ref="D393:E393"/>
    <mergeCell ref="F393:G393"/>
    <mergeCell ref="D392:E392"/>
    <mergeCell ref="F392:G392"/>
    <mergeCell ref="B387:C387"/>
    <mergeCell ref="D387:E387"/>
    <mergeCell ref="F387:G387"/>
    <mergeCell ref="B378:C378"/>
    <mergeCell ref="D378:E378"/>
    <mergeCell ref="M377:N377"/>
    <mergeCell ref="B376:C376"/>
    <mergeCell ref="D376:E376"/>
    <mergeCell ref="F376:G376"/>
    <mergeCell ref="B377:C377"/>
    <mergeCell ref="D377:E377"/>
    <mergeCell ref="F377:G377"/>
    <mergeCell ref="M376:N376"/>
    <mergeCell ref="B389:C389"/>
    <mergeCell ref="D389:E389"/>
    <mergeCell ref="F389:G389"/>
    <mergeCell ref="M389:N389"/>
    <mergeCell ref="B390:C390"/>
    <mergeCell ref="D390:E390"/>
    <mergeCell ref="F390:G390"/>
    <mergeCell ref="I289:L289"/>
    <mergeCell ref="B290:C290"/>
    <mergeCell ref="D290:E290"/>
    <mergeCell ref="F290:G290"/>
    <mergeCell ref="M290:N290"/>
    <mergeCell ref="B291:C291"/>
    <mergeCell ref="D291:E291"/>
    <mergeCell ref="F291:G291"/>
    <mergeCell ref="M291:N291"/>
    <mergeCell ref="B301:C301"/>
    <mergeCell ref="D301:E301"/>
    <mergeCell ref="F301:G301"/>
    <mergeCell ref="M301:N301"/>
    <mergeCell ref="B303:C303"/>
    <mergeCell ref="D303:E303"/>
    <mergeCell ref="F303:G303"/>
    <mergeCell ref="M303:N303"/>
    <mergeCell ref="B298:C298"/>
    <mergeCell ref="D298:E298"/>
    <mergeCell ref="F298:G298"/>
    <mergeCell ref="M298:N298"/>
    <mergeCell ref="B300:C300"/>
    <mergeCell ref="B294:C294"/>
    <mergeCell ref="D294:E294"/>
    <mergeCell ref="F294:G294"/>
    <mergeCell ref="M294:N294"/>
    <mergeCell ref="B295:C295"/>
    <mergeCell ref="D295:E295"/>
    <mergeCell ref="F295:G295"/>
    <mergeCell ref="M295:N295"/>
    <mergeCell ref="B292:C292"/>
    <mergeCell ref="D292:E292"/>
    <mergeCell ref="F306:G306"/>
    <mergeCell ref="M306:N306"/>
    <mergeCell ref="B307:C307"/>
    <mergeCell ref="D307:E307"/>
    <mergeCell ref="F307:G307"/>
    <mergeCell ref="M307:N307"/>
    <mergeCell ref="B304:C304"/>
    <mergeCell ref="D304:E304"/>
    <mergeCell ref="F304:G304"/>
    <mergeCell ref="M304:N304"/>
    <mergeCell ref="B305:C305"/>
    <mergeCell ref="D305:E305"/>
    <mergeCell ref="F305:G305"/>
    <mergeCell ref="M305:N305"/>
    <mergeCell ref="B306:C306"/>
    <mergeCell ref="D306:E306"/>
    <mergeCell ref="B299:C299"/>
    <mergeCell ref="D299:E299"/>
    <mergeCell ref="F299:G299"/>
    <mergeCell ref="M299:N299"/>
    <mergeCell ref="B302:C302"/>
    <mergeCell ref="D302:E302"/>
    <mergeCell ref="F302:G302"/>
    <mergeCell ref="M302:N302"/>
    <mergeCell ref="F321:G321"/>
    <mergeCell ref="M321:N321"/>
    <mergeCell ref="B318:C318"/>
    <mergeCell ref="D318:E318"/>
    <mergeCell ref="F318:G318"/>
    <mergeCell ref="M318:N318"/>
    <mergeCell ref="B310:C310"/>
    <mergeCell ref="D310:E310"/>
    <mergeCell ref="F310:G310"/>
    <mergeCell ref="M310:N310"/>
    <mergeCell ref="B311:C311"/>
    <mergeCell ref="D311:E311"/>
    <mergeCell ref="F311:G311"/>
    <mergeCell ref="M311:N311"/>
    <mergeCell ref="D300:E300"/>
    <mergeCell ref="F300:G300"/>
    <mergeCell ref="M300:N300"/>
    <mergeCell ref="B308:C308"/>
    <mergeCell ref="D308:E308"/>
    <mergeCell ref="F308:G308"/>
    <mergeCell ref="M308:N308"/>
    <mergeCell ref="B309:C309"/>
    <mergeCell ref="D309:E309"/>
    <mergeCell ref="F309:G309"/>
    <mergeCell ref="M309:N309"/>
    <mergeCell ref="B316:C316"/>
    <mergeCell ref="D316:E316"/>
    <mergeCell ref="F316:G316"/>
    <mergeCell ref="M316:N316"/>
    <mergeCell ref="B317:C317"/>
    <mergeCell ref="D317:E317"/>
    <mergeCell ref="F317:G317"/>
    <mergeCell ref="M317:N317"/>
    <mergeCell ref="B137:C137"/>
    <mergeCell ref="D137:E137"/>
    <mergeCell ref="F137:G137"/>
    <mergeCell ref="M137:N137"/>
    <mergeCell ref="B177:C177"/>
    <mergeCell ref="D177:E177"/>
    <mergeCell ref="F177:G177"/>
    <mergeCell ref="M177:N177"/>
    <mergeCell ref="B314:C314"/>
    <mergeCell ref="D314:E314"/>
    <mergeCell ref="F314:G314"/>
    <mergeCell ref="M314:N314"/>
    <mergeCell ref="B315:C315"/>
    <mergeCell ref="D315:E315"/>
    <mergeCell ref="F315:G315"/>
    <mergeCell ref="M315:N315"/>
    <mergeCell ref="B312:C312"/>
    <mergeCell ref="D312:E312"/>
    <mergeCell ref="F312:G312"/>
    <mergeCell ref="M312:N312"/>
    <mergeCell ref="B313:C313"/>
    <mergeCell ref="D313:E313"/>
    <mergeCell ref="F313:G313"/>
    <mergeCell ref="M313:N313"/>
    <mergeCell ref="B296:C296"/>
    <mergeCell ref="D296:E296"/>
    <mergeCell ref="F296:G296"/>
    <mergeCell ref="M296:N296"/>
    <mergeCell ref="B297:C297"/>
    <mergeCell ref="D297:E297"/>
    <mergeCell ref="F297:G297"/>
    <mergeCell ref="B328:E328"/>
    <mergeCell ref="B329:E329"/>
    <mergeCell ref="B319:C319"/>
    <mergeCell ref="D319:E319"/>
    <mergeCell ref="F319:G319"/>
    <mergeCell ref="M319:N319"/>
    <mergeCell ref="B320:C320"/>
    <mergeCell ref="D320:E320"/>
    <mergeCell ref="F320:G320"/>
    <mergeCell ref="M320:N320"/>
    <mergeCell ref="B325:C325"/>
    <mergeCell ref="D325:E325"/>
    <mergeCell ref="F325:G325"/>
    <mergeCell ref="M325:N325"/>
    <mergeCell ref="B326:C326"/>
    <mergeCell ref="D326:E326"/>
    <mergeCell ref="F326:G326"/>
    <mergeCell ref="M326:N326"/>
    <mergeCell ref="B324:C324"/>
    <mergeCell ref="D324:E324"/>
    <mergeCell ref="F324:G324"/>
    <mergeCell ref="M324:N324"/>
    <mergeCell ref="B321:C321"/>
    <mergeCell ref="D321:E321"/>
    <mergeCell ref="B323:C323"/>
    <mergeCell ref="D323:E323"/>
    <mergeCell ref="F323:G323"/>
    <mergeCell ref="M323:N323"/>
    <mergeCell ref="B322:C322"/>
    <mergeCell ref="D322:E322"/>
    <mergeCell ref="F322:G322"/>
    <mergeCell ref="M322:N322"/>
    <mergeCell ref="I41:L41"/>
    <mergeCell ref="B42:C42"/>
    <mergeCell ref="D42:E42"/>
    <mergeCell ref="F42:G42"/>
    <mergeCell ref="M42:N42"/>
    <mergeCell ref="B43:C43"/>
    <mergeCell ref="D43:E43"/>
    <mergeCell ref="F43:G43"/>
    <mergeCell ref="M43:N43"/>
    <mergeCell ref="B44:C44"/>
    <mergeCell ref="D44:E44"/>
    <mergeCell ref="F44:G44"/>
    <mergeCell ref="M44:N44"/>
    <mergeCell ref="B45:C45"/>
    <mergeCell ref="D45:E45"/>
    <mergeCell ref="F45:G45"/>
    <mergeCell ref="M45:N45"/>
    <mergeCell ref="B46:C46"/>
    <mergeCell ref="D46:E46"/>
    <mergeCell ref="F46:G46"/>
    <mergeCell ref="M46:N46"/>
    <mergeCell ref="B47:C47"/>
    <mergeCell ref="D47:E47"/>
    <mergeCell ref="F47:G47"/>
    <mergeCell ref="M47:N47"/>
    <mergeCell ref="B48:C48"/>
    <mergeCell ref="D48:E48"/>
    <mergeCell ref="F48:G48"/>
    <mergeCell ref="M48:N48"/>
    <mergeCell ref="B49:C49"/>
    <mergeCell ref="D49:E49"/>
    <mergeCell ref="F49:G49"/>
    <mergeCell ref="M49:N49"/>
    <mergeCell ref="B50:C50"/>
    <mergeCell ref="D50:E50"/>
    <mergeCell ref="F50:G50"/>
    <mergeCell ref="M50:N50"/>
    <mergeCell ref="B51:C51"/>
    <mergeCell ref="D51:E51"/>
    <mergeCell ref="F51:G51"/>
    <mergeCell ref="M51:N51"/>
    <mergeCell ref="B52:C52"/>
    <mergeCell ref="D52:E52"/>
    <mergeCell ref="F52:G52"/>
    <mergeCell ref="M52:N52"/>
    <mergeCell ref="B53:C53"/>
    <mergeCell ref="D53:E53"/>
    <mergeCell ref="F53:G53"/>
    <mergeCell ref="M53:N53"/>
    <mergeCell ref="B54:C54"/>
    <mergeCell ref="D54:E54"/>
    <mergeCell ref="F54:G54"/>
    <mergeCell ref="B55:C55"/>
    <mergeCell ref="D55:E55"/>
    <mergeCell ref="F55:G55"/>
    <mergeCell ref="M55:N55"/>
    <mergeCell ref="B56:C56"/>
    <mergeCell ref="D56:E56"/>
    <mergeCell ref="F56:G56"/>
    <mergeCell ref="M56:N56"/>
    <mergeCell ref="B57:C57"/>
    <mergeCell ref="D57:E57"/>
    <mergeCell ref="F57:G57"/>
    <mergeCell ref="M57:N57"/>
    <mergeCell ref="B58:C58"/>
    <mergeCell ref="D58:E58"/>
    <mergeCell ref="F58:G58"/>
    <mergeCell ref="M58:N58"/>
    <mergeCell ref="B59:C59"/>
    <mergeCell ref="D59:E59"/>
    <mergeCell ref="F59:G59"/>
    <mergeCell ref="M59:N59"/>
    <mergeCell ref="B60:C60"/>
    <mergeCell ref="D60:E60"/>
    <mergeCell ref="F60:G60"/>
    <mergeCell ref="B61:C61"/>
    <mergeCell ref="D61:E61"/>
    <mergeCell ref="F61:G61"/>
    <mergeCell ref="M61:N61"/>
    <mergeCell ref="B62:C62"/>
    <mergeCell ref="D62:E62"/>
    <mergeCell ref="F62:G62"/>
    <mergeCell ref="M62:N62"/>
    <mergeCell ref="B63:C63"/>
    <mergeCell ref="D63:E63"/>
    <mergeCell ref="F63:G63"/>
    <mergeCell ref="M63:N63"/>
    <mergeCell ref="B64:C64"/>
    <mergeCell ref="D64:E64"/>
    <mergeCell ref="F64:G64"/>
    <mergeCell ref="M64:N64"/>
    <mergeCell ref="B65:C65"/>
    <mergeCell ref="D65:E65"/>
    <mergeCell ref="F65:G65"/>
    <mergeCell ref="M65:N65"/>
    <mergeCell ref="B66:C66"/>
    <mergeCell ref="D66:E66"/>
    <mergeCell ref="F66:G66"/>
    <mergeCell ref="M66:N66"/>
    <mergeCell ref="B67:C67"/>
    <mergeCell ref="D67:E67"/>
    <mergeCell ref="F67:G67"/>
    <mergeCell ref="M67:N67"/>
    <mergeCell ref="B68:C68"/>
    <mergeCell ref="D68:E68"/>
    <mergeCell ref="F68:G68"/>
    <mergeCell ref="M68:N68"/>
    <mergeCell ref="B69:C69"/>
    <mergeCell ref="D69:E69"/>
    <mergeCell ref="F69:G69"/>
    <mergeCell ref="M69:N69"/>
    <mergeCell ref="B70:C70"/>
    <mergeCell ref="D70:E70"/>
    <mergeCell ref="F70:G70"/>
    <mergeCell ref="M70:N70"/>
    <mergeCell ref="B76:C76"/>
    <mergeCell ref="D76:E76"/>
    <mergeCell ref="F76:G76"/>
    <mergeCell ref="M76:N76"/>
    <mergeCell ref="B78:E78"/>
    <mergeCell ref="B79:E79"/>
    <mergeCell ref="B71:C71"/>
    <mergeCell ref="D71:E71"/>
    <mergeCell ref="F71:G71"/>
    <mergeCell ref="M71:N71"/>
    <mergeCell ref="B72:C72"/>
    <mergeCell ref="D72:E72"/>
    <mergeCell ref="F72:G72"/>
    <mergeCell ref="M72:N72"/>
    <mergeCell ref="B73:C73"/>
    <mergeCell ref="D73:E73"/>
    <mergeCell ref="F73:G73"/>
    <mergeCell ref="B74:C74"/>
    <mergeCell ref="D74:E74"/>
    <mergeCell ref="F74:G74"/>
    <mergeCell ref="M74:N74"/>
    <mergeCell ref="B75:C75"/>
    <mergeCell ref="D75:E75"/>
    <mergeCell ref="F75:G75"/>
    <mergeCell ref="M75:N75"/>
  </mergeCells>
  <phoneticPr fontId="2" type="noConversion"/>
  <printOptions horizontalCentered="1"/>
  <pageMargins left="0.25" right="0.25" top="1.5" bottom="0" header="0.6" footer="0"/>
  <pageSetup scale="45" fitToHeight="0" orientation="landscape" r:id="rId1"/>
  <headerFooter alignWithMargins="0">
    <oddHeader xml:space="preserve">&amp;C&amp;"Arial,Bold"&amp;22City of Ontario
IEUA Regional Conservation Programs Annual Report &amp;"Arial,Regular"
</oddHeader>
  </headerFooter>
  <rowBreaks count="14" manualBreakCount="14">
    <brk id="79" max="16383" man="1"/>
    <brk id="119" max="13" man="1"/>
    <brk id="159" max="13" man="1"/>
    <brk id="198" max="13" man="1"/>
    <brk id="243" max="13" man="1"/>
    <brk id="287" max="13" man="1"/>
    <brk id="329" max="13" man="1"/>
    <brk id="366" max="13" man="1"/>
    <brk id="400" max="13" man="1"/>
    <brk id="443" max="13" man="1"/>
    <brk id="486" max="13" man="1"/>
    <brk id="526" max="13" man="1"/>
    <brk id="556" max="13" man="1"/>
    <brk id="604" max="13" man="1"/>
  </rowBreaks>
  <colBreaks count="1" manualBreakCount="1">
    <brk id="14" max="1048575" man="1"/>
  </col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rgb="FFFF0000"/>
    <pageSetUpPr fitToPage="1"/>
  </sheetPr>
  <dimension ref="A1:NO650"/>
  <sheetViews>
    <sheetView zoomScale="90" zoomScaleNormal="90" zoomScaleSheetLayoutView="75" workbookViewId="0">
      <selection activeCell="B2" sqref="B2:H2"/>
    </sheetView>
  </sheetViews>
  <sheetFormatPr baseColWidth="10" defaultColWidth="8.83203125" defaultRowHeight="13"/>
  <cols>
    <col min="1" max="1" width="57.33203125" customWidth="1"/>
    <col min="2" max="5" width="8.83203125" customWidth="1"/>
    <col min="6" max="7" width="8.83203125" style="202" customWidth="1"/>
    <col min="8" max="8" width="17.1640625" style="202" customWidth="1"/>
    <col min="9" max="12" width="17.1640625" customWidth="1"/>
    <col min="13" max="14" width="8.83203125" customWidth="1"/>
    <col min="15" max="21" width="9.1640625" style="75"/>
  </cols>
  <sheetData>
    <row r="1" spans="1:21" s="178" customFormat="1" ht="16">
      <c r="A1" s="63"/>
      <c r="B1" s="64"/>
      <c r="C1" s="64"/>
      <c r="D1" s="64"/>
      <c r="E1" s="64"/>
      <c r="F1" s="200"/>
      <c r="G1" s="200"/>
      <c r="H1" s="200"/>
      <c r="I1" s="670" t="s">
        <v>0</v>
      </c>
      <c r="J1" s="670"/>
      <c r="K1" s="670"/>
      <c r="L1" s="670"/>
      <c r="M1" s="64"/>
      <c r="N1" s="65"/>
      <c r="O1" s="610"/>
      <c r="P1" s="610"/>
      <c r="Q1" s="610"/>
      <c r="R1" s="610"/>
      <c r="S1" s="610"/>
      <c r="T1" s="610"/>
      <c r="U1" s="610"/>
    </row>
    <row r="2" spans="1:21" ht="16">
      <c r="A2" s="62"/>
      <c r="B2" s="671" t="s">
        <v>1</v>
      </c>
      <c r="C2" s="671"/>
      <c r="D2" s="671" t="s">
        <v>2</v>
      </c>
      <c r="E2" s="671"/>
      <c r="F2" s="672" t="s">
        <v>3</v>
      </c>
      <c r="G2" s="672"/>
      <c r="H2" s="586" t="s">
        <v>3</v>
      </c>
      <c r="I2" s="78" t="s">
        <v>135</v>
      </c>
      <c r="J2" s="66"/>
      <c r="K2" s="66"/>
      <c r="L2" s="79"/>
      <c r="M2" s="891" t="s">
        <v>228</v>
      </c>
      <c r="N2" s="892"/>
    </row>
    <row r="3" spans="1:21" ht="19" thickBot="1">
      <c r="A3" s="67" t="s">
        <v>5</v>
      </c>
      <c r="B3" s="675" t="s">
        <v>6</v>
      </c>
      <c r="C3" s="675"/>
      <c r="D3" s="675" t="s">
        <v>7</v>
      </c>
      <c r="E3" s="675"/>
      <c r="F3" s="676" t="s">
        <v>7</v>
      </c>
      <c r="G3" s="676"/>
      <c r="H3" s="588" t="s">
        <v>58</v>
      </c>
      <c r="I3" s="589" t="s">
        <v>136</v>
      </c>
      <c r="J3" s="587" t="s">
        <v>8</v>
      </c>
      <c r="K3" s="587" t="s">
        <v>9</v>
      </c>
      <c r="L3" s="187" t="s">
        <v>10</v>
      </c>
      <c r="M3" s="675" t="s">
        <v>229</v>
      </c>
      <c r="N3" s="678"/>
    </row>
    <row r="4" spans="1:21" ht="24" thickBot="1">
      <c r="A4" s="60" t="s">
        <v>218</v>
      </c>
      <c r="B4" s="679"/>
      <c r="C4" s="680"/>
      <c r="D4" s="681"/>
      <c r="E4" s="682"/>
      <c r="F4" s="683"/>
      <c r="G4" s="684"/>
      <c r="H4" s="595"/>
      <c r="I4" s="118"/>
      <c r="J4" s="118"/>
      <c r="K4" s="118"/>
      <c r="L4" s="119"/>
      <c r="M4" s="685"/>
      <c r="N4" s="686"/>
    </row>
    <row r="5" spans="1:21" s="530" customFormat="1" ht="17" thickBot="1">
      <c r="A5" s="73" t="s">
        <v>129</v>
      </c>
      <c r="B5" s="662"/>
      <c r="C5" s="663"/>
      <c r="D5" s="663"/>
      <c r="E5" s="663"/>
      <c r="F5" s="687"/>
      <c r="G5" s="687"/>
      <c r="H5" s="591"/>
      <c r="I5" s="590"/>
      <c r="J5" s="590"/>
      <c r="K5" s="590"/>
      <c r="L5" s="590"/>
      <c r="M5" s="688"/>
      <c r="N5" s="689"/>
      <c r="O5" s="135"/>
      <c r="P5" s="135"/>
      <c r="Q5" s="135"/>
      <c r="R5" s="135"/>
      <c r="S5" s="135"/>
      <c r="T5" s="135"/>
      <c r="U5" s="135"/>
    </row>
    <row r="6" spans="1:21" s="75" customFormat="1">
      <c r="A6" s="52" t="s">
        <v>29</v>
      </c>
      <c r="B6" s="668">
        <f>Chino!N428</f>
        <v>7</v>
      </c>
      <c r="C6" s="669"/>
      <c r="D6" s="664">
        <f>F6*325900</f>
        <v>56119.979999999996</v>
      </c>
      <c r="E6" s="639"/>
      <c r="F6" s="667">
        <f>0.0246*B6</f>
        <v>0.17219999999999999</v>
      </c>
      <c r="G6" s="639"/>
      <c r="H6" s="596">
        <f>F6*20</f>
        <v>3.444</v>
      </c>
      <c r="I6" s="107">
        <v>0</v>
      </c>
      <c r="J6" s="107">
        <f>B6*60</f>
        <v>420</v>
      </c>
      <c r="K6" s="107">
        <f>B6*40</f>
        <v>280</v>
      </c>
      <c r="L6" s="108">
        <f>K6+J6+I6</f>
        <v>700</v>
      </c>
      <c r="M6" s="634">
        <f>J6/(F6*830)</f>
        <v>2.9385836027034973</v>
      </c>
      <c r="N6" s="635"/>
    </row>
    <row r="7" spans="1:21" s="75" customFormat="1">
      <c r="A7" s="52" t="s">
        <v>33</v>
      </c>
      <c r="B7" s="638">
        <f>Chino!N429</f>
        <v>52</v>
      </c>
      <c r="C7" s="639"/>
      <c r="D7" s="664">
        <f t="shared" ref="D7" si="0">F7*325900</f>
        <v>584664.6</v>
      </c>
      <c r="E7" s="639"/>
      <c r="F7" s="667">
        <f>0.0345*B7</f>
        <v>1.794</v>
      </c>
      <c r="G7" s="639"/>
      <c r="H7" s="596">
        <f>F7*14</f>
        <v>25.116</v>
      </c>
      <c r="I7" s="107">
        <f>0*B7</f>
        <v>0</v>
      </c>
      <c r="J7" s="107">
        <f>B7*75</f>
        <v>3900</v>
      </c>
      <c r="K7" s="107">
        <f>B7*85</f>
        <v>4420</v>
      </c>
      <c r="L7" s="108">
        <f t="shared" ref="L7" si="1">K7+J7+I7</f>
        <v>8320</v>
      </c>
      <c r="M7" s="634">
        <f t="shared" ref="M7:M10" si="2">J7/(F7*830)</f>
        <v>2.6191723415400734</v>
      </c>
      <c r="N7" s="635"/>
    </row>
    <row r="8" spans="1:21" s="75" customFormat="1">
      <c r="A8" s="130" t="s">
        <v>198</v>
      </c>
      <c r="B8" s="638">
        <f>Chino!N430</f>
        <v>0</v>
      </c>
      <c r="C8" s="639"/>
      <c r="D8" s="664">
        <f>F8*325900</f>
        <v>0</v>
      </c>
      <c r="E8" s="639"/>
      <c r="F8" s="665">
        <f>0.0044*0</f>
        <v>0</v>
      </c>
      <c r="G8" s="666"/>
      <c r="H8" s="596">
        <f>F8*5</f>
        <v>0</v>
      </c>
      <c r="I8" s="107">
        <f>0*0</f>
        <v>0</v>
      </c>
      <c r="J8" s="107">
        <f>3*0</f>
        <v>0</v>
      </c>
      <c r="K8" s="107">
        <f>2*0</f>
        <v>0</v>
      </c>
      <c r="L8" s="108">
        <f>K8+J8+I8</f>
        <v>0</v>
      </c>
      <c r="M8" s="634">
        <v>0</v>
      </c>
      <c r="N8" s="635"/>
    </row>
    <row r="9" spans="1:21" s="75" customFormat="1">
      <c r="A9" s="52" t="s">
        <v>52</v>
      </c>
      <c r="B9" s="638">
        <f>Chino!N431</f>
        <v>40</v>
      </c>
      <c r="C9" s="639"/>
      <c r="D9" s="664">
        <f>F9*325900</f>
        <v>539690.4</v>
      </c>
      <c r="E9" s="639"/>
      <c r="F9" s="667">
        <f>0.0414*B9</f>
        <v>1.6559999999999999</v>
      </c>
      <c r="G9" s="639"/>
      <c r="H9" s="596">
        <f>F9*10</f>
        <v>16.559999999999999</v>
      </c>
      <c r="I9" s="107">
        <v>0</v>
      </c>
      <c r="J9" s="107">
        <f>B9*80</f>
        <v>3200</v>
      </c>
      <c r="K9" s="107">
        <f>B9*80</f>
        <v>3200</v>
      </c>
      <c r="L9" s="108">
        <f>K9+J9+I9</f>
        <v>6400</v>
      </c>
      <c r="M9" s="634">
        <f t="shared" si="2"/>
        <v>2.3281531924800651</v>
      </c>
      <c r="N9" s="635"/>
    </row>
    <row r="10" spans="1:21" s="75" customFormat="1">
      <c r="A10" s="130" t="s">
        <v>220</v>
      </c>
      <c r="B10" s="638">
        <f>Chino!N432</f>
        <v>5</v>
      </c>
      <c r="C10" s="639"/>
      <c r="D10" s="650">
        <f>F10*325900</f>
        <v>294077</v>
      </c>
      <c r="E10" s="651"/>
      <c r="F10" s="652">
        <f>6839*43/325900</f>
        <v>0.90235348266339366</v>
      </c>
      <c r="G10" s="651"/>
      <c r="H10" s="592">
        <f>F10*10</f>
        <v>9.0235348266339361</v>
      </c>
      <c r="I10" s="107">
        <v>0</v>
      </c>
      <c r="J10" s="107">
        <v>6320</v>
      </c>
      <c r="K10" s="107">
        <v>13678</v>
      </c>
      <c r="L10" s="108">
        <f t="shared" ref="L10:L13" si="3">K10+J10+I10</f>
        <v>19998</v>
      </c>
      <c r="M10" s="634">
        <f t="shared" si="2"/>
        <v>8.4384423373093309</v>
      </c>
      <c r="N10" s="635"/>
    </row>
    <row r="11" spans="1:21" s="75" customFormat="1">
      <c r="A11" s="130" t="s">
        <v>147</v>
      </c>
      <c r="B11" s="638">
        <f>Chino!N433</f>
        <v>0</v>
      </c>
      <c r="C11" s="639"/>
      <c r="D11" s="664">
        <f t="shared" ref="D11" si="4">F11*325900</f>
        <v>0</v>
      </c>
      <c r="E11" s="639"/>
      <c r="F11" s="665">
        <f>0.0019*B11</f>
        <v>0</v>
      </c>
      <c r="G11" s="666"/>
      <c r="H11" s="596">
        <f>F11*5</f>
        <v>0</v>
      </c>
      <c r="I11" s="107">
        <v>0</v>
      </c>
      <c r="J11" s="107">
        <f>B11*0</f>
        <v>0</v>
      </c>
      <c r="K11" s="107">
        <f>B11*35</f>
        <v>0</v>
      </c>
      <c r="L11" s="108">
        <f t="shared" si="3"/>
        <v>0</v>
      </c>
      <c r="M11" s="634">
        <v>0</v>
      </c>
      <c r="N11" s="635"/>
    </row>
    <row r="12" spans="1:21" s="75" customFormat="1">
      <c r="A12" s="130" t="s">
        <v>187</v>
      </c>
      <c r="B12" s="638">
        <f>Chino!N434</f>
        <v>0</v>
      </c>
      <c r="C12" s="639"/>
      <c r="D12" s="664">
        <f>F12*325900</f>
        <v>0</v>
      </c>
      <c r="E12" s="639"/>
      <c r="F12" s="665">
        <v>0</v>
      </c>
      <c r="G12" s="666"/>
      <c r="H12" s="596">
        <v>0</v>
      </c>
      <c r="I12" s="107">
        <v>0</v>
      </c>
      <c r="J12" s="107">
        <f>B12*0</f>
        <v>0</v>
      </c>
      <c r="K12" s="107">
        <f>B12*300</f>
        <v>0</v>
      </c>
      <c r="L12" s="108">
        <f t="shared" si="3"/>
        <v>0</v>
      </c>
      <c r="M12" s="634">
        <v>0</v>
      </c>
      <c r="N12" s="635"/>
    </row>
    <row r="13" spans="1:21" s="75" customFormat="1" ht="14" thickBot="1">
      <c r="A13" s="130" t="s">
        <v>166</v>
      </c>
      <c r="B13" s="653">
        <f>Chino!N435</f>
        <v>0</v>
      </c>
      <c r="C13" s="641"/>
      <c r="D13" s="664">
        <f t="shared" ref="D13" si="5">F13*325900</f>
        <v>0</v>
      </c>
      <c r="E13" s="639"/>
      <c r="F13" s="665">
        <f>0.0414*B13</f>
        <v>0</v>
      </c>
      <c r="G13" s="666"/>
      <c r="H13" s="596">
        <f>F13*10</f>
        <v>0</v>
      </c>
      <c r="I13" s="107">
        <v>0</v>
      </c>
      <c r="J13" s="107">
        <f t="shared" ref="J13" si="6">B13*65</f>
        <v>0</v>
      </c>
      <c r="K13" s="107">
        <f t="shared" ref="K13" si="7">B13*40</f>
        <v>0</v>
      </c>
      <c r="L13" s="108">
        <f t="shared" si="3"/>
        <v>0</v>
      </c>
      <c r="M13" s="634">
        <v>0</v>
      </c>
      <c r="N13" s="635"/>
    </row>
    <row r="14" spans="1:21" s="530" customFormat="1" ht="17" thickBot="1">
      <c r="A14" s="73" t="s">
        <v>130</v>
      </c>
      <c r="B14" s="662"/>
      <c r="C14" s="663"/>
      <c r="D14" s="663"/>
      <c r="E14" s="663"/>
      <c r="F14" s="663"/>
      <c r="G14" s="663"/>
      <c r="H14" s="590"/>
      <c r="I14" s="117"/>
      <c r="J14" s="117"/>
      <c r="K14" s="117"/>
      <c r="L14" s="117"/>
      <c r="M14" s="117"/>
      <c r="N14" s="540"/>
      <c r="O14" s="135"/>
      <c r="P14" s="135"/>
      <c r="Q14" s="135"/>
      <c r="R14" s="135"/>
      <c r="S14" s="135"/>
      <c r="T14" s="135"/>
      <c r="U14" s="135"/>
    </row>
    <row r="15" spans="1:21" s="75" customFormat="1">
      <c r="A15" s="53" t="s">
        <v>208</v>
      </c>
      <c r="B15" s="638">
        <f>Chino!N437</f>
        <v>5</v>
      </c>
      <c r="C15" s="639"/>
      <c r="D15" s="664">
        <f>F15*325900</f>
        <v>378044.00000000006</v>
      </c>
      <c r="E15" s="639"/>
      <c r="F15" s="893">
        <f>B15*0.232</f>
        <v>1.1600000000000001</v>
      </c>
      <c r="G15" s="894"/>
      <c r="H15" s="619">
        <f>F15*2</f>
        <v>2.3200000000000003</v>
      </c>
      <c r="I15" s="107">
        <v>0</v>
      </c>
      <c r="J15" s="107">
        <f>L15-K15</f>
        <v>864.70095151789769</v>
      </c>
      <c r="K15" s="107">
        <v>625</v>
      </c>
      <c r="L15" s="108">
        <v>1489.7009515178977</v>
      </c>
      <c r="M15" s="634">
        <f t="shared" ref="M15:M18" si="8">J15/(F15*830)</f>
        <v>0.89811066838169673</v>
      </c>
      <c r="N15" s="635"/>
    </row>
    <row r="16" spans="1:21" s="74" customFormat="1">
      <c r="A16" s="130" t="s">
        <v>226</v>
      </c>
      <c r="B16" s="638">
        <f>Chino!N438</f>
        <v>1</v>
      </c>
      <c r="C16" s="639"/>
      <c r="D16" s="650">
        <f>F16*325900</f>
        <v>13492.26</v>
      </c>
      <c r="E16" s="651"/>
      <c r="F16" s="652">
        <f>(0.0414*1)+(0.0044*0)</f>
        <v>4.1399999999999999E-2</v>
      </c>
      <c r="G16" s="651"/>
      <c r="H16" s="614">
        <f>((0.0414*1)*10)+((0.0044*0)*5)</f>
        <v>0.41399999999999998</v>
      </c>
      <c r="I16" s="107">
        <v>0</v>
      </c>
      <c r="J16" s="107">
        <f>L16-K16</f>
        <v>605.21530984933645</v>
      </c>
      <c r="K16" s="107">
        <v>0</v>
      </c>
      <c r="L16" s="108">
        <v>605.21530984933645</v>
      </c>
      <c r="M16" s="634">
        <f t="shared" si="8"/>
        <v>17.612924447044307</v>
      </c>
      <c r="N16" s="635"/>
      <c r="O16" s="75"/>
      <c r="P16" s="75"/>
      <c r="Q16" s="75"/>
      <c r="R16" s="75"/>
      <c r="S16" s="75"/>
      <c r="T16" s="75"/>
      <c r="U16" s="75"/>
    </row>
    <row r="17" spans="1:21" s="75" customFormat="1">
      <c r="A17" s="130" t="s">
        <v>224</v>
      </c>
      <c r="B17" s="638">
        <f>Chino!N439</f>
        <v>4</v>
      </c>
      <c r="C17" s="639"/>
      <c r="D17" s="650">
        <f>F17*325900</f>
        <v>67461.3</v>
      </c>
      <c r="E17" s="651"/>
      <c r="F17" s="652">
        <f>0.0414*5</f>
        <v>0.20699999999999999</v>
      </c>
      <c r="G17" s="651"/>
      <c r="H17" s="592">
        <f>F17*10</f>
        <v>2.0699999999999998</v>
      </c>
      <c r="I17" s="107">
        <v>0</v>
      </c>
      <c r="J17" s="107">
        <f>L17-K17</f>
        <v>1639.0344416890784</v>
      </c>
      <c r="K17" s="107">
        <v>1151</v>
      </c>
      <c r="L17" s="108">
        <v>2790.0344416890784</v>
      </c>
      <c r="M17" s="634">
        <f t="shared" si="8"/>
        <v>9.5398081700080226</v>
      </c>
      <c r="N17" s="635"/>
    </row>
    <row r="18" spans="1:21" s="75" customFormat="1">
      <c r="A18" s="130" t="s">
        <v>163</v>
      </c>
      <c r="B18" s="638">
        <f>Chino!N440</f>
        <v>2</v>
      </c>
      <c r="C18" s="639"/>
      <c r="D18" s="652">
        <f>F18*325900</f>
        <v>8994.84</v>
      </c>
      <c r="E18" s="651"/>
      <c r="F18" s="652">
        <f>B18*0.0138</f>
        <v>2.76E-2</v>
      </c>
      <c r="G18" s="651"/>
      <c r="H18" s="592">
        <f>F18*10</f>
        <v>0.27600000000000002</v>
      </c>
      <c r="I18" s="107">
        <v>0</v>
      </c>
      <c r="J18" s="139">
        <f>L18-K18</f>
        <v>351.20000000000005</v>
      </c>
      <c r="K18" s="139">
        <v>73.16</v>
      </c>
      <c r="L18" s="108">
        <v>424.36</v>
      </c>
      <c r="M18" s="634">
        <f t="shared" si="8"/>
        <v>15.330888772481231</v>
      </c>
      <c r="N18" s="635"/>
    </row>
    <row r="19" spans="1:21" s="75" customFormat="1" ht="14" thickBot="1">
      <c r="A19" s="53" t="s">
        <v>227</v>
      </c>
      <c r="B19" s="638">
        <f>Chino!N441</f>
        <v>0</v>
      </c>
      <c r="C19" s="639"/>
      <c r="D19" s="654">
        <f>F19*325900</f>
        <v>0</v>
      </c>
      <c r="E19" s="655"/>
      <c r="F19" s="654">
        <f>B19*0.075</f>
        <v>0</v>
      </c>
      <c r="G19" s="655"/>
      <c r="H19" s="618">
        <f>F19*10</f>
        <v>0</v>
      </c>
      <c r="I19" s="139">
        <v>0</v>
      </c>
      <c r="J19" s="139">
        <v>0</v>
      </c>
      <c r="K19" s="139">
        <v>0</v>
      </c>
      <c r="L19" s="108">
        <f>SUM(I19:K19)</f>
        <v>0</v>
      </c>
      <c r="M19" s="634">
        <v>0</v>
      </c>
      <c r="N19" s="635"/>
    </row>
    <row r="20" spans="1:21" ht="14" thickBot="1">
      <c r="A20" s="40" t="s">
        <v>60</v>
      </c>
      <c r="B20" s="657">
        <f>SUM(B6:C19)</f>
        <v>116</v>
      </c>
      <c r="C20" s="658"/>
      <c r="D20" s="657">
        <f>SUM(D6:E19)</f>
        <v>1942544.3800000001</v>
      </c>
      <c r="E20" s="658"/>
      <c r="F20" s="657">
        <f t="shared" ref="F20" si="9">SUM(F6:G19)</f>
        <v>5.9605534826633937</v>
      </c>
      <c r="G20" s="658"/>
      <c r="H20" s="593">
        <f>SUM(H6:H19)</f>
        <v>59.223534826633937</v>
      </c>
      <c r="I20" s="616">
        <f>SUM(I6:I19)</f>
        <v>0</v>
      </c>
      <c r="J20" s="616">
        <f t="shared" ref="J20" si="10">SUM(J6:J19)</f>
        <v>17300.150703056312</v>
      </c>
      <c r="K20" s="616">
        <f>SUM(K6:K19)</f>
        <v>23427.16</v>
      </c>
      <c r="L20" s="616">
        <f>SUM(L6:L19)</f>
        <v>40727.310703056311</v>
      </c>
      <c r="M20" s="660"/>
      <c r="N20" s="661"/>
    </row>
    <row r="21" spans="1:21" s="530" customFormat="1" ht="17" thickBot="1">
      <c r="A21" s="73" t="s">
        <v>134</v>
      </c>
      <c r="B21" s="662"/>
      <c r="C21" s="663"/>
      <c r="D21" s="663"/>
      <c r="E21" s="663"/>
      <c r="F21" s="663"/>
      <c r="G21" s="663"/>
      <c r="H21" s="590"/>
      <c r="I21" s="603"/>
      <c r="J21" s="603"/>
      <c r="K21" s="603"/>
      <c r="L21" s="603"/>
      <c r="M21" s="603"/>
      <c r="N21" s="604"/>
      <c r="O21" s="135"/>
      <c r="P21" s="135"/>
      <c r="Q21" s="135"/>
      <c r="R21" s="135"/>
      <c r="S21" s="135"/>
      <c r="T21" s="135"/>
      <c r="U21" s="135"/>
    </row>
    <row r="22" spans="1:21">
      <c r="A22" s="51" t="s">
        <v>29</v>
      </c>
      <c r="B22" s="628">
        <f>Chino!N444</f>
        <v>0</v>
      </c>
      <c r="C22" s="629"/>
      <c r="D22" s="636">
        <f>F22*325900</f>
        <v>0</v>
      </c>
      <c r="E22" s="629"/>
      <c r="F22" s="895">
        <f>0.0246*B22</f>
        <v>0</v>
      </c>
      <c r="G22" s="629"/>
      <c r="H22" s="597">
        <f>F22*20</f>
        <v>0</v>
      </c>
      <c r="I22" s="97">
        <v>0</v>
      </c>
      <c r="J22" s="96">
        <f>B22*60</f>
        <v>0</v>
      </c>
      <c r="K22" s="96">
        <f>B22*40</f>
        <v>0</v>
      </c>
      <c r="L22" s="108">
        <f t="shared" ref="L22:L25" si="11">K22+J22+I22</f>
        <v>0</v>
      </c>
      <c r="M22" s="634">
        <v>0</v>
      </c>
      <c r="N22" s="635"/>
      <c r="U22" s="555"/>
    </row>
    <row r="23" spans="1:21">
      <c r="A23" s="51" t="s">
        <v>51</v>
      </c>
      <c r="B23" s="628">
        <f>Chino!N445</f>
        <v>0</v>
      </c>
      <c r="C23" s="629"/>
      <c r="D23" s="636">
        <f>F23*325900</f>
        <v>0</v>
      </c>
      <c r="E23" s="629"/>
      <c r="F23" s="895">
        <f>0.1227*B23</f>
        <v>0</v>
      </c>
      <c r="G23" s="629"/>
      <c r="H23" s="597">
        <f>F23*20</f>
        <v>0</v>
      </c>
      <c r="I23" s="97">
        <v>0</v>
      </c>
      <c r="J23" s="96">
        <f>B23*200</f>
        <v>0</v>
      </c>
      <c r="K23" s="96">
        <f>B23*200</f>
        <v>0</v>
      </c>
      <c r="L23" s="108">
        <f t="shared" si="11"/>
        <v>0</v>
      </c>
      <c r="M23" s="634">
        <v>0</v>
      </c>
      <c r="N23" s="635"/>
    </row>
    <row r="24" spans="1:21">
      <c r="A24" s="1" t="s">
        <v>140</v>
      </c>
      <c r="B24" s="628">
        <f>Chino!N446</f>
        <v>0</v>
      </c>
      <c r="C24" s="629"/>
      <c r="D24" s="636">
        <f>F24*325900</f>
        <v>0</v>
      </c>
      <c r="E24" s="629"/>
      <c r="F24" s="895">
        <f>0.644*B24</f>
        <v>0</v>
      </c>
      <c r="G24" s="629"/>
      <c r="H24" s="597">
        <f>F24*5</f>
        <v>0</v>
      </c>
      <c r="I24" s="97">
        <v>0</v>
      </c>
      <c r="J24" s="96">
        <f>B24*375</f>
        <v>0</v>
      </c>
      <c r="K24" s="96">
        <f>B24*625</f>
        <v>0</v>
      </c>
      <c r="L24" s="108">
        <f t="shared" si="11"/>
        <v>0</v>
      </c>
      <c r="M24" s="634">
        <v>0</v>
      </c>
      <c r="N24" s="635"/>
    </row>
    <row r="25" spans="1:21">
      <c r="A25" s="130" t="s">
        <v>30</v>
      </c>
      <c r="B25" s="628">
        <f>Chino!N447</f>
        <v>59</v>
      </c>
      <c r="C25" s="629"/>
      <c r="D25" s="636">
        <f t="shared" ref="D25:D33" si="12">F25*325900</f>
        <v>248042.49</v>
      </c>
      <c r="E25" s="629"/>
      <c r="F25" s="896">
        <f>0.0129*B25</f>
        <v>0.7611</v>
      </c>
      <c r="G25" s="897"/>
      <c r="H25" s="597">
        <f>F25*10</f>
        <v>7.6109999999999998</v>
      </c>
      <c r="I25" s="97">
        <v>0</v>
      </c>
      <c r="J25" s="96">
        <f>B25*15</f>
        <v>885</v>
      </c>
      <c r="K25" s="96">
        <f>B25*35</f>
        <v>2065</v>
      </c>
      <c r="L25" s="108">
        <f t="shared" si="11"/>
        <v>2950</v>
      </c>
      <c r="M25" s="634">
        <f t="shared" ref="M25" si="13">J25/(F25*830)</f>
        <v>1.4009526478005043</v>
      </c>
      <c r="N25" s="635"/>
    </row>
    <row r="26" spans="1:21">
      <c r="A26" s="130" t="s">
        <v>219</v>
      </c>
      <c r="B26" s="628">
        <f>Chino!N448</f>
        <v>0</v>
      </c>
      <c r="C26" s="629"/>
      <c r="D26" s="636">
        <f t="shared" si="12"/>
        <v>0</v>
      </c>
      <c r="E26" s="629"/>
      <c r="F26" s="632">
        <f>0.0044*0</f>
        <v>0</v>
      </c>
      <c r="G26" s="633"/>
      <c r="H26" s="597">
        <f>F26*5</f>
        <v>0</v>
      </c>
      <c r="I26" s="97">
        <v>0</v>
      </c>
      <c r="J26" s="96">
        <f>B26*3</f>
        <v>0</v>
      </c>
      <c r="K26" s="96">
        <f>B26*3</f>
        <v>0</v>
      </c>
      <c r="L26" s="108">
        <f>K26+J26+I26</f>
        <v>0</v>
      </c>
      <c r="M26" s="634">
        <v>0</v>
      </c>
      <c r="N26" s="635"/>
    </row>
    <row r="27" spans="1:21">
      <c r="A27" s="130" t="s">
        <v>89</v>
      </c>
      <c r="B27" s="628">
        <f>Chino!N449</f>
        <v>0</v>
      </c>
      <c r="C27" s="629"/>
      <c r="D27" s="636">
        <f t="shared" si="12"/>
        <v>0</v>
      </c>
      <c r="E27" s="629"/>
      <c r="F27" s="895">
        <f>0.018*B27</f>
        <v>0</v>
      </c>
      <c r="G27" s="629"/>
      <c r="H27" s="597">
        <f>F27*10</f>
        <v>0</v>
      </c>
      <c r="I27" s="97">
        <v>0</v>
      </c>
      <c r="J27" s="96">
        <f>B27*5</f>
        <v>0</v>
      </c>
      <c r="K27" s="96">
        <f>B27*13</f>
        <v>0</v>
      </c>
      <c r="L27" s="108">
        <f t="shared" ref="L27:L33" si="14">K27+J27+I27</f>
        <v>0</v>
      </c>
      <c r="M27" s="634">
        <v>0</v>
      </c>
      <c r="N27" s="635"/>
    </row>
    <row r="28" spans="1:21">
      <c r="A28" s="132" t="s">
        <v>124</v>
      </c>
      <c r="B28" s="628">
        <f>Chino!N450</f>
        <v>0</v>
      </c>
      <c r="C28" s="629"/>
      <c r="D28" s="636">
        <f t="shared" si="12"/>
        <v>0</v>
      </c>
      <c r="E28" s="629"/>
      <c r="F28" s="895">
        <f>0.0129*B28</f>
        <v>0</v>
      </c>
      <c r="G28" s="629"/>
      <c r="H28" s="597">
        <f>F28*10</f>
        <v>0</v>
      </c>
      <c r="I28" s="97">
        <v>0</v>
      </c>
      <c r="J28" s="96">
        <f>B28*15</f>
        <v>0</v>
      </c>
      <c r="K28" s="96">
        <f>B28*35</f>
        <v>0</v>
      </c>
      <c r="L28" s="108">
        <f t="shared" si="14"/>
        <v>0</v>
      </c>
      <c r="M28" s="634">
        <v>0</v>
      </c>
      <c r="N28" s="635"/>
    </row>
    <row r="29" spans="1:21" s="44" customFormat="1">
      <c r="A29" s="133" t="s">
        <v>127</v>
      </c>
      <c r="B29" s="628">
        <f>Chino!N451</f>
        <v>0</v>
      </c>
      <c r="C29" s="629"/>
      <c r="D29" s="636">
        <f t="shared" si="12"/>
        <v>0</v>
      </c>
      <c r="E29" s="629"/>
      <c r="F29" s="895">
        <f>0.023*B29</f>
        <v>0</v>
      </c>
      <c r="G29" s="629"/>
      <c r="H29" s="597">
        <f>F29*5</f>
        <v>0</v>
      </c>
      <c r="I29" s="97">
        <v>0</v>
      </c>
      <c r="J29" s="96">
        <f>B29*10</f>
        <v>0</v>
      </c>
      <c r="K29" s="96">
        <f>B29*10</f>
        <v>0</v>
      </c>
      <c r="L29" s="108">
        <f t="shared" si="14"/>
        <v>0</v>
      </c>
      <c r="M29" s="634">
        <v>0</v>
      </c>
      <c r="N29" s="635"/>
      <c r="O29" s="75"/>
      <c r="P29" s="75"/>
      <c r="Q29" s="75"/>
      <c r="R29" s="75"/>
      <c r="S29" s="75"/>
      <c r="T29" s="75"/>
      <c r="U29" s="75"/>
    </row>
    <row r="30" spans="1:21" s="44" customFormat="1">
      <c r="A30" s="133" t="s">
        <v>128</v>
      </c>
      <c r="B30" s="628">
        <f>Chino!N452</f>
        <v>0</v>
      </c>
      <c r="C30" s="629"/>
      <c r="D30" s="636">
        <f t="shared" si="12"/>
        <v>0</v>
      </c>
      <c r="E30" s="629"/>
      <c r="F30" s="898">
        <f>B30*0.154</f>
        <v>0</v>
      </c>
      <c r="G30" s="899"/>
      <c r="H30" s="600">
        <f>F30*10</f>
        <v>0</v>
      </c>
      <c r="I30" s="97">
        <v>0</v>
      </c>
      <c r="J30" s="96">
        <f>B30*1000</f>
        <v>0</v>
      </c>
      <c r="K30" s="96">
        <f>B30*1000</f>
        <v>0</v>
      </c>
      <c r="L30" s="108">
        <f t="shared" si="14"/>
        <v>0</v>
      </c>
      <c r="M30" s="634">
        <v>0</v>
      </c>
      <c r="N30" s="635"/>
      <c r="O30" s="75"/>
      <c r="P30" s="75"/>
      <c r="Q30" s="75"/>
      <c r="R30" s="75"/>
      <c r="S30" s="75"/>
      <c r="T30" s="75"/>
      <c r="U30" s="75"/>
    </row>
    <row r="31" spans="1:21" s="44" customFormat="1">
      <c r="A31" s="133" t="s">
        <v>186</v>
      </c>
      <c r="B31" s="628">
        <f>Chino!N453</f>
        <v>0</v>
      </c>
      <c r="C31" s="629"/>
      <c r="D31" s="630">
        <f t="shared" si="12"/>
        <v>0</v>
      </c>
      <c r="E31" s="631"/>
      <c r="F31" s="652">
        <f>0*43/325900</f>
        <v>0</v>
      </c>
      <c r="G31" s="651"/>
      <c r="H31" s="592">
        <f>F31*10</f>
        <v>0</v>
      </c>
      <c r="I31" s="97">
        <v>0</v>
      </c>
      <c r="J31" s="96">
        <v>0</v>
      </c>
      <c r="K31" s="96">
        <v>0</v>
      </c>
      <c r="L31" s="108">
        <f t="shared" si="14"/>
        <v>0</v>
      </c>
      <c r="M31" s="634">
        <v>0</v>
      </c>
      <c r="N31" s="635"/>
      <c r="O31" s="75"/>
      <c r="P31" s="75"/>
      <c r="Q31" s="75"/>
      <c r="R31" s="75"/>
      <c r="S31" s="75"/>
      <c r="T31" s="75"/>
      <c r="U31" s="75"/>
    </row>
    <row r="32" spans="1:21" s="44" customFormat="1">
      <c r="A32" s="133" t="s">
        <v>166</v>
      </c>
      <c r="B32" s="628">
        <f>Chino!N454</f>
        <v>0</v>
      </c>
      <c r="C32" s="629"/>
      <c r="D32" s="630">
        <f t="shared" si="12"/>
        <v>0</v>
      </c>
      <c r="E32" s="631"/>
      <c r="F32" s="632">
        <f t="shared" ref="F32" si="15">0.0129*B32</f>
        <v>0</v>
      </c>
      <c r="G32" s="633"/>
      <c r="H32" s="594">
        <f>F32*10</f>
        <v>0</v>
      </c>
      <c r="I32" s="97">
        <v>0</v>
      </c>
      <c r="J32" s="96">
        <f>B32*15</f>
        <v>0</v>
      </c>
      <c r="K32" s="96">
        <f>B32*35</f>
        <v>0</v>
      </c>
      <c r="L32" s="108">
        <f t="shared" si="14"/>
        <v>0</v>
      </c>
      <c r="M32" s="634">
        <v>0</v>
      </c>
      <c r="N32" s="635"/>
      <c r="O32" s="75"/>
      <c r="P32" s="75"/>
      <c r="Q32" s="75"/>
      <c r="R32" s="75"/>
      <c r="S32" s="75"/>
      <c r="T32" s="75"/>
      <c r="U32" s="75"/>
    </row>
    <row r="33" spans="1:21" s="44" customFormat="1" ht="14" thickBot="1">
      <c r="A33" s="133" t="s">
        <v>165</v>
      </c>
      <c r="B33" s="628">
        <f>Chino!N455</f>
        <v>0</v>
      </c>
      <c r="C33" s="629"/>
      <c r="D33" s="636">
        <f t="shared" si="12"/>
        <v>0</v>
      </c>
      <c r="E33" s="629"/>
      <c r="F33" s="664">
        <f>(B33*0.0084)/2</f>
        <v>0</v>
      </c>
      <c r="G33" s="639"/>
      <c r="H33" s="596">
        <f>F33*10</f>
        <v>0</v>
      </c>
      <c r="I33" s="97">
        <v>0</v>
      </c>
      <c r="J33" s="96">
        <f>B33*5</f>
        <v>0</v>
      </c>
      <c r="K33" s="96">
        <f>B33*5</f>
        <v>0</v>
      </c>
      <c r="L33" s="108">
        <f t="shared" si="14"/>
        <v>0</v>
      </c>
      <c r="M33" s="634">
        <v>0</v>
      </c>
      <c r="N33" s="635"/>
      <c r="O33" s="75"/>
      <c r="P33" s="75"/>
      <c r="Q33" s="75"/>
      <c r="R33" s="75"/>
      <c r="S33" s="75"/>
      <c r="T33" s="75"/>
      <c r="U33" s="75"/>
    </row>
    <row r="34" spans="1:21" s="61" customFormat="1" ht="16.5" hidden="1" customHeight="1" thickBot="1">
      <c r="A34" s="457" t="s">
        <v>132</v>
      </c>
      <c r="B34" s="637"/>
      <c r="C34" s="637"/>
      <c r="D34" s="637"/>
      <c r="E34" s="637"/>
      <c r="F34" s="632">
        <f t="shared" ref="F34:F35" si="16">0.0129*B34</f>
        <v>0</v>
      </c>
      <c r="G34" s="633"/>
      <c r="H34" s="598"/>
      <c r="I34" s="518"/>
      <c r="J34" s="518"/>
      <c r="K34" s="518"/>
      <c r="L34" s="518"/>
      <c r="M34" s="518"/>
      <c r="N34" s="519"/>
      <c r="O34" s="135"/>
      <c r="P34" s="135"/>
      <c r="Q34" s="135"/>
      <c r="R34" s="135"/>
      <c r="S34" s="135"/>
      <c r="T34" s="135"/>
      <c r="U34" s="135"/>
    </row>
    <row r="35" spans="1:21" s="75" customFormat="1" ht="13.5" hidden="1" customHeight="1" thickBot="1">
      <c r="A35" s="53" t="s">
        <v>133</v>
      </c>
      <c r="B35" s="638">
        <v>0</v>
      </c>
      <c r="C35" s="639"/>
      <c r="D35" s="640">
        <f>F35*325900</f>
        <v>0</v>
      </c>
      <c r="E35" s="641"/>
      <c r="F35" s="632">
        <f t="shared" si="16"/>
        <v>0</v>
      </c>
      <c r="G35" s="633"/>
      <c r="H35" s="596">
        <f>F35*5</f>
        <v>0</v>
      </c>
      <c r="I35" s="121">
        <v>0</v>
      </c>
      <c r="J35" s="121">
        <f>L35-K35</f>
        <v>0</v>
      </c>
      <c r="K35" s="121">
        <f>B35*2</f>
        <v>0</v>
      </c>
      <c r="L35" s="108">
        <v>0</v>
      </c>
      <c r="M35" s="634">
        <f>IF(ISERROR(L35/(F35*771)),0,L35/(F35*771))</f>
        <v>0</v>
      </c>
      <c r="N35" s="635"/>
    </row>
    <row r="36" spans="1:21" ht="14" thickBot="1">
      <c r="A36" s="40" t="s">
        <v>60</v>
      </c>
      <c r="B36" s="642">
        <f>SUM(B22:C35)</f>
        <v>59</v>
      </c>
      <c r="C36" s="643"/>
      <c r="D36" s="644">
        <f>SUM(D22:E35)</f>
        <v>248042.49</v>
      </c>
      <c r="E36" s="643"/>
      <c r="F36" s="645">
        <f>SUM(F22:G35)</f>
        <v>0.7611</v>
      </c>
      <c r="G36" s="643"/>
      <c r="H36" s="585">
        <f>SUM(H22:H35)</f>
        <v>7.6109999999999998</v>
      </c>
      <c r="I36" s="605">
        <f>SUM(I22:I35)</f>
        <v>0</v>
      </c>
      <c r="J36" s="605">
        <f>SUM(J22:J35)</f>
        <v>885</v>
      </c>
      <c r="K36" s="605">
        <f>SUM(K22:K35)</f>
        <v>2065</v>
      </c>
      <c r="L36" s="605">
        <f>SUM(L22:L35)</f>
        <v>2950</v>
      </c>
      <c r="M36" s="646"/>
      <c r="N36" s="647"/>
    </row>
    <row r="37" spans="1:21" s="530" customFormat="1" ht="17" thickBot="1">
      <c r="A37" s="531" t="s">
        <v>17</v>
      </c>
      <c r="B37" s="621">
        <f>SUM(,B20,B36)</f>
        <v>175</v>
      </c>
      <c r="C37" s="622"/>
      <c r="D37" s="623">
        <f>SUM(,D20,D36)</f>
        <v>2190586.87</v>
      </c>
      <c r="E37" s="622"/>
      <c r="F37" s="623">
        <f>SUM(,F20,F36)</f>
        <v>6.7216534826633936</v>
      </c>
      <c r="G37" s="622"/>
      <c r="H37" s="584">
        <f>SUM(H20,H36)</f>
        <v>66.834534826633941</v>
      </c>
      <c r="I37" s="533">
        <f>SUM(,I20,I36)</f>
        <v>0</v>
      </c>
      <c r="J37" s="533">
        <f>SUM(,J20,J36)</f>
        <v>18185.150703056312</v>
      </c>
      <c r="K37" s="533">
        <f>SUM(,K20,K36)</f>
        <v>25492.16</v>
      </c>
      <c r="L37" s="533">
        <f>SUM(,L20,L36)</f>
        <v>43677.310703056311</v>
      </c>
      <c r="M37" s="624"/>
      <c r="N37" s="625"/>
      <c r="O37" s="135"/>
      <c r="P37" s="135"/>
      <c r="Q37" s="135"/>
      <c r="R37" s="135"/>
      <c r="S37" s="135"/>
      <c r="T37" s="135"/>
      <c r="U37" s="135"/>
    </row>
    <row r="38" spans="1:21">
      <c r="A38" s="39"/>
      <c r="B38" s="602"/>
      <c r="C38" s="602"/>
      <c r="D38" s="602"/>
      <c r="E38" s="602"/>
      <c r="F38" s="601"/>
      <c r="G38" s="601"/>
      <c r="H38" s="601"/>
      <c r="I38" s="14"/>
      <c r="J38" s="14"/>
      <c r="K38" s="14"/>
      <c r="L38" s="14"/>
      <c r="M38" s="599"/>
      <c r="N38" s="599"/>
    </row>
    <row r="39" spans="1:21" ht="15">
      <c r="A39" s="5" t="s">
        <v>18</v>
      </c>
      <c r="B39" s="626" t="s">
        <v>59</v>
      </c>
      <c r="C39" s="626"/>
      <c r="D39" s="626"/>
      <c r="E39" s="626"/>
      <c r="F39" s="601"/>
      <c r="G39" s="601"/>
      <c r="H39" s="601"/>
      <c r="I39" s="14"/>
      <c r="J39" s="14"/>
      <c r="K39" s="14"/>
      <c r="L39" s="14"/>
      <c r="M39" s="599"/>
      <c r="N39" s="599"/>
    </row>
    <row r="40" spans="1:21" ht="14" thickBot="1">
      <c r="B40" s="627" t="s">
        <v>19</v>
      </c>
      <c r="C40" s="627"/>
      <c r="D40" s="627"/>
      <c r="E40" s="627"/>
      <c r="F40" s="601"/>
      <c r="G40" s="601"/>
      <c r="H40" s="601"/>
      <c r="I40" s="14"/>
      <c r="J40" s="14"/>
      <c r="K40" s="14"/>
      <c r="L40" s="14"/>
      <c r="N40" s="599"/>
    </row>
    <row r="41" spans="1:21" s="178" customFormat="1" ht="16">
      <c r="A41" s="63"/>
      <c r="B41" s="64"/>
      <c r="C41" s="64"/>
      <c r="D41" s="64"/>
      <c r="E41" s="64"/>
      <c r="F41" s="200"/>
      <c r="G41" s="200"/>
      <c r="H41" s="200"/>
      <c r="I41" s="670" t="s">
        <v>0</v>
      </c>
      <c r="J41" s="670"/>
      <c r="K41" s="670"/>
      <c r="L41" s="670"/>
      <c r="M41" s="64"/>
      <c r="N41" s="65"/>
      <c r="O41" s="610"/>
      <c r="P41" s="610"/>
      <c r="Q41" s="610"/>
      <c r="R41" s="610"/>
      <c r="S41" s="610"/>
      <c r="T41" s="610"/>
      <c r="U41" s="610"/>
    </row>
    <row r="42" spans="1:21" ht="16">
      <c r="A42" s="62"/>
      <c r="B42" s="671" t="s">
        <v>1</v>
      </c>
      <c r="C42" s="671"/>
      <c r="D42" s="671" t="s">
        <v>2</v>
      </c>
      <c r="E42" s="671"/>
      <c r="F42" s="672" t="s">
        <v>3</v>
      </c>
      <c r="G42" s="672"/>
      <c r="H42" s="504" t="s">
        <v>3</v>
      </c>
      <c r="I42" s="78" t="s">
        <v>135</v>
      </c>
      <c r="J42" s="66"/>
      <c r="K42" s="66"/>
      <c r="L42" s="79"/>
      <c r="M42" s="673" t="s">
        <v>4</v>
      </c>
      <c r="N42" s="674"/>
    </row>
    <row r="43" spans="1:21" ht="19" thickBot="1">
      <c r="A43" s="67" t="s">
        <v>5</v>
      </c>
      <c r="B43" s="675" t="s">
        <v>6</v>
      </c>
      <c r="C43" s="675"/>
      <c r="D43" s="675" t="s">
        <v>7</v>
      </c>
      <c r="E43" s="675"/>
      <c r="F43" s="676" t="s">
        <v>7</v>
      </c>
      <c r="G43" s="676"/>
      <c r="H43" s="506" t="s">
        <v>58</v>
      </c>
      <c r="I43" s="508" t="s">
        <v>136</v>
      </c>
      <c r="J43" s="505" t="s">
        <v>8</v>
      </c>
      <c r="K43" s="505" t="s">
        <v>9</v>
      </c>
      <c r="L43" s="187" t="s">
        <v>10</v>
      </c>
      <c r="M43" s="677" t="s">
        <v>103</v>
      </c>
      <c r="N43" s="678"/>
    </row>
    <row r="44" spans="1:21" ht="24" thickBot="1">
      <c r="A44" s="60" t="s">
        <v>206</v>
      </c>
      <c r="B44" s="679"/>
      <c r="C44" s="680"/>
      <c r="D44" s="681"/>
      <c r="E44" s="682"/>
      <c r="F44" s="683"/>
      <c r="G44" s="684"/>
      <c r="H44" s="513"/>
      <c r="I44" s="118"/>
      <c r="J44" s="118"/>
      <c r="K44" s="118"/>
      <c r="L44" s="119"/>
      <c r="M44" s="685"/>
      <c r="N44" s="686"/>
    </row>
    <row r="45" spans="1:21" s="530" customFormat="1" ht="17" thickBot="1">
      <c r="A45" s="73" t="s">
        <v>129</v>
      </c>
      <c r="B45" s="662"/>
      <c r="C45" s="663"/>
      <c r="D45" s="663"/>
      <c r="E45" s="663"/>
      <c r="F45" s="687"/>
      <c r="G45" s="687"/>
      <c r="H45" s="529"/>
      <c r="I45" s="521"/>
      <c r="J45" s="521"/>
      <c r="K45" s="521"/>
      <c r="L45" s="521"/>
      <c r="M45" s="688"/>
      <c r="N45" s="689"/>
      <c r="O45" s="135"/>
      <c r="P45" s="135"/>
      <c r="Q45" s="135"/>
      <c r="R45" s="135"/>
      <c r="S45" s="135"/>
      <c r="T45" s="135"/>
      <c r="U45" s="135"/>
    </row>
    <row r="46" spans="1:21" s="75" customFormat="1">
      <c r="A46" s="52" t="s">
        <v>29</v>
      </c>
      <c r="B46" s="638">
        <f>Chino!N394</f>
        <v>20</v>
      </c>
      <c r="C46" s="639"/>
      <c r="D46" s="664">
        <f t="shared" ref="D46:D47" si="17">F46*325900</f>
        <v>160342.79999999999</v>
      </c>
      <c r="E46" s="639"/>
      <c r="F46" s="665">
        <f>0.0246*B46</f>
        <v>0.49199999999999999</v>
      </c>
      <c r="G46" s="666"/>
      <c r="H46" s="511">
        <f>F46*20</f>
        <v>9.84</v>
      </c>
      <c r="I46" s="107">
        <v>0</v>
      </c>
      <c r="J46" s="107">
        <f>B46*60</f>
        <v>1200</v>
      </c>
      <c r="K46" s="107">
        <f>B46*40</f>
        <v>800</v>
      </c>
      <c r="L46" s="108">
        <f>K46+J46+I46</f>
        <v>2000</v>
      </c>
      <c r="M46" s="634">
        <f t="shared" ref="M46:M53" si="18">IF(ISERROR(L46/(F46*771)),0,L46/(F46*799))</f>
        <v>5.087660388493747</v>
      </c>
      <c r="N46" s="635"/>
    </row>
    <row r="47" spans="1:21" s="75" customFormat="1">
      <c r="A47" s="52" t="s">
        <v>33</v>
      </c>
      <c r="B47" s="638">
        <f>Chino!N395</f>
        <v>63</v>
      </c>
      <c r="C47" s="639"/>
      <c r="D47" s="664">
        <f t="shared" si="17"/>
        <v>708343.65</v>
      </c>
      <c r="E47" s="639"/>
      <c r="F47" s="665">
        <f>0.0345*B47</f>
        <v>2.1735000000000002</v>
      </c>
      <c r="G47" s="666"/>
      <c r="H47" s="511">
        <f>F47*14</f>
        <v>30.429000000000002</v>
      </c>
      <c r="I47" s="107">
        <f>0*B47</f>
        <v>0</v>
      </c>
      <c r="J47" s="107">
        <f>B47*75</f>
        <v>4725</v>
      </c>
      <c r="K47" s="107">
        <f>B47*85</f>
        <v>5355</v>
      </c>
      <c r="L47" s="108">
        <f t="shared" ref="L47:L53" si="19">K47+J47+I47</f>
        <v>10080</v>
      </c>
      <c r="M47" s="634">
        <f t="shared" si="18"/>
        <v>5.804356895394605</v>
      </c>
      <c r="N47" s="635"/>
    </row>
    <row r="48" spans="1:21" s="75" customFormat="1">
      <c r="A48" s="130" t="s">
        <v>198</v>
      </c>
      <c r="B48" s="638">
        <f>Chino!N396</f>
        <v>0</v>
      </c>
      <c r="C48" s="639"/>
      <c r="D48" s="664">
        <f>F48*325900</f>
        <v>0</v>
      </c>
      <c r="E48" s="639"/>
      <c r="F48" s="665">
        <f>0.0044*0</f>
        <v>0</v>
      </c>
      <c r="G48" s="666"/>
      <c r="H48" s="511">
        <f>F48*5</f>
        <v>0</v>
      </c>
      <c r="I48" s="107">
        <f>0*0</f>
        <v>0</v>
      </c>
      <c r="J48" s="107">
        <f t="shared" ref="J48:K48" si="20">0*0</f>
        <v>0</v>
      </c>
      <c r="K48" s="107">
        <f t="shared" si="20"/>
        <v>0</v>
      </c>
      <c r="L48" s="108">
        <f t="shared" si="19"/>
        <v>0</v>
      </c>
      <c r="M48" s="634">
        <f t="shared" si="18"/>
        <v>0</v>
      </c>
      <c r="N48" s="635"/>
    </row>
    <row r="49" spans="1:21" s="75" customFormat="1">
      <c r="A49" s="52" t="s">
        <v>52</v>
      </c>
      <c r="B49" s="638">
        <f>Chino!N397</f>
        <v>26</v>
      </c>
      <c r="C49" s="639"/>
      <c r="D49" s="664">
        <f t="shared" ref="D49" si="21">F49*325900</f>
        <v>350798.76</v>
      </c>
      <c r="E49" s="639"/>
      <c r="F49" s="665">
        <f>0.0414*B49</f>
        <v>1.0764</v>
      </c>
      <c r="G49" s="666"/>
      <c r="H49" s="511">
        <f>F49*10</f>
        <v>10.763999999999999</v>
      </c>
      <c r="I49" s="107">
        <v>0</v>
      </c>
      <c r="J49" s="107">
        <f>B49*80</f>
        <v>2080</v>
      </c>
      <c r="K49" s="107">
        <f>B49*80</f>
        <v>2080</v>
      </c>
      <c r="L49" s="108">
        <f t="shared" si="19"/>
        <v>4160</v>
      </c>
      <c r="M49" s="634">
        <f t="shared" si="18"/>
        <v>4.8369640794955044</v>
      </c>
      <c r="N49" s="635"/>
    </row>
    <row r="50" spans="1:21" s="75" customFormat="1">
      <c r="A50" s="130" t="s">
        <v>211</v>
      </c>
      <c r="B50" s="638">
        <f>Chino!N398</f>
        <v>3</v>
      </c>
      <c r="C50" s="639"/>
      <c r="D50" s="650">
        <f>F50*325900</f>
        <v>214398.00144200001</v>
      </c>
      <c r="E50" s="651"/>
      <c r="F50" s="652">
        <v>0.65786438000000003</v>
      </c>
      <c r="G50" s="651"/>
      <c r="H50" s="503">
        <f>F50*10</f>
        <v>6.5786438</v>
      </c>
      <c r="I50" s="107">
        <v>0</v>
      </c>
      <c r="J50" s="107">
        <v>3852</v>
      </c>
      <c r="K50" s="107">
        <v>9972</v>
      </c>
      <c r="L50" s="108">
        <f t="shared" si="19"/>
        <v>13824</v>
      </c>
      <c r="M50" s="634">
        <f t="shared" si="18"/>
        <v>26.29968662202419</v>
      </c>
      <c r="N50" s="635"/>
    </row>
    <row r="51" spans="1:21" s="75" customFormat="1">
      <c r="A51" s="130" t="s">
        <v>147</v>
      </c>
      <c r="B51" s="638">
        <f>Chino!N399</f>
        <v>1</v>
      </c>
      <c r="C51" s="639"/>
      <c r="D51" s="664">
        <f t="shared" ref="D51:D53" si="22">F51*325900</f>
        <v>619.21</v>
      </c>
      <c r="E51" s="639"/>
      <c r="F51" s="665">
        <f>0.0019*B51</f>
        <v>1.9E-3</v>
      </c>
      <c r="G51" s="666"/>
      <c r="H51" s="511">
        <f>F51*5</f>
        <v>9.4999999999999998E-3</v>
      </c>
      <c r="I51" s="107">
        <v>0</v>
      </c>
      <c r="J51" s="107">
        <f>B51*0</f>
        <v>0</v>
      </c>
      <c r="K51" s="107">
        <f>B51*35</f>
        <v>35</v>
      </c>
      <c r="L51" s="108">
        <f t="shared" si="19"/>
        <v>35</v>
      </c>
      <c r="M51" s="634">
        <f t="shared" si="18"/>
        <v>23.055134707858507</v>
      </c>
      <c r="N51" s="635"/>
    </row>
    <row r="52" spans="1:21" s="75" customFormat="1">
      <c r="A52" s="130" t="s">
        <v>187</v>
      </c>
      <c r="B52" s="638">
        <f>Chino!N400</f>
        <v>0</v>
      </c>
      <c r="C52" s="639"/>
      <c r="D52" s="664">
        <f t="shared" si="22"/>
        <v>0</v>
      </c>
      <c r="E52" s="639"/>
      <c r="F52" s="665">
        <v>0</v>
      </c>
      <c r="G52" s="666"/>
      <c r="H52" s="511">
        <v>0</v>
      </c>
      <c r="I52" s="107">
        <v>0</v>
      </c>
      <c r="J52" s="107">
        <f>B52*0</f>
        <v>0</v>
      </c>
      <c r="K52" s="107">
        <f>B52*300</f>
        <v>0</v>
      </c>
      <c r="L52" s="108">
        <f t="shared" si="19"/>
        <v>0</v>
      </c>
      <c r="M52" s="634">
        <f t="shared" si="18"/>
        <v>0</v>
      </c>
      <c r="N52" s="635"/>
    </row>
    <row r="53" spans="1:21" s="75" customFormat="1" ht="14" thickBot="1">
      <c r="A53" s="130" t="s">
        <v>166</v>
      </c>
      <c r="B53" s="638">
        <f>Chino!N401</f>
        <v>0</v>
      </c>
      <c r="C53" s="639"/>
      <c r="D53" s="664">
        <f t="shared" si="22"/>
        <v>0</v>
      </c>
      <c r="E53" s="639"/>
      <c r="F53" s="665">
        <f>0.0019*B53</f>
        <v>0</v>
      </c>
      <c r="G53" s="666"/>
      <c r="H53" s="511">
        <f>F53*10</f>
        <v>0</v>
      </c>
      <c r="I53" s="107">
        <v>0</v>
      </c>
      <c r="J53" s="107">
        <f t="shared" ref="J53" si="23">B53*65</f>
        <v>0</v>
      </c>
      <c r="K53" s="107">
        <f t="shared" ref="K53" si="24">B53*40</f>
        <v>0</v>
      </c>
      <c r="L53" s="108">
        <f t="shared" si="19"/>
        <v>0</v>
      </c>
      <c r="M53" s="634">
        <f t="shared" si="18"/>
        <v>0</v>
      </c>
      <c r="N53" s="635"/>
    </row>
    <row r="54" spans="1:21" s="530" customFormat="1" ht="17" thickBot="1">
      <c r="A54" s="73" t="s">
        <v>130</v>
      </c>
      <c r="B54" s="662"/>
      <c r="C54" s="663"/>
      <c r="D54" s="663"/>
      <c r="E54" s="663"/>
      <c r="F54" s="663"/>
      <c r="G54" s="663"/>
      <c r="H54" s="521"/>
      <c r="I54" s="117"/>
      <c r="J54" s="117"/>
      <c r="K54" s="117"/>
      <c r="L54" s="117"/>
      <c r="M54" s="117"/>
      <c r="N54" s="540"/>
      <c r="O54" s="135"/>
      <c r="P54" s="135"/>
      <c r="Q54" s="135"/>
      <c r="R54" s="135"/>
      <c r="S54" s="135"/>
      <c r="T54" s="135"/>
      <c r="U54" s="135"/>
    </row>
    <row r="55" spans="1:21" s="75" customFormat="1">
      <c r="A55" s="53" t="s">
        <v>215</v>
      </c>
      <c r="B55" s="638">
        <f>Chino!N403</f>
        <v>1</v>
      </c>
      <c r="C55" s="639"/>
      <c r="D55" s="664">
        <f>F55*325900</f>
        <v>13655.21</v>
      </c>
      <c r="E55" s="639"/>
      <c r="F55" s="667">
        <v>4.19E-2</v>
      </c>
      <c r="G55" s="639"/>
      <c r="H55" s="511">
        <f>F55*5</f>
        <v>0.20949999999999999</v>
      </c>
      <c r="I55" s="107">
        <f>B55*541.27</f>
        <v>541.27</v>
      </c>
      <c r="J55" s="107">
        <v>0</v>
      </c>
      <c r="K55" s="107">
        <v>0</v>
      </c>
      <c r="L55" s="108">
        <f>I55+J55+K55</f>
        <v>541.27</v>
      </c>
      <c r="M55" s="634">
        <f>IF(ISERROR(L55/(F55*771)),0,L55/(F55*799))</f>
        <v>16.167882884632043</v>
      </c>
      <c r="N55" s="635"/>
    </row>
    <row r="56" spans="1:21" s="75" customFormat="1">
      <c r="A56" s="130" t="s">
        <v>196</v>
      </c>
      <c r="B56" s="638">
        <f>Chino!N404</f>
        <v>0</v>
      </c>
      <c r="C56" s="639"/>
      <c r="D56" s="650">
        <f>F56*325900</f>
        <v>0</v>
      </c>
      <c r="E56" s="651"/>
      <c r="F56" s="652">
        <v>0</v>
      </c>
      <c r="G56" s="651"/>
      <c r="H56" s="503">
        <v>0</v>
      </c>
      <c r="I56" s="107">
        <f>(B56*922.51)*0.49</f>
        <v>0</v>
      </c>
      <c r="J56" s="107">
        <f>(B56*922.5)*0</f>
        <v>0</v>
      </c>
      <c r="K56" s="107">
        <f>(B56*922.51)*0.51</f>
        <v>0</v>
      </c>
      <c r="L56" s="108">
        <f t="shared" ref="L56:L58" si="25">K56+J56+I56</f>
        <v>0</v>
      </c>
      <c r="M56" s="634">
        <f>IF(ISERROR(L56/(F56*771)),0,L56/(F56*799))</f>
        <v>0</v>
      </c>
      <c r="N56" s="635"/>
    </row>
    <row r="57" spans="1:21" s="75" customFormat="1">
      <c r="A57" s="130" t="s">
        <v>213</v>
      </c>
      <c r="B57" s="638">
        <f>Chino!N405</f>
        <v>2</v>
      </c>
      <c r="C57" s="639"/>
      <c r="D57" s="650">
        <f>F57*325900</f>
        <v>26984.52</v>
      </c>
      <c r="E57" s="651"/>
      <c r="F57" s="652">
        <f>0.0414*2</f>
        <v>8.2799999999999999E-2</v>
      </c>
      <c r="G57" s="651"/>
      <c r="H57" s="503">
        <f>F57*10</f>
        <v>0.82799999999999996</v>
      </c>
      <c r="I57" s="107">
        <v>0</v>
      </c>
      <c r="J57" s="107">
        <f>(B57*674.7)*0.62</f>
        <v>836.62800000000004</v>
      </c>
      <c r="K57" s="107">
        <f>(B57*674.7)*0.38</f>
        <v>512.77200000000005</v>
      </c>
      <c r="L57" s="108">
        <f>K57+J57+I57</f>
        <v>1349.4</v>
      </c>
      <c r="M57" s="634">
        <f>IF(ISERROR(L57/(F57*771)),0,L57/(F57*799))</f>
        <v>20.396872902722606</v>
      </c>
      <c r="N57" s="635"/>
    </row>
    <row r="58" spans="1:21" s="75" customFormat="1" ht="14" thickBot="1">
      <c r="A58" s="130" t="s">
        <v>163</v>
      </c>
      <c r="B58" s="638">
        <f>Chino!N406</f>
        <v>0</v>
      </c>
      <c r="C58" s="639"/>
      <c r="D58" s="654">
        <f>F58*325900</f>
        <v>0</v>
      </c>
      <c r="E58" s="655"/>
      <c r="F58" s="656">
        <f>B58*0.118</f>
        <v>0</v>
      </c>
      <c r="G58" s="655"/>
      <c r="H58" s="503">
        <f>F58*10</f>
        <v>0</v>
      </c>
      <c r="I58" s="107">
        <v>0</v>
      </c>
      <c r="J58" s="139">
        <f>(B58*520.03)*0.51</f>
        <v>0</v>
      </c>
      <c r="K58" s="139">
        <f>(B58*520.03)*0.49</f>
        <v>0</v>
      </c>
      <c r="L58" s="108">
        <f t="shared" si="25"/>
        <v>0</v>
      </c>
      <c r="M58" s="634">
        <f>IF(ISERROR(L58/(F58*771)),0,L58/(F58*799))</f>
        <v>0</v>
      </c>
      <c r="N58" s="635"/>
    </row>
    <row r="59" spans="1:21" ht="14" thickBot="1">
      <c r="A59" s="40" t="s">
        <v>60</v>
      </c>
      <c r="B59" s="657">
        <f>SUM(B46:C58)</f>
        <v>116</v>
      </c>
      <c r="C59" s="658"/>
      <c r="D59" s="659">
        <f>SUM(D46:E58)</f>
        <v>1475142.1514419999</v>
      </c>
      <c r="E59" s="658"/>
      <c r="F59" s="657">
        <v>8.309800000000001</v>
      </c>
      <c r="G59" s="658"/>
      <c r="H59" s="509">
        <f>SUM(H46:H58)</f>
        <v>58.658643800000007</v>
      </c>
      <c r="I59" s="517">
        <f>SUM(I46:I58)</f>
        <v>541.27</v>
      </c>
      <c r="J59" s="517">
        <f>SUM(J46:J58)</f>
        <v>12693.628000000001</v>
      </c>
      <c r="K59" s="517">
        <f t="shared" ref="K59:L59" si="26">SUM(K46:K58)</f>
        <v>18754.772000000001</v>
      </c>
      <c r="L59" s="517">
        <f t="shared" si="26"/>
        <v>31989.670000000002</v>
      </c>
      <c r="M59" s="660">
        <f t="shared" ref="M59" si="27">IF(ISERROR(L59/(F59*744)),0,L59/(F59*744))</f>
        <v>5.1742362366807733</v>
      </c>
      <c r="N59" s="661"/>
    </row>
    <row r="60" spans="1:21" s="530" customFormat="1" ht="17" thickBot="1">
      <c r="A60" s="73" t="s">
        <v>134</v>
      </c>
      <c r="B60" s="662"/>
      <c r="C60" s="663"/>
      <c r="D60" s="663"/>
      <c r="E60" s="663"/>
      <c r="F60" s="663"/>
      <c r="G60" s="663"/>
      <c r="H60" s="521"/>
      <c r="I60" s="444"/>
      <c r="J60" s="444"/>
      <c r="K60" s="444"/>
      <c r="L60" s="444"/>
      <c r="M60" s="444"/>
      <c r="N60" s="445"/>
      <c r="O60" s="135"/>
      <c r="P60" s="135"/>
      <c r="Q60" s="135"/>
      <c r="R60" s="135"/>
      <c r="S60" s="135"/>
      <c r="T60" s="135"/>
      <c r="U60" s="135"/>
    </row>
    <row r="61" spans="1:21">
      <c r="A61" s="51" t="s">
        <v>29</v>
      </c>
      <c r="B61" s="628">
        <f>Chino!N409</f>
        <v>0</v>
      </c>
      <c r="C61" s="629"/>
      <c r="D61" s="636">
        <f>F61*325900</f>
        <v>0</v>
      </c>
      <c r="E61" s="629"/>
      <c r="F61" s="632">
        <f>0.0246*B61</f>
        <v>0</v>
      </c>
      <c r="G61" s="633"/>
      <c r="H61" s="510">
        <f>F61*20</f>
        <v>0</v>
      </c>
      <c r="I61" s="97">
        <v>0</v>
      </c>
      <c r="J61" s="96">
        <f>B61*60</f>
        <v>0</v>
      </c>
      <c r="K61" s="96">
        <f>B61*40</f>
        <v>0</v>
      </c>
      <c r="L61" s="108">
        <f t="shared" ref="L61:L70" si="28">K61+J61+I61</f>
        <v>0</v>
      </c>
      <c r="M61" s="634">
        <f t="shared" ref="M61:M72" si="29">IF(ISERROR(L61/(F61*771)),0,L61/(F61*799))</f>
        <v>0</v>
      </c>
      <c r="N61" s="635"/>
      <c r="U61" s="555"/>
    </row>
    <row r="62" spans="1:21">
      <c r="A62" s="51" t="s">
        <v>51</v>
      </c>
      <c r="B62" s="628">
        <f>Chino!N410</f>
        <v>0</v>
      </c>
      <c r="C62" s="629"/>
      <c r="D62" s="636">
        <f>F62*325900</f>
        <v>0</v>
      </c>
      <c r="E62" s="629"/>
      <c r="F62" s="632">
        <f>0.1227*B62</f>
        <v>0</v>
      </c>
      <c r="G62" s="633"/>
      <c r="H62" s="510">
        <f>F62*20</f>
        <v>0</v>
      </c>
      <c r="I62" s="97">
        <v>0</v>
      </c>
      <c r="J62" s="96">
        <f>B62*200</f>
        <v>0</v>
      </c>
      <c r="K62" s="96">
        <f>B62*200</f>
        <v>0</v>
      </c>
      <c r="L62" s="108">
        <f t="shared" si="28"/>
        <v>0</v>
      </c>
      <c r="M62" s="634">
        <f t="shared" si="29"/>
        <v>0</v>
      </c>
      <c r="N62" s="635"/>
    </row>
    <row r="63" spans="1:21">
      <c r="A63" s="1" t="s">
        <v>140</v>
      </c>
      <c r="B63" s="628">
        <f>Chino!N411</f>
        <v>0</v>
      </c>
      <c r="C63" s="629"/>
      <c r="D63" s="636">
        <f>F63*325900</f>
        <v>0</v>
      </c>
      <c r="E63" s="629"/>
      <c r="F63" s="632">
        <f>B63*0.644</f>
        <v>0</v>
      </c>
      <c r="G63" s="633"/>
      <c r="H63" s="510">
        <f>F63*5</f>
        <v>0</v>
      </c>
      <c r="I63" s="97">
        <v>0</v>
      </c>
      <c r="J63" s="96">
        <f>B63*375</f>
        <v>0</v>
      </c>
      <c r="K63" s="96">
        <f>B63*625</f>
        <v>0</v>
      </c>
      <c r="L63" s="108">
        <f t="shared" si="28"/>
        <v>0</v>
      </c>
      <c r="M63" s="634">
        <f t="shared" si="29"/>
        <v>0</v>
      </c>
      <c r="N63" s="635"/>
    </row>
    <row r="64" spans="1:21">
      <c r="A64" s="130" t="s">
        <v>30</v>
      </c>
      <c r="B64" s="628">
        <f>Chino!N412</f>
        <v>4</v>
      </c>
      <c r="C64" s="629"/>
      <c r="D64" s="636">
        <f t="shared" ref="D64:D72" si="30">F64*325900</f>
        <v>16816.439999999999</v>
      </c>
      <c r="E64" s="629"/>
      <c r="F64" s="648">
        <f>0.0129*B64</f>
        <v>5.16E-2</v>
      </c>
      <c r="G64" s="649"/>
      <c r="H64" s="510">
        <f>F64*10</f>
        <v>0.51600000000000001</v>
      </c>
      <c r="I64" s="97">
        <v>0</v>
      </c>
      <c r="J64" s="96">
        <f>B64*15</f>
        <v>60</v>
      </c>
      <c r="K64" s="96">
        <f>B64*35</f>
        <v>140</v>
      </c>
      <c r="L64" s="108">
        <f t="shared" si="28"/>
        <v>200</v>
      </c>
      <c r="M64" s="634">
        <f t="shared" si="29"/>
        <v>4.8510250215870609</v>
      </c>
      <c r="N64" s="635"/>
    </row>
    <row r="65" spans="1:21">
      <c r="A65" s="130" t="s">
        <v>198</v>
      </c>
      <c r="B65" s="628">
        <f>Chino!N413</f>
        <v>0</v>
      </c>
      <c r="C65" s="629"/>
      <c r="D65" s="636">
        <f t="shared" si="30"/>
        <v>0</v>
      </c>
      <c r="E65" s="629"/>
      <c r="F65" s="632">
        <f>0.0044*0</f>
        <v>0</v>
      </c>
      <c r="G65" s="633"/>
      <c r="H65" s="510">
        <f>F65*5</f>
        <v>0</v>
      </c>
      <c r="I65" s="97">
        <v>0</v>
      </c>
      <c r="J65" s="96">
        <f>0*3</f>
        <v>0</v>
      </c>
      <c r="K65" s="96">
        <f>0*2</f>
        <v>0</v>
      </c>
      <c r="L65" s="108">
        <f t="shared" si="28"/>
        <v>0</v>
      </c>
      <c r="M65" s="634">
        <f t="shared" si="29"/>
        <v>0</v>
      </c>
      <c r="N65" s="635"/>
    </row>
    <row r="66" spans="1:21">
      <c r="A66" s="130" t="s">
        <v>89</v>
      </c>
      <c r="B66" s="628">
        <f>Chino!N414</f>
        <v>0</v>
      </c>
      <c r="C66" s="629"/>
      <c r="D66" s="636">
        <f t="shared" si="30"/>
        <v>0</v>
      </c>
      <c r="E66" s="629"/>
      <c r="F66" s="632">
        <f>0.018*B66</f>
        <v>0</v>
      </c>
      <c r="G66" s="633"/>
      <c r="H66" s="510">
        <f>F66*10</f>
        <v>0</v>
      </c>
      <c r="I66" s="97">
        <v>0</v>
      </c>
      <c r="J66" s="96">
        <f>B66*5</f>
        <v>0</v>
      </c>
      <c r="K66" s="96">
        <f>B66*13</f>
        <v>0</v>
      </c>
      <c r="L66" s="108">
        <f t="shared" si="28"/>
        <v>0</v>
      </c>
      <c r="M66" s="634">
        <f t="shared" si="29"/>
        <v>0</v>
      </c>
      <c r="N66" s="635"/>
    </row>
    <row r="67" spans="1:21">
      <c r="A67" s="132" t="s">
        <v>124</v>
      </c>
      <c r="B67" s="628">
        <f>Chino!N415</f>
        <v>0</v>
      </c>
      <c r="C67" s="629"/>
      <c r="D67" s="636">
        <f t="shared" si="30"/>
        <v>0</v>
      </c>
      <c r="E67" s="629"/>
      <c r="F67" s="632">
        <f>0.0129*B67</f>
        <v>0</v>
      </c>
      <c r="G67" s="633"/>
      <c r="H67" s="510">
        <f>F67*10</f>
        <v>0</v>
      </c>
      <c r="I67" s="97">
        <v>0</v>
      </c>
      <c r="J67" s="96">
        <f>B67*15</f>
        <v>0</v>
      </c>
      <c r="K67" s="96">
        <f>B67*35</f>
        <v>0</v>
      </c>
      <c r="L67" s="108">
        <f t="shared" si="28"/>
        <v>0</v>
      </c>
      <c r="M67" s="634">
        <f t="shared" si="29"/>
        <v>0</v>
      </c>
      <c r="N67" s="635"/>
    </row>
    <row r="68" spans="1:21" s="44" customFormat="1">
      <c r="A68" s="133" t="s">
        <v>127</v>
      </c>
      <c r="B68" s="628">
        <f>Chino!N416</f>
        <v>0</v>
      </c>
      <c r="C68" s="629"/>
      <c r="D68" s="636">
        <f t="shared" si="30"/>
        <v>0</v>
      </c>
      <c r="E68" s="629"/>
      <c r="F68" s="632">
        <f t="shared" ref="F68:F72" si="31">0.0129*B68</f>
        <v>0</v>
      </c>
      <c r="G68" s="633"/>
      <c r="H68" s="510">
        <f>F68*5</f>
        <v>0</v>
      </c>
      <c r="I68" s="97">
        <v>0</v>
      </c>
      <c r="J68" s="96">
        <f>B68*10</f>
        <v>0</v>
      </c>
      <c r="K68" s="96">
        <f>B68*10</f>
        <v>0</v>
      </c>
      <c r="L68" s="108">
        <f t="shared" si="28"/>
        <v>0</v>
      </c>
      <c r="M68" s="634">
        <f t="shared" si="29"/>
        <v>0</v>
      </c>
      <c r="N68" s="635"/>
      <c r="O68" s="75"/>
      <c r="P68" s="75"/>
      <c r="Q68" s="75"/>
      <c r="R68" s="75"/>
      <c r="S68" s="75"/>
      <c r="T68" s="75"/>
      <c r="U68" s="75"/>
    </row>
    <row r="69" spans="1:21" s="44" customFormat="1">
      <c r="A69" s="133" t="s">
        <v>128</v>
      </c>
      <c r="B69" s="628">
        <f>Chino!N417</f>
        <v>0</v>
      </c>
      <c r="C69" s="629"/>
      <c r="D69" s="636">
        <f t="shared" si="30"/>
        <v>0</v>
      </c>
      <c r="E69" s="629"/>
      <c r="F69" s="632">
        <f t="shared" si="31"/>
        <v>0</v>
      </c>
      <c r="G69" s="633"/>
      <c r="H69" s="516">
        <f>F69*10</f>
        <v>0</v>
      </c>
      <c r="I69" s="97">
        <v>0</v>
      </c>
      <c r="J69" s="96">
        <f>B69*1000</f>
        <v>0</v>
      </c>
      <c r="K69" s="96">
        <f>B69*1000</f>
        <v>0</v>
      </c>
      <c r="L69" s="108">
        <f t="shared" si="28"/>
        <v>0</v>
      </c>
      <c r="M69" s="634">
        <f t="shared" si="29"/>
        <v>0</v>
      </c>
      <c r="N69" s="635"/>
      <c r="O69" s="75"/>
      <c r="P69" s="75"/>
      <c r="Q69" s="75"/>
      <c r="R69" s="75"/>
      <c r="S69" s="75"/>
      <c r="T69" s="75"/>
      <c r="U69" s="75"/>
    </row>
    <row r="70" spans="1:21" s="44" customFormat="1">
      <c r="A70" s="133" t="s">
        <v>186</v>
      </c>
      <c r="B70" s="628">
        <f>Chino!N418</f>
        <v>0</v>
      </c>
      <c r="C70" s="629"/>
      <c r="D70" s="630">
        <f t="shared" si="30"/>
        <v>0</v>
      </c>
      <c r="E70" s="631"/>
      <c r="F70" s="632">
        <v>0</v>
      </c>
      <c r="G70" s="633"/>
      <c r="H70" s="503">
        <f>F70*10</f>
        <v>0</v>
      </c>
      <c r="I70" s="97">
        <v>0</v>
      </c>
      <c r="J70" s="96">
        <v>0</v>
      </c>
      <c r="K70" s="96">
        <v>0</v>
      </c>
      <c r="L70" s="108">
        <f t="shared" si="28"/>
        <v>0</v>
      </c>
      <c r="M70" s="634">
        <f t="shared" si="29"/>
        <v>0</v>
      </c>
      <c r="N70" s="635"/>
      <c r="O70" s="75"/>
      <c r="P70" s="75"/>
      <c r="Q70" s="75"/>
      <c r="R70" s="75"/>
      <c r="S70" s="75"/>
      <c r="T70" s="75"/>
      <c r="U70" s="75"/>
    </row>
    <row r="71" spans="1:21" s="44" customFormat="1">
      <c r="A71" s="133" t="s">
        <v>166</v>
      </c>
      <c r="B71" s="628">
        <f>Chino!N419</f>
        <v>0</v>
      </c>
      <c r="C71" s="629"/>
      <c r="D71" s="630">
        <f t="shared" si="30"/>
        <v>0</v>
      </c>
      <c r="E71" s="631"/>
      <c r="F71" s="632">
        <f t="shared" si="31"/>
        <v>0</v>
      </c>
      <c r="G71" s="633"/>
      <c r="H71" s="501">
        <f>F71*10</f>
        <v>0</v>
      </c>
      <c r="I71" s="97">
        <v>0</v>
      </c>
      <c r="J71" s="96">
        <f>B71*15</f>
        <v>0</v>
      </c>
      <c r="K71" s="96">
        <f>B71*35</f>
        <v>0</v>
      </c>
      <c r="L71" s="108">
        <f t="shared" ref="L71:L72" si="32">K71+J71+I71</f>
        <v>0</v>
      </c>
      <c r="M71" s="634">
        <f t="shared" si="29"/>
        <v>0</v>
      </c>
      <c r="N71" s="635"/>
      <c r="O71" s="75"/>
      <c r="P71" s="75"/>
      <c r="Q71" s="75"/>
      <c r="R71" s="75"/>
      <c r="S71" s="75"/>
      <c r="T71" s="75"/>
      <c r="U71" s="75"/>
    </row>
    <row r="72" spans="1:21" s="44" customFormat="1" ht="14" thickBot="1">
      <c r="A72" s="133" t="s">
        <v>165</v>
      </c>
      <c r="B72" s="628">
        <f>Chino!N420</f>
        <v>0</v>
      </c>
      <c r="C72" s="629"/>
      <c r="D72" s="636">
        <f t="shared" si="30"/>
        <v>0</v>
      </c>
      <c r="E72" s="629"/>
      <c r="F72" s="632">
        <f t="shared" si="31"/>
        <v>0</v>
      </c>
      <c r="G72" s="633"/>
      <c r="H72" s="511">
        <f>F72*10</f>
        <v>0</v>
      </c>
      <c r="I72" s="97">
        <v>0</v>
      </c>
      <c r="J72" s="96">
        <f>B72*5</f>
        <v>0</v>
      </c>
      <c r="K72" s="96">
        <f>B72*5</f>
        <v>0</v>
      </c>
      <c r="L72" s="108">
        <f t="shared" si="32"/>
        <v>0</v>
      </c>
      <c r="M72" s="634">
        <f t="shared" si="29"/>
        <v>0</v>
      </c>
      <c r="N72" s="635"/>
      <c r="O72" s="75"/>
      <c r="P72" s="75"/>
      <c r="Q72" s="75"/>
      <c r="R72" s="75"/>
      <c r="S72" s="75"/>
      <c r="T72" s="75"/>
      <c r="U72" s="75"/>
    </row>
    <row r="73" spans="1:21" s="61" customFormat="1" ht="17" hidden="1" thickBot="1">
      <c r="A73" s="457" t="s">
        <v>132</v>
      </c>
      <c r="B73" s="637"/>
      <c r="C73" s="637"/>
      <c r="D73" s="637"/>
      <c r="E73" s="637"/>
      <c r="F73" s="637"/>
      <c r="G73" s="637"/>
      <c r="H73" s="502"/>
      <c r="I73" s="518"/>
      <c r="J73" s="518"/>
      <c r="K73" s="518"/>
      <c r="L73" s="518"/>
      <c r="M73" s="518"/>
      <c r="N73" s="519"/>
      <c r="O73" s="135"/>
      <c r="P73" s="135"/>
      <c r="Q73" s="135"/>
      <c r="R73" s="135"/>
      <c r="S73" s="135"/>
      <c r="T73" s="135"/>
      <c r="U73" s="135"/>
    </row>
    <row r="74" spans="1:21" s="75" customFormat="1" ht="14" hidden="1" thickBot="1">
      <c r="A74" s="53" t="s">
        <v>133</v>
      </c>
      <c r="B74" s="638">
        <f>Chino!N422</f>
        <v>0</v>
      </c>
      <c r="C74" s="639"/>
      <c r="D74" s="640">
        <f>F74*325900</f>
        <v>0</v>
      </c>
      <c r="E74" s="641"/>
      <c r="F74" s="902">
        <f>0.004*B74</f>
        <v>0</v>
      </c>
      <c r="G74" s="641"/>
      <c r="H74" s="511">
        <f>F74*5</f>
        <v>0</v>
      </c>
      <c r="I74" s="121">
        <v>0</v>
      </c>
      <c r="J74" s="121">
        <f>L74-K74</f>
        <v>0</v>
      </c>
      <c r="K74" s="121">
        <f>B74*2</f>
        <v>0</v>
      </c>
      <c r="L74" s="108">
        <v>0</v>
      </c>
      <c r="M74" s="634">
        <f>IF(ISERROR(L74/(F74*771)),0,L74/(F74*771))</f>
        <v>0</v>
      </c>
      <c r="N74" s="635"/>
    </row>
    <row r="75" spans="1:21" ht="14" thickBot="1">
      <c r="A75" s="40" t="s">
        <v>60</v>
      </c>
      <c r="B75" s="642">
        <f>SUM(B61:B74)</f>
        <v>4</v>
      </c>
      <c r="C75" s="643"/>
      <c r="D75" s="644">
        <f>SUM(D61:E74)</f>
        <v>16816.439999999999</v>
      </c>
      <c r="E75" s="643"/>
      <c r="F75" s="645">
        <f>SUM(F61:G74)</f>
        <v>5.16E-2</v>
      </c>
      <c r="G75" s="643"/>
      <c r="H75" s="507">
        <f>SUM(H61:H74)</f>
        <v>0.51600000000000001</v>
      </c>
      <c r="I75" s="93">
        <f>SUM(I61:I74)</f>
        <v>0</v>
      </c>
      <c r="J75" s="93">
        <f>SUM(J61:J74)</f>
        <v>60</v>
      </c>
      <c r="K75" s="93">
        <f>SUM(K61:K74)</f>
        <v>140</v>
      </c>
      <c r="L75" s="93">
        <f>SUM(L61:L74)</f>
        <v>200</v>
      </c>
      <c r="M75" s="646"/>
      <c r="N75" s="647"/>
    </row>
    <row r="76" spans="1:21" s="530" customFormat="1" ht="17" thickBot="1">
      <c r="A76" s="531" t="s">
        <v>17</v>
      </c>
      <c r="B76" s="621">
        <f>SUM(,B59,B75)</f>
        <v>120</v>
      </c>
      <c r="C76" s="622"/>
      <c r="D76" s="623">
        <f>SUM(,D59,D75)</f>
        <v>1491958.5914419999</v>
      </c>
      <c r="E76" s="622"/>
      <c r="F76" s="623">
        <f>SUM(,F59,F75)</f>
        <v>8.3614000000000015</v>
      </c>
      <c r="G76" s="622"/>
      <c r="H76" s="532">
        <f>SUM(H59,H75)</f>
        <v>59.174643800000005</v>
      </c>
      <c r="I76" s="533">
        <f>SUM(,I59,I75)</f>
        <v>541.27</v>
      </c>
      <c r="J76" s="533">
        <f>SUM(,J59,J75)</f>
        <v>12753.628000000001</v>
      </c>
      <c r="K76" s="533">
        <f>SUM(,K59,K75)</f>
        <v>18894.772000000001</v>
      </c>
      <c r="L76" s="533">
        <f>SUM(,L59,L75)</f>
        <v>32189.670000000002</v>
      </c>
      <c r="M76" s="624"/>
      <c r="N76" s="625"/>
      <c r="O76" s="135"/>
      <c r="P76" s="135"/>
      <c r="Q76" s="135"/>
      <c r="R76" s="135"/>
      <c r="S76" s="135"/>
      <c r="T76" s="135"/>
      <c r="U76" s="135"/>
    </row>
    <row r="77" spans="1:21">
      <c r="A77" s="39"/>
      <c r="B77" s="514"/>
      <c r="C77" s="514"/>
      <c r="D77" s="514"/>
      <c r="E77" s="514"/>
      <c r="F77" s="515"/>
      <c r="G77" s="515"/>
      <c r="H77" s="515"/>
      <c r="I77" s="14"/>
      <c r="J77" s="14"/>
      <c r="K77" s="14"/>
      <c r="L77" s="14"/>
      <c r="M77" s="512"/>
      <c r="N77" s="512"/>
    </row>
    <row r="78" spans="1:21" ht="15">
      <c r="A78" s="5" t="s">
        <v>18</v>
      </c>
      <c r="B78" s="626" t="s">
        <v>59</v>
      </c>
      <c r="C78" s="626"/>
      <c r="D78" s="626"/>
      <c r="E78" s="626"/>
      <c r="F78" s="515"/>
      <c r="G78" s="515"/>
      <c r="H78" s="515"/>
      <c r="I78" s="14"/>
      <c r="J78" s="14"/>
      <c r="K78" s="14"/>
      <c r="L78" s="14"/>
      <c r="M78" s="512"/>
      <c r="N78" s="512"/>
    </row>
    <row r="79" spans="1:21">
      <c r="B79" s="627" t="s">
        <v>19</v>
      </c>
      <c r="C79" s="627"/>
      <c r="D79" s="627"/>
      <c r="E79" s="627"/>
      <c r="F79" s="515"/>
      <c r="G79" s="515"/>
      <c r="H79" s="515"/>
      <c r="I79" s="14"/>
      <c r="J79" s="14"/>
      <c r="K79" s="14"/>
      <c r="L79" s="14"/>
      <c r="N79" s="512"/>
    </row>
    <row r="80" spans="1:21" ht="14" thickBot="1">
      <c r="B80" s="512"/>
      <c r="C80" s="512"/>
      <c r="D80" s="512"/>
      <c r="E80" s="512"/>
      <c r="F80" s="515"/>
      <c r="G80" s="515"/>
      <c r="H80" s="515"/>
      <c r="I80" s="14"/>
      <c r="J80" s="14"/>
      <c r="K80" s="14"/>
      <c r="L80" s="14"/>
      <c r="N80" s="512"/>
    </row>
    <row r="81" spans="1:21" ht="16">
      <c r="A81" s="63"/>
      <c r="B81" s="64"/>
      <c r="C81" s="64"/>
      <c r="D81" s="64"/>
      <c r="E81" s="64"/>
      <c r="F81" s="200"/>
      <c r="G81" s="200"/>
      <c r="H81" s="200"/>
      <c r="I81" s="670" t="s">
        <v>0</v>
      </c>
      <c r="J81" s="670"/>
      <c r="K81" s="670"/>
      <c r="L81" s="670"/>
      <c r="M81" s="64"/>
      <c r="N81" s="65"/>
    </row>
    <row r="82" spans="1:21" ht="16">
      <c r="A82" s="62"/>
      <c r="B82" s="671" t="s">
        <v>1</v>
      </c>
      <c r="C82" s="671"/>
      <c r="D82" s="671" t="s">
        <v>2</v>
      </c>
      <c r="E82" s="671"/>
      <c r="F82" s="672" t="s">
        <v>3</v>
      </c>
      <c r="G82" s="672"/>
      <c r="H82" s="447" t="s">
        <v>3</v>
      </c>
      <c r="I82" s="78" t="s">
        <v>135</v>
      </c>
      <c r="J82" s="66"/>
      <c r="K82" s="66"/>
      <c r="L82" s="79"/>
      <c r="M82" s="673" t="s">
        <v>4</v>
      </c>
      <c r="N82" s="674"/>
    </row>
    <row r="83" spans="1:21" ht="19" thickBot="1">
      <c r="A83" s="67" t="s">
        <v>5</v>
      </c>
      <c r="B83" s="675" t="s">
        <v>6</v>
      </c>
      <c r="C83" s="675"/>
      <c r="D83" s="675" t="s">
        <v>7</v>
      </c>
      <c r="E83" s="675"/>
      <c r="F83" s="676" t="s">
        <v>7</v>
      </c>
      <c r="G83" s="676"/>
      <c r="H83" s="449" t="s">
        <v>58</v>
      </c>
      <c r="I83" s="450" t="s">
        <v>136</v>
      </c>
      <c r="J83" s="448" t="s">
        <v>8</v>
      </c>
      <c r="K83" s="448" t="s">
        <v>9</v>
      </c>
      <c r="L83" s="187" t="s">
        <v>10</v>
      </c>
      <c r="M83" s="677" t="s">
        <v>103</v>
      </c>
      <c r="N83" s="678"/>
    </row>
    <row r="84" spans="1:21" ht="24" thickBot="1">
      <c r="A84" s="60" t="s">
        <v>194</v>
      </c>
      <c r="B84" s="1057"/>
      <c r="C84" s="1042"/>
      <c r="D84" s="1043"/>
      <c r="E84" s="1044"/>
      <c r="F84" s="1045"/>
      <c r="G84" s="1046"/>
      <c r="H84" s="453"/>
      <c r="I84" s="146"/>
      <c r="J84" s="146"/>
      <c r="K84" s="146"/>
      <c r="L84" s="147"/>
      <c r="M84" s="1047"/>
      <c r="N84" s="1048"/>
    </row>
    <row r="85" spans="1:21" s="530" customFormat="1" ht="17" thickBot="1">
      <c r="A85" s="73" t="s">
        <v>129</v>
      </c>
      <c r="B85" s="662"/>
      <c r="C85" s="663"/>
      <c r="D85" s="663"/>
      <c r="E85" s="663"/>
      <c r="F85" s="687"/>
      <c r="G85" s="687"/>
      <c r="H85" s="529"/>
      <c r="I85" s="521"/>
      <c r="J85" s="521"/>
      <c r="K85" s="521"/>
      <c r="L85" s="521"/>
      <c r="M85" s="688"/>
      <c r="N85" s="689"/>
      <c r="O85" s="135"/>
      <c r="P85" s="135"/>
      <c r="Q85" s="135"/>
      <c r="R85" s="135"/>
      <c r="S85" s="135"/>
      <c r="T85" s="135"/>
      <c r="U85" s="135"/>
    </row>
    <row r="86" spans="1:21" s="480" customFormat="1">
      <c r="A86" s="466" t="s">
        <v>29</v>
      </c>
      <c r="B86" s="861">
        <f>Chino!N360</f>
        <v>7</v>
      </c>
      <c r="C86" s="666"/>
      <c r="D86" s="862">
        <f>F86*325900</f>
        <v>56119.979999999996</v>
      </c>
      <c r="E86" s="666"/>
      <c r="F86" s="665">
        <f>0.0246*B86</f>
        <v>0.17219999999999999</v>
      </c>
      <c r="G86" s="666"/>
      <c r="H86" s="477">
        <f>F86*20</f>
        <v>3.444</v>
      </c>
      <c r="I86" s="461">
        <v>0</v>
      </c>
      <c r="J86" s="461">
        <f>B86*60</f>
        <v>420</v>
      </c>
      <c r="K86" s="461">
        <f>B86*40</f>
        <v>280</v>
      </c>
      <c r="L86" s="463">
        <f>K86+J86+I86</f>
        <v>700</v>
      </c>
      <c r="M86" s="863">
        <f t="shared" ref="M86:M93" si="33">IF(ISERROR(L86/(F86*771)),0,L86/(F86*771))</f>
        <v>5.2724262651186828</v>
      </c>
      <c r="N86" s="864"/>
    </row>
    <row r="87" spans="1:21" s="480" customFormat="1">
      <c r="A87" s="466" t="s">
        <v>33</v>
      </c>
      <c r="B87" s="861">
        <f>Chino!N361</f>
        <v>67</v>
      </c>
      <c r="C87" s="666"/>
      <c r="D87" s="862">
        <f>F87*325900</f>
        <v>753317.85000000009</v>
      </c>
      <c r="E87" s="666"/>
      <c r="F87" s="665">
        <f>0.0345*B87</f>
        <v>2.3115000000000001</v>
      </c>
      <c r="G87" s="666"/>
      <c r="H87" s="477">
        <f>F87*14</f>
        <v>32.361000000000004</v>
      </c>
      <c r="I87" s="461">
        <f>0*B87</f>
        <v>0</v>
      </c>
      <c r="J87" s="461">
        <f>B87*65</f>
        <v>4355</v>
      </c>
      <c r="K87" s="461">
        <f>B87*85</f>
        <v>5695</v>
      </c>
      <c r="L87" s="463">
        <f>K87+J87+I87</f>
        <v>10050</v>
      </c>
      <c r="M87" s="863">
        <f t="shared" si="33"/>
        <v>5.6392037444312866</v>
      </c>
      <c r="N87" s="864"/>
    </row>
    <row r="88" spans="1:21" s="480" customFormat="1">
      <c r="A88" s="466" t="s">
        <v>197</v>
      </c>
      <c r="B88" s="861">
        <f>Chino!N362</f>
        <v>30</v>
      </c>
      <c r="C88" s="666"/>
      <c r="D88" s="862">
        <f>F88*325851</f>
        <v>43012.332000000002</v>
      </c>
      <c r="E88" s="666"/>
      <c r="F88" s="665">
        <f>0.0044*B88</f>
        <v>0.13200000000000001</v>
      </c>
      <c r="G88" s="666"/>
      <c r="H88" s="477">
        <f>F88*5</f>
        <v>0.66</v>
      </c>
      <c r="I88" s="461">
        <f>0*B88</f>
        <v>0</v>
      </c>
      <c r="J88" s="461">
        <f>B88*3</f>
        <v>90</v>
      </c>
      <c r="K88" s="461">
        <f>B88*2</f>
        <v>60</v>
      </c>
      <c r="L88" s="463">
        <f t="shared" ref="L88:L93" si="34">K88+J88+I88</f>
        <v>150</v>
      </c>
      <c r="M88" s="863">
        <f t="shared" si="33"/>
        <v>1.4738827968399952</v>
      </c>
      <c r="N88" s="864"/>
    </row>
    <row r="89" spans="1:21" s="480" customFormat="1">
      <c r="A89" s="466" t="s">
        <v>52</v>
      </c>
      <c r="B89" s="861">
        <f>Chino!N363</f>
        <v>24</v>
      </c>
      <c r="C89" s="666"/>
      <c r="D89" s="862">
        <f>F89*325900</f>
        <v>323814.24</v>
      </c>
      <c r="E89" s="666"/>
      <c r="F89" s="665">
        <f>0.0414*B89</f>
        <v>0.99360000000000004</v>
      </c>
      <c r="G89" s="666"/>
      <c r="H89" s="477">
        <f>F89*10</f>
        <v>9.9359999999999999</v>
      </c>
      <c r="I89" s="461">
        <v>0</v>
      </c>
      <c r="J89" s="461">
        <f>B89*70</f>
        <v>1680</v>
      </c>
      <c r="K89" s="461">
        <f>B89*80</f>
        <v>1920</v>
      </c>
      <c r="L89" s="463">
        <f t="shared" si="34"/>
        <v>3600</v>
      </c>
      <c r="M89" s="863">
        <f t="shared" si="33"/>
        <v>4.6993364536927382</v>
      </c>
      <c r="N89" s="864"/>
    </row>
    <row r="90" spans="1:21" s="480" customFormat="1">
      <c r="A90" s="466" t="s">
        <v>186</v>
      </c>
      <c r="B90" s="861">
        <f>Chino!N364</f>
        <v>0</v>
      </c>
      <c r="C90" s="666"/>
      <c r="D90" s="865">
        <f>F90*325900</f>
        <v>0</v>
      </c>
      <c r="E90" s="866"/>
      <c r="F90" s="867">
        <v>0</v>
      </c>
      <c r="G90" s="866"/>
      <c r="H90" s="478">
        <f>F90*10</f>
        <v>0</v>
      </c>
      <c r="I90" s="461">
        <v>0</v>
      </c>
      <c r="J90" s="461">
        <f t="shared" ref="J90:J93" si="35">B90*65</f>
        <v>0</v>
      </c>
      <c r="K90" s="461">
        <f t="shared" ref="K90:K93" si="36">B90*40</f>
        <v>0</v>
      </c>
      <c r="L90" s="463">
        <f t="shared" si="34"/>
        <v>0</v>
      </c>
      <c r="M90" s="863">
        <f t="shared" si="33"/>
        <v>0</v>
      </c>
      <c r="N90" s="864"/>
    </row>
    <row r="91" spans="1:21" s="480" customFormat="1">
      <c r="A91" s="466" t="s">
        <v>147</v>
      </c>
      <c r="B91" s="861">
        <f>Chino!N365</f>
        <v>2</v>
      </c>
      <c r="C91" s="666"/>
      <c r="D91" s="862">
        <f>F91*325900</f>
        <v>1238.42</v>
      </c>
      <c r="E91" s="666"/>
      <c r="F91" s="665">
        <f>0.0019*B91</f>
        <v>3.8E-3</v>
      </c>
      <c r="G91" s="666"/>
      <c r="H91" s="477">
        <f>F91*5</f>
        <v>1.9E-2</v>
      </c>
      <c r="I91" s="461">
        <v>0</v>
      </c>
      <c r="J91" s="461">
        <f>B91*0</f>
        <v>0</v>
      </c>
      <c r="K91" s="461">
        <f>B91*35</f>
        <v>70</v>
      </c>
      <c r="L91" s="463">
        <f t="shared" si="34"/>
        <v>70</v>
      </c>
      <c r="M91" s="863">
        <f t="shared" si="33"/>
        <v>23.892415864564132</v>
      </c>
      <c r="N91" s="864"/>
    </row>
    <row r="92" spans="1:21" s="480" customFormat="1">
      <c r="A92" s="466" t="s">
        <v>187</v>
      </c>
      <c r="B92" s="861">
        <f>Chino!N366</f>
        <v>0</v>
      </c>
      <c r="C92" s="666"/>
      <c r="D92" s="862">
        <f>F92*325900</f>
        <v>0</v>
      </c>
      <c r="E92" s="666"/>
      <c r="F92" s="665">
        <v>0</v>
      </c>
      <c r="G92" s="666"/>
      <c r="H92" s="477">
        <v>0</v>
      </c>
      <c r="I92" s="461">
        <v>0</v>
      </c>
      <c r="J92" s="461">
        <f>B92*0</f>
        <v>0</v>
      </c>
      <c r="K92" s="461">
        <f>B92*300</f>
        <v>0</v>
      </c>
      <c r="L92" s="463">
        <f t="shared" si="34"/>
        <v>0</v>
      </c>
      <c r="M92" s="863">
        <f t="shared" si="33"/>
        <v>0</v>
      </c>
      <c r="N92" s="864"/>
    </row>
    <row r="93" spans="1:21" s="480" customFormat="1" ht="14" thickBot="1">
      <c r="A93" s="466" t="s">
        <v>166</v>
      </c>
      <c r="B93" s="861">
        <f>Chino!N367</f>
        <v>0</v>
      </c>
      <c r="C93" s="666"/>
      <c r="D93" s="862">
        <f>F93*0.0095</f>
        <v>0</v>
      </c>
      <c r="E93" s="666"/>
      <c r="F93" s="665">
        <f>0.0019*B93</f>
        <v>0</v>
      </c>
      <c r="G93" s="666"/>
      <c r="H93" s="477">
        <f>F93*10</f>
        <v>0</v>
      </c>
      <c r="I93" s="461">
        <v>0</v>
      </c>
      <c r="J93" s="461">
        <f t="shared" si="35"/>
        <v>0</v>
      </c>
      <c r="K93" s="461">
        <f t="shared" si="36"/>
        <v>0</v>
      </c>
      <c r="L93" s="463">
        <f t="shared" si="34"/>
        <v>0</v>
      </c>
      <c r="M93" s="863">
        <f t="shared" si="33"/>
        <v>0</v>
      </c>
      <c r="N93" s="864"/>
    </row>
    <row r="94" spans="1:21" s="560" customFormat="1" ht="17" thickBot="1">
      <c r="A94" s="556" t="s">
        <v>130</v>
      </c>
      <c r="B94" s="868"/>
      <c r="C94" s="869"/>
      <c r="D94" s="869"/>
      <c r="E94" s="869"/>
      <c r="F94" s="869"/>
      <c r="G94" s="869"/>
      <c r="H94" s="557"/>
      <c r="I94" s="558"/>
      <c r="J94" s="558"/>
      <c r="K94" s="558"/>
      <c r="L94" s="558"/>
      <c r="M94" s="558"/>
      <c r="N94" s="559"/>
      <c r="O94" s="611"/>
      <c r="P94" s="611"/>
      <c r="Q94" s="611"/>
      <c r="R94" s="611"/>
      <c r="S94" s="611"/>
      <c r="T94" s="611"/>
      <c r="U94" s="611"/>
    </row>
    <row r="95" spans="1:21" s="480" customFormat="1">
      <c r="A95" s="466" t="s">
        <v>204</v>
      </c>
      <c r="B95" s="861">
        <f>Chino!N369</f>
        <v>151</v>
      </c>
      <c r="C95" s="666"/>
      <c r="D95" s="862">
        <f>F95*325900</f>
        <v>216527.96</v>
      </c>
      <c r="E95" s="666"/>
      <c r="F95" s="665">
        <f>B95*0.0044</f>
        <v>0.66439999999999999</v>
      </c>
      <c r="G95" s="666"/>
      <c r="H95" s="477">
        <f>F95*5</f>
        <v>3.3220000000000001</v>
      </c>
      <c r="I95" s="461">
        <v>0</v>
      </c>
      <c r="J95" s="461">
        <f>L95-K95</f>
        <v>226.5</v>
      </c>
      <c r="K95" s="461">
        <f>B95*2</f>
        <v>302</v>
      </c>
      <c r="L95" s="463">
        <v>528.5</v>
      </c>
      <c r="M95" s="863">
        <f>IF(ISERROR(L95/(F95*771)),0,L95/(F95*771))</f>
        <v>1.0317179577879967</v>
      </c>
      <c r="N95" s="864"/>
    </row>
    <row r="96" spans="1:21" s="480" customFormat="1">
      <c r="A96" s="466" t="s">
        <v>196</v>
      </c>
      <c r="B96" s="861">
        <f>Chino!N370</f>
        <v>2</v>
      </c>
      <c r="C96" s="666"/>
      <c r="D96" s="865">
        <f>F96*325900</f>
        <v>0</v>
      </c>
      <c r="E96" s="866"/>
      <c r="F96" s="867">
        <v>0</v>
      </c>
      <c r="G96" s="866"/>
      <c r="H96" s="478">
        <v>0</v>
      </c>
      <c r="I96" s="461">
        <f>(B96*958)*0.5</f>
        <v>958</v>
      </c>
      <c r="J96" s="461">
        <f>(B96*958)*0.02</f>
        <v>38.32</v>
      </c>
      <c r="K96" s="461">
        <f>(B96*958)*0.48</f>
        <v>919.68</v>
      </c>
      <c r="L96" s="463">
        <f t="shared" ref="L96:L98" si="37">K96+J96+I96</f>
        <v>1916</v>
      </c>
      <c r="M96" s="863">
        <f>IF(ISERROR(L96/(F96*771)),0,L96/(F96*771))</f>
        <v>0</v>
      </c>
      <c r="N96" s="864"/>
    </row>
    <row r="97" spans="1:21" s="480" customFormat="1">
      <c r="A97" s="466" t="s">
        <v>201</v>
      </c>
      <c r="B97" s="861">
        <f>Chino!N371</f>
        <v>4</v>
      </c>
      <c r="C97" s="666"/>
      <c r="D97" s="865">
        <f>F97*325900</f>
        <v>67461.3</v>
      </c>
      <c r="E97" s="866"/>
      <c r="F97" s="867">
        <f>0.0414*5</f>
        <v>0.20699999999999999</v>
      </c>
      <c r="G97" s="866"/>
      <c r="H97" s="478">
        <f>F97*10</f>
        <v>2.0699999999999998</v>
      </c>
      <c r="I97" s="461">
        <v>0</v>
      </c>
      <c r="J97" s="461">
        <f>(B97*705)*0.84</f>
        <v>2368.7999999999997</v>
      </c>
      <c r="K97" s="461">
        <f>(B97*705)*0.16</f>
        <v>451.2</v>
      </c>
      <c r="L97" s="463">
        <f t="shared" si="37"/>
        <v>2819.9999999999995</v>
      </c>
      <c r="M97" s="863">
        <f>IF(ISERROR(L97/(F97*771)),0,L97/(F97*771))</f>
        <v>17.669505065884696</v>
      </c>
      <c r="N97" s="864"/>
    </row>
    <row r="98" spans="1:21" s="480" customFormat="1" ht="14" thickBot="1">
      <c r="A98" s="466" t="s">
        <v>163</v>
      </c>
      <c r="B98" s="861">
        <f>Chino!N372</f>
        <v>7</v>
      </c>
      <c r="C98" s="666"/>
      <c r="D98" s="870">
        <f>F98*325900</f>
        <v>269193.39999999997</v>
      </c>
      <c r="E98" s="871"/>
      <c r="F98" s="872">
        <f>B98*0.118</f>
        <v>0.82599999999999996</v>
      </c>
      <c r="G98" s="871"/>
      <c r="H98" s="478">
        <f>F98*10</f>
        <v>8.26</v>
      </c>
      <c r="I98" s="461">
        <v>0</v>
      </c>
      <c r="J98" s="481">
        <f>(B98*461)*0.53</f>
        <v>1710.3100000000002</v>
      </c>
      <c r="K98" s="481">
        <f>(B98*461)*0.47</f>
        <v>1516.6899999999998</v>
      </c>
      <c r="L98" s="463">
        <f t="shared" si="37"/>
        <v>3227</v>
      </c>
      <c r="M98" s="863">
        <f>IF(ISERROR(L98/(F98*771)),0,L98/(F98*771))</f>
        <v>5.0671590934071977</v>
      </c>
      <c r="N98" s="864"/>
    </row>
    <row r="99" spans="1:21" s="480" customFormat="1" ht="14" thickBot="1">
      <c r="A99" s="469" t="s">
        <v>60</v>
      </c>
      <c r="B99" s="1065">
        <f>SUM(B86:C98)</f>
        <v>294</v>
      </c>
      <c r="C99" s="1066"/>
      <c r="D99" s="1067">
        <f>SUM(D86:E98)</f>
        <v>1730685.4820000001</v>
      </c>
      <c r="E99" s="1066"/>
      <c r="F99" s="1065">
        <f>SUM(F86:G98)</f>
        <v>5.3104999999999993</v>
      </c>
      <c r="G99" s="1066"/>
      <c r="H99" s="483">
        <f>SUM(H86:H98)</f>
        <v>60.072000000000003</v>
      </c>
      <c r="I99" s="484">
        <f>SUM(I86:I98)</f>
        <v>958</v>
      </c>
      <c r="J99" s="484">
        <f t="shared" ref="J99:L99" si="38">SUM(J86:J98)</f>
        <v>10888.929999999998</v>
      </c>
      <c r="K99" s="484">
        <f t="shared" si="38"/>
        <v>11214.570000000002</v>
      </c>
      <c r="L99" s="484">
        <f t="shared" si="38"/>
        <v>23061.5</v>
      </c>
      <c r="M99" s="1068"/>
      <c r="N99" s="1069"/>
    </row>
    <row r="100" spans="1:21" s="560" customFormat="1" ht="17" thickBot="1">
      <c r="A100" s="556" t="s">
        <v>134</v>
      </c>
      <c r="B100" s="868"/>
      <c r="C100" s="869"/>
      <c r="D100" s="869"/>
      <c r="E100" s="869"/>
      <c r="F100" s="869"/>
      <c r="G100" s="869"/>
      <c r="H100" s="557"/>
      <c r="I100" s="561"/>
      <c r="J100" s="561"/>
      <c r="K100" s="561"/>
      <c r="L100" s="561"/>
      <c r="M100" s="561"/>
      <c r="N100" s="562"/>
      <c r="O100" s="611"/>
      <c r="P100" s="611"/>
      <c r="Q100" s="611"/>
      <c r="R100" s="611"/>
      <c r="S100" s="611"/>
      <c r="T100" s="611"/>
      <c r="U100" s="611"/>
    </row>
    <row r="101" spans="1:21" s="464" customFormat="1">
      <c r="A101" s="458" t="s">
        <v>29</v>
      </c>
      <c r="B101" s="878">
        <f>Chino!N375</f>
        <v>80</v>
      </c>
      <c r="C101" s="633"/>
      <c r="D101" s="879">
        <f>F101*325900</f>
        <v>641371.19999999995</v>
      </c>
      <c r="E101" s="633"/>
      <c r="F101" s="632">
        <f>0.0246*B101</f>
        <v>1.968</v>
      </c>
      <c r="G101" s="633"/>
      <c r="H101" s="459">
        <f>F101*20</f>
        <v>39.36</v>
      </c>
      <c r="I101" s="460">
        <v>0</v>
      </c>
      <c r="J101" s="462">
        <f>B101*60</f>
        <v>4800</v>
      </c>
      <c r="K101" s="462">
        <f>B101*40</f>
        <v>3200</v>
      </c>
      <c r="L101" s="463">
        <f t="shared" ref="L101:L109" si="39">K101+J101+I101</f>
        <v>8000</v>
      </c>
      <c r="M101" s="880">
        <f t="shared" ref="M101:M112" si="40">IF(ISERROR(L101/(F101*771)),0,L101/(F101*771))</f>
        <v>5.2724262651186828</v>
      </c>
      <c r="N101" s="881"/>
      <c r="O101" s="480"/>
      <c r="P101" s="480"/>
      <c r="Q101" s="480"/>
      <c r="R101" s="480"/>
      <c r="S101" s="480"/>
      <c r="T101" s="480"/>
      <c r="U101" s="612"/>
    </row>
    <row r="102" spans="1:21" s="464" customFormat="1">
      <c r="A102" s="458" t="s">
        <v>51</v>
      </c>
      <c r="B102" s="878">
        <f>Chino!N376</f>
        <v>0</v>
      </c>
      <c r="C102" s="633"/>
      <c r="D102" s="879">
        <f>F102*325900</f>
        <v>0</v>
      </c>
      <c r="E102" s="633"/>
      <c r="F102" s="632">
        <f>0.1227*B102</f>
        <v>0</v>
      </c>
      <c r="G102" s="633"/>
      <c r="H102" s="459">
        <f>F102*20</f>
        <v>0</v>
      </c>
      <c r="I102" s="460">
        <v>0</v>
      </c>
      <c r="J102" s="462">
        <f>B102*200</f>
        <v>0</v>
      </c>
      <c r="K102" s="462">
        <f>B102*200</f>
        <v>0</v>
      </c>
      <c r="L102" s="463">
        <f t="shared" si="39"/>
        <v>0</v>
      </c>
      <c r="M102" s="880">
        <f t="shared" si="40"/>
        <v>0</v>
      </c>
      <c r="N102" s="881"/>
      <c r="O102" s="480"/>
      <c r="P102" s="480"/>
      <c r="Q102" s="480"/>
      <c r="R102" s="480"/>
      <c r="S102" s="480"/>
      <c r="T102" s="480"/>
      <c r="U102" s="480"/>
    </row>
    <row r="103" spans="1:21" s="464" customFormat="1">
      <c r="A103" s="472" t="s">
        <v>140</v>
      </c>
      <c r="B103" s="878">
        <f>Chino!N377</f>
        <v>0</v>
      </c>
      <c r="C103" s="633"/>
      <c r="D103" s="879">
        <f>F103*325851</f>
        <v>0</v>
      </c>
      <c r="E103" s="633"/>
      <c r="F103" s="632">
        <f>B103*0.644</f>
        <v>0</v>
      </c>
      <c r="G103" s="633"/>
      <c r="H103" s="459">
        <f>F103*5</f>
        <v>0</v>
      </c>
      <c r="I103" s="460">
        <v>0</v>
      </c>
      <c r="J103" s="462">
        <f>B103*0</f>
        <v>0</v>
      </c>
      <c r="K103" s="462">
        <f>B103*0</f>
        <v>0</v>
      </c>
      <c r="L103" s="463">
        <f t="shared" si="39"/>
        <v>0</v>
      </c>
      <c r="M103" s="880">
        <f t="shared" si="40"/>
        <v>0</v>
      </c>
      <c r="N103" s="881"/>
      <c r="O103" s="480"/>
      <c r="P103" s="480"/>
      <c r="Q103" s="480"/>
      <c r="R103" s="480"/>
      <c r="S103" s="480"/>
      <c r="T103" s="480"/>
      <c r="U103" s="480"/>
    </row>
    <row r="104" spans="1:21" s="464" customFormat="1">
      <c r="A104" s="466" t="s">
        <v>30</v>
      </c>
      <c r="B104" s="878">
        <f>Chino!N378</f>
        <v>2</v>
      </c>
      <c r="C104" s="633"/>
      <c r="D104" s="879">
        <f t="shared" ref="D104:D112" si="41">F104*325900</f>
        <v>8408.2199999999993</v>
      </c>
      <c r="E104" s="633"/>
      <c r="F104" s="648">
        <f>0.0129*B104</f>
        <v>2.58E-2</v>
      </c>
      <c r="G104" s="649"/>
      <c r="H104" s="459">
        <f>F104*10</f>
        <v>0.25800000000000001</v>
      </c>
      <c r="I104" s="460">
        <v>0</v>
      </c>
      <c r="J104" s="462">
        <f>B104*0</f>
        <v>0</v>
      </c>
      <c r="K104" s="462">
        <f>B104*0</f>
        <v>0</v>
      </c>
      <c r="L104" s="463">
        <f t="shared" si="39"/>
        <v>0</v>
      </c>
      <c r="M104" s="880">
        <f t="shared" si="40"/>
        <v>0</v>
      </c>
      <c r="N104" s="881"/>
      <c r="O104" s="480"/>
      <c r="P104" s="480"/>
      <c r="Q104" s="480"/>
      <c r="R104" s="480"/>
      <c r="S104" s="480"/>
      <c r="T104" s="480"/>
      <c r="U104" s="480"/>
    </row>
    <row r="105" spans="1:21" s="464" customFormat="1">
      <c r="A105" s="466" t="s">
        <v>198</v>
      </c>
      <c r="B105" s="878">
        <f>Chino!N379</f>
        <v>0</v>
      </c>
      <c r="C105" s="633"/>
      <c r="D105" s="879">
        <f t="shared" si="41"/>
        <v>0</v>
      </c>
      <c r="E105" s="633"/>
      <c r="F105" s="632">
        <f>0.0044*B105</f>
        <v>0</v>
      </c>
      <c r="G105" s="633"/>
      <c r="H105" s="459">
        <f>F105*5</f>
        <v>0</v>
      </c>
      <c r="I105" s="460">
        <v>0</v>
      </c>
      <c r="J105" s="462">
        <f>B105*2</f>
        <v>0</v>
      </c>
      <c r="K105" s="462">
        <f>B105*2</f>
        <v>0</v>
      </c>
      <c r="L105" s="463">
        <f t="shared" si="39"/>
        <v>0</v>
      </c>
      <c r="M105" s="880">
        <f t="shared" si="40"/>
        <v>0</v>
      </c>
      <c r="N105" s="881"/>
      <c r="O105" s="480"/>
      <c r="P105" s="480"/>
      <c r="Q105" s="480"/>
      <c r="R105" s="480"/>
      <c r="S105" s="480"/>
      <c r="T105" s="480"/>
      <c r="U105" s="480"/>
    </row>
    <row r="106" spans="1:21" s="464" customFormat="1">
      <c r="A106" s="466" t="s">
        <v>89</v>
      </c>
      <c r="B106" s="878">
        <f>Chino!N380</f>
        <v>0</v>
      </c>
      <c r="C106" s="633"/>
      <c r="D106" s="879">
        <f t="shared" si="41"/>
        <v>0</v>
      </c>
      <c r="E106" s="633"/>
      <c r="F106" s="632">
        <f>0.018*B106</f>
        <v>0</v>
      </c>
      <c r="G106" s="633"/>
      <c r="H106" s="459">
        <f>F106*10</f>
        <v>0</v>
      </c>
      <c r="I106" s="460">
        <v>0</v>
      </c>
      <c r="J106" s="462">
        <f>B106*2</f>
        <v>0</v>
      </c>
      <c r="K106" s="462">
        <f>B106*13</f>
        <v>0</v>
      </c>
      <c r="L106" s="463">
        <f t="shared" si="39"/>
        <v>0</v>
      </c>
      <c r="M106" s="880">
        <f t="shared" si="40"/>
        <v>0</v>
      </c>
      <c r="N106" s="881"/>
      <c r="O106" s="480"/>
      <c r="P106" s="480"/>
      <c r="Q106" s="480"/>
      <c r="R106" s="480"/>
      <c r="S106" s="480"/>
      <c r="T106" s="480"/>
      <c r="U106" s="480"/>
    </row>
    <row r="107" spans="1:21" s="464" customFormat="1">
      <c r="A107" s="458" t="s">
        <v>124</v>
      </c>
      <c r="B107" s="878">
        <f>Chino!N381</f>
        <v>0</v>
      </c>
      <c r="C107" s="633"/>
      <c r="D107" s="879">
        <f t="shared" si="41"/>
        <v>0</v>
      </c>
      <c r="E107" s="633"/>
      <c r="F107" s="632">
        <f>0.0129*B107</f>
        <v>0</v>
      </c>
      <c r="G107" s="633"/>
      <c r="H107" s="459">
        <f>F107*10</f>
        <v>0</v>
      </c>
      <c r="I107" s="460">
        <v>0</v>
      </c>
      <c r="J107" s="462">
        <f>B107*0</f>
        <v>0</v>
      </c>
      <c r="K107" s="462">
        <f>B107*0</f>
        <v>0</v>
      </c>
      <c r="L107" s="463">
        <f t="shared" si="39"/>
        <v>0</v>
      </c>
      <c r="M107" s="880">
        <f t="shared" si="40"/>
        <v>0</v>
      </c>
      <c r="N107" s="881"/>
      <c r="O107" s="480"/>
      <c r="P107" s="480"/>
      <c r="Q107" s="480"/>
      <c r="R107" s="480"/>
      <c r="S107" s="480"/>
      <c r="T107" s="480"/>
      <c r="U107" s="480"/>
    </row>
    <row r="108" spans="1:21" s="473" customFormat="1">
      <c r="A108" s="468" t="s">
        <v>127</v>
      </c>
      <c r="B108" s="878">
        <f>Chino!N382</f>
        <v>0</v>
      </c>
      <c r="C108" s="633"/>
      <c r="D108" s="879">
        <f t="shared" si="41"/>
        <v>0</v>
      </c>
      <c r="E108" s="633"/>
      <c r="F108" s="632">
        <f>B108*0.023</f>
        <v>0</v>
      </c>
      <c r="G108" s="633"/>
      <c r="H108" s="459">
        <f>F108*5</f>
        <v>0</v>
      </c>
      <c r="I108" s="460">
        <v>0</v>
      </c>
      <c r="J108" s="462">
        <f>B108*10</f>
        <v>0</v>
      </c>
      <c r="K108" s="462">
        <f>B108*10</f>
        <v>0</v>
      </c>
      <c r="L108" s="463">
        <f t="shared" si="39"/>
        <v>0</v>
      </c>
      <c r="M108" s="880">
        <f t="shared" si="40"/>
        <v>0</v>
      </c>
      <c r="N108" s="881"/>
      <c r="O108" s="480"/>
      <c r="P108" s="480"/>
      <c r="Q108" s="480"/>
      <c r="R108" s="480"/>
      <c r="S108" s="480"/>
      <c r="T108" s="480"/>
      <c r="U108" s="480"/>
    </row>
    <row r="109" spans="1:21" s="473" customFormat="1">
      <c r="A109" s="468" t="s">
        <v>128</v>
      </c>
      <c r="B109" s="878">
        <f>Chino!N383</f>
        <v>0</v>
      </c>
      <c r="C109" s="633"/>
      <c r="D109" s="879">
        <f t="shared" si="41"/>
        <v>0</v>
      </c>
      <c r="E109" s="633"/>
      <c r="F109" s="882">
        <f>0.154*B109</f>
        <v>0</v>
      </c>
      <c r="G109" s="883"/>
      <c r="H109" s="474">
        <f>F109*10</f>
        <v>0</v>
      </c>
      <c r="I109" s="460">
        <v>0</v>
      </c>
      <c r="J109" s="462">
        <f>B109*1000</f>
        <v>0</v>
      </c>
      <c r="K109" s="462">
        <f>B109*1000</f>
        <v>0</v>
      </c>
      <c r="L109" s="463">
        <f t="shared" si="39"/>
        <v>0</v>
      </c>
      <c r="M109" s="880">
        <f t="shared" si="40"/>
        <v>0</v>
      </c>
      <c r="N109" s="881"/>
      <c r="O109" s="480"/>
      <c r="P109" s="480"/>
      <c r="Q109" s="480"/>
      <c r="R109" s="480"/>
      <c r="S109" s="480"/>
      <c r="T109" s="480"/>
      <c r="U109" s="480"/>
    </row>
    <row r="110" spans="1:21" s="473" customFormat="1">
      <c r="A110" s="468" t="s">
        <v>186</v>
      </c>
      <c r="B110" s="878">
        <f>Chino!N384</f>
        <v>0</v>
      </c>
      <c r="C110" s="633"/>
      <c r="D110" s="884">
        <f t="shared" si="41"/>
        <v>0</v>
      </c>
      <c r="E110" s="885"/>
      <c r="F110" s="865">
        <v>0</v>
      </c>
      <c r="G110" s="866"/>
      <c r="H110" s="467">
        <f>F110*10</f>
        <v>0</v>
      </c>
      <c r="I110" s="460">
        <v>0</v>
      </c>
      <c r="J110" s="462">
        <f>B110*0</f>
        <v>0</v>
      </c>
      <c r="K110" s="462">
        <f>B110*0</f>
        <v>0</v>
      </c>
      <c r="L110" s="463">
        <f>K110+J110+I110</f>
        <v>0</v>
      </c>
      <c r="M110" s="880">
        <f t="shared" si="40"/>
        <v>0</v>
      </c>
      <c r="N110" s="881"/>
      <c r="O110" s="480"/>
      <c r="P110" s="480"/>
      <c r="Q110" s="480"/>
      <c r="R110" s="480"/>
      <c r="S110" s="480"/>
      <c r="T110" s="480"/>
      <c r="U110" s="480"/>
    </row>
    <row r="111" spans="1:21" s="473" customFormat="1">
      <c r="A111" s="468" t="s">
        <v>166</v>
      </c>
      <c r="B111" s="878">
        <f>Chino!N385</f>
        <v>0</v>
      </c>
      <c r="C111" s="633"/>
      <c r="D111" s="884">
        <f t="shared" si="41"/>
        <v>0</v>
      </c>
      <c r="E111" s="885"/>
      <c r="F111" s="886">
        <f>B111*0.0129</f>
        <v>0</v>
      </c>
      <c r="G111" s="887"/>
      <c r="H111" s="475">
        <v>0</v>
      </c>
      <c r="I111" s="460">
        <v>0</v>
      </c>
      <c r="J111" s="462">
        <f>B111*0</f>
        <v>0</v>
      </c>
      <c r="K111" s="462">
        <f>B111*0</f>
        <v>0</v>
      </c>
      <c r="L111" s="463">
        <f t="shared" ref="L111:L112" si="42">K111+J111+I111</f>
        <v>0</v>
      </c>
      <c r="M111" s="880">
        <f t="shared" si="40"/>
        <v>0</v>
      </c>
      <c r="N111" s="881"/>
      <c r="O111" s="480"/>
      <c r="P111" s="480"/>
      <c r="Q111" s="480"/>
      <c r="R111" s="480"/>
      <c r="S111" s="480"/>
      <c r="T111" s="480"/>
      <c r="U111" s="480"/>
    </row>
    <row r="112" spans="1:21" s="473" customFormat="1" ht="14" thickBot="1">
      <c r="A112" s="468" t="s">
        <v>165</v>
      </c>
      <c r="B112" s="878">
        <f>Chino!N386</f>
        <v>0</v>
      </c>
      <c r="C112" s="633"/>
      <c r="D112" s="879">
        <f t="shared" si="41"/>
        <v>0</v>
      </c>
      <c r="E112" s="633"/>
      <c r="F112" s="862">
        <f>(B112*0.0084)/2</f>
        <v>0</v>
      </c>
      <c r="G112" s="666"/>
      <c r="H112" s="465">
        <f>F112*10</f>
        <v>0</v>
      </c>
      <c r="I112" s="460">
        <v>0</v>
      </c>
      <c r="J112" s="462">
        <f>B112*10</f>
        <v>0</v>
      </c>
      <c r="K112" s="462">
        <f>B112*5</f>
        <v>0</v>
      </c>
      <c r="L112" s="463">
        <f t="shared" si="42"/>
        <v>0</v>
      </c>
      <c r="M112" s="880">
        <f t="shared" si="40"/>
        <v>0</v>
      </c>
      <c r="N112" s="881"/>
      <c r="O112" s="480"/>
      <c r="P112" s="480"/>
      <c r="Q112" s="480"/>
      <c r="R112" s="480"/>
      <c r="S112" s="480"/>
      <c r="T112" s="480"/>
      <c r="U112" s="480"/>
    </row>
    <row r="113" spans="1:21" s="560" customFormat="1" ht="17" thickBot="1">
      <c r="A113" s="556" t="s">
        <v>132</v>
      </c>
      <c r="B113" s="869"/>
      <c r="C113" s="869"/>
      <c r="D113" s="869"/>
      <c r="E113" s="869"/>
      <c r="F113" s="869"/>
      <c r="G113" s="869"/>
      <c r="H113" s="557"/>
      <c r="I113" s="561"/>
      <c r="J113" s="561"/>
      <c r="K113" s="561"/>
      <c r="L113" s="561"/>
      <c r="M113" s="561"/>
      <c r="N113" s="562"/>
      <c r="O113" s="611"/>
      <c r="P113" s="611"/>
      <c r="Q113" s="611"/>
      <c r="R113" s="611"/>
      <c r="S113" s="611"/>
      <c r="T113" s="611"/>
      <c r="U113" s="611"/>
    </row>
    <row r="114" spans="1:21" s="480" customFormat="1" ht="14" thickBot="1">
      <c r="A114" s="476" t="s">
        <v>205</v>
      </c>
      <c r="B114" s="861">
        <f>Chino!N388</f>
        <v>0</v>
      </c>
      <c r="C114" s="666"/>
      <c r="D114" s="888">
        <f>F114*325900</f>
        <v>0</v>
      </c>
      <c r="E114" s="889"/>
      <c r="F114" s="890">
        <f>0.004*B114</f>
        <v>0</v>
      </c>
      <c r="G114" s="889"/>
      <c r="H114" s="477">
        <f>F114*5</f>
        <v>0</v>
      </c>
      <c r="I114" s="482">
        <v>0</v>
      </c>
      <c r="J114" s="482">
        <f>L114-K114</f>
        <v>0</v>
      </c>
      <c r="K114" s="482">
        <f>B114*2</f>
        <v>0</v>
      </c>
      <c r="L114" s="463">
        <v>0</v>
      </c>
      <c r="M114" s="863">
        <f>IF(ISERROR(L114/(F114*771)),0,L114/(F114*771))</f>
        <v>0</v>
      </c>
      <c r="N114" s="864"/>
    </row>
    <row r="115" spans="1:21" s="464" customFormat="1" ht="14" thickBot="1">
      <c r="A115" s="458" t="s">
        <v>60</v>
      </c>
      <c r="B115" s="878">
        <f>SUM(B101:B114)</f>
        <v>82</v>
      </c>
      <c r="C115" s="633"/>
      <c r="D115" s="632">
        <f>SUM(D101:E114)</f>
        <v>649779.41999999993</v>
      </c>
      <c r="E115" s="633"/>
      <c r="F115" s="879">
        <f>SUM(F101:G114)</f>
        <v>1.9938</v>
      </c>
      <c r="G115" s="633"/>
      <c r="H115" s="459">
        <f>SUM(H101:H114)</f>
        <v>39.618000000000002</v>
      </c>
      <c r="I115" s="460">
        <f>SUM(I101:I114)</f>
        <v>0</v>
      </c>
      <c r="J115" s="461">
        <f>SUM(J101:J114)</f>
        <v>4800</v>
      </c>
      <c r="K115" s="462">
        <f>SUM(K101:K114)</f>
        <v>3200</v>
      </c>
      <c r="L115" s="463">
        <f>SUM(L101:L114)</f>
        <v>8000</v>
      </c>
      <c r="M115" s="880"/>
      <c r="N115" s="881"/>
      <c r="O115" s="480"/>
      <c r="P115" s="480"/>
      <c r="Q115" s="480"/>
      <c r="R115" s="480"/>
      <c r="S115" s="480"/>
      <c r="T115" s="480"/>
      <c r="U115" s="480"/>
    </row>
    <row r="116" spans="1:21" s="530" customFormat="1" ht="17" thickBot="1">
      <c r="A116" s="531" t="s">
        <v>17</v>
      </c>
      <c r="B116" s="621">
        <f>SUM(,B99,B115)</f>
        <v>376</v>
      </c>
      <c r="C116" s="622"/>
      <c r="D116" s="623">
        <f>SUM(,D99,D115)</f>
        <v>2380464.9019999998</v>
      </c>
      <c r="E116" s="622"/>
      <c r="F116" s="773">
        <f>SUM(,F99,F115)</f>
        <v>7.3042999999999996</v>
      </c>
      <c r="G116" s="713"/>
      <c r="H116" s="532">
        <f>(H115+H99)</f>
        <v>99.69</v>
      </c>
      <c r="I116" s="533">
        <f>SUM(,I99,I115)</f>
        <v>958</v>
      </c>
      <c r="J116" s="533">
        <f>SUM(,J99,J115)</f>
        <v>15688.929999999998</v>
      </c>
      <c r="K116" s="533">
        <f>SUM(,K99,K115)</f>
        <v>14414.570000000002</v>
      </c>
      <c r="L116" s="533">
        <f>SUM(,L99,L115)</f>
        <v>31061.5</v>
      </c>
      <c r="M116" s="624"/>
      <c r="N116" s="625"/>
      <c r="O116" s="135"/>
      <c r="P116" s="135"/>
      <c r="Q116" s="135"/>
      <c r="R116" s="135"/>
      <c r="S116" s="135"/>
      <c r="T116" s="135"/>
      <c r="U116" s="135"/>
    </row>
    <row r="117" spans="1:21">
      <c r="A117" s="39"/>
      <c r="B117" s="455"/>
      <c r="C117" s="455"/>
      <c r="D117" s="455"/>
      <c r="E117" s="455"/>
      <c r="F117" s="454"/>
      <c r="G117" s="454"/>
      <c r="H117" s="454"/>
      <c r="I117" s="14"/>
      <c r="J117" s="14"/>
      <c r="K117" s="14"/>
      <c r="L117" s="14"/>
      <c r="M117" s="452"/>
      <c r="N117" s="452"/>
    </row>
    <row r="118" spans="1:21" ht="15">
      <c r="A118" s="5" t="s">
        <v>18</v>
      </c>
      <c r="B118" s="979" t="s">
        <v>59</v>
      </c>
      <c r="C118" s="979"/>
      <c r="D118" s="979"/>
      <c r="E118" s="979"/>
      <c r="F118" s="454"/>
      <c r="G118" s="454"/>
      <c r="H118" s="454"/>
      <c r="I118" s="14"/>
      <c r="J118" s="14"/>
      <c r="K118" s="14"/>
      <c r="L118" s="14"/>
      <c r="M118" s="452"/>
      <c r="N118" s="452"/>
    </row>
    <row r="119" spans="1:21">
      <c r="A119" s="2"/>
      <c r="B119" s="909" t="s">
        <v>19</v>
      </c>
      <c r="C119" s="909"/>
      <c r="D119" s="909"/>
      <c r="E119" s="909"/>
      <c r="F119" s="454"/>
      <c r="G119" s="454"/>
      <c r="H119" s="454"/>
      <c r="I119" s="14"/>
      <c r="J119" s="14"/>
      <c r="K119" s="14"/>
      <c r="L119" s="14"/>
      <c r="M119" s="452"/>
      <c r="N119" s="452"/>
    </row>
    <row r="120" spans="1:21" ht="14" thickBot="1">
      <c r="A120" s="2"/>
      <c r="B120" s="452"/>
      <c r="C120" s="452"/>
      <c r="D120" s="452"/>
      <c r="E120" s="452"/>
      <c r="F120" s="454"/>
      <c r="G120" s="454"/>
      <c r="H120" s="454"/>
      <c r="I120" s="14"/>
      <c r="J120" s="14"/>
      <c r="K120" s="14"/>
      <c r="L120" s="14"/>
      <c r="M120" s="452"/>
      <c r="N120" s="452"/>
    </row>
    <row r="121" spans="1:21" ht="16">
      <c r="A121" s="63"/>
      <c r="B121" s="64"/>
      <c r="C121" s="64"/>
      <c r="D121" s="64"/>
      <c r="E121" s="64"/>
      <c r="F121" s="200"/>
      <c r="G121" s="200"/>
      <c r="H121" s="200"/>
      <c r="I121" s="670" t="s">
        <v>0</v>
      </c>
      <c r="J121" s="670"/>
      <c r="K121" s="670"/>
      <c r="L121" s="670"/>
      <c r="M121" s="64"/>
      <c r="N121" s="65"/>
    </row>
    <row r="122" spans="1:21" ht="16">
      <c r="A122" s="62"/>
      <c r="B122" s="671" t="s">
        <v>1</v>
      </c>
      <c r="C122" s="671"/>
      <c r="D122" s="671" t="s">
        <v>2</v>
      </c>
      <c r="E122" s="671"/>
      <c r="F122" s="672" t="s">
        <v>3</v>
      </c>
      <c r="G122" s="672"/>
      <c r="H122" s="339" t="s">
        <v>3</v>
      </c>
      <c r="I122" s="78" t="s">
        <v>135</v>
      </c>
      <c r="J122" s="66"/>
      <c r="K122" s="66"/>
      <c r="L122" s="79"/>
      <c r="M122" s="673" t="s">
        <v>4</v>
      </c>
      <c r="N122" s="674"/>
    </row>
    <row r="123" spans="1:21" ht="19" thickBot="1">
      <c r="A123" s="67" t="s">
        <v>5</v>
      </c>
      <c r="B123" s="675" t="s">
        <v>6</v>
      </c>
      <c r="C123" s="675"/>
      <c r="D123" s="675" t="s">
        <v>7</v>
      </c>
      <c r="E123" s="675"/>
      <c r="F123" s="676" t="s">
        <v>7</v>
      </c>
      <c r="G123" s="676"/>
      <c r="H123" s="341" t="s">
        <v>58</v>
      </c>
      <c r="I123" s="342" t="s">
        <v>136</v>
      </c>
      <c r="J123" s="340" t="s">
        <v>8</v>
      </c>
      <c r="K123" s="340" t="s">
        <v>9</v>
      </c>
      <c r="L123" s="187" t="s">
        <v>10</v>
      </c>
      <c r="M123" s="677" t="s">
        <v>103</v>
      </c>
      <c r="N123" s="678"/>
    </row>
    <row r="124" spans="1:21" ht="24" thickBot="1">
      <c r="A124" s="60" t="s">
        <v>182</v>
      </c>
      <c r="B124" s="1057"/>
      <c r="C124" s="1042"/>
      <c r="D124" s="1043"/>
      <c r="E124" s="1044"/>
      <c r="F124" s="1045"/>
      <c r="G124" s="1046"/>
      <c r="H124" s="346"/>
      <c r="I124" s="146"/>
      <c r="J124" s="146"/>
      <c r="K124" s="146"/>
      <c r="L124" s="147"/>
      <c r="M124" s="1047"/>
      <c r="N124" s="1048"/>
    </row>
    <row r="125" spans="1:21" s="530" customFormat="1" ht="17" thickBot="1">
      <c r="A125" s="73" t="s">
        <v>129</v>
      </c>
      <c r="B125" s="662"/>
      <c r="C125" s="663"/>
      <c r="D125" s="663"/>
      <c r="E125" s="663"/>
      <c r="F125" s="687"/>
      <c r="G125" s="687"/>
      <c r="H125" s="529"/>
      <c r="I125" s="521"/>
      <c r="J125" s="521"/>
      <c r="K125" s="521"/>
      <c r="L125" s="521"/>
      <c r="M125" s="688"/>
      <c r="N125" s="689"/>
      <c r="O125" s="135"/>
      <c r="P125" s="135"/>
      <c r="Q125" s="135"/>
      <c r="R125" s="135"/>
      <c r="S125" s="135"/>
      <c r="T125" s="135"/>
      <c r="U125" s="135"/>
    </row>
    <row r="126" spans="1:21">
      <c r="A126" s="76" t="s">
        <v>29</v>
      </c>
      <c r="B126" s="895">
        <f>Chino!N326</f>
        <v>40</v>
      </c>
      <c r="C126" s="629"/>
      <c r="D126" s="895">
        <f>F126*325900</f>
        <v>320685.59999999998</v>
      </c>
      <c r="E126" s="629"/>
      <c r="F126" s="1029">
        <f>0.0246*B126</f>
        <v>0.98399999999999999</v>
      </c>
      <c r="G126" s="904"/>
      <c r="H126" s="344">
        <f>F126*20</f>
        <v>19.68</v>
      </c>
      <c r="I126" s="107">
        <v>0</v>
      </c>
      <c r="J126" s="96">
        <v>3080</v>
      </c>
      <c r="K126" s="96">
        <v>1480</v>
      </c>
      <c r="L126" s="96">
        <f>K126+J126+I126</f>
        <v>4560</v>
      </c>
      <c r="M126" s="697">
        <f t="shared" ref="M126" si="43">IF(ISERROR(L126/(F126*744)),0,L126/(F126*744))</f>
        <v>6.2286913191712561</v>
      </c>
      <c r="N126" s="698"/>
    </row>
    <row r="127" spans="1:21">
      <c r="A127" s="24" t="s">
        <v>33</v>
      </c>
      <c r="B127" s="895">
        <f>Chino!N327</f>
        <v>77</v>
      </c>
      <c r="C127" s="629"/>
      <c r="D127" s="895">
        <f>F127*325900</f>
        <v>865753.35000000009</v>
      </c>
      <c r="E127" s="629"/>
      <c r="F127" s="1029">
        <f>0.0345*B127</f>
        <v>2.6565000000000003</v>
      </c>
      <c r="G127" s="904"/>
      <c r="H127" s="344">
        <f>F127*14</f>
        <v>37.191000000000003</v>
      </c>
      <c r="I127" s="107">
        <f>0*B127</f>
        <v>0</v>
      </c>
      <c r="J127" s="96">
        <v>1690</v>
      </c>
      <c r="K127" s="96">
        <v>6545</v>
      </c>
      <c r="L127" s="96">
        <f>K127+J127+I127</f>
        <v>8235</v>
      </c>
      <c r="M127" s="697">
        <f t="shared" ref="M127:M133" si="44">IF(ISERROR(L127/(F127*744)),0,L127/(F127*744))</f>
        <v>4.1665907724813751</v>
      </c>
      <c r="N127" s="698"/>
    </row>
    <row r="128" spans="1:21">
      <c r="A128" s="24" t="s">
        <v>56</v>
      </c>
      <c r="B128" s="895">
        <f>Chino!N328</f>
        <v>0</v>
      </c>
      <c r="C128" s="629"/>
      <c r="D128" s="895">
        <f>F128*325851</f>
        <v>0</v>
      </c>
      <c r="E128" s="629"/>
      <c r="F128" s="1029">
        <f>0.0044*B128</f>
        <v>0</v>
      </c>
      <c r="G128" s="904"/>
      <c r="H128" s="344">
        <f>F128*5</f>
        <v>0</v>
      </c>
      <c r="I128" s="107">
        <f>0*B128</f>
        <v>0</v>
      </c>
      <c r="J128" s="96">
        <v>0</v>
      </c>
      <c r="K128" s="96">
        <v>0</v>
      </c>
      <c r="L128" s="96">
        <f t="shared" ref="L128:L154" si="45">K128+J128+I128</f>
        <v>0</v>
      </c>
      <c r="M128" s="697">
        <f t="shared" si="44"/>
        <v>0</v>
      </c>
      <c r="N128" s="698"/>
    </row>
    <row r="129" spans="1:21">
      <c r="A129" s="24" t="s">
        <v>52</v>
      </c>
      <c r="B129" s="895">
        <f>Chino!N329</f>
        <v>22</v>
      </c>
      <c r="C129" s="629"/>
      <c r="D129" s="895">
        <f>F129*325900</f>
        <v>296829.71999999997</v>
      </c>
      <c r="E129" s="629"/>
      <c r="F129" s="1027">
        <f>0.0414*B129</f>
        <v>0.91079999999999994</v>
      </c>
      <c r="G129" s="1028"/>
      <c r="H129" s="343">
        <f>F129*10</f>
        <v>9.1079999999999988</v>
      </c>
      <c r="I129" s="107">
        <v>0</v>
      </c>
      <c r="J129" s="107">
        <v>376</v>
      </c>
      <c r="K129" s="107">
        <v>1753.99</v>
      </c>
      <c r="L129" s="96">
        <f t="shared" si="45"/>
        <v>2129.9899999999998</v>
      </c>
      <c r="M129" s="697">
        <f t="shared" si="44"/>
        <v>3.1432694169370188</v>
      </c>
      <c r="N129" s="698"/>
    </row>
    <row r="130" spans="1:21">
      <c r="A130" s="53" t="s">
        <v>185</v>
      </c>
      <c r="B130" s="694">
        <f>Chino!N330</f>
        <v>15</v>
      </c>
      <c r="C130" s="631"/>
      <c r="D130" s="650">
        <f>F130*325900</f>
        <v>941564.2080000001</v>
      </c>
      <c r="E130" s="651"/>
      <c r="F130" s="733">
        <v>2.8891200000000001</v>
      </c>
      <c r="G130" s="734"/>
      <c r="H130" s="420">
        <f>F130*10</f>
        <v>28.891200000000001</v>
      </c>
      <c r="I130" s="107">
        <v>0</v>
      </c>
      <c r="J130" s="107">
        <v>0</v>
      </c>
      <c r="K130" s="107">
        <v>44448</v>
      </c>
      <c r="L130" s="96">
        <f t="shared" si="45"/>
        <v>44448</v>
      </c>
      <c r="M130" s="697">
        <f t="shared" si="44"/>
        <v>20.678246484698093</v>
      </c>
      <c r="N130" s="698"/>
    </row>
    <row r="131" spans="1:21">
      <c r="A131" s="53" t="s">
        <v>147</v>
      </c>
      <c r="B131" s="895">
        <f>Chino!N331</f>
        <v>7</v>
      </c>
      <c r="C131" s="629"/>
      <c r="D131" s="895">
        <f>F131*325900</f>
        <v>4334.4699999999993</v>
      </c>
      <c r="E131" s="629"/>
      <c r="F131" s="923">
        <f>0.0019*B131</f>
        <v>1.3299999999999999E-2</v>
      </c>
      <c r="G131" s="914"/>
      <c r="H131" s="345">
        <f>F131*5</f>
        <v>6.6500000000000004E-2</v>
      </c>
      <c r="I131" s="107">
        <v>0</v>
      </c>
      <c r="J131" s="107">
        <v>0</v>
      </c>
      <c r="K131" s="107">
        <v>525</v>
      </c>
      <c r="L131" s="96">
        <f t="shared" si="45"/>
        <v>525</v>
      </c>
      <c r="M131" s="697">
        <f t="shared" si="44"/>
        <v>53.056027164685915</v>
      </c>
      <c r="N131" s="698"/>
    </row>
    <row r="132" spans="1:21">
      <c r="A132" s="53" t="s">
        <v>187</v>
      </c>
      <c r="B132" s="895">
        <f>Chino!N332</f>
        <v>0</v>
      </c>
      <c r="C132" s="629"/>
      <c r="D132" s="895">
        <f>F132*325900</f>
        <v>0</v>
      </c>
      <c r="E132" s="629"/>
      <c r="F132" s="1027">
        <v>0</v>
      </c>
      <c r="G132" s="1028"/>
      <c r="H132" s="419">
        <v>0</v>
      </c>
      <c r="I132" s="107">
        <v>0</v>
      </c>
      <c r="J132" s="107">
        <v>0</v>
      </c>
      <c r="K132" s="107">
        <v>0</v>
      </c>
      <c r="L132" s="96">
        <f t="shared" si="45"/>
        <v>0</v>
      </c>
      <c r="M132" s="697">
        <f t="shared" si="44"/>
        <v>0</v>
      </c>
      <c r="N132" s="698"/>
    </row>
    <row r="133" spans="1:21" ht="14" thickBot="1">
      <c r="A133" s="243" t="s">
        <v>166</v>
      </c>
      <c r="B133" s="895">
        <f>Chino!N333</f>
        <v>0</v>
      </c>
      <c r="C133" s="629"/>
      <c r="D133" s="895">
        <f>F133*0.0095</f>
        <v>0</v>
      </c>
      <c r="E133" s="629"/>
      <c r="F133" s="1027">
        <f>0.0019*B133</f>
        <v>0</v>
      </c>
      <c r="G133" s="1028"/>
      <c r="H133" s="343">
        <f>F133*10</f>
        <v>0</v>
      </c>
      <c r="I133" s="107">
        <v>0</v>
      </c>
      <c r="J133" s="107">
        <v>0</v>
      </c>
      <c r="K133" s="107">
        <v>0</v>
      </c>
      <c r="L133" s="96">
        <f t="shared" si="45"/>
        <v>0</v>
      </c>
      <c r="M133" s="697">
        <f t="shared" si="44"/>
        <v>0</v>
      </c>
      <c r="N133" s="698"/>
    </row>
    <row r="134" spans="1:21" s="530" customFormat="1" ht="17" thickBot="1">
      <c r="A134" s="73" t="s">
        <v>130</v>
      </c>
      <c r="B134" s="662"/>
      <c r="C134" s="663"/>
      <c r="D134" s="663"/>
      <c r="E134" s="663"/>
      <c r="F134" s="687"/>
      <c r="G134" s="687"/>
      <c r="H134" s="529"/>
      <c r="I134" s="117"/>
      <c r="J134" s="117"/>
      <c r="K134" s="117"/>
      <c r="L134" s="117"/>
      <c r="M134" s="831"/>
      <c r="N134" s="816"/>
      <c r="O134" s="135"/>
      <c r="P134" s="135"/>
      <c r="Q134" s="135"/>
      <c r="R134" s="135"/>
      <c r="S134" s="135"/>
      <c r="T134" s="135"/>
      <c r="U134" s="135"/>
    </row>
    <row r="135" spans="1:21">
      <c r="A135" s="53" t="s">
        <v>141</v>
      </c>
      <c r="B135" s="638">
        <f>Chino!N335</f>
        <v>200</v>
      </c>
      <c r="C135" s="639"/>
      <c r="D135" s="664">
        <f>F135*325900</f>
        <v>286792</v>
      </c>
      <c r="E135" s="639"/>
      <c r="F135" s="1027">
        <f>B135*0.0044</f>
        <v>0.88</v>
      </c>
      <c r="G135" s="1028"/>
      <c r="H135" s="406">
        <f>F135*5</f>
        <v>4.4000000000000004</v>
      </c>
      <c r="I135" s="107">
        <v>0</v>
      </c>
      <c r="J135" s="107">
        <v>320</v>
      </c>
      <c r="K135" s="107">
        <v>400</v>
      </c>
      <c r="L135" s="96">
        <f t="shared" si="45"/>
        <v>720</v>
      </c>
      <c r="M135" s="697">
        <f t="shared" ref="M135" si="46">IF(ISERROR(L135/(F135*744)),0,L135/(F135*744))</f>
        <v>1.0997067448680351</v>
      </c>
      <c r="N135" s="698"/>
    </row>
    <row r="136" spans="1:21">
      <c r="A136" s="53" t="s">
        <v>188</v>
      </c>
      <c r="B136" s="727">
        <f>Chino!N336</f>
        <v>1</v>
      </c>
      <c r="C136" s="651"/>
      <c r="D136" s="650">
        <f>F136*325900</f>
        <v>26984.52</v>
      </c>
      <c r="E136" s="651"/>
      <c r="F136" s="720">
        <v>8.2799999999999999E-2</v>
      </c>
      <c r="G136" s="721"/>
      <c r="H136" s="420">
        <v>0.82799999999999996</v>
      </c>
      <c r="I136" s="107">
        <v>510.39</v>
      </c>
      <c r="J136" s="107">
        <v>0</v>
      </c>
      <c r="K136" s="107">
        <v>510.39</v>
      </c>
      <c r="L136" s="96">
        <f t="shared" si="45"/>
        <v>1020.78</v>
      </c>
      <c r="M136" s="697">
        <f t="shared" ref="M136:M138" si="47">IF(ISERROR(L136/(F136*744)),0,L136/(F136*744))</f>
        <v>16.570243104254324</v>
      </c>
      <c r="N136" s="698"/>
    </row>
    <row r="137" spans="1:21">
      <c r="A137" s="53" t="s">
        <v>192</v>
      </c>
      <c r="B137" s="638">
        <f>Chino!N337</f>
        <v>0</v>
      </c>
      <c r="C137" s="639"/>
      <c r="D137" s="664">
        <f>F137*325900</f>
        <v>0</v>
      </c>
      <c r="E137" s="639"/>
      <c r="F137" s="733">
        <v>0</v>
      </c>
      <c r="G137" s="734"/>
      <c r="H137" s="405">
        <v>0</v>
      </c>
      <c r="I137" s="107">
        <v>0</v>
      </c>
      <c r="J137" s="107">
        <v>0</v>
      </c>
      <c r="K137" s="107">
        <v>0</v>
      </c>
      <c r="L137" s="96">
        <f t="shared" si="45"/>
        <v>0</v>
      </c>
      <c r="M137" s="697">
        <f t="shared" si="47"/>
        <v>0</v>
      </c>
      <c r="N137" s="698"/>
    </row>
    <row r="138" spans="1:21" ht="14" thickBot="1">
      <c r="A138" s="53" t="s">
        <v>163</v>
      </c>
      <c r="B138" s="664">
        <f>Chino!N338</f>
        <v>0</v>
      </c>
      <c r="C138" s="639"/>
      <c r="D138" s="652">
        <v>0</v>
      </c>
      <c r="E138" s="651"/>
      <c r="F138" s="1061">
        <v>0</v>
      </c>
      <c r="G138" s="734"/>
      <c r="H138" s="405">
        <v>0</v>
      </c>
      <c r="I138" s="107">
        <v>0</v>
      </c>
      <c r="J138" s="139">
        <v>0</v>
      </c>
      <c r="K138" s="139">
        <v>0</v>
      </c>
      <c r="L138" s="96">
        <f t="shared" si="45"/>
        <v>0</v>
      </c>
      <c r="M138" s="697">
        <f t="shared" si="47"/>
        <v>0</v>
      </c>
      <c r="N138" s="698"/>
    </row>
    <row r="139" spans="1:21" s="275" customFormat="1" ht="14" thickBot="1">
      <c r="A139" s="320" t="s">
        <v>60</v>
      </c>
      <c r="B139" s="1062">
        <f>SUM(B126:C138)</f>
        <v>362</v>
      </c>
      <c r="C139" s="1063"/>
      <c r="D139" s="1062">
        <f>SUM(D126:E138)</f>
        <v>2742943.8680000007</v>
      </c>
      <c r="E139" s="1063"/>
      <c r="F139" s="937">
        <f>SUM(F126:G138)</f>
        <v>8.416520000000002</v>
      </c>
      <c r="G139" s="1064"/>
      <c r="H139" s="407">
        <f>SUM(H126:H138)</f>
        <v>100.16470000000001</v>
      </c>
      <c r="I139" s="408">
        <f>SUM(I126:I138)</f>
        <v>510.39</v>
      </c>
      <c r="J139" s="443">
        <f t="shared" ref="J139:L139" si="48">SUM(J126:J138)</f>
        <v>5466</v>
      </c>
      <c r="K139" s="443">
        <f t="shared" si="48"/>
        <v>55662.38</v>
      </c>
      <c r="L139" s="443">
        <f t="shared" si="48"/>
        <v>61638.77</v>
      </c>
      <c r="M139" s="657"/>
      <c r="N139" s="840"/>
      <c r="O139" s="276"/>
      <c r="P139" s="276"/>
      <c r="Q139" s="276"/>
      <c r="R139" s="276"/>
      <c r="S139" s="276"/>
      <c r="T139" s="276"/>
      <c r="U139" s="276"/>
    </row>
    <row r="140" spans="1:21" s="530" customFormat="1" ht="17" thickBot="1">
      <c r="A140" s="73" t="s">
        <v>134</v>
      </c>
      <c r="B140" s="662"/>
      <c r="C140" s="663"/>
      <c r="D140" s="663"/>
      <c r="E140" s="663"/>
      <c r="F140" s="687"/>
      <c r="G140" s="687"/>
      <c r="H140" s="529"/>
      <c r="I140" s="444"/>
      <c r="J140" s="444"/>
      <c r="K140" s="444"/>
      <c r="L140" s="444"/>
      <c r="M140" s="831"/>
      <c r="N140" s="816"/>
      <c r="O140" s="135"/>
      <c r="P140" s="135"/>
      <c r="Q140" s="135"/>
      <c r="R140" s="135"/>
      <c r="S140" s="135"/>
      <c r="T140" s="135"/>
      <c r="U140" s="135"/>
    </row>
    <row r="141" spans="1:21">
      <c r="A141" s="319" t="s">
        <v>29</v>
      </c>
      <c r="B141" s="664">
        <f>Chino!N341</f>
        <v>110</v>
      </c>
      <c r="C141" s="639"/>
      <c r="D141" s="667">
        <f>F141*325900</f>
        <v>881885.4</v>
      </c>
      <c r="E141" s="639"/>
      <c r="F141" s="1027">
        <f>0.0246*B141</f>
        <v>2.706</v>
      </c>
      <c r="G141" s="1028"/>
      <c r="H141" s="214">
        <f>F141*20</f>
        <v>54.12</v>
      </c>
      <c r="I141" s="108">
        <v>0</v>
      </c>
      <c r="J141" s="107">
        <v>300</v>
      </c>
      <c r="K141" s="139">
        <v>15425</v>
      </c>
      <c r="L141" s="96">
        <f t="shared" si="45"/>
        <v>15725</v>
      </c>
      <c r="M141" s="697">
        <f t="shared" ref="M141" si="49">IF(ISERROR(L141/(F141*744)),0,L141/(F141*744))</f>
        <v>7.8106994413052639</v>
      </c>
      <c r="N141" s="698"/>
      <c r="Q141" s="555"/>
    </row>
    <row r="142" spans="1:21">
      <c r="A142" s="25" t="s">
        <v>51</v>
      </c>
      <c r="B142" s="664">
        <f>Chino!N342</f>
        <v>0</v>
      </c>
      <c r="C142" s="639"/>
      <c r="D142" s="667">
        <f>F142*325900</f>
        <v>0</v>
      </c>
      <c r="E142" s="639"/>
      <c r="F142" s="1049">
        <f>0.1227*B142</f>
        <v>0</v>
      </c>
      <c r="G142" s="1028"/>
      <c r="H142" s="214">
        <f>F142*20</f>
        <v>0</v>
      </c>
      <c r="I142" s="108">
        <v>0</v>
      </c>
      <c r="J142" s="107">
        <v>0</v>
      </c>
      <c r="K142" s="139">
        <v>0</v>
      </c>
      <c r="L142" s="96">
        <f t="shared" si="45"/>
        <v>0</v>
      </c>
      <c r="M142" s="697">
        <f t="shared" ref="M142:M152" si="50">IF(ISERROR(L142/(F142*744)),0,L142/(F142*744))</f>
        <v>0</v>
      </c>
      <c r="N142" s="698"/>
    </row>
    <row r="143" spans="1:21">
      <c r="A143" s="27" t="s">
        <v>140</v>
      </c>
      <c r="B143" s="664">
        <f>Chino!N343</f>
        <v>0</v>
      </c>
      <c r="C143" s="639"/>
      <c r="D143" s="667">
        <f>F143*325851</f>
        <v>0</v>
      </c>
      <c r="E143" s="639"/>
      <c r="F143" s="1049">
        <f>B143*0.644</f>
        <v>0</v>
      </c>
      <c r="G143" s="1028"/>
      <c r="H143" s="214">
        <f>F143*5</f>
        <v>0</v>
      </c>
      <c r="I143" s="139">
        <v>0</v>
      </c>
      <c r="J143" s="107">
        <v>0</v>
      </c>
      <c r="K143" s="107">
        <v>0</v>
      </c>
      <c r="L143" s="96">
        <f t="shared" si="45"/>
        <v>0</v>
      </c>
      <c r="M143" s="697">
        <f t="shared" si="50"/>
        <v>0</v>
      </c>
      <c r="N143" s="698"/>
    </row>
    <row r="144" spans="1:21">
      <c r="A144" s="53" t="s">
        <v>30</v>
      </c>
      <c r="B144" s="664">
        <f>Chino!N344</f>
        <v>0</v>
      </c>
      <c r="C144" s="639"/>
      <c r="D144" s="667">
        <f t="shared" ref="D144:D152" si="51">F144*325900</f>
        <v>0</v>
      </c>
      <c r="E144" s="639"/>
      <c r="F144" s="1049">
        <f>0.0129*B144</f>
        <v>0</v>
      </c>
      <c r="G144" s="1028"/>
      <c r="H144" s="406">
        <f>F144*10</f>
        <v>0</v>
      </c>
      <c r="I144" s="107">
        <v>0</v>
      </c>
      <c r="J144" s="107">
        <v>0</v>
      </c>
      <c r="K144" s="107">
        <v>0</v>
      </c>
      <c r="L144" s="96">
        <f t="shared" si="45"/>
        <v>0</v>
      </c>
      <c r="M144" s="697">
        <f t="shared" si="50"/>
        <v>0</v>
      </c>
      <c r="N144" s="698"/>
    </row>
    <row r="145" spans="1:21">
      <c r="A145" s="25" t="s">
        <v>56</v>
      </c>
      <c r="B145" s="664">
        <f>Chino!N345</f>
        <v>0</v>
      </c>
      <c r="C145" s="639"/>
      <c r="D145" s="667">
        <f t="shared" si="51"/>
        <v>0</v>
      </c>
      <c r="E145" s="639"/>
      <c r="F145" s="1049">
        <f>0.0044*B145</f>
        <v>0</v>
      </c>
      <c r="G145" s="1028"/>
      <c r="H145" s="406">
        <f>F145*5</f>
        <v>0</v>
      </c>
      <c r="I145" s="107">
        <v>0</v>
      </c>
      <c r="J145" s="107">
        <v>0</v>
      </c>
      <c r="K145" s="107">
        <v>0</v>
      </c>
      <c r="L145" s="96">
        <f t="shared" si="45"/>
        <v>0</v>
      </c>
      <c r="M145" s="697">
        <f t="shared" si="50"/>
        <v>0</v>
      </c>
      <c r="N145" s="698"/>
      <c r="S145" s="555"/>
    </row>
    <row r="146" spans="1:21">
      <c r="A146" s="53" t="s">
        <v>89</v>
      </c>
      <c r="B146" s="664">
        <f>Chino!N346</f>
        <v>0</v>
      </c>
      <c r="C146" s="639"/>
      <c r="D146" s="667">
        <f t="shared" si="51"/>
        <v>0</v>
      </c>
      <c r="E146" s="664"/>
      <c r="F146" s="1027">
        <f>0.018*B146</f>
        <v>0</v>
      </c>
      <c r="G146" s="1028"/>
      <c r="H146" s="406">
        <f>F146*10</f>
        <v>0</v>
      </c>
      <c r="I146" s="107">
        <v>0</v>
      </c>
      <c r="J146" s="107">
        <v>0</v>
      </c>
      <c r="K146" s="107">
        <v>0</v>
      </c>
      <c r="L146" s="96">
        <f t="shared" si="45"/>
        <v>0</v>
      </c>
      <c r="M146" s="697">
        <f t="shared" si="50"/>
        <v>0</v>
      </c>
      <c r="N146" s="698"/>
    </row>
    <row r="147" spans="1:21">
      <c r="A147" s="53" t="s">
        <v>124</v>
      </c>
      <c r="B147" s="664">
        <f>Chino!N347</f>
        <v>0</v>
      </c>
      <c r="C147" s="639"/>
      <c r="D147" s="664">
        <f t="shared" si="51"/>
        <v>0</v>
      </c>
      <c r="E147" s="639"/>
      <c r="F147" s="1027">
        <f>0.0129*B147</f>
        <v>0</v>
      </c>
      <c r="G147" s="1028"/>
      <c r="H147" s="406">
        <f>F147*10</f>
        <v>0</v>
      </c>
      <c r="I147" s="107">
        <v>0</v>
      </c>
      <c r="J147" s="107">
        <v>0</v>
      </c>
      <c r="K147" s="107">
        <v>0</v>
      </c>
      <c r="L147" s="96">
        <f t="shared" si="45"/>
        <v>0</v>
      </c>
      <c r="M147" s="697">
        <f t="shared" si="50"/>
        <v>0</v>
      </c>
      <c r="N147" s="698"/>
      <c r="U147" s="555"/>
    </row>
    <row r="148" spans="1:21" s="44" customFormat="1">
      <c r="A148" s="53" t="s">
        <v>127</v>
      </c>
      <c r="B148" s="664">
        <f>Chino!N348</f>
        <v>0</v>
      </c>
      <c r="C148" s="639"/>
      <c r="D148" s="664">
        <f t="shared" si="51"/>
        <v>0</v>
      </c>
      <c r="E148" s="639"/>
      <c r="F148" s="1027">
        <f>B148*0.023</f>
        <v>0</v>
      </c>
      <c r="G148" s="1028"/>
      <c r="H148" s="406">
        <f>F148*5</f>
        <v>0</v>
      </c>
      <c r="I148" s="107">
        <v>0</v>
      </c>
      <c r="J148" s="107">
        <v>0</v>
      </c>
      <c r="K148" s="107">
        <v>0</v>
      </c>
      <c r="L148" s="96">
        <f t="shared" si="45"/>
        <v>0</v>
      </c>
      <c r="M148" s="697">
        <f t="shared" si="50"/>
        <v>0</v>
      </c>
      <c r="N148" s="698"/>
      <c r="O148" s="75"/>
      <c r="P148" s="75"/>
      <c r="Q148" s="75"/>
      <c r="R148" s="75"/>
      <c r="S148" s="75"/>
      <c r="T148" s="75"/>
      <c r="U148" s="75"/>
    </row>
    <row r="149" spans="1:21" s="44" customFormat="1">
      <c r="A149" s="53" t="s">
        <v>128</v>
      </c>
      <c r="B149" s="650">
        <f>Chino!N349</f>
        <v>0</v>
      </c>
      <c r="C149" s="651"/>
      <c r="D149" s="650">
        <f t="shared" si="51"/>
        <v>0</v>
      </c>
      <c r="E149" s="651"/>
      <c r="F149" s="733">
        <f>0.154*B149</f>
        <v>0</v>
      </c>
      <c r="G149" s="734"/>
      <c r="H149" s="420">
        <f>F149*10</f>
        <v>0</v>
      </c>
      <c r="I149" s="107">
        <v>0</v>
      </c>
      <c r="J149" s="107">
        <v>0</v>
      </c>
      <c r="K149" s="107">
        <v>0</v>
      </c>
      <c r="L149" s="96">
        <f t="shared" si="45"/>
        <v>0</v>
      </c>
      <c r="M149" s="697">
        <f t="shared" si="50"/>
        <v>0</v>
      </c>
      <c r="N149" s="698"/>
      <c r="O149" s="75"/>
      <c r="P149" s="75"/>
      <c r="Q149" s="555"/>
      <c r="R149" s="75"/>
      <c r="S149" s="75"/>
      <c r="T149" s="75"/>
      <c r="U149" s="75"/>
    </row>
    <row r="150" spans="1:21" s="44" customFormat="1">
      <c r="A150" s="53" t="s">
        <v>184</v>
      </c>
      <c r="B150" s="650">
        <f>Chino!N350</f>
        <v>4</v>
      </c>
      <c r="C150" s="651"/>
      <c r="D150" s="650">
        <f t="shared" si="51"/>
        <v>5142294.625</v>
      </c>
      <c r="E150" s="651"/>
      <c r="F150" s="733">
        <v>15.77875</v>
      </c>
      <c r="G150" s="734"/>
      <c r="H150" s="420">
        <f>F150*10</f>
        <v>157.78749999999999</v>
      </c>
      <c r="I150" s="107">
        <v>0</v>
      </c>
      <c r="J150" s="107">
        <v>4963</v>
      </c>
      <c r="K150" s="107">
        <v>140023.38</v>
      </c>
      <c r="L150" s="96">
        <f>K150+J150+I150</f>
        <v>144986.38</v>
      </c>
      <c r="M150" s="697">
        <f t="shared" si="50"/>
        <v>12.350418548152842</v>
      </c>
      <c r="N150" s="698"/>
      <c r="O150" s="75"/>
      <c r="P150" s="75"/>
      <c r="Q150" s="555"/>
      <c r="R150" s="75"/>
      <c r="S150" s="75"/>
      <c r="T150" s="75"/>
      <c r="U150" s="75"/>
    </row>
    <row r="151" spans="1:21" s="44" customFormat="1">
      <c r="A151" s="53" t="s">
        <v>166</v>
      </c>
      <c r="B151" s="664">
        <f>Chino!N351</f>
        <v>0</v>
      </c>
      <c r="C151" s="639"/>
      <c r="D151" s="664">
        <f t="shared" si="51"/>
        <v>0</v>
      </c>
      <c r="E151" s="639"/>
      <c r="F151" s="1027">
        <f>B151*0.0129</f>
        <v>0</v>
      </c>
      <c r="G151" s="1028"/>
      <c r="H151" s="406">
        <v>0</v>
      </c>
      <c r="I151" s="107">
        <v>0</v>
      </c>
      <c r="J151" s="107">
        <v>0</v>
      </c>
      <c r="K151" s="107">
        <v>0</v>
      </c>
      <c r="L151" s="96">
        <f t="shared" si="45"/>
        <v>0</v>
      </c>
      <c r="M151" s="697">
        <f t="shared" si="50"/>
        <v>0</v>
      </c>
      <c r="N151" s="698"/>
      <c r="O151" s="75"/>
      <c r="P151" s="75"/>
      <c r="Q151" s="555"/>
      <c r="R151" s="75"/>
      <c r="S151" s="75"/>
      <c r="T151" s="75"/>
      <c r="U151" s="75"/>
    </row>
    <row r="152" spans="1:21" s="44" customFormat="1" ht="14" thickBot="1">
      <c r="A152" s="68" t="s">
        <v>165</v>
      </c>
      <c r="B152" s="664">
        <f>Chino!N352</f>
        <v>0</v>
      </c>
      <c r="C152" s="639"/>
      <c r="D152" s="664">
        <f t="shared" si="51"/>
        <v>0</v>
      </c>
      <c r="E152" s="639"/>
      <c r="F152" s="1027">
        <f>(B152*0.0084)/2</f>
        <v>0</v>
      </c>
      <c r="G152" s="1028"/>
      <c r="H152" s="406">
        <f>F152*10</f>
        <v>0</v>
      </c>
      <c r="I152" s="107">
        <v>0</v>
      </c>
      <c r="J152" s="107">
        <v>0</v>
      </c>
      <c r="K152" s="107">
        <v>0</v>
      </c>
      <c r="L152" s="96">
        <f t="shared" si="45"/>
        <v>0</v>
      </c>
      <c r="M152" s="697">
        <f t="shared" si="50"/>
        <v>0</v>
      </c>
      <c r="N152" s="698"/>
      <c r="O152" s="75"/>
      <c r="P152" s="75"/>
      <c r="Q152" s="555"/>
      <c r="R152" s="75"/>
      <c r="S152" s="75"/>
      <c r="T152" s="75"/>
      <c r="U152" s="75"/>
    </row>
    <row r="153" spans="1:21" s="530" customFormat="1" ht="17" thickBot="1">
      <c r="A153" s="73" t="s">
        <v>132</v>
      </c>
      <c r="B153" s="662"/>
      <c r="C153" s="663"/>
      <c r="D153" s="663"/>
      <c r="E153" s="663"/>
      <c r="F153" s="687"/>
      <c r="G153" s="687"/>
      <c r="H153" s="529"/>
      <c r="I153" s="444"/>
      <c r="J153" s="444"/>
      <c r="K153" s="444"/>
      <c r="L153" s="444"/>
      <c r="M153" s="831"/>
      <c r="N153" s="816"/>
      <c r="O153" s="135"/>
      <c r="P153" s="135"/>
      <c r="Q153" s="135"/>
      <c r="R153" s="609"/>
      <c r="S153" s="135"/>
      <c r="T153" s="135"/>
      <c r="U153" s="135"/>
    </row>
    <row r="154" spans="1:21" ht="14" thickBot="1">
      <c r="A154" s="53" t="s">
        <v>113</v>
      </c>
      <c r="B154" s="664">
        <f>Chino!N354</f>
        <v>0</v>
      </c>
      <c r="C154" s="639"/>
      <c r="D154" s="803">
        <f>F154*325900</f>
        <v>0</v>
      </c>
      <c r="E154" s="748"/>
      <c r="F154" s="858">
        <f>0.004*B154</f>
        <v>0</v>
      </c>
      <c r="G154" s="859"/>
      <c r="H154" s="336">
        <f>F154*5</f>
        <v>0</v>
      </c>
      <c r="I154" s="120">
        <v>0</v>
      </c>
      <c r="J154" s="89">
        <f>0*B154</f>
        <v>0</v>
      </c>
      <c r="K154" s="89">
        <f>B154*3.25</f>
        <v>0</v>
      </c>
      <c r="L154" s="96">
        <f t="shared" si="45"/>
        <v>0</v>
      </c>
      <c r="M154" s="697">
        <f t="shared" ref="M154" si="52">IF(ISERROR(L154/(F154*744)),0,L154/(F154*744))</f>
        <v>0</v>
      </c>
      <c r="N154" s="698"/>
    </row>
    <row r="155" spans="1:21" s="275" customFormat="1" ht="14" thickBot="1">
      <c r="A155" s="40" t="s">
        <v>60</v>
      </c>
      <c r="B155" s="642">
        <f>SUM(B141:B154)</f>
        <v>114</v>
      </c>
      <c r="C155" s="643"/>
      <c r="D155" s="644">
        <f>SUM(D141:E154)</f>
        <v>6024180.0250000004</v>
      </c>
      <c r="E155" s="643"/>
      <c r="F155" s="726">
        <f>SUM(F141:G154)</f>
        <v>18.484750000000002</v>
      </c>
      <c r="G155" s="707"/>
      <c r="H155" s="43">
        <f>SUM(H141:H154)</f>
        <v>211.9075</v>
      </c>
      <c r="I155" s="93">
        <f>SUM(I141:I154)</f>
        <v>0</v>
      </c>
      <c r="J155" s="93">
        <f>SUM(J141:J154)</f>
        <v>5263</v>
      </c>
      <c r="K155" s="93">
        <f>SUM(K141:K154)</f>
        <v>155448.38</v>
      </c>
      <c r="L155" s="93">
        <f>SUM(L141:L154)</f>
        <v>160711.38</v>
      </c>
      <c r="M155" s="646"/>
      <c r="N155" s="647"/>
      <c r="O155" s="276"/>
      <c r="P155" s="276"/>
      <c r="Q155" s="276"/>
      <c r="R155" s="276"/>
      <c r="S155" s="276"/>
      <c r="T155" s="276"/>
      <c r="U155" s="276"/>
    </row>
    <row r="156" spans="1:21" s="530" customFormat="1" ht="17" thickBot="1">
      <c r="A156" s="531" t="s">
        <v>17</v>
      </c>
      <c r="B156" s="621">
        <f>SUM(,B139,B155)</f>
        <v>476</v>
      </c>
      <c r="C156" s="622"/>
      <c r="D156" s="623">
        <f>SUM(,D139,D155)</f>
        <v>8767123.8930000011</v>
      </c>
      <c r="E156" s="622"/>
      <c r="F156" s="773">
        <f>SUM(,F139,F155)</f>
        <v>26.901270000000004</v>
      </c>
      <c r="G156" s="713"/>
      <c r="H156" s="532">
        <f>(H155+H139)</f>
        <v>312.07220000000001</v>
      </c>
      <c r="I156" s="533">
        <f>SUM(,I139,I155)</f>
        <v>510.39</v>
      </c>
      <c r="J156" s="533">
        <f>SUM(,J139,J155)</f>
        <v>10729</v>
      </c>
      <c r="K156" s="533">
        <f>SUM(,K139,K155)</f>
        <v>211110.76</v>
      </c>
      <c r="L156" s="533">
        <f>SUM(,L139,L155)</f>
        <v>222350.15</v>
      </c>
      <c r="M156" s="624"/>
      <c r="N156" s="625"/>
      <c r="O156" s="135"/>
      <c r="P156" s="135"/>
      <c r="Q156" s="135"/>
      <c r="R156" s="135"/>
      <c r="S156" s="135"/>
      <c r="T156" s="135"/>
      <c r="U156" s="135"/>
    </row>
    <row r="157" spans="1:21">
      <c r="A157" s="39"/>
      <c r="B157" s="349"/>
      <c r="C157" s="349"/>
      <c r="D157" s="349"/>
      <c r="E157" s="349"/>
      <c r="F157" s="348"/>
      <c r="G157" s="348"/>
      <c r="H157" s="348"/>
      <c r="I157" s="14"/>
      <c r="J157" s="14"/>
      <c r="K157" s="14"/>
      <c r="L157" s="14"/>
      <c r="M157" s="347"/>
      <c r="N157" s="347"/>
    </row>
    <row r="158" spans="1:21" ht="15">
      <c r="A158" s="5" t="s">
        <v>18</v>
      </c>
      <c r="B158" s="979" t="s">
        <v>59</v>
      </c>
      <c r="C158" s="979"/>
      <c r="D158" s="979"/>
      <c r="E158" s="979"/>
      <c r="F158" s="348"/>
      <c r="G158" s="348"/>
      <c r="H158" s="348"/>
      <c r="I158" s="14"/>
      <c r="J158" s="14"/>
      <c r="K158" s="14"/>
      <c r="L158" s="14"/>
      <c r="M158" s="347"/>
      <c r="N158" s="347"/>
    </row>
    <row r="159" spans="1:21">
      <c r="A159" s="2"/>
      <c r="B159" s="909" t="s">
        <v>19</v>
      </c>
      <c r="C159" s="909"/>
      <c r="D159" s="909"/>
      <c r="E159" s="909"/>
      <c r="F159" s="352"/>
      <c r="G159" s="352"/>
      <c r="H159" s="352"/>
      <c r="I159" s="14"/>
      <c r="J159" s="14"/>
      <c r="K159" s="14"/>
      <c r="L159" s="14"/>
      <c r="M159" s="351"/>
      <c r="N159" s="351"/>
    </row>
    <row r="160" spans="1:21" ht="14" thickBot="1">
      <c r="A160" s="389"/>
      <c r="B160" s="390"/>
      <c r="C160" s="390"/>
      <c r="D160" s="390"/>
      <c r="E160" s="390"/>
      <c r="F160" s="391"/>
      <c r="G160" s="391"/>
      <c r="H160" s="391"/>
      <c r="I160" s="392"/>
      <c r="J160" s="392"/>
      <c r="K160" s="392"/>
      <c r="L160" s="392"/>
      <c r="M160" s="390"/>
      <c r="N160" s="390"/>
    </row>
    <row r="161" spans="1:21" ht="17" thickTop="1">
      <c r="A161" s="62"/>
      <c r="B161" s="66"/>
      <c r="C161" s="66"/>
      <c r="D161" s="66"/>
      <c r="E161" s="66"/>
      <c r="F161" s="238"/>
      <c r="G161" s="238"/>
      <c r="H161" s="238"/>
      <c r="I161" s="854" t="s">
        <v>0</v>
      </c>
      <c r="J161" s="854"/>
      <c r="K161" s="854"/>
      <c r="L161" s="854"/>
      <c r="M161" s="66"/>
      <c r="N161" s="240"/>
    </row>
    <row r="162" spans="1:21" ht="16">
      <c r="A162" s="62"/>
      <c r="B162" s="671" t="s">
        <v>1</v>
      </c>
      <c r="C162" s="671"/>
      <c r="D162" s="671" t="s">
        <v>2</v>
      </c>
      <c r="E162" s="671"/>
      <c r="F162" s="672" t="s">
        <v>3</v>
      </c>
      <c r="G162" s="672"/>
      <c r="H162" s="207" t="s">
        <v>3</v>
      </c>
      <c r="I162" s="78" t="s">
        <v>135</v>
      </c>
      <c r="J162" s="66"/>
      <c r="K162" s="66"/>
      <c r="L162" s="79"/>
      <c r="M162" s="673" t="s">
        <v>4</v>
      </c>
      <c r="N162" s="674"/>
    </row>
    <row r="163" spans="1:21" ht="19" thickBot="1">
      <c r="A163" s="67" t="s">
        <v>5</v>
      </c>
      <c r="B163" s="675" t="s">
        <v>6</v>
      </c>
      <c r="C163" s="675"/>
      <c r="D163" s="675" t="s">
        <v>7</v>
      </c>
      <c r="E163" s="675"/>
      <c r="F163" s="676" t="s">
        <v>7</v>
      </c>
      <c r="G163" s="676"/>
      <c r="H163" s="208" t="s">
        <v>58</v>
      </c>
      <c r="I163" s="185" t="s">
        <v>136</v>
      </c>
      <c r="J163" s="184" t="s">
        <v>8</v>
      </c>
      <c r="K163" s="184" t="s">
        <v>9</v>
      </c>
      <c r="L163" s="187" t="s">
        <v>10</v>
      </c>
      <c r="M163" s="677" t="s">
        <v>103</v>
      </c>
      <c r="N163" s="678"/>
    </row>
    <row r="164" spans="1:21" ht="24" thickBot="1">
      <c r="A164" s="60" t="s">
        <v>162</v>
      </c>
      <c r="B164" s="1057"/>
      <c r="C164" s="1042"/>
      <c r="D164" s="1043"/>
      <c r="E164" s="1044"/>
      <c r="F164" s="1045"/>
      <c r="G164" s="1046"/>
      <c r="H164" s="212"/>
      <c r="I164" s="146"/>
      <c r="J164" s="146"/>
      <c r="K164" s="146"/>
      <c r="L164" s="147"/>
      <c r="M164" s="1047"/>
      <c r="N164" s="1048"/>
    </row>
    <row r="165" spans="1:21" s="530" customFormat="1" ht="17" thickBot="1">
      <c r="A165" s="73" t="s">
        <v>129</v>
      </c>
      <c r="B165" s="662"/>
      <c r="C165" s="663"/>
      <c r="D165" s="729"/>
      <c r="E165" s="716"/>
      <c r="F165" s="717"/>
      <c r="G165" s="687"/>
      <c r="H165" s="523"/>
      <c r="I165" s="525"/>
      <c r="J165" s="72"/>
      <c r="K165" s="72"/>
      <c r="L165" s="72"/>
      <c r="M165" s="688"/>
      <c r="N165" s="689"/>
      <c r="O165" s="135"/>
      <c r="P165" s="135"/>
      <c r="Q165" s="135"/>
      <c r="R165" s="135"/>
      <c r="S165" s="135"/>
      <c r="T165" s="135"/>
      <c r="U165" s="135"/>
    </row>
    <row r="166" spans="1:21">
      <c r="A166" s="51" t="s">
        <v>29</v>
      </c>
      <c r="B166" s="932">
        <f>Chino!N292</f>
        <v>183</v>
      </c>
      <c r="C166" s="925"/>
      <c r="D166" s="895">
        <f>F166*325900</f>
        <v>2534687.2500000005</v>
      </c>
      <c r="E166" s="629"/>
      <c r="F166" s="1029">
        <f>0.0425*B166</f>
        <v>7.7775000000000007</v>
      </c>
      <c r="G166" s="904"/>
      <c r="H166" s="188">
        <f>F166*20</f>
        <v>155.55000000000001</v>
      </c>
      <c r="I166" s="97">
        <v>0</v>
      </c>
      <c r="J166" s="96">
        <v>4883.6499999999996</v>
      </c>
      <c r="K166" s="96">
        <v>17915.22</v>
      </c>
      <c r="L166" s="96">
        <f t="shared" ref="L166:L172" si="53">I166+J166+K166</f>
        <v>22798.870000000003</v>
      </c>
      <c r="M166" s="724">
        <f>IF(ISERROR(L166/(F166*721)),0,L166/(F166*721))</f>
        <v>4.0657253510985809</v>
      </c>
      <c r="N166" s="698"/>
    </row>
    <row r="167" spans="1:21">
      <c r="A167" s="51" t="s">
        <v>33</v>
      </c>
      <c r="B167" s="628">
        <f>Chino!N293</f>
        <v>76</v>
      </c>
      <c r="C167" s="629"/>
      <c r="D167" s="895">
        <f>F167*325900</f>
        <v>854509.80000000016</v>
      </c>
      <c r="E167" s="629"/>
      <c r="F167" s="1029">
        <f>0.0345*B167</f>
        <v>2.6220000000000003</v>
      </c>
      <c r="G167" s="904"/>
      <c r="H167" s="188">
        <f>F167*15</f>
        <v>39.330000000000005</v>
      </c>
      <c r="I167" s="96">
        <f>0*B167</f>
        <v>0</v>
      </c>
      <c r="J167" s="96">
        <v>1430</v>
      </c>
      <c r="K167" s="96">
        <f>B167*85</f>
        <v>6460</v>
      </c>
      <c r="L167" s="96">
        <f t="shared" si="53"/>
        <v>7890</v>
      </c>
      <c r="M167" s="724">
        <f t="shared" ref="M167:M172" si="54">IF(ISERROR(L167/(F167*721)),0,L167/(F167*721))</f>
        <v>4.1735829654338454</v>
      </c>
      <c r="N167" s="698"/>
    </row>
    <row r="168" spans="1:21">
      <c r="A168" s="51" t="s">
        <v>56</v>
      </c>
      <c r="B168" s="628">
        <f>Chino!N294</f>
        <v>102</v>
      </c>
      <c r="C168" s="629"/>
      <c r="D168" s="895">
        <f>F168*325851</f>
        <v>146241.92880000002</v>
      </c>
      <c r="E168" s="629"/>
      <c r="F168" s="1029">
        <f>0.0044*B168</f>
        <v>0.44880000000000003</v>
      </c>
      <c r="G168" s="904"/>
      <c r="H168" s="188">
        <f>F168*5</f>
        <v>2.2440000000000002</v>
      </c>
      <c r="I168" s="96">
        <f>0*B168</f>
        <v>0</v>
      </c>
      <c r="J168" s="96">
        <v>0</v>
      </c>
      <c r="K168" s="96">
        <v>385.43</v>
      </c>
      <c r="L168" s="96">
        <f t="shared" si="53"/>
        <v>385.43</v>
      </c>
      <c r="M168" s="724">
        <f t="shared" si="54"/>
        <v>1.1911251702799388</v>
      </c>
      <c r="N168" s="698"/>
    </row>
    <row r="169" spans="1:21">
      <c r="A169" s="51" t="s">
        <v>52</v>
      </c>
      <c r="B169" s="628">
        <f>Chino!N295</f>
        <v>12</v>
      </c>
      <c r="C169" s="629"/>
      <c r="D169" s="895">
        <f>F169*325900</f>
        <v>1271010</v>
      </c>
      <c r="E169" s="629"/>
      <c r="F169" s="1027">
        <f>0.325*B169</f>
        <v>3.9000000000000004</v>
      </c>
      <c r="G169" s="1028"/>
      <c r="H169" s="199">
        <f>F169*10</f>
        <v>39</v>
      </c>
      <c r="I169" s="97">
        <v>0</v>
      </c>
      <c r="J169" s="107">
        <v>177.98</v>
      </c>
      <c r="K169" s="107">
        <v>939.6</v>
      </c>
      <c r="L169" s="107">
        <f t="shared" si="53"/>
        <v>1117.58</v>
      </c>
      <c r="M169" s="724">
        <f t="shared" si="54"/>
        <v>0.39744656637860515</v>
      </c>
      <c r="N169" s="698"/>
    </row>
    <row r="170" spans="1:21">
      <c r="A170" s="130" t="s">
        <v>175</v>
      </c>
      <c r="B170" s="628">
        <f>Chino!N296</f>
        <v>25</v>
      </c>
      <c r="C170" s="629"/>
      <c r="D170" s="895">
        <f>F170*325900</f>
        <v>1902786.7039999997</v>
      </c>
      <c r="E170" s="629"/>
      <c r="F170" s="1027">
        <f>(44912*0.00013)</f>
        <v>5.8385599999999993</v>
      </c>
      <c r="G170" s="1028"/>
      <c r="H170" s="199">
        <f>F170*10</f>
        <v>58.385599999999997</v>
      </c>
      <c r="I170" s="97">
        <v>0</v>
      </c>
      <c r="J170" s="107">
        <v>0</v>
      </c>
      <c r="K170" s="107">
        <v>86424</v>
      </c>
      <c r="L170" s="107">
        <f t="shared" si="53"/>
        <v>86424</v>
      </c>
      <c r="M170" s="724">
        <f t="shared" si="54"/>
        <v>20.530208064147143</v>
      </c>
      <c r="N170" s="698"/>
    </row>
    <row r="171" spans="1:21">
      <c r="A171" s="130" t="s">
        <v>147</v>
      </c>
      <c r="B171" s="628">
        <f>Chino!N297</f>
        <v>16</v>
      </c>
      <c r="C171" s="629"/>
      <c r="D171" s="895">
        <f>F171*325900</f>
        <v>9907.36</v>
      </c>
      <c r="E171" s="629"/>
      <c r="F171" s="923">
        <f>0.0019*B171</f>
        <v>3.04E-2</v>
      </c>
      <c r="G171" s="914"/>
      <c r="H171" s="322">
        <f>F171*5</f>
        <v>0.152</v>
      </c>
      <c r="I171" s="97">
        <v>0</v>
      </c>
      <c r="J171" s="107">
        <f>0*B171</f>
        <v>0</v>
      </c>
      <c r="K171" s="107">
        <f>B171*75</f>
        <v>1200</v>
      </c>
      <c r="L171" s="107">
        <f t="shared" si="53"/>
        <v>1200</v>
      </c>
      <c r="M171" s="724">
        <f t="shared" si="54"/>
        <v>54.748521789911678</v>
      </c>
      <c r="N171" s="698"/>
    </row>
    <row r="172" spans="1:21" ht="14" thickBot="1">
      <c r="A172" s="133" t="s">
        <v>166</v>
      </c>
      <c r="B172" s="900">
        <f>Chino!N298</f>
        <v>0</v>
      </c>
      <c r="C172" s="901"/>
      <c r="D172" s="895">
        <f>F172*0.0095</f>
        <v>0</v>
      </c>
      <c r="E172" s="629"/>
      <c r="F172" s="1027">
        <f>0.0019*B172</f>
        <v>0</v>
      </c>
      <c r="G172" s="1028"/>
      <c r="H172" s="199">
        <f>F172*10</f>
        <v>0</v>
      </c>
      <c r="I172" s="97">
        <v>0</v>
      </c>
      <c r="J172" s="107">
        <f>0*B172</f>
        <v>0</v>
      </c>
      <c r="K172" s="107">
        <f>B172*75</f>
        <v>0</v>
      </c>
      <c r="L172" s="107">
        <f t="shared" si="53"/>
        <v>0</v>
      </c>
      <c r="M172" s="724">
        <f t="shared" si="54"/>
        <v>0</v>
      </c>
      <c r="N172" s="698"/>
    </row>
    <row r="173" spans="1:21" s="530" customFormat="1" ht="17" thickBot="1">
      <c r="A173" s="73" t="s">
        <v>130</v>
      </c>
      <c r="B173" s="662"/>
      <c r="C173" s="716"/>
      <c r="D173" s="663"/>
      <c r="E173" s="663"/>
      <c r="F173" s="717"/>
      <c r="G173" s="687"/>
      <c r="H173" s="523"/>
      <c r="I173" s="116"/>
      <c r="J173" s="117"/>
      <c r="K173" s="116"/>
      <c r="L173" s="117"/>
      <c r="M173" s="815"/>
      <c r="N173" s="816"/>
      <c r="O173" s="135"/>
      <c r="P173" s="135"/>
      <c r="Q173" s="135"/>
      <c r="R173" s="135"/>
      <c r="S173" s="135"/>
      <c r="T173" s="135"/>
      <c r="U173" s="135"/>
    </row>
    <row r="174" spans="1:21">
      <c r="A174" s="130" t="s">
        <v>141</v>
      </c>
      <c r="B174" s="932">
        <f>Chino!N300</f>
        <v>108</v>
      </c>
      <c r="C174" s="925"/>
      <c r="D174" s="895">
        <f>F174*325900</f>
        <v>154867.68</v>
      </c>
      <c r="E174" s="629"/>
      <c r="F174" s="1027">
        <f>B174*0.0044</f>
        <v>0.47520000000000001</v>
      </c>
      <c r="G174" s="1028"/>
      <c r="H174" s="199">
        <f>F174*5</f>
        <v>2.3759999999999999</v>
      </c>
      <c r="I174" s="97">
        <v>0</v>
      </c>
      <c r="J174" s="107">
        <f>(B174*1.6)</f>
        <v>172.8</v>
      </c>
      <c r="K174" s="107">
        <f>(B174*2)</f>
        <v>216</v>
      </c>
      <c r="L174" s="108">
        <f>I174+J174+K174</f>
        <v>388.8</v>
      </c>
      <c r="M174" s="697">
        <f>IF(ISERROR(L174/(F174*752)),0,L174/(F174*752))</f>
        <v>1.0880077369439072</v>
      </c>
      <c r="N174" s="698"/>
    </row>
    <row r="175" spans="1:21">
      <c r="A175" s="130" t="s">
        <v>180</v>
      </c>
      <c r="B175" s="638">
        <f>Chino!N301</f>
        <v>38</v>
      </c>
      <c r="C175" s="639"/>
      <c r="D175" s="664">
        <f>F175*325900</f>
        <v>6504312.1999999993</v>
      </c>
      <c r="E175" s="639"/>
      <c r="F175" s="733">
        <v>19.957999999999998</v>
      </c>
      <c r="G175" s="734"/>
      <c r="H175" s="206">
        <v>193.89</v>
      </c>
      <c r="I175" s="107">
        <v>17044.32</v>
      </c>
      <c r="J175" s="107">
        <v>0</v>
      </c>
      <c r="K175" s="107">
        <v>17044.32</v>
      </c>
      <c r="L175" s="108">
        <f>I175+J175+K175</f>
        <v>34088.639999999999</v>
      </c>
      <c r="M175" s="697">
        <f>IF(ISERROR(L175/(F175*752)),0,L175/(F175*752))</f>
        <v>2.2713016483551631</v>
      </c>
      <c r="N175" s="698"/>
    </row>
    <row r="176" spans="1:21">
      <c r="A176" s="130" t="s">
        <v>176</v>
      </c>
      <c r="B176" s="628">
        <f>Chino!N302</f>
        <v>3</v>
      </c>
      <c r="C176" s="629"/>
      <c r="D176" s="664">
        <f>F176*325900</f>
        <v>109502.39999999999</v>
      </c>
      <c r="E176" s="639"/>
      <c r="F176" s="923">
        <f>(0.00014*2400)</f>
        <v>0.33599999999999997</v>
      </c>
      <c r="G176" s="914"/>
      <c r="H176" s="199">
        <f>F176*10</f>
        <v>3.3599999999999994</v>
      </c>
      <c r="I176" s="107">
        <v>720</v>
      </c>
      <c r="J176" s="107">
        <v>7554</v>
      </c>
      <c r="K176" s="107">
        <v>0</v>
      </c>
      <c r="L176" s="108">
        <f>I176+J176+K176</f>
        <v>8274</v>
      </c>
      <c r="M176" s="697">
        <f>IF(ISERROR(L176/(F176*752)),0,L176/(F176*752))</f>
        <v>32.746010638297875</v>
      </c>
      <c r="N176" s="698"/>
    </row>
    <row r="177" spans="1:21" ht="14" thickBot="1">
      <c r="A177" s="130" t="s">
        <v>163</v>
      </c>
      <c r="B177" s="693">
        <f>Chino!N303</f>
        <v>0</v>
      </c>
      <c r="C177" s="631"/>
      <c r="D177" s="630">
        <v>0</v>
      </c>
      <c r="E177" s="631"/>
      <c r="F177" s="910">
        <v>0</v>
      </c>
      <c r="G177" s="911"/>
      <c r="H177" s="195">
        <v>0</v>
      </c>
      <c r="I177" s="97">
        <v>0</v>
      </c>
      <c r="J177" s="139">
        <v>0</v>
      </c>
      <c r="K177" s="125">
        <v>0</v>
      </c>
      <c r="L177" s="105">
        <f>J177+K177</f>
        <v>0</v>
      </c>
      <c r="M177" s="697">
        <f>IF(ISERROR(L177/(F177*752)),0,L177/(F177*752))</f>
        <v>0</v>
      </c>
      <c r="N177" s="698"/>
    </row>
    <row r="178" spans="1:21" s="275" customFormat="1" ht="14" thickBot="1">
      <c r="A178" s="151" t="s">
        <v>60</v>
      </c>
      <c r="B178" s="642">
        <f>SUM(B166:B177)</f>
        <v>563</v>
      </c>
      <c r="C178" s="643"/>
      <c r="D178" s="645">
        <f>SUM(D166:E177)</f>
        <v>13487825.322800001</v>
      </c>
      <c r="E178" s="643"/>
      <c r="F178" s="707">
        <f>SUM(F166:G177)</f>
        <v>41.38646</v>
      </c>
      <c r="G178" s="708"/>
      <c r="H178" s="231">
        <f>SUM(H166:H177)</f>
        <v>494.2876</v>
      </c>
      <c r="I178" s="152">
        <f>SUM(I166:I177)</f>
        <v>17764.32</v>
      </c>
      <c r="J178" s="99">
        <f>SUM(J166:J177)</f>
        <v>14218.43</v>
      </c>
      <c r="K178" s="93">
        <f>SUM(K166:K177)</f>
        <v>130584.57</v>
      </c>
      <c r="L178" s="93">
        <f>SUM(L166:L177)</f>
        <v>162567.32</v>
      </c>
      <c r="M178" s="644"/>
      <c r="N178" s="1058"/>
      <c r="O178" s="276"/>
      <c r="P178" s="276"/>
      <c r="Q178" s="276"/>
      <c r="R178" s="276"/>
      <c r="S178" s="276"/>
      <c r="T178" s="276"/>
      <c r="U178" s="276"/>
    </row>
    <row r="179" spans="1:21" s="530" customFormat="1" ht="17" thickBot="1">
      <c r="A179" s="73" t="s">
        <v>134</v>
      </c>
      <c r="B179" s="662"/>
      <c r="C179" s="716"/>
      <c r="D179" s="729"/>
      <c r="E179" s="716"/>
      <c r="F179" s="717"/>
      <c r="G179" s="718"/>
      <c r="H179" s="216"/>
      <c r="I179" s="444"/>
      <c r="J179" s="115"/>
      <c r="K179" s="115"/>
      <c r="L179" s="546"/>
      <c r="M179" s="831"/>
      <c r="N179" s="816"/>
      <c r="O179" s="135"/>
      <c r="P179" s="135"/>
      <c r="Q179" s="135"/>
      <c r="R179" s="135"/>
      <c r="S179" s="135"/>
      <c r="T179" s="135"/>
      <c r="U179" s="135"/>
    </row>
    <row r="180" spans="1:21">
      <c r="A180" s="51" t="s">
        <v>29</v>
      </c>
      <c r="B180" s="628">
        <f>Chino!N307</f>
        <v>253</v>
      </c>
      <c r="C180" s="629"/>
      <c r="D180" s="636">
        <f>F180*325900</f>
        <v>3504239.7500000005</v>
      </c>
      <c r="E180" s="629"/>
      <c r="F180" s="1029">
        <f>0.0425*B180</f>
        <v>10.752500000000001</v>
      </c>
      <c r="G180" s="904"/>
      <c r="H180" s="213">
        <f>F180*20</f>
        <v>215.05</v>
      </c>
      <c r="I180" s="105">
        <v>0</v>
      </c>
      <c r="J180" s="96">
        <v>11550</v>
      </c>
      <c r="K180" s="126">
        <v>30450</v>
      </c>
      <c r="L180" s="106">
        <f t="shared" ref="L180:L186" si="55">SUM(I180:K180)</f>
        <v>42000</v>
      </c>
      <c r="M180" s="697">
        <f>IF(ISERROR(L180/(F180*752)),0,L180/(F180*752))</f>
        <v>5.1942398353673314</v>
      </c>
      <c r="N180" s="698"/>
      <c r="Q180" s="555"/>
    </row>
    <row r="181" spans="1:21">
      <c r="A181" s="51" t="s">
        <v>51</v>
      </c>
      <c r="B181" s="628">
        <f>Chino!N308</f>
        <v>0</v>
      </c>
      <c r="C181" s="629"/>
      <c r="D181" s="636">
        <f>F181*325900</f>
        <v>0</v>
      </c>
      <c r="E181" s="629"/>
      <c r="F181" s="903">
        <f>0.1227*B181</f>
        <v>0</v>
      </c>
      <c r="G181" s="904"/>
      <c r="H181" s="213">
        <f>F181*20</f>
        <v>0</v>
      </c>
      <c r="I181" s="105">
        <v>0</v>
      </c>
      <c r="J181" s="96">
        <v>0</v>
      </c>
      <c r="K181" s="126">
        <v>0</v>
      </c>
      <c r="L181" s="106">
        <f t="shared" si="55"/>
        <v>0</v>
      </c>
      <c r="M181" s="697">
        <f t="shared" ref="M181:M189" si="56">IF(ISERROR(L181/(F181*752)),0,L181/(F181*752))</f>
        <v>0</v>
      </c>
      <c r="N181" s="698"/>
    </row>
    <row r="182" spans="1:21">
      <c r="A182" s="1" t="s">
        <v>140</v>
      </c>
      <c r="B182" s="628">
        <f>Chino!N309</f>
        <v>0</v>
      </c>
      <c r="C182" s="629"/>
      <c r="D182" s="636">
        <f>F182*325851</f>
        <v>0</v>
      </c>
      <c r="E182" s="629"/>
      <c r="F182" s="903">
        <f>B182*0.644</f>
        <v>0</v>
      </c>
      <c r="G182" s="904"/>
      <c r="H182" s="213">
        <f>F182*5</f>
        <v>0</v>
      </c>
      <c r="I182" s="125">
        <v>0</v>
      </c>
      <c r="J182" s="96">
        <v>0</v>
      </c>
      <c r="K182" s="96">
        <v>0</v>
      </c>
      <c r="L182" s="106">
        <f t="shared" si="55"/>
        <v>0</v>
      </c>
      <c r="M182" s="697">
        <f t="shared" si="56"/>
        <v>0</v>
      </c>
      <c r="N182" s="698"/>
    </row>
    <row r="183" spans="1:21">
      <c r="A183" s="130" t="s">
        <v>30</v>
      </c>
      <c r="B183" s="628">
        <f>Chino!N310</f>
        <v>29</v>
      </c>
      <c r="C183" s="629"/>
      <c r="D183" s="636">
        <f t="shared" ref="D183:D191" si="57">F183*325900</f>
        <v>3071607.5</v>
      </c>
      <c r="E183" s="629"/>
      <c r="F183" s="903">
        <f>0.325*B183</f>
        <v>9.4250000000000007</v>
      </c>
      <c r="G183" s="904"/>
      <c r="H183" s="188">
        <f>F183*10</f>
        <v>94.25</v>
      </c>
      <c r="I183" s="97">
        <v>0</v>
      </c>
      <c r="J183" s="97">
        <v>2340</v>
      </c>
      <c r="K183" s="97">
        <v>37239.17</v>
      </c>
      <c r="L183" s="106">
        <f t="shared" si="55"/>
        <v>39579.17</v>
      </c>
      <c r="M183" s="697">
        <f t="shared" si="56"/>
        <v>5.5842838196286468</v>
      </c>
      <c r="N183" s="698"/>
    </row>
    <row r="184" spans="1:21">
      <c r="A184" s="52" t="s">
        <v>56</v>
      </c>
      <c r="B184" s="628">
        <f>Chino!N311</f>
        <v>5350</v>
      </c>
      <c r="C184" s="629"/>
      <c r="D184" s="636">
        <f t="shared" si="57"/>
        <v>7671686.0000000009</v>
      </c>
      <c r="E184" s="629"/>
      <c r="F184" s="903">
        <f>0.0044*B184</f>
        <v>23.540000000000003</v>
      </c>
      <c r="G184" s="904"/>
      <c r="H184" s="188">
        <f>F184*5</f>
        <v>117.70000000000002</v>
      </c>
      <c r="I184" s="97">
        <v>0</v>
      </c>
      <c r="J184" s="96">
        <v>0</v>
      </c>
      <c r="K184" s="96">
        <v>21400</v>
      </c>
      <c r="L184" s="106">
        <f t="shared" si="55"/>
        <v>21400</v>
      </c>
      <c r="M184" s="697">
        <f t="shared" si="56"/>
        <v>1.20889748549323</v>
      </c>
      <c r="N184" s="698"/>
      <c r="S184" s="555"/>
    </row>
    <row r="185" spans="1:21">
      <c r="A185" s="130" t="s">
        <v>89</v>
      </c>
      <c r="B185" s="628">
        <f>Chino!N312</f>
        <v>0</v>
      </c>
      <c r="C185" s="629"/>
      <c r="D185" s="636">
        <f t="shared" si="57"/>
        <v>0</v>
      </c>
      <c r="E185" s="895"/>
      <c r="F185" s="1029">
        <f>0.018*B185</f>
        <v>0</v>
      </c>
      <c r="G185" s="904"/>
      <c r="H185" s="188">
        <f>F185*10</f>
        <v>0</v>
      </c>
      <c r="I185" s="97">
        <v>0</v>
      </c>
      <c r="J185" s="96">
        <v>0</v>
      </c>
      <c r="K185" s="96">
        <v>0</v>
      </c>
      <c r="L185" s="106">
        <f t="shared" si="55"/>
        <v>0</v>
      </c>
      <c r="M185" s="697">
        <f t="shared" si="56"/>
        <v>0</v>
      </c>
      <c r="N185" s="698"/>
    </row>
    <row r="186" spans="1:21">
      <c r="A186" s="132" t="s">
        <v>124</v>
      </c>
      <c r="B186" s="628">
        <f>Chino!N313</f>
        <v>0</v>
      </c>
      <c r="C186" s="629"/>
      <c r="D186" s="895">
        <f t="shared" si="57"/>
        <v>0</v>
      </c>
      <c r="E186" s="629"/>
      <c r="F186" s="1029">
        <f>0.0129*B186</f>
        <v>0</v>
      </c>
      <c r="G186" s="904"/>
      <c r="H186" s="188">
        <f>F186*10</f>
        <v>0</v>
      </c>
      <c r="I186" s="97">
        <v>0</v>
      </c>
      <c r="J186" s="96">
        <v>0</v>
      </c>
      <c r="K186" s="96">
        <v>0</v>
      </c>
      <c r="L186" s="106">
        <f t="shared" si="55"/>
        <v>0</v>
      </c>
      <c r="M186" s="697">
        <f t="shared" si="56"/>
        <v>0</v>
      </c>
      <c r="N186" s="698"/>
      <c r="U186" s="555"/>
    </row>
    <row r="187" spans="1:21" s="44" customFormat="1">
      <c r="A187" s="133" t="s">
        <v>127</v>
      </c>
      <c r="B187" s="628">
        <f>Chino!N314</f>
        <v>0</v>
      </c>
      <c r="C187" s="629"/>
      <c r="D187" s="898">
        <f t="shared" si="57"/>
        <v>0</v>
      </c>
      <c r="E187" s="899"/>
      <c r="F187" s="1033">
        <f>B187*0.023</f>
        <v>0</v>
      </c>
      <c r="G187" s="1034"/>
      <c r="H187" s="192">
        <f>F187*5</f>
        <v>0</v>
      </c>
      <c r="I187" s="97">
        <v>0</v>
      </c>
      <c r="J187" s="97">
        <v>0</v>
      </c>
      <c r="K187" s="97">
        <v>0</v>
      </c>
      <c r="L187" s="105">
        <f>SUM(I187:K187)</f>
        <v>0</v>
      </c>
      <c r="M187" s="697">
        <f t="shared" si="56"/>
        <v>0</v>
      </c>
      <c r="N187" s="698"/>
      <c r="O187" s="75"/>
      <c r="P187" s="75"/>
      <c r="Q187" s="75"/>
      <c r="R187" s="75"/>
      <c r="S187" s="75"/>
      <c r="T187" s="75"/>
      <c r="U187" s="75"/>
    </row>
    <row r="188" spans="1:21" s="44" customFormat="1">
      <c r="A188" s="133" t="s">
        <v>128</v>
      </c>
      <c r="B188" s="628">
        <f>Chino!N315</f>
        <v>0</v>
      </c>
      <c r="C188" s="629"/>
      <c r="D188" s="898">
        <f t="shared" si="57"/>
        <v>0</v>
      </c>
      <c r="E188" s="899"/>
      <c r="F188" s="1033">
        <f>0.154*B188</f>
        <v>0</v>
      </c>
      <c r="G188" s="1034"/>
      <c r="H188" s="192">
        <f>F188*10</f>
        <v>0</v>
      </c>
      <c r="I188" s="97">
        <v>0</v>
      </c>
      <c r="J188" s="97">
        <v>0</v>
      </c>
      <c r="K188" s="97">
        <v>0</v>
      </c>
      <c r="L188" s="105">
        <f>SUM(I188:K188)</f>
        <v>0</v>
      </c>
      <c r="M188" s="697">
        <f t="shared" si="56"/>
        <v>0</v>
      </c>
      <c r="N188" s="698"/>
      <c r="O188" s="75"/>
      <c r="P188" s="75"/>
      <c r="Q188" s="555"/>
      <c r="R188" s="75"/>
      <c r="S188" s="75"/>
      <c r="T188" s="75"/>
      <c r="U188" s="75"/>
    </row>
    <row r="189" spans="1:21" s="44" customFormat="1">
      <c r="A189" s="133" t="s">
        <v>171</v>
      </c>
      <c r="B189" s="628">
        <f>Chino!N316</f>
        <v>11</v>
      </c>
      <c r="C189" s="629"/>
      <c r="D189" s="898">
        <f t="shared" si="57"/>
        <v>17328357.202</v>
      </c>
      <c r="E189" s="899"/>
      <c r="F189" s="1027">
        <f>(409006*0.00013)</f>
        <v>53.170779999999993</v>
      </c>
      <c r="G189" s="1028"/>
      <c r="H189" s="199">
        <f>F189*10</f>
        <v>531.70779999999991</v>
      </c>
      <c r="I189" s="97">
        <v>0</v>
      </c>
      <c r="J189" s="107">
        <v>97945.32</v>
      </c>
      <c r="K189" s="107">
        <v>578136.25</v>
      </c>
      <c r="L189" s="105">
        <f>SUM(I189:K189)</f>
        <v>676081.57000000007</v>
      </c>
      <c r="M189" s="697">
        <f t="shared" si="56"/>
        <v>16.908622385405049</v>
      </c>
      <c r="N189" s="698"/>
      <c r="O189" s="75"/>
      <c r="P189" s="75"/>
      <c r="Q189" s="555"/>
      <c r="R189" s="75"/>
      <c r="S189" s="75"/>
      <c r="T189" s="75"/>
      <c r="U189" s="75"/>
    </row>
    <row r="190" spans="1:21" s="44" customFormat="1">
      <c r="A190" s="133" t="s">
        <v>166</v>
      </c>
      <c r="B190" s="628">
        <f>Chino!N317</f>
        <v>0</v>
      </c>
      <c r="C190" s="629"/>
      <c r="D190" s="898">
        <f t="shared" si="57"/>
        <v>0</v>
      </c>
      <c r="E190" s="899"/>
      <c r="F190" s="1033">
        <f>B190*0.0129</f>
        <v>0</v>
      </c>
      <c r="G190" s="1034"/>
      <c r="H190" s="192">
        <v>0</v>
      </c>
      <c r="I190" s="97">
        <v>0</v>
      </c>
      <c r="J190" s="97">
        <v>0</v>
      </c>
      <c r="K190" s="97">
        <v>0</v>
      </c>
      <c r="L190" s="105">
        <f>SUM(I190:K190)</f>
        <v>0</v>
      </c>
      <c r="M190" s="697">
        <f>IF(ISERROR(L190/(F190*752)),0,L190/(F190*752))</f>
        <v>0</v>
      </c>
      <c r="N190" s="698"/>
      <c r="O190" s="75"/>
      <c r="P190" s="75"/>
      <c r="Q190" s="555"/>
      <c r="R190" s="75"/>
      <c r="S190" s="75"/>
      <c r="T190" s="75"/>
      <c r="U190" s="75"/>
    </row>
    <row r="191" spans="1:21" s="44" customFormat="1" ht="14" thickBot="1">
      <c r="A191" s="133" t="s">
        <v>165</v>
      </c>
      <c r="B191" s="900">
        <f>Chino!N318</f>
        <v>2206</v>
      </c>
      <c r="C191" s="901"/>
      <c r="D191" s="1060">
        <f t="shared" si="57"/>
        <v>3019528.68</v>
      </c>
      <c r="E191" s="1037"/>
      <c r="F191" s="1038">
        <f>(B191*0.0084)/2</f>
        <v>9.2652000000000001</v>
      </c>
      <c r="G191" s="1039"/>
      <c r="H191" s="192">
        <f>F191*10</f>
        <v>92.652000000000001</v>
      </c>
      <c r="I191" s="97">
        <v>0</v>
      </c>
      <c r="J191" s="97">
        <v>11030</v>
      </c>
      <c r="K191" s="97">
        <v>11030</v>
      </c>
      <c r="L191" s="105">
        <f>SUM(I191:K191)</f>
        <v>22060</v>
      </c>
      <c r="M191" s="697">
        <f>IF(ISERROR(L191/(F191*752)),0,L191/(F191*752))</f>
        <v>3.1661600810536981</v>
      </c>
      <c r="N191" s="698"/>
      <c r="O191" s="75"/>
      <c r="P191" s="75"/>
      <c r="Q191" s="555"/>
      <c r="R191" s="75"/>
      <c r="S191" s="75"/>
      <c r="T191" s="75"/>
      <c r="U191" s="75"/>
    </row>
    <row r="192" spans="1:21" s="530" customFormat="1" ht="17" thickBot="1">
      <c r="A192" s="71" t="s">
        <v>132</v>
      </c>
      <c r="B192" s="662"/>
      <c r="C192" s="716"/>
      <c r="D192" s="663"/>
      <c r="E192" s="716"/>
      <c r="F192" s="717"/>
      <c r="G192" s="718"/>
      <c r="H192" s="524"/>
      <c r="I192" s="115"/>
      <c r="J192" s="115"/>
      <c r="K192" s="115"/>
      <c r="L192" s="444"/>
      <c r="M192" s="815"/>
      <c r="N192" s="816"/>
      <c r="O192" s="135"/>
      <c r="P192" s="135"/>
      <c r="Q192" s="135"/>
      <c r="R192" s="609"/>
      <c r="S192" s="135"/>
      <c r="T192" s="135"/>
      <c r="U192" s="135"/>
    </row>
    <row r="193" spans="1:21" ht="14" thickBot="1">
      <c r="A193" s="53" t="s">
        <v>113</v>
      </c>
      <c r="B193" s="747">
        <f>Chino!N320</f>
        <v>0</v>
      </c>
      <c r="C193" s="748"/>
      <c r="D193" s="803">
        <f>F193*325900</f>
        <v>0</v>
      </c>
      <c r="E193" s="748"/>
      <c r="F193" s="858">
        <f>0.004*B193</f>
        <v>0</v>
      </c>
      <c r="G193" s="859"/>
      <c r="H193" s="191">
        <f>F193*5</f>
        <v>0</v>
      </c>
      <c r="I193" s="120">
        <v>0</v>
      </c>
      <c r="J193" s="89">
        <f>0*B193</f>
        <v>0</v>
      </c>
      <c r="K193" s="89">
        <f>B193*3.25</f>
        <v>0</v>
      </c>
      <c r="L193" s="122">
        <f>SUM(I193:K193)</f>
        <v>0</v>
      </c>
      <c r="M193" s="810">
        <f>IF(ISERROR(L193/(F193*752)),0,L193/(F193*752))</f>
        <v>0</v>
      </c>
      <c r="N193" s="752"/>
    </row>
    <row r="194" spans="1:21" s="275" customFormat="1" ht="14" thickBot="1">
      <c r="A194" s="40" t="s">
        <v>60</v>
      </c>
      <c r="B194" s="642">
        <f>SUM(B180:B193)</f>
        <v>7849</v>
      </c>
      <c r="C194" s="643"/>
      <c r="D194" s="644">
        <f>SUM(D180:E193)</f>
        <v>34595419.131999999</v>
      </c>
      <c r="E194" s="643"/>
      <c r="F194" s="726">
        <f>SUM(F180:G193)</f>
        <v>106.15348</v>
      </c>
      <c r="G194" s="707"/>
      <c r="H194" s="43">
        <f>SUM(H180:H193)</f>
        <v>1051.3598</v>
      </c>
      <c r="I194" s="93">
        <f>SUM(I180:I193)</f>
        <v>0</v>
      </c>
      <c r="J194" s="93">
        <f>SUM(J180:J193)</f>
        <v>122865.32</v>
      </c>
      <c r="K194" s="93">
        <f>SUM(K180:K193)</f>
        <v>678255.42</v>
      </c>
      <c r="L194" s="93">
        <f>SUM(L180:L193)</f>
        <v>801120.74000000011</v>
      </c>
      <c r="M194" s="646"/>
      <c r="N194" s="647"/>
      <c r="O194" s="276"/>
      <c r="P194" s="276"/>
      <c r="Q194" s="276"/>
      <c r="R194" s="276"/>
      <c r="S194" s="276"/>
      <c r="T194" s="276"/>
      <c r="U194" s="276"/>
    </row>
    <row r="195" spans="1:21" s="530" customFormat="1" ht="17" thickBot="1">
      <c r="A195" s="531" t="s">
        <v>17</v>
      </c>
      <c r="B195" s="621">
        <f>SUM(,B178,B194)</f>
        <v>8412</v>
      </c>
      <c r="C195" s="622"/>
      <c r="D195" s="623">
        <f>SUM(,D178,D194)</f>
        <v>48083244.454800002</v>
      </c>
      <c r="E195" s="622"/>
      <c r="F195" s="773">
        <f>SUM(,F178,F194)</f>
        <v>147.53994</v>
      </c>
      <c r="G195" s="713"/>
      <c r="H195" s="532">
        <f>(H194+H178)</f>
        <v>1545.6473999999998</v>
      </c>
      <c r="I195" s="533">
        <f>SUM(,I178,I194)</f>
        <v>17764.32</v>
      </c>
      <c r="J195" s="533">
        <f>SUM(,J178,J194)</f>
        <v>137083.75</v>
      </c>
      <c r="K195" s="533">
        <f>SUM(,K178,K194)</f>
        <v>808839.99</v>
      </c>
      <c r="L195" s="533">
        <f>SUM(,L178,L194)</f>
        <v>963688.06</v>
      </c>
      <c r="M195" s="624"/>
      <c r="N195" s="625"/>
      <c r="O195" s="135"/>
      <c r="P195" s="135"/>
      <c r="Q195" s="135"/>
      <c r="R195" s="135"/>
      <c r="S195" s="135"/>
      <c r="T195" s="135"/>
      <c r="U195" s="135"/>
    </row>
    <row r="196" spans="1:21">
      <c r="A196" s="39"/>
      <c r="B196" s="13"/>
      <c r="C196" s="13"/>
      <c r="D196" s="13"/>
      <c r="E196" s="13"/>
      <c r="F196" s="201"/>
      <c r="G196" s="201"/>
      <c r="H196" s="201"/>
      <c r="I196" s="14"/>
      <c r="J196" s="14"/>
      <c r="K196" s="14"/>
      <c r="L196" s="14"/>
      <c r="M196" s="134"/>
      <c r="N196" s="134"/>
    </row>
    <row r="197" spans="1:21" ht="15">
      <c r="A197" s="5" t="s">
        <v>18</v>
      </c>
      <c r="B197" s="979" t="s">
        <v>59</v>
      </c>
      <c r="C197" s="979"/>
      <c r="D197" s="979"/>
      <c r="E197" s="979"/>
      <c r="F197" s="201"/>
      <c r="G197" s="201"/>
      <c r="H197" s="201"/>
      <c r="I197" s="14"/>
      <c r="J197" s="14"/>
      <c r="K197" s="14"/>
      <c r="L197" s="14"/>
      <c r="M197" s="134"/>
      <c r="N197" s="134"/>
    </row>
    <row r="198" spans="1:21">
      <c r="B198" s="627" t="s">
        <v>19</v>
      </c>
      <c r="C198" s="627"/>
      <c r="D198" s="627"/>
      <c r="E198" s="627"/>
      <c r="F198" s="201"/>
      <c r="G198" s="201"/>
      <c r="H198" s="201"/>
      <c r="I198" s="14"/>
      <c r="J198" s="14"/>
      <c r="K198" s="14"/>
      <c r="L198" s="14"/>
      <c r="M198" s="134"/>
      <c r="N198" s="134"/>
    </row>
    <row r="199" spans="1:21" ht="14" thickBot="1">
      <c r="A199" s="332"/>
      <c r="B199" s="330"/>
      <c r="C199" s="330"/>
      <c r="D199" s="330"/>
      <c r="E199" s="330"/>
      <c r="F199" s="305"/>
      <c r="G199" s="305"/>
      <c r="H199" s="305"/>
      <c r="I199" s="14"/>
      <c r="J199" s="14"/>
      <c r="K199" s="14"/>
      <c r="L199" s="14"/>
      <c r="M199" s="302"/>
      <c r="N199" s="302"/>
    </row>
    <row r="200" spans="1:21" ht="16">
      <c r="A200" s="63"/>
      <c r="B200" s="64"/>
      <c r="C200" s="64"/>
      <c r="D200" s="64"/>
      <c r="E200" s="64"/>
      <c r="F200" s="200"/>
      <c r="G200" s="200"/>
      <c r="H200" s="200"/>
      <c r="I200" s="670" t="s">
        <v>0</v>
      </c>
      <c r="J200" s="670"/>
      <c r="K200" s="670"/>
      <c r="L200" s="670"/>
      <c r="M200" s="64"/>
      <c r="N200" s="65"/>
    </row>
    <row r="201" spans="1:21" ht="16">
      <c r="A201" s="62"/>
      <c r="B201" s="671" t="s">
        <v>1</v>
      </c>
      <c r="C201" s="671"/>
      <c r="D201" s="671" t="s">
        <v>2</v>
      </c>
      <c r="E201" s="671"/>
      <c r="F201" s="672" t="s">
        <v>3</v>
      </c>
      <c r="G201" s="672"/>
      <c r="H201" s="325" t="s">
        <v>3</v>
      </c>
      <c r="I201" s="78" t="s">
        <v>137</v>
      </c>
      <c r="J201" s="110"/>
      <c r="K201" s="110"/>
      <c r="L201" s="79"/>
      <c r="M201" s="671" t="s">
        <v>4</v>
      </c>
      <c r="N201" s="674"/>
    </row>
    <row r="202" spans="1:21" ht="19" thickBot="1">
      <c r="A202" s="67" t="s">
        <v>5</v>
      </c>
      <c r="B202" s="675" t="s">
        <v>6</v>
      </c>
      <c r="C202" s="675"/>
      <c r="D202" s="675" t="s">
        <v>7</v>
      </c>
      <c r="E202" s="675"/>
      <c r="F202" s="676" t="s">
        <v>7</v>
      </c>
      <c r="G202" s="676"/>
      <c r="H202" s="327" t="s">
        <v>58</v>
      </c>
      <c r="I202" s="328" t="s">
        <v>138</v>
      </c>
      <c r="J202" s="326" t="s">
        <v>8</v>
      </c>
      <c r="K202" s="326" t="s">
        <v>9</v>
      </c>
      <c r="L202" s="187" t="s">
        <v>10</v>
      </c>
      <c r="M202" s="675" t="s">
        <v>103</v>
      </c>
      <c r="N202" s="678"/>
    </row>
    <row r="203" spans="1:21" ht="24" thickBot="1">
      <c r="A203" s="60" t="s">
        <v>151</v>
      </c>
      <c r="B203" s="1041"/>
      <c r="C203" s="1042"/>
      <c r="D203" s="1043"/>
      <c r="E203" s="1044"/>
      <c r="F203" s="1045"/>
      <c r="G203" s="1046"/>
      <c r="H203" s="379"/>
      <c r="I203" s="146"/>
      <c r="J203" s="127"/>
      <c r="K203" s="146"/>
      <c r="L203" s="147"/>
      <c r="M203" s="1047"/>
      <c r="N203" s="1048"/>
    </row>
    <row r="204" spans="1:21" s="530" customFormat="1" ht="17" thickBot="1">
      <c r="A204" s="73" t="str">
        <f>'Ontario Total'!A204</f>
        <v>SoCal Water$mart Residential Rebates</v>
      </c>
      <c r="B204" s="662"/>
      <c r="C204" s="716"/>
      <c r="D204" s="623"/>
      <c r="E204" s="622"/>
      <c r="F204" s="687"/>
      <c r="G204" s="687"/>
      <c r="H204" s="523"/>
      <c r="I204" s="525"/>
      <c r="J204" s="566"/>
      <c r="K204" s="525"/>
      <c r="L204" s="525"/>
      <c r="M204" s="719"/>
      <c r="N204" s="689"/>
      <c r="O204" s="135"/>
      <c r="P204" s="135"/>
      <c r="Q204" s="135"/>
      <c r="R204" s="135"/>
      <c r="S204" s="135"/>
      <c r="T204" s="135"/>
      <c r="U204" s="135"/>
    </row>
    <row r="205" spans="1:21">
      <c r="A205" s="24" t="str">
        <f>'Ontario Total'!A205</f>
        <v>High Efficiency Toilets (HET)</v>
      </c>
      <c r="B205" s="628">
        <f>Chino!N253</f>
        <v>89</v>
      </c>
      <c r="C205" s="629"/>
      <c r="D205" s="895">
        <f t="shared" ref="D205:D209" si="58">F205*325900</f>
        <v>1232716.75</v>
      </c>
      <c r="E205" s="629"/>
      <c r="F205" s="1029">
        <f>0.0425*B205</f>
        <v>3.7825000000000002</v>
      </c>
      <c r="G205" s="904"/>
      <c r="H205" s="181">
        <f>F205*20</f>
        <v>75.650000000000006</v>
      </c>
      <c r="I205" s="120">
        <v>0</v>
      </c>
      <c r="J205" s="89">
        <f>50*B205</f>
        <v>4450</v>
      </c>
      <c r="K205" s="89">
        <f>B205*50</f>
        <v>4450</v>
      </c>
      <c r="L205" s="122">
        <f t="shared" ref="L205:L210" si="59">I205+J205+K205</f>
        <v>8900</v>
      </c>
      <c r="M205" s="697">
        <f t="shared" ref="M205:M210" si="60">IF(ISERROR(L205/(F205*752)),0,L205/(F205*752))</f>
        <v>3.1289111389236544</v>
      </c>
      <c r="N205" s="698"/>
    </row>
    <row r="206" spans="1:21">
      <c r="A206" s="24" t="str">
        <f>'Ontario Total'!A206</f>
        <v>High Efficiency Clothes Washers (HECW)</v>
      </c>
      <c r="B206" s="895">
        <f>Chino!N254</f>
        <v>86</v>
      </c>
      <c r="C206" s="629"/>
      <c r="D206" s="636">
        <f t="shared" si="58"/>
        <v>773556.24000000011</v>
      </c>
      <c r="E206" s="629"/>
      <c r="F206" s="1029">
        <f>0.0276*B206</f>
        <v>2.3736000000000002</v>
      </c>
      <c r="G206" s="904"/>
      <c r="H206" s="181">
        <f>F206*15</f>
        <v>35.603999999999999</v>
      </c>
      <c r="I206" s="89">
        <f>0*B206</f>
        <v>0</v>
      </c>
      <c r="J206" s="89">
        <f>B206*65</f>
        <v>5590</v>
      </c>
      <c r="K206" s="89">
        <f>B206*85</f>
        <v>7310</v>
      </c>
      <c r="L206" s="122">
        <f t="shared" si="59"/>
        <v>12900</v>
      </c>
      <c r="M206" s="697">
        <f t="shared" si="60"/>
        <v>7.227104532839963</v>
      </c>
      <c r="N206" s="698"/>
    </row>
    <row r="207" spans="1:21">
      <c r="A207" s="24" t="str">
        <f>'Ontario Total'!A207</f>
        <v>Rotating Nozzles for Pop-up Spray Heads</v>
      </c>
      <c r="B207" s="895">
        <f>Chino!N255</f>
        <v>82</v>
      </c>
      <c r="C207" s="629"/>
      <c r="D207" s="636">
        <f t="shared" si="58"/>
        <v>117584.72</v>
      </c>
      <c r="E207" s="629"/>
      <c r="F207" s="1029">
        <f>0.0044*B207</f>
        <v>0.36080000000000001</v>
      </c>
      <c r="G207" s="903"/>
      <c r="H207" s="213">
        <f>F207*5</f>
        <v>1.804</v>
      </c>
      <c r="I207" s="89">
        <f>0*B207</f>
        <v>0</v>
      </c>
      <c r="J207" s="89">
        <f>1*B207</f>
        <v>82</v>
      </c>
      <c r="K207" s="89">
        <f>B207*4</f>
        <v>328</v>
      </c>
      <c r="L207" s="122">
        <f t="shared" si="59"/>
        <v>410</v>
      </c>
      <c r="M207" s="697">
        <f t="shared" si="60"/>
        <v>1.5111218568665379</v>
      </c>
      <c r="N207" s="698"/>
    </row>
    <row r="208" spans="1:21">
      <c r="A208" s="24" t="str">
        <f>'Ontario Total'!A208</f>
        <v>Weather based Irrigation Controllers (WBIC)</v>
      </c>
      <c r="B208" s="895">
        <f>Chino!N256</f>
        <v>2</v>
      </c>
      <c r="C208" s="629"/>
      <c r="D208" s="667">
        <f t="shared" si="58"/>
        <v>211835</v>
      </c>
      <c r="E208" s="664"/>
      <c r="F208" s="1027">
        <f>0.325*B208</f>
        <v>0.65</v>
      </c>
      <c r="G208" s="1049"/>
      <c r="H208" s="214">
        <f>F208*10</f>
        <v>6.5</v>
      </c>
      <c r="I208" s="120">
        <v>0</v>
      </c>
      <c r="J208" s="121">
        <f>70*B208</f>
        <v>140</v>
      </c>
      <c r="K208" s="121">
        <f>B208*80</f>
        <v>160</v>
      </c>
      <c r="L208" s="122">
        <f t="shared" si="59"/>
        <v>300</v>
      </c>
      <c r="M208" s="697">
        <f t="shared" si="60"/>
        <v>0.61374795417348604</v>
      </c>
      <c r="N208" s="698"/>
    </row>
    <row r="209" spans="1:21">
      <c r="A209" s="53" t="s">
        <v>177</v>
      </c>
      <c r="B209" s="895">
        <v>3</v>
      </c>
      <c r="C209" s="629"/>
      <c r="D209" s="667">
        <f t="shared" si="58"/>
        <v>198799</v>
      </c>
      <c r="E209" s="664"/>
      <c r="F209" s="918">
        <v>0.61</v>
      </c>
      <c r="G209" s="1050"/>
      <c r="H209" s="214">
        <f>F209*10</f>
        <v>6.1</v>
      </c>
      <c r="I209" s="120">
        <v>0</v>
      </c>
      <c r="J209" s="121">
        <v>0</v>
      </c>
      <c r="K209" s="121">
        <v>9420</v>
      </c>
      <c r="L209" s="122">
        <f t="shared" si="59"/>
        <v>9420</v>
      </c>
      <c r="M209" s="697">
        <f t="shared" si="60"/>
        <v>20.535402860132542</v>
      </c>
      <c r="N209" s="698"/>
    </row>
    <row r="210" spans="1:21" ht="14" thickBot="1">
      <c r="A210" s="53" t="s">
        <v>147</v>
      </c>
      <c r="B210" s="628">
        <f>Chino!N258</f>
        <v>10</v>
      </c>
      <c r="C210" s="629"/>
      <c r="D210" s="667">
        <v>1059175</v>
      </c>
      <c r="E210" s="664"/>
      <c r="F210" s="1027">
        <v>3</v>
      </c>
      <c r="G210" s="1049"/>
      <c r="H210" s="214">
        <v>33</v>
      </c>
      <c r="I210" s="156">
        <v>0</v>
      </c>
      <c r="J210" s="121">
        <f>0*B210</f>
        <v>0</v>
      </c>
      <c r="K210" s="155">
        <f>B210*75</f>
        <v>750</v>
      </c>
      <c r="L210" s="154">
        <f t="shared" si="59"/>
        <v>750</v>
      </c>
      <c r="M210" s="724">
        <f t="shared" si="60"/>
        <v>0.33244680851063829</v>
      </c>
      <c r="N210" s="698"/>
    </row>
    <row r="211" spans="1:21" s="530" customFormat="1" ht="17" thickBot="1">
      <c r="A211" s="73" t="str">
        <f>'Ontario Total'!A211</f>
        <v>IEUA Locally Implemented Residential Programs</v>
      </c>
      <c r="B211" s="662"/>
      <c r="C211" s="716"/>
      <c r="D211" s="663"/>
      <c r="E211" s="663"/>
      <c r="F211" s="717"/>
      <c r="G211" s="718"/>
      <c r="H211" s="529"/>
      <c r="I211" s="112"/>
      <c r="J211" s="567"/>
      <c r="K211" s="567"/>
      <c r="L211" s="113"/>
      <c r="M211" s="815"/>
      <c r="N211" s="816"/>
      <c r="O211" s="135"/>
      <c r="P211" s="135"/>
      <c r="Q211" s="135"/>
      <c r="R211" s="135"/>
      <c r="S211" s="135"/>
      <c r="T211" s="135"/>
      <c r="U211" s="135"/>
    </row>
    <row r="212" spans="1:21">
      <c r="A212" s="54" t="s">
        <v>113</v>
      </c>
      <c r="B212" s="628">
        <f>Chino!N260</f>
        <v>332</v>
      </c>
      <c r="C212" s="629"/>
      <c r="D212" s="667">
        <f>F212*325900</f>
        <v>432795.2</v>
      </c>
      <c r="E212" s="920"/>
      <c r="F212" s="1027">
        <f>B212*0.004</f>
        <v>1.3280000000000001</v>
      </c>
      <c r="G212" s="904"/>
      <c r="H212" s="197">
        <f>F212*5</f>
        <v>6.6400000000000006</v>
      </c>
      <c r="I212" s="120">
        <v>0</v>
      </c>
      <c r="J212" s="120">
        <v>0</v>
      </c>
      <c r="K212" s="120">
        <v>4320</v>
      </c>
      <c r="L212" s="123">
        <f>I212+J212+K212</f>
        <v>4320</v>
      </c>
      <c r="M212" s="697">
        <f>IF(ISERROR(L212/(F212*752)),0,L212/(F212*752))</f>
        <v>4.3258138938733657</v>
      </c>
      <c r="N212" s="698"/>
    </row>
    <row r="213" spans="1:21">
      <c r="A213" s="54" t="s">
        <v>156</v>
      </c>
      <c r="B213" s="628">
        <f>Chino!N261</f>
        <v>32</v>
      </c>
      <c r="C213" s="629"/>
      <c r="D213" s="667">
        <f>F213*325900</f>
        <v>5716286</v>
      </c>
      <c r="E213" s="920"/>
      <c r="F213" s="733">
        <v>17.54</v>
      </c>
      <c r="G213" s="806"/>
      <c r="H213" s="215">
        <v>164</v>
      </c>
      <c r="I213" s="156">
        <v>29304.89</v>
      </c>
      <c r="J213" s="120">
        <v>0</v>
      </c>
      <c r="K213" s="120">
        <v>29304.89</v>
      </c>
      <c r="L213" s="123">
        <f>I213+J213+K213</f>
        <v>58609.78</v>
      </c>
      <c r="M213" s="697">
        <f>IF(ISERROR(L213/(F213*752)),0,L213/(F213*752))</f>
        <v>4.4434741866614909</v>
      </c>
      <c r="N213" s="698"/>
    </row>
    <row r="214" spans="1:21" ht="14" thickBot="1">
      <c r="A214" s="54" t="s">
        <v>154</v>
      </c>
      <c r="B214" s="628">
        <v>16</v>
      </c>
      <c r="C214" s="629"/>
      <c r="D214" s="902">
        <v>255460</v>
      </c>
      <c r="E214" s="958"/>
      <c r="F214" s="1051">
        <v>1</v>
      </c>
      <c r="G214" s="1052"/>
      <c r="H214" s="214">
        <v>8</v>
      </c>
      <c r="I214" s="156">
        <v>0</v>
      </c>
      <c r="J214" s="120">
        <f>47005.5-K214</f>
        <v>19205.5</v>
      </c>
      <c r="K214" s="120">
        <f>13900*2</f>
        <v>27800</v>
      </c>
      <c r="L214" s="123">
        <f>I214+J214+K214</f>
        <v>47005.5</v>
      </c>
      <c r="M214" s="697">
        <v>79.7</v>
      </c>
      <c r="N214" s="698"/>
    </row>
    <row r="215" spans="1:21" s="275" customFormat="1" ht="14" thickBot="1">
      <c r="A215" s="40" t="s">
        <v>60</v>
      </c>
      <c r="B215" s="642">
        <f>SUM(B205:B214)</f>
        <v>652</v>
      </c>
      <c r="C215" s="706"/>
      <c r="D215" s="645">
        <f>SUM(D205:E214)</f>
        <v>9998207.9100000001</v>
      </c>
      <c r="E215" s="706"/>
      <c r="F215" s="726">
        <f>SUM(F205:G214)</f>
        <v>30.6449</v>
      </c>
      <c r="G215" s="708"/>
      <c r="H215" s="217">
        <f>SUM(H205:H214)</f>
        <v>337.298</v>
      </c>
      <c r="I215" s="91">
        <f>SUM(I205:I214)</f>
        <v>29304.89</v>
      </c>
      <c r="J215" s="86">
        <f>SUM(J205:J214)</f>
        <v>29467.5</v>
      </c>
      <c r="K215" s="91">
        <f>SUM(K205:K214)</f>
        <v>83842.89</v>
      </c>
      <c r="L215" s="91">
        <f>SUM(L205:L214)</f>
        <v>142615.28</v>
      </c>
      <c r="M215" s="644"/>
      <c r="N215" s="732"/>
      <c r="O215" s="276"/>
      <c r="P215" s="276"/>
      <c r="Q215" s="276"/>
      <c r="R215" s="276"/>
      <c r="S215" s="276"/>
      <c r="T215" s="276"/>
      <c r="U215" s="276"/>
    </row>
    <row r="216" spans="1:21" s="61" customFormat="1" ht="17" hidden="1" thickBot="1">
      <c r="A216" s="71" t="str">
        <f>'Ontario Total'!A216</f>
        <v xml:space="preserve">IEUA High Efficiency Toilet (HET) Installation Prog. </v>
      </c>
      <c r="B216" s="662"/>
      <c r="C216" s="716"/>
      <c r="D216" s="729"/>
      <c r="E216" s="716"/>
      <c r="F216" s="717"/>
      <c r="G216" s="718"/>
      <c r="H216" s="216"/>
      <c r="I216" s="112"/>
      <c r="J216" s="112"/>
      <c r="K216" s="112"/>
      <c r="L216" s="112"/>
      <c r="M216" s="831"/>
      <c r="N216" s="816"/>
      <c r="O216" s="135"/>
      <c r="P216" s="135"/>
      <c r="Q216" s="135"/>
      <c r="R216" s="135"/>
      <c r="S216" s="135"/>
      <c r="T216" s="135"/>
      <c r="U216" s="135"/>
    </row>
    <row r="217" spans="1:21" hidden="1">
      <c r="A217" s="24" t="str">
        <f>'Ontario Total'!A217</f>
        <v>IEUA Multi-Family Direct Install Prog. (HET)</v>
      </c>
      <c r="B217" s="628"/>
      <c r="C217" s="629"/>
      <c r="D217" s="636">
        <f>F217*325851</f>
        <v>0</v>
      </c>
      <c r="E217" s="629"/>
      <c r="F217" s="1027">
        <f>0.0425*B217</f>
        <v>0</v>
      </c>
      <c r="G217" s="1028"/>
      <c r="H217" s="214">
        <f>F217*20</f>
        <v>0</v>
      </c>
      <c r="I217" s="56">
        <f>73.34*B217</f>
        <v>0</v>
      </c>
      <c r="J217" s="56">
        <f>35.66*B217</f>
        <v>0</v>
      </c>
      <c r="K217" s="56">
        <f>B217*50</f>
        <v>0</v>
      </c>
      <c r="L217" s="56">
        <f>I217+J217+K217</f>
        <v>0</v>
      </c>
      <c r="M217" s="724">
        <f>IF(ISERROR(L217/(F217*727)),0,L217/(F217*727))</f>
        <v>0</v>
      </c>
      <c r="N217" s="698"/>
    </row>
    <row r="218" spans="1:21" ht="14" hidden="1" thickBot="1">
      <c r="A218" s="24" t="str">
        <f>'Ontario Total'!A218</f>
        <v>IEUA Single-Family Direct Install Prog. (HET)</v>
      </c>
      <c r="B218" s="628"/>
      <c r="C218" s="629"/>
      <c r="D218" s="636">
        <f>F218*325851</f>
        <v>0</v>
      </c>
      <c r="E218" s="629"/>
      <c r="F218" s="1027">
        <f>0.0425*B218</f>
        <v>0</v>
      </c>
      <c r="G218" s="1028"/>
      <c r="H218" s="214">
        <f>F218*20</f>
        <v>0</v>
      </c>
      <c r="I218" s="96">
        <f>73.34*B218</f>
        <v>0</v>
      </c>
      <c r="J218" s="96">
        <f>35.66*B218</f>
        <v>0</v>
      </c>
      <c r="K218" s="96">
        <f>B218*50</f>
        <v>0</v>
      </c>
      <c r="L218" s="96">
        <f>I218+J218+K218</f>
        <v>0</v>
      </c>
      <c r="M218" s="724">
        <f>IF(ISERROR(L218/(F218*727)),0,L218/(F218*727))</f>
        <v>0</v>
      </c>
      <c r="N218" s="698"/>
    </row>
    <row r="219" spans="1:21" s="275" customFormat="1" ht="14" hidden="1" thickBot="1">
      <c r="A219" s="40" t="s">
        <v>60</v>
      </c>
      <c r="B219" s="839"/>
      <c r="C219" s="1008"/>
      <c r="D219" s="659">
        <f>SUM(D217:D218)</f>
        <v>0</v>
      </c>
      <c r="E219" s="1008"/>
      <c r="F219" s="855">
        <f>SUM(F217:F218)</f>
        <v>0</v>
      </c>
      <c r="G219" s="842"/>
      <c r="H219" s="403">
        <f>SUM(H217:H218)</f>
        <v>0</v>
      </c>
      <c r="I219" s="261">
        <f>SUM(I217:I218)</f>
        <v>0</v>
      </c>
      <c r="J219" s="261">
        <f>SUM(J217:J218)</f>
        <v>0</v>
      </c>
      <c r="K219" s="261">
        <f>SUM(K217:K218)</f>
        <v>0</v>
      </c>
      <c r="L219" s="261">
        <f>SUM(L217:L218)</f>
        <v>0</v>
      </c>
      <c r="M219" s="1053"/>
      <c r="N219" s="1054"/>
      <c r="O219" s="276"/>
      <c r="P219" s="276"/>
      <c r="Q219" s="276"/>
      <c r="R219" s="276"/>
      <c r="S219" s="276"/>
      <c r="T219" s="276"/>
      <c r="U219" s="276"/>
    </row>
    <row r="220" spans="1:21" s="530" customFormat="1" ht="17" thickBot="1">
      <c r="A220" s="73" t="str">
        <f>'Ontario Total'!A220</f>
        <v>SoCal Water$mart Commercial Rebates</v>
      </c>
      <c r="B220" s="662"/>
      <c r="C220" s="663"/>
      <c r="D220" s="729"/>
      <c r="E220" s="663"/>
      <c r="F220" s="717"/>
      <c r="G220" s="718"/>
      <c r="H220" s="216"/>
      <c r="I220" s="113"/>
      <c r="J220" s="566"/>
      <c r="K220" s="566"/>
      <c r="L220" s="566"/>
      <c r="M220" s="815"/>
      <c r="N220" s="816"/>
      <c r="O220" s="135"/>
      <c r="P220" s="135"/>
      <c r="Q220" s="135"/>
      <c r="R220" s="135"/>
      <c r="S220" s="135"/>
      <c r="T220" s="135"/>
      <c r="U220" s="135"/>
    </row>
    <row r="221" spans="1:21">
      <c r="A221" s="24" t="str">
        <f>'Ontario Total'!A221</f>
        <v>High Efficiency Toilets (HET)</v>
      </c>
      <c r="B221" s="628">
        <f>Chino!N270</f>
        <v>200</v>
      </c>
      <c r="C221" s="629"/>
      <c r="D221" s="636">
        <f>F221*325900</f>
        <v>2770150</v>
      </c>
      <c r="E221" s="629"/>
      <c r="F221" s="1029">
        <f>0.0425*B221</f>
        <v>8.5</v>
      </c>
      <c r="G221" s="904"/>
      <c r="H221" s="213">
        <f>F221*20</f>
        <v>170</v>
      </c>
      <c r="I221" s="97">
        <v>0</v>
      </c>
      <c r="J221" s="96">
        <f>50*B221</f>
        <v>10000</v>
      </c>
      <c r="K221" s="96">
        <f>50*B221</f>
        <v>10000</v>
      </c>
      <c r="L221" s="96">
        <f t="shared" ref="L221:L228" si="61">SUM(I221:K221)</f>
        <v>20000</v>
      </c>
      <c r="M221" s="724">
        <f>IF(ISERROR(L221/(F221*752)),0,L221/(F221*752))</f>
        <v>3.1289111389236544</v>
      </c>
      <c r="N221" s="698"/>
    </row>
    <row r="222" spans="1:21">
      <c r="A222" s="24" t="str">
        <f>'Ontario Total'!A222</f>
        <v>Waterless Urinals</v>
      </c>
      <c r="B222" s="628">
        <f>Chino!N271</f>
        <v>0</v>
      </c>
      <c r="C222" s="629"/>
      <c r="D222" s="636">
        <f>F222*325900</f>
        <v>0</v>
      </c>
      <c r="E222" s="629"/>
      <c r="F222" s="1029">
        <f>0.1227*B222</f>
        <v>0</v>
      </c>
      <c r="G222" s="904"/>
      <c r="H222" s="213">
        <f>F222*20</f>
        <v>0</v>
      </c>
      <c r="I222" s="97">
        <v>0</v>
      </c>
      <c r="J222" s="96">
        <f>100*B222</f>
        <v>0</v>
      </c>
      <c r="K222" s="96">
        <f>200*B222</f>
        <v>0</v>
      </c>
      <c r="L222" s="96">
        <f t="shared" si="61"/>
        <v>0</v>
      </c>
      <c r="M222" s="724">
        <f t="shared" ref="M222:M234" si="62">IF(ISERROR(L222/(F222*752)),0,L222/(F222*752))</f>
        <v>0</v>
      </c>
      <c r="N222" s="698"/>
    </row>
    <row r="223" spans="1:21">
      <c r="A223" s="24" t="s">
        <v>140</v>
      </c>
      <c r="B223" s="628">
        <f>Chino!N272</f>
        <v>0</v>
      </c>
      <c r="C223" s="629"/>
      <c r="D223" s="636">
        <f>F223*325900</f>
        <v>0</v>
      </c>
      <c r="E223" s="629"/>
      <c r="F223" s="1029">
        <f>0.644*B223</f>
        <v>0</v>
      </c>
      <c r="G223" s="904"/>
      <c r="H223" s="213">
        <f>F223*5</f>
        <v>0</v>
      </c>
      <c r="I223" s="97">
        <v>0</v>
      </c>
      <c r="J223" s="96">
        <f>43.75*B223</f>
        <v>0</v>
      </c>
      <c r="K223" s="96">
        <f>625*B223</f>
        <v>0</v>
      </c>
      <c r="L223" s="96">
        <f t="shared" si="61"/>
        <v>0</v>
      </c>
      <c r="M223" s="724">
        <f t="shared" si="62"/>
        <v>0</v>
      </c>
      <c r="N223" s="698"/>
    </row>
    <row r="224" spans="1:21" hidden="1">
      <c r="A224" s="24" t="str">
        <f>'Ontario Total'!A224</f>
        <v>High Efficiency Clothes Washers</v>
      </c>
      <c r="B224" s="628">
        <f>Chino!N273</f>
        <v>0</v>
      </c>
      <c r="C224" s="629"/>
      <c r="D224" s="636">
        <f>F224*325851</f>
        <v>0</v>
      </c>
      <c r="E224" s="629"/>
      <c r="F224" s="1029">
        <f>0.0276*B224</f>
        <v>0</v>
      </c>
      <c r="G224" s="904"/>
      <c r="H224" s="213">
        <f>F224*10</f>
        <v>0</v>
      </c>
      <c r="I224" s="97">
        <v>0</v>
      </c>
      <c r="J224" s="96">
        <f>100*B224</f>
        <v>0</v>
      </c>
      <c r="K224" s="96">
        <f>80*B224</f>
        <v>0</v>
      </c>
      <c r="L224" s="96">
        <f t="shared" si="61"/>
        <v>0</v>
      </c>
      <c r="M224" s="724">
        <f t="shared" si="62"/>
        <v>0</v>
      </c>
      <c r="N224" s="698"/>
    </row>
    <row r="225" spans="1:379" hidden="1">
      <c r="A225" s="27" t="s">
        <v>47</v>
      </c>
      <c r="B225" s="628">
        <f>Chino!N274</f>
        <v>0</v>
      </c>
      <c r="C225" s="629"/>
      <c r="D225" s="636">
        <f>F225*325851</f>
        <v>0</v>
      </c>
      <c r="E225" s="629"/>
      <c r="F225" s="1029">
        <f>0.1534*B225</f>
        <v>0</v>
      </c>
      <c r="G225" s="904"/>
      <c r="H225" s="213">
        <f>F225*5</f>
        <v>0</v>
      </c>
      <c r="I225" s="97">
        <v>0</v>
      </c>
      <c r="J225" s="96">
        <f>0*B225</f>
        <v>0</v>
      </c>
      <c r="K225" s="96">
        <f>150*B225</f>
        <v>0</v>
      </c>
      <c r="L225" s="96">
        <f t="shared" si="61"/>
        <v>0</v>
      </c>
      <c r="M225" s="724">
        <f t="shared" si="62"/>
        <v>0</v>
      </c>
      <c r="N225" s="698"/>
    </row>
    <row r="226" spans="1:379">
      <c r="A226" s="24" t="str">
        <f>'Ontario Total'!A226</f>
        <v>Weather Based Irrigation Controllers (WBIC)</v>
      </c>
      <c r="B226" s="628">
        <f>Chino!N275</f>
        <v>23</v>
      </c>
      <c r="C226" s="629"/>
      <c r="D226" s="636">
        <f>F226*325900</f>
        <v>2436102.5</v>
      </c>
      <c r="E226" s="629"/>
      <c r="F226" s="1029">
        <f>0.325*B226</f>
        <v>7.4750000000000005</v>
      </c>
      <c r="G226" s="904"/>
      <c r="H226" s="213">
        <f>F226*10</f>
        <v>74.75</v>
      </c>
      <c r="I226" s="97">
        <v>0</v>
      </c>
      <c r="J226" s="96">
        <v>729</v>
      </c>
      <c r="K226" s="96">
        <v>1483</v>
      </c>
      <c r="L226" s="96">
        <f t="shared" si="61"/>
        <v>2212</v>
      </c>
      <c r="M226" s="724">
        <f t="shared" si="62"/>
        <v>0.39351028250195685</v>
      </c>
      <c r="N226" s="698"/>
    </row>
    <row r="227" spans="1:379" ht="12.75" hidden="1" customHeight="1">
      <c r="A227" s="53" t="s">
        <v>53</v>
      </c>
      <c r="B227" s="895">
        <f>Chino!N276</f>
        <v>0</v>
      </c>
      <c r="C227" s="629"/>
      <c r="D227" s="636">
        <f>F227*325851</f>
        <v>0</v>
      </c>
      <c r="E227" s="629"/>
      <c r="F227" s="1029">
        <f>0.00014*B227</f>
        <v>0</v>
      </c>
      <c r="G227" s="904"/>
      <c r="H227" s="213">
        <f>F227*10</f>
        <v>0</v>
      </c>
      <c r="I227" s="97">
        <v>0</v>
      </c>
      <c r="J227" s="96">
        <f>0.45*B227</f>
        <v>0</v>
      </c>
      <c r="K227" s="96">
        <f>0.3*B227</f>
        <v>0</v>
      </c>
      <c r="L227" s="96">
        <f t="shared" si="61"/>
        <v>0</v>
      </c>
      <c r="M227" s="724">
        <f>IF(ISERROR(L227/(F227*752)),0,L227/(F227*752))</f>
        <v>0</v>
      </c>
      <c r="N227" s="698"/>
    </row>
    <row r="228" spans="1:379">
      <c r="A228" s="24" t="str">
        <f>'Ontario Total'!A228</f>
        <v>Rotating Nozzles for Pop-up Spray Heads</v>
      </c>
      <c r="B228" s="895">
        <f>Chino!N277</f>
        <v>3051</v>
      </c>
      <c r="C228" s="629"/>
      <c r="D228" s="636">
        <f>F228*325900</f>
        <v>3977283.6</v>
      </c>
      <c r="E228" s="629"/>
      <c r="F228" s="1029">
        <f>0.004*B228</f>
        <v>12.204000000000001</v>
      </c>
      <c r="G228" s="904"/>
      <c r="H228" s="213">
        <f>F228*5</f>
        <v>61.02</v>
      </c>
      <c r="I228" s="97">
        <v>0</v>
      </c>
      <c r="J228" s="96">
        <v>90</v>
      </c>
      <c r="K228" s="126">
        <v>185</v>
      </c>
      <c r="L228" s="96">
        <f t="shared" si="61"/>
        <v>275</v>
      </c>
      <c r="M228" s="724">
        <f>IF(ISERROR(L228/(F228*752)),0,L228/(F228*752))</f>
        <v>2.9964887689421672E-2</v>
      </c>
      <c r="N228" s="698"/>
    </row>
    <row r="229" spans="1:379">
      <c r="A229" s="24" t="str">
        <f>'Ontario Total'!A229</f>
        <v>Large Rotary Nozzles</v>
      </c>
      <c r="B229" s="895">
        <f>Chino!N278</f>
        <v>0</v>
      </c>
      <c r="C229" s="629"/>
      <c r="D229" s="636">
        <f>F229*325900</f>
        <v>0</v>
      </c>
      <c r="E229" s="629"/>
      <c r="F229" s="903">
        <f>0.018*B229</f>
        <v>0</v>
      </c>
      <c r="G229" s="904"/>
      <c r="H229" s="181">
        <f t="shared" ref="H229:H234" si="63">F229*10</f>
        <v>0</v>
      </c>
      <c r="I229" s="97">
        <v>0</v>
      </c>
      <c r="J229" s="126">
        <f>0*B229</f>
        <v>0</v>
      </c>
      <c r="K229" s="96">
        <f>13*B229</f>
        <v>0</v>
      </c>
      <c r="L229" s="96">
        <f t="shared" ref="L229:L234" si="64">SUM(I229:K229)</f>
        <v>0</v>
      </c>
      <c r="M229" s="724">
        <f t="shared" si="62"/>
        <v>0</v>
      </c>
      <c r="N229" s="698"/>
    </row>
    <row r="230" spans="1:379" hidden="1">
      <c r="A230" s="25" t="s">
        <v>83</v>
      </c>
      <c r="B230" s="895">
        <f>Chino!N279</f>
        <v>0</v>
      </c>
      <c r="C230" s="629"/>
      <c r="D230" s="895">
        <f>F230*325851</f>
        <v>0</v>
      </c>
      <c r="E230" s="629"/>
      <c r="F230" s="1029">
        <f>0.018*B230</f>
        <v>0</v>
      </c>
      <c r="G230" s="904"/>
      <c r="H230" s="181">
        <f t="shared" si="63"/>
        <v>0</v>
      </c>
      <c r="I230" s="97">
        <v>1</v>
      </c>
      <c r="J230" s="96">
        <f>0*B230</f>
        <v>0</v>
      </c>
      <c r="K230" s="96">
        <f>13*B230</f>
        <v>0</v>
      </c>
      <c r="L230" s="96">
        <f t="shared" si="64"/>
        <v>1</v>
      </c>
      <c r="M230" s="724">
        <f t="shared" si="62"/>
        <v>0</v>
      </c>
      <c r="N230" s="698"/>
    </row>
    <row r="231" spans="1:379">
      <c r="A231" s="24" t="str">
        <f>'Ontario Total'!A231</f>
        <v xml:space="preserve">Central Computerized Irrigation Controller </v>
      </c>
      <c r="B231" s="895">
        <f>Chino!N280</f>
        <v>0</v>
      </c>
      <c r="C231" s="629"/>
      <c r="D231" s="895">
        <f>F231*325900</f>
        <v>0</v>
      </c>
      <c r="E231" s="629"/>
      <c r="F231" s="1029">
        <f>0.018*B231</f>
        <v>0</v>
      </c>
      <c r="G231" s="904"/>
      <c r="H231" s="213">
        <f t="shared" si="63"/>
        <v>0</v>
      </c>
      <c r="I231" s="97">
        <v>0</v>
      </c>
      <c r="J231" s="97">
        <v>0</v>
      </c>
      <c r="K231" s="97">
        <v>0</v>
      </c>
      <c r="L231" s="96">
        <f t="shared" si="64"/>
        <v>0</v>
      </c>
      <c r="M231" s="724">
        <f t="shared" si="62"/>
        <v>0</v>
      </c>
      <c r="N231" s="698"/>
    </row>
    <row r="232" spans="1:379" s="77" customFormat="1">
      <c r="A232" s="92" t="str">
        <f>'Ontario Total'!A232</f>
        <v>Laminar Flow Restrictor</v>
      </c>
      <c r="B232" s="895">
        <f>Chino!N281</f>
        <v>0</v>
      </c>
      <c r="C232" s="629"/>
      <c r="D232" s="898">
        <f>F232*325900</f>
        <v>0</v>
      </c>
      <c r="E232" s="899"/>
      <c r="F232" s="1033">
        <f>0.018*B232</f>
        <v>0</v>
      </c>
      <c r="G232" s="1034"/>
      <c r="H232" s="182">
        <f t="shared" si="63"/>
        <v>0</v>
      </c>
      <c r="I232" s="97">
        <v>0</v>
      </c>
      <c r="J232" s="97">
        <v>0</v>
      </c>
      <c r="K232" s="97">
        <v>0</v>
      </c>
      <c r="L232" s="97">
        <f t="shared" si="64"/>
        <v>0</v>
      </c>
      <c r="M232" s="724">
        <f t="shared" si="62"/>
        <v>0</v>
      </c>
      <c r="N232" s="698"/>
      <c r="O232" s="75"/>
      <c r="P232" s="75"/>
      <c r="Q232" s="75"/>
      <c r="R232" s="75"/>
      <c r="S232" s="75"/>
      <c r="T232" s="75"/>
      <c r="U232" s="75"/>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c r="BH232" s="44"/>
      <c r="BI232" s="44"/>
      <c r="BJ232" s="44"/>
      <c r="BK232" s="44"/>
      <c r="BL232" s="44"/>
      <c r="BM232" s="44"/>
      <c r="BN232" s="44"/>
      <c r="BO232" s="44"/>
      <c r="BP232" s="44"/>
      <c r="BQ232" s="44"/>
      <c r="BR232" s="44"/>
      <c r="BS232" s="44"/>
      <c r="BT232" s="44"/>
      <c r="BU232" s="44"/>
      <c r="BV232" s="44"/>
      <c r="BW232" s="44"/>
      <c r="BX232" s="44"/>
      <c r="BY232" s="44"/>
      <c r="BZ232" s="44"/>
      <c r="CA232" s="44"/>
      <c r="CB232" s="44"/>
      <c r="CC232" s="44"/>
      <c r="CD232" s="44"/>
      <c r="CE232" s="44"/>
      <c r="CF232" s="44"/>
      <c r="CG232" s="44"/>
      <c r="CH232" s="44"/>
      <c r="CI232" s="44"/>
      <c r="CJ232" s="44"/>
      <c r="CK232" s="44"/>
      <c r="CL232" s="44"/>
      <c r="CM232" s="44"/>
      <c r="CN232" s="44"/>
      <c r="CO232" s="44"/>
      <c r="CP232" s="44"/>
      <c r="CQ232" s="44"/>
      <c r="CR232" s="44"/>
      <c r="CS232" s="44"/>
      <c r="CT232" s="44"/>
      <c r="CU232" s="44"/>
      <c r="CV232" s="44"/>
      <c r="CW232" s="44"/>
      <c r="CX232" s="44"/>
      <c r="CY232" s="44"/>
      <c r="CZ232" s="44"/>
      <c r="DA232" s="44"/>
      <c r="DB232" s="44"/>
      <c r="DC232" s="44"/>
      <c r="DD232" s="44"/>
      <c r="DE232" s="44"/>
      <c r="DF232" s="44"/>
      <c r="DG232" s="44"/>
      <c r="DH232" s="44"/>
      <c r="DI232" s="44"/>
      <c r="DJ232" s="44"/>
      <c r="DK232" s="44"/>
      <c r="DL232" s="44"/>
      <c r="DM232" s="44"/>
      <c r="DN232" s="44"/>
      <c r="DO232" s="44"/>
      <c r="DP232" s="44"/>
      <c r="DQ232" s="44"/>
      <c r="DR232" s="44"/>
      <c r="DS232" s="44"/>
      <c r="DT232" s="44"/>
      <c r="DU232" s="44"/>
      <c r="DV232" s="44"/>
      <c r="DW232" s="44"/>
      <c r="DX232" s="44"/>
      <c r="DY232" s="44"/>
      <c r="DZ232" s="44"/>
      <c r="EA232" s="44"/>
      <c r="EB232" s="44"/>
      <c r="EC232" s="44"/>
      <c r="ED232" s="44"/>
      <c r="EE232" s="44"/>
      <c r="EF232" s="44"/>
      <c r="EG232" s="44"/>
      <c r="EH232" s="44"/>
      <c r="EI232" s="44"/>
      <c r="EJ232" s="44"/>
      <c r="EK232" s="44"/>
      <c r="EL232" s="44"/>
      <c r="EM232" s="44"/>
      <c r="EN232" s="44"/>
      <c r="EO232" s="44"/>
      <c r="EP232" s="44"/>
      <c r="EQ232" s="44"/>
      <c r="ER232" s="44"/>
      <c r="ES232" s="44"/>
      <c r="ET232" s="44"/>
      <c r="EU232" s="44"/>
      <c r="EV232" s="44"/>
      <c r="EW232" s="44"/>
      <c r="EX232" s="44"/>
      <c r="EY232" s="44"/>
      <c r="EZ232" s="44"/>
      <c r="FA232" s="44"/>
      <c r="FB232" s="44"/>
      <c r="FC232" s="44"/>
      <c r="FD232" s="44"/>
      <c r="FE232" s="44"/>
      <c r="FF232" s="44"/>
      <c r="FG232" s="44"/>
      <c r="FH232" s="44"/>
      <c r="FI232" s="44"/>
      <c r="FJ232" s="44"/>
      <c r="FK232" s="44"/>
      <c r="FL232" s="44"/>
      <c r="FM232" s="44"/>
      <c r="FN232" s="44"/>
      <c r="FO232" s="44"/>
      <c r="FP232" s="44"/>
      <c r="FQ232" s="44"/>
      <c r="FR232" s="44"/>
      <c r="FS232" s="44"/>
      <c r="FT232" s="44"/>
      <c r="FU232" s="44"/>
      <c r="FV232" s="44"/>
      <c r="FW232" s="44"/>
      <c r="FX232" s="44"/>
      <c r="FY232" s="44"/>
      <c r="FZ232" s="44"/>
      <c r="GA232" s="44"/>
      <c r="GB232" s="44"/>
      <c r="GC232" s="44"/>
      <c r="GD232" s="44"/>
      <c r="GE232" s="44"/>
      <c r="GF232" s="44"/>
      <c r="GG232" s="44"/>
      <c r="GH232" s="44"/>
      <c r="GI232" s="44"/>
      <c r="GJ232" s="44"/>
      <c r="GK232" s="44"/>
      <c r="GL232" s="44"/>
      <c r="GM232" s="44"/>
      <c r="GN232" s="44"/>
      <c r="GO232" s="44"/>
      <c r="GP232" s="44"/>
      <c r="GQ232" s="44"/>
      <c r="GR232" s="44"/>
      <c r="GS232" s="44"/>
      <c r="GT232" s="44"/>
      <c r="GU232" s="44"/>
      <c r="GV232" s="44"/>
      <c r="GW232" s="44"/>
      <c r="GX232" s="44"/>
      <c r="GY232" s="44"/>
      <c r="GZ232" s="44"/>
      <c r="HA232" s="44"/>
      <c r="HB232" s="44"/>
      <c r="HC232" s="44"/>
      <c r="HD232" s="44"/>
      <c r="HE232" s="44"/>
      <c r="HF232" s="44"/>
      <c r="HG232" s="44"/>
      <c r="HH232" s="44"/>
      <c r="HI232" s="44"/>
      <c r="HJ232" s="44"/>
      <c r="HK232" s="44"/>
      <c r="HL232" s="44"/>
      <c r="HM232" s="44"/>
      <c r="HN232" s="44"/>
      <c r="HO232" s="44"/>
      <c r="HP232" s="44"/>
      <c r="HQ232" s="44"/>
      <c r="HR232" s="44"/>
      <c r="HS232" s="44"/>
      <c r="HT232" s="44"/>
      <c r="HU232" s="44"/>
      <c r="HV232" s="44"/>
      <c r="HW232" s="44"/>
      <c r="HX232" s="44"/>
      <c r="HY232" s="44"/>
      <c r="HZ232" s="44"/>
      <c r="IA232" s="44"/>
      <c r="IB232" s="44"/>
      <c r="IC232" s="44"/>
      <c r="ID232" s="44"/>
      <c r="IE232" s="44"/>
      <c r="IF232" s="44"/>
      <c r="IG232" s="44"/>
      <c r="IH232" s="44"/>
      <c r="II232" s="44"/>
      <c r="IJ232" s="44"/>
      <c r="IK232" s="44"/>
      <c r="IL232" s="44"/>
      <c r="IM232" s="44"/>
      <c r="IN232" s="44"/>
      <c r="IO232" s="44"/>
      <c r="IP232" s="44"/>
      <c r="IQ232" s="44"/>
      <c r="IR232" s="44"/>
      <c r="IS232" s="44"/>
      <c r="IT232" s="44"/>
      <c r="IU232" s="44"/>
      <c r="IV232" s="44"/>
      <c r="IW232" s="44"/>
      <c r="IX232" s="44"/>
      <c r="IY232" s="44"/>
      <c r="IZ232" s="44"/>
      <c r="JA232" s="44"/>
      <c r="JB232" s="44"/>
      <c r="JC232" s="44"/>
      <c r="JD232" s="44"/>
      <c r="JE232" s="44"/>
      <c r="JF232" s="44"/>
      <c r="JG232" s="44"/>
      <c r="JH232" s="44"/>
      <c r="JI232" s="44"/>
      <c r="JJ232" s="44"/>
      <c r="JK232" s="44"/>
      <c r="JL232" s="44"/>
      <c r="JM232" s="44"/>
      <c r="JN232" s="44"/>
      <c r="JO232" s="44"/>
      <c r="JP232" s="44"/>
      <c r="JQ232" s="44"/>
      <c r="JR232" s="44"/>
      <c r="JS232" s="44"/>
      <c r="JT232" s="44"/>
      <c r="JU232" s="44"/>
      <c r="JV232" s="44"/>
      <c r="JW232" s="44"/>
      <c r="JX232" s="44"/>
      <c r="JY232" s="44"/>
      <c r="JZ232" s="44"/>
      <c r="KA232" s="44"/>
      <c r="KB232" s="44"/>
      <c r="KC232" s="44"/>
      <c r="KD232" s="44"/>
      <c r="KE232" s="44"/>
      <c r="KF232" s="44"/>
      <c r="KG232" s="44"/>
      <c r="KH232" s="44"/>
      <c r="KI232" s="44"/>
      <c r="KJ232" s="44"/>
      <c r="KK232" s="44"/>
      <c r="KL232" s="44"/>
      <c r="KM232" s="44"/>
      <c r="KN232" s="44"/>
      <c r="KO232" s="44"/>
      <c r="KP232" s="44"/>
      <c r="KQ232" s="44"/>
      <c r="KR232" s="44"/>
      <c r="KS232" s="44"/>
      <c r="KT232" s="44"/>
      <c r="KU232" s="44"/>
      <c r="KV232" s="44"/>
      <c r="KW232" s="44"/>
      <c r="KX232" s="44"/>
      <c r="KY232" s="44"/>
      <c r="KZ232" s="44"/>
      <c r="LA232" s="44"/>
      <c r="LB232" s="44"/>
      <c r="LC232" s="44"/>
      <c r="LD232" s="44"/>
      <c r="LE232" s="44"/>
      <c r="LF232" s="44"/>
      <c r="LG232" s="44"/>
      <c r="LH232" s="44"/>
      <c r="LI232" s="44"/>
      <c r="LJ232" s="44"/>
      <c r="LK232" s="44"/>
      <c r="LL232" s="44"/>
      <c r="LM232" s="44"/>
      <c r="LN232" s="44"/>
      <c r="LO232" s="44"/>
      <c r="LP232" s="44"/>
      <c r="LQ232" s="44"/>
      <c r="LR232" s="44"/>
      <c r="LS232" s="44"/>
      <c r="LT232" s="44"/>
      <c r="LU232" s="44"/>
      <c r="LV232" s="44"/>
      <c r="LW232" s="44"/>
      <c r="LX232" s="44"/>
      <c r="LY232" s="44"/>
      <c r="LZ232" s="44"/>
      <c r="MA232" s="44"/>
      <c r="MB232" s="44"/>
      <c r="MC232" s="44"/>
      <c r="MD232" s="44"/>
      <c r="ME232" s="44"/>
      <c r="MF232" s="44"/>
      <c r="MG232" s="44"/>
      <c r="MH232" s="44"/>
      <c r="MI232" s="44"/>
      <c r="MJ232" s="44"/>
      <c r="MK232" s="44"/>
      <c r="ML232" s="44"/>
      <c r="MM232" s="44"/>
      <c r="MN232" s="44"/>
      <c r="MO232" s="44"/>
      <c r="MP232" s="44"/>
      <c r="MQ232" s="44"/>
      <c r="MR232" s="44"/>
      <c r="MS232" s="44"/>
      <c r="MT232" s="44"/>
      <c r="MU232" s="44"/>
      <c r="MV232" s="44"/>
      <c r="MW232" s="44"/>
      <c r="MX232" s="44"/>
      <c r="MY232" s="44"/>
      <c r="MZ232" s="44"/>
      <c r="NA232" s="44"/>
      <c r="NB232" s="44"/>
      <c r="NC232" s="44"/>
      <c r="ND232" s="44"/>
      <c r="NE232" s="44"/>
      <c r="NF232" s="44"/>
      <c r="NG232" s="44"/>
      <c r="NH232" s="44"/>
      <c r="NI232" s="44"/>
      <c r="NJ232" s="44"/>
      <c r="NK232" s="44"/>
      <c r="NL232" s="44"/>
      <c r="NM232" s="44"/>
      <c r="NN232" s="44"/>
      <c r="NO232" s="44"/>
    </row>
    <row r="233" spans="1:379" s="77" customFormat="1">
      <c r="A233" s="92" t="str">
        <f>'Ontario Total'!A233</f>
        <v>Air-Cooled Ice Machine</v>
      </c>
      <c r="B233" s="895">
        <f>Chino!N282</f>
        <v>0</v>
      </c>
      <c r="C233" s="629"/>
      <c r="D233" s="1040">
        <f>F233*325900</f>
        <v>0</v>
      </c>
      <c r="E233" s="899"/>
      <c r="F233" s="1033">
        <f>0.018*B233</f>
        <v>0</v>
      </c>
      <c r="G233" s="1034"/>
      <c r="H233" s="182">
        <f t="shared" si="63"/>
        <v>0</v>
      </c>
      <c r="I233" s="97">
        <v>0</v>
      </c>
      <c r="J233" s="97">
        <v>0</v>
      </c>
      <c r="K233" s="97">
        <v>0</v>
      </c>
      <c r="L233" s="105">
        <f t="shared" si="64"/>
        <v>0</v>
      </c>
      <c r="M233" s="697">
        <f t="shared" si="62"/>
        <v>0</v>
      </c>
      <c r="N233" s="698"/>
      <c r="O233" s="75"/>
      <c r="P233" s="75"/>
      <c r="Q233" s="75"/>
      <c r="R233" s="75"/>
      <c r="S233" s="75"/>
      <c r="T233" s="75"/>
      <c r="U233" s="75"/>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c r="BH233" s="44"/>
      <c r="BI233" s="44"/>
      <c r="BJ233" s="44"/>
      <c r="BK233" s="44"/>
      <c r="BL233" s="44"/>
      <c r="BM233" s="44"/>
      <c r="BN233" s="44"/>
      <c r="BO233" s="44"/>
      <c r="BP233" s="44"/>
      <c r="BQ233" s="44"/>
      <c r="BR233" s="44"/>
      <c r="BS233" s="44"/>
      <c r="BT233" s="44"/>
      <c r="BU233" s="44"/>
      <c r="BV233" s="44"/>
      <c r="BW233" s="44"/>
      <c r="BX233" s="44"/>
      <c r="BY233" s="44"/>
      <c r="BZ233" s="44"/>
      <c r="CA233" s="44"/>
      <c r="CB233" s="44"/>
      <c r="CC233" s="44"/>
      <c r="CD233" s="44"/>
      <c r="CE233" s="44"/>
      <c r="CF233" s="44"/>
      <c r="CG233" s="44"/>
      <c r="CH233" s="44"/>
      <c r="CI233" s="44"/>
      <c r="CJ233" s="44"/>
      <c r="CK233" s="44"/>
      <c r="CL233" s="44"/>
      <c r="CM233" s="44"/>
      <c r="CN233" s="44"/>
      <c r="CO233" s="44"/>
      <c r="CP233" s="44"/>
      <c r="CQ233" s="44"/>
      <c r="CR233" s="44"/>
      <c r="CS233" s="44"/>
      <c r="CT233" s="44"/>
      <c r="CU233" s="44"/>
      <c r="CV233" s="44"/>
      <c r="CW233" s="44"/>
      <c r="CX233" s="44"/>
      <c r="CY233" s="44"/>
      <c r="CZ233" s="44"/>
      <c r="DA233" s="44"/>
      <c r="DB233" s="44"/>
      <c r="DC233" s="44"/>
      <c r="DD233" s="44"/>
      <c r="DE233" s="44"/>
      <c r="DF233" s="44"/>
      <c r="DG233" s="44"/>
      <c r="DH233" s="44"/>
      <c r="DI233" s="44"/>
      <c r="DJ233" s="44"/>
      <c r="DK233" s="44"/>
      <c r="DL233" s="44"/>
      <c r="DM233" s="44"/>
      <c r="DN233" s="44"/>
      <c r="DO233" s="44"/>
      <c r="DP233" s="44"/>
      <c r="DQ233" s="44"/>
      <c r="DR233" s="44"/>
      <c r="DS233" s="44"/>
      <c r="DT233" s="44"/>
      <c r="DU233" s="44"/>
      <c r="DV233" s="44"/>
      <c r="DW233" s="44"/>
      <c r="DX233" s="44"/>
      <c r="DY233" s="44"/>
      <c r="DZ233" s="44"/>
      <c r="EA233" s="44"/>
      <c r="EB233" s="44"/>
      <c r="EC233" s="44"/>
      <c r="ED233" s="44"/>
      <c r="EE233" s="44"/>
      <c r="EF233" s="44"/>
      <c r="EG233" s="44"/>
      <c r="EH233" s="44"/>
      <c r="EI233" s="44"/>
      <c r="EJ233" s="44"/>
      <c r="EK233" s="44"/>
      <c r="EL233" s="44"/>
      <c r="EM233" s="44"/>
      <c r="EN233" s="44"/>
      <c r="EO233" s="44"/>
      <c r="EP233" s="44"/>
      <c r="EQ233" s="44"/>
      <c r="ER233" s="44"/>
      <c r="ES233" s="44"/>
      <c r="ET233" s="44"/>
      <c r="EU233" s="44"/>
      <c r="EV233" s="44"/>
      <c r="EW233" s="44"/>
      <c r="EX233" s="44"/>
      <c r="EY233" s="44"/>
      <c r="EZ233" s="44"/>
      <c r="FA233" s="44"/>
      <c r="FB233" s="44"/>
      <c r="FC233" s="44"/>
      <c r="FD233" s="44"/>
      <c r="FE233" s="44"/>
      <c r="FF233" s="44"/>
      <c r="FG233" s="44"/>
      <c r="FH233" s="44"/>
      <c r="FI233" s="44"/>
      <c r="FJ233" s="44"/>
      <c r="FK233" s="44"/>
      <c r="FL233" s="44"/>
      <c r="FM233" s="44"/>
      <c r="FN233" s="44"/>
      <c r="FO233" s="44"/>
      <c r="FP233" s="44"/>
      <c r="FQ233" s="44"/>
      <c r="FR233" s="44"/>
      <c r="FS233" s="44"/>
      <c r="FT233" s="44"/>
      <c r="FU233" s="44"/>
      <c r="FV233" s="44"/>
      <c r="FW233" s="44"/>
      <c r="FX233" s="44"/>
      <c r="FY233" s="44"/>
      <c r="FZ233" s="44"/>
      <c r="GA233" s="44"/>
      <c r="GB233" s="44"/>
      <c r="GC233" s="44"/>
      <c r="GD233" s="44"/>
      <c r="GE233" s="44"/>
      <c r="GF233" s="44"/>
      <c r="GG233" s="44"/>
      <c r="GH233" s="44"/>
      <c r="GI233" s="44"/>
      <c r="GJ233" s="44"/>
      <c r="GK233" s="44"/>
      <c r="GL233" s="44"/>
      <c r="GM233" s="44"/>
      <c r="GN233" s="44"/>
      <c r="GO233" s="44"/>
      <c r="GP233" s="44"/>
      <c r="GQ233" s="44"/>
      <c r="GR233" s="44"/>
      <c r="GS233" s="44"/>
      <c r="GT233" s="44"/>
      <c r="GU233" s="44"/>
      <c r="GV233" s="44"/>
      <c r="GW233" s="44"/>
      <c r="GX233" s="44"/>
      <c r="GY233" s="44"/>
      <c r="GZ233" s="44"/>
      <c r="HA233" s="44"/>
      <c r="HB233" s="44"/>
      <c r="HC233" s="44"/>
      <c r="HD233" s="44"/>
      <c r="HE233" s="44"/>
      <c r="HF233" s="44"/>
      <c r="HG233" s="44"/>
      <c r="HH233" s="44"/>
      <c r="HI233" s="44"/>
      <c r="HJ233" s="44"/>
      <c r="HK233" s="44"/>
      <c r="HL233" s="44"/>
      <c r="HM233" s="44"/>
      <c r="HN233" s="44"/>
      <c r="HO233" s="44"/>
      <c r="HP233" s="44"/>
      <c r="HQ233" s="44"/>
      <c r="HR233" s="44"/>
      <c r="HS233" s="44"/>
      <c r="HT233" s="44"/>
      <c r="HU233" s="44"/>
      <c r="HV233" s="44"/>
      <c r="HW233" s="44"/>
      <c r="HX233" s="44"/>
      <c r="HY233" s="44"/>
      <c r="HZ233" s="44"/>
      <c r="IA233" s="44"/>
      <c r="IB233" s="44"/>
      <c r="IC233" s="44"/>
      <c r="ID233" s="44"/>
      <c r="IE233" s="44"/>
      <c r="IF233" s="44"/>
      <c r="IG233" s="44"/>
      <c r="IH233" s="44"/>
      <c r="II233" s="44"/>
      <c r="IJ233" s="44"/>
      <c r="IK233" s="44"/>
      <c r="IL233" s="44"/>
      <c r="IM233" s="44"/>
      <c r="IN233" s="44"/>
      <c r="IO233" s="44"/>
      <c r="IP233" s="44"/>
      <c r="IQ233" s="44"/>
      <c r="IR233" s="44"/>
      <c r="IS233" s="44"/>
      <c r="IT233" s="44"/>
      <c r="IU233" s="44"/>
      <c r="IV233" s="44"/>
      <c r="IW233" s="44"/>
      <c r="IX233" s="44"/>
      <c r="IY233" s="44"/>
      <c r="IZ233" s="44"/>
      <c r="JA233" s="44"/>
      <c r="JB233" s="44"/>
      <c r="JC233" s="44"/>
      <c r="JD233" s="44"/>
      <c r="JE233" s="44"/>
      <c r="JF233" s="44"/>
      <c r="JG233" s="44"/>
      <c r="JH233" s="44"/>
      <c r="JI233" s="44"/>
      <c r="JJ233" s="44"/>
      <c r="JK233" s="44"/>
      <c r="JL233" s="44"/>
      <c r="JM233" s="44"/>
      <c r="JN233" s="44"/>
      <c r="JO233" s="44"/>
      <c r="JP233" s="44"/>
      <c r="JQ233" s="44"/>
      <c r="JR233" s="44"/>
      <c r="JS233" s="44"/>
      <c r="JT233" s="44"/>
      <c r="JU233" s="44"/>
      <c r="JV233" s="44"/>
      <c r="JW233" s="44"/>
      <c r="JX233" s="44"/>
      <c r="JY233" s="44"/>
      <c r="JZ233" s="44"/>
      <c r="KA233" s="44"/>
      <c r="KB233" s="44"/>
      <c r="KC233" s="44"/>
      <c r="KD233" s="44"/>
      <c r="KE233" s="44"/>
      <c r="KF233" s="44"/>
      <c r="KG233" s="44"/>
      <c r="KH233" s="44"/>
      <c r="KI233" s="44"/>
      <c r="KJ233" s="44"/>
      <c r="KK233" s="44"/>
      <c r="KL233" s="44"/>
      <c r="KM233" s="44"/>
      <c r="KN233" s="44"/>
      <c r="KO233" s="44"/>
      <c r="KP233" s="44"/>
      <c r="KQ233" s="44"/>
      <c r="KR233" s="44"/>
      <c r="KS233" s="44"/>
      <c r="KT233" s="44"/>
      <c r="KU233" s="44"/>
      <c r="KV233" s="44"/>
      <c r="KW233" s="44"/>
      <c r="KX233" s="44"/>
      <c r="KY233" s="44"/>
      <c r="KZ233" s="44"/>
      <c r="LA233" s="44"/>
      <c r="LB233" s="44"/>
      <c r="LC233" s="44"/>
      <c r="LD233" s="44"/>
      <c r="LE233" s="44"/>
      <c r="LF233" s="44"/>
      <c r="LG233" s="44"/>
      <c r="LH233" s="44"/>
      <c r="LI233" s="44"/>
      <c r="LJ233" s="44"/>
      <c r="LK233" s="44"/>
      <c r="LL233" s="44"/>
      <c r="LM233" s="44"/>
      <c r="LN233" s="44"/>
      <c r="LO233" s="44"/>
      <c r="LP233" s="44"/>
      <c r="LQ233" s="44"/>
      <c r="LR233" s="44"/>
      <c r="LS233" s="44"/>
      <c r="LT233" s="44"/>
      <c r="LU233" s="44"/>
      <c r="LV233" s="44"/>
      <c r="LW233" s="44"/>
      <c r="LX233" s="44"/>
      <c r="LY233" s="44"/>
      <c r="LZ233" s="44"/>
      <c r="MA233" s="44"/>
      <c r="MB233" s="44"/>
      <c r="MC233" s="44"/>
      <c r="MD233" s="44"/>
      <c r="ME233" s="44"/>
      <c r="MF233" s="44"/>
      <c r="MG233" s="44"/>
      <c r="MH233" s="44"/>
      <c r="MI233" s="44"/>
      <c r="MJ233" s="44"/>
      <c r="MK233" s="44"/>
      <c r="ML233" s="44"/>
      <c r="MM233" s="44"/>
      <c r="MN233" s="44"/>
      <c r="MO233" s="44"/>
      <c r="MP233" s="44"/>
      <c r="MQ233" s="44"/>
      <c r="MR233" s="44"/>
      <c r="MS233" s="44"/>
      <c r="MT233" s="44"/>
      <c r="MU233" s="44"/>
      <c r="MV233" s="44"/>
      <c r="MW233" s="44"/>
      <c r="MX233" s="44"/>
      <c r="MY233" s="44"/>
      <c r="MZ233" s="44"/>
      <c r="NA233" s="44"/>
      <c r="NB233" s="44"/>
      <c r="NC233" s="44"/>
      <c r="ND233" s="44"/>
      <c r="NE233" s="44"/>
      <c r="NF233" s="44"/>
      <c r="NG233" s="44"/>
      <c r="NH233" s="44"/>
      <c r="NI233" s="44"/>
      <c r="NJ233" s="44"/>
      <c r="NK233" s="44"/>
      <c r="NL233" s="44"/>
      <c r="NM233" s="44"/>
      <c r="NN233" s="44"/>
      <c r="NO233" s="44"/>
    </row>
    <row r="234" spans="1:379" s="77" customFormat="1" ht="14" thickBot="1">
      <c r="A234" s="70" t="s">
        <v>157</v>
      </c>
      <c r="B234" s="895">
        <v>4</v>
      </c>
      <c r="C234" s="629"/>
      <c r="D234" s="1036">
        <f>F234*325900</f>
        <v>2231215.6879999996</v>
      </c>
      <c r="E234" s="1037"/>
      <c r="F234" s="1055">
        <f>52664*0.00013</f>
        <v>6.8463199999999995</v>
      </c>
      <c r="G234" s="1056"/>
      <c r="H234" s="182">
        <f t="shared" si="63"/>
        <v>68.463200000000001</v>
      </c>
      <c r="I234" s="97">
        <v>0</v>
      </c>
      <c r="J234" s="97">
        <v>52644</v>
      </c>
      <c r="K234" s="97">
        <v>108288</v>
      </c>
      <c r="L234" s="105">
        <f t="shared" si="64"/>
        <v>160932</v>
      </c>
      <c r="M234" s="697">
        <f t="shared" si="62"/>
        <v>31.258445288700525</v>
      </c>
      <c r="N234" s="698"/>
      <c r="O234" s="75"/>
      <c r="P234" s="75"/>
      <c r="Q234" s="75"/>
      <c r="R234" s="75"/>
      <c r="S234" s="75"/>
      <c r="T234" s="75"/>
      <c r="U234" s="75"/>
      <c r="V234" s="44"/>
      <c r="W234" s="44"/>
      <c r="X234" s="44"/>
      <c r="Y234" s="44"/>
      <c r="Z234" s="44"/>
      <c r="AA234" s="44"/>
      <c r="AB234" s="44"/>
      <c r="AC234" s="44"/>
      <c r="AD234" s="44"/>
      <c r="AE234" s="44"/>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c r="BH234" s="44"/>
      <c r="BI234" s="44"/>
      <c r="BJ234" s="44"/>
      <c r="BK234" s="44"/>
      <c r="BL234" s="44"/>
      <c r="BM234" s="44"/>
      <c r="BN234" s="44"/>
      <c r="BO234" s="44"/>
      <c r="BP234" s="44"/>
      <c r="BQ234" s="44"/>
      <c r="BR234" s="44"/>
      <c r="BS234" s="44"/>
      <c r="BT234" s="44"/>
      <c r="BU234" s="44"/>
      <c r="BV234" s="44"/>
      <c r="BW234" s="44"/>
      <c r="BX234" s="44"/>
      <c r="BY234" s="44"/>
      <c r="BZ234" s="44"/>
      <c r="CA234" s="44"/>
      <c r="CB234" s="44"/>
      <c r="CC234" s="44"/>
      <c r="CD234" s="44"/>
      <c r="CE234" s="44"/>
      <c r="CF234" s="44"/>
      <c r="CG234" s="44"/>
      <c r="CH234" s="44"/>
      <c r="CI234" s="44"/>
      <c r="CJ234" s="44"/>
      <c r="CK234" s="44"/>
      <c r="CL234" s="44"/>
      <c r="CM234" s="44"/>
      <c r="CN234" s="44"/>
      <c r="CO234" s="44"/>
      <c r="CP234" s="44"/>
      <c r="CQ234" s="44"/>
      <c r="CR234" s="44"/>
      <c r="CS234" s="44"/>
      <c r="CT234" s="44"/>
      <c r="CU234" s="44"/>
      <c r="CV234" s="44"/>
      <c r="CW234" s="44"/>
      <c r="CX234" s="44"/>
      <c r="CY234" s="44"/>
      <c r="CZ234" s="44"/>
      <c r="DA234" s="44"/>
      <c r="DB234" s="44"/>
      <c r="DC234" s="44"/>
      <c r="DD234" s="44"/>
      <c r="DE234" s="44"/>
      <c r="DF234" s="44"/>
      <c r="DG234" s="44"/>
      <c r="DH234" s="44"/>
      <c r="DI234" s="44"/>
      <c r="DJ234" s="44"/>
      <c r="DK234" s="44"/>
      <c r="DL234" s="44"/>
      <c r="DM234" s="44"/>
      <c r="DN234" s="44"/>
      <c r="DO234" s="44"/>
      <c r="DP234" s="44"/>
      <c r="DQ234" s="44"/>
      <c r="DR234" s="44"/>
      <c r="DS234" s="44"/>
      <c r="DT234" s="44"/>
      <c r="DU234" s="44"/>
      <c r="DV234" s="44"/>
      <c r="DW234" s="44"/>
      <c r="DX234" s="44"/>
      <c r="DY234" s="44"/>
      <c r="DZ234" s="44"/>
      <c r="EA234" s="44"/>
      <c r="EB234" s="44"/>
      <c r="EC234" s="44"/>
      <c r="ED234" s="44"/>
      <c r="EE234" s="44"/>
      <c r="EF234" s="44"/>
      <c r="EG234" s="44"/>
      <c r="EH234" s="44"/>
      <c r="EI234" s="44"/>
      <c r="EJ234" s="44"/>
      <c r="EK234" s="44"/>
      <c r="EL234" s="44"/>
      <c r="EM234" s="44"/>
      <c r="EN234" s="44"/>
      <c r="EO234" s="44"/>
      <c r="EP234" s="44"/>
      <c r="EQ234" s="44"/>
      <c r="ER234" s="44"/>
      <c r="ES234" s="44"/>
      <c r="ET234" s="44"/>
      <c r="EU234" s="44"/>
      <c r="EV234" s="44"/>
      <c r="EW234" s="44"/>
      <c r="EX234" s="44"/>
      <c r="EY234" s="44"/>
      <c r="EZ234" s="44"/>
      <c r="FA234" s="44"/>
      <c r="FB234" s="44"/>
      <c r="FC234" s="44"/>
      <c r="FD234" s="44"/>
      <c r="FE234" s="44"/>
      <c r="FF234" s="44"/>
      <c r="FG234" s="44"/>
      <c r="FH234" s="44"/>
      <c r="FI234" s="44"/>
      <c r="FJ234" s="44"/>
      <c r="FK234" s="44"/>
      <c r="FL234" s="44"/>
      <c r="FM234" s="44"/>
      <c r="FN234" s="44"/>
      <c r="FO234" s="44"/>
      <c r="FP234" s="44"/>
      <c r="FQ234" s="44"/>
      <c r="FR234" s="44"/>
      <c r="FS234" s="44"/>
      <c r="FT234" s="44"/>
      <c r="FU234" s="44"/>
      <c r="FV234" s="44"/>
      <c r="FW234" s="44"/>
      <c r="FX234" s="44"/>
      <c r="FY234" s="44"/>
      <c r="FZ234" s="44"/>
      <c r="GA234" s="44"/>
      <c r="GB234" s="44"/>
      <c r="GC234" s="44"/>
      <c r="GD234" s="44"/>
      <c r="GE234" s="44"/>
      <c r="GF234" s="44"/>
      <c r="GG234" s="44"/>
      <c r="GH234" s="44"/>
      <c r="GI234" s="44"/>
      <c r="GJ234" s="44"/>
      <c r="GK234" s="44"/>
      <c r="GL234" s="44"/>
      <c r="GM234" s="44"/>
      <c r="GN234" s="44"/>
      <c r="GO234" s="44"/>
      <c r="GP234" s="44"/>
      <c r="GQ234" s="44"/>
      <c r="GR234" s="44"/>
      <c r="GS234" s="44"/>
      <c r="GT234" s="44"/>
      <c r="GU234" s="44"/>
      <c r="GV234" s="44"/>
      <c r="GW234" s="44"/>
      <c r="GX234" s="44"/>
      <c r="GY234" s="44"/>
      <c r="GZ234" s="44"/>
      <c r="HA234" s="44"/>
      <c r="HB234" s="44"/>
      <c r="HC234" s="44"/>
      <c r="HD234" s="44"/>
      <c r="HE234" s="44"/>
      <c r="HF234" s="44"/>
      <c r="HG234" s="44"/>
      <c r="HH234" s="44"/>
      <c r="HI234" s="44"/>
      <c r="HJ234" s="44"/>
      <c r="HK234" s="44"/>
      <c r="HL234" s="44"/>
      <c r="HM234" s="44"/>
      <c r="HN234" s="44"/>
      <c r="HO234" s="44"/>
      <c r="HP234" s="44"/>
      <c r="HQ234" s="44"/>
      <c r="HR234" s="44"/>
      <c r="HS234" s="44"/>
      <c r="HT234" s="44"/>
      <c r="HU234" s="44"/>
      <c r="HV234" s="44"/>
      <c r="HW234" s="44"/>
      <c r="HX234" s="44"/>
      <c r="HY234" s="44"/>
      <c r="HZ234" s="44"/>
      <c r="IA234" s="44"/>
      <c r="IB234" s="44"/>
      <c r="IC234" s="44"/>
      <c r="ID234" s="44"/>
      <c r="IE234" s="44"/>
      <c r="IF234" s="44"/>
      <c r="IG234" s="44"/>
      <c r="IH234" s="44"/>
      <c r="II234" s="44"/>
      <c r="IJ234" s="44"/>
      <c r="IK234" s="44"/>
      <c r="IL234" s="44"/>
      <c r="IM234" s="44"/>
      <c r="IN234" s="44"/>
      <c r="IO234" s="44"/>
      <c r="IP234" s="44"/>
      <c r="IQ234" s="44"/>
      <c r="IR234" s="44"/>
      <c r="IS234" s="44"/>
      <c r="IT234" s="44"/>
      <c r="IU234" s="44"/>
      <c r="IV234" s="44"/>
      <c r="IW234" s="44"/>
      <c r="IX234" s="44"/>
      <c r="IY234" s="44"/>
      <c r="IZ234" s="44"/>
      <c r="JA234" s="44"/>
      <c r="JB234" s="44"/>
      <c r="JC234" s="44"/>
      <c r="JD234" s="44"/>
      <c r="JE234" s="44"/>
      <c r="JF234" s="44"/>
      <c r="JG234" s="44"/>
      <c r="JH234" s="44"/>
      <c r="JI234" s="44"/>
      <c r="JJ234" s="44"/>
      <c r="JK234" s="44"/>
      <c r="JL234" s="44"/>
      <c r="JM234" s="44"/>
      <c r="JN234" s="44"/>
      <c r="JO234" s="44"/>
      <c r="JP234" s="44"/>
      <c r="JQ234" s="44"/>
      <c r="JR234" s="44"/>
      <c r="JS234" s="44"/>
      <c r="JT234" s="44"/>
      <c r="JU234" s="44"/>
      <c r="JV234" s="44"/>
      <c r="JW234" s="44"/>
      <c r="JX234" s="44"/>
      <c r="JY234" s="44"/>
      <c r="JZ234" s="44"/>
      <c r="KA234" s="44"/>
      <c r="KB234" s="44"/>
      <c r="KC234" s="44"/>
      <c r="KD234" s="44"/>
      <c r="KE234" s="44"/>
      <c r="KF234" s="44"/>
      <c r="KG234" s="44"/>
      <c r="KH234" s="44"/>
      <c r="KI234" s="44"/>
      <c r="KJ234" s="44"/>
      <c r="KK234" s="44"/>
      <c r="KL234" s="44"/>
      <c r="KM234" s="44"/>
      <c r="KN234" s="44"/>
      <c r="KO234" s="44"/>
      <c r="KP234" s="44"/>
      <c r="KQ234" s="44"/>
      <c r="KR234" s="44"/>
      <c r="KS234" s="44"/>
      <c r="KT234" s="44"/>
      <c r="KU234" s="44"/>
      <c r="KV234" s="44"/>
      <c r="KW234" s="44"/>
      <c r="KX234" s="44"/>
      <c r="KY234" s="44"/>
      <c r="KZ234" s="44"/>
      <c r="LA234" s="44"/>
      <c r="LB234" s="44"/>
      <c r="LC234" s="44"/>
      <c r="LD234" s="44"/>
      <c r="LE234" s="44"/>
      <c r="LF234" s="44"/>
      <c r="LG234" s="44"/>
      <c r="LH234" s="44"/>
      <c r="LI234" s="44"/>
      <c r="LJ234" s="44"/>
      <c r="LK234" s="44"/>
      <c r="LL234" s="44"/>
      <c r="LM234" s="44"/>
      <c r="LN234" s="44"/>
      <c r="LO234" s="44"/>
      <c r="LP234" s="44"/>
      <c r="LQ234" s="44"/>
      <c r="LR234" s="44"/>
      <c r="LS234" s="44"/>
      <c r="LT234" s="44"/>
      <c r="LU234" s="44"/>
      <c r="LV234" s="44"/>
      <c r="LW234" s="44"/>
      <c r="LX234" s="44"/>
      <c r="LY234" s="44"/>
      <c r="LZ234" s="44"/>
      <c r="MA234" s="44"/>
      <c r="MB234" s="44"/>
      <c r="MC234" s="44"/>
      <c r="MD234" s="44"/>
      <c r="ME234" s="44"/>
      <c r="MF234" s="44"/>
      <c r="MG234" s="44"/>
      <c r="MH234" s="44"/>
      <c r="MI234" s="44"/>
      <c r="MJ234" s="44"/>
      <c r="MK234" s="44"/>
      <c r="ML234" s="44"/>
      <c r="MM234" s="44"/>
      <c r="MN234" s="44"/>
      <c r="MO234" s="44"/>
      <c r="MP234" s="44"/>
      <c r="MQ234" s="44"/>
      <c r="MR234" s="44"/>
      <c r="MS234" s="44"/>
      <c r="MT234" s="44"/>
      <c r="MU234" s="44"/>
      <c r="MV234" s="44"/>
      <c r="MW234" s="44"/>
      <c r="MX234" s="44"/>
      <c r="MY234" s="44"/>
      <c r="MZ234" s="44"/>
      <c r="NA234" s="44"/>
      <c r="NB234" s="44"/>
      <c r="NC234" s="44"/>
      <c r="ND234" s="44"/>
      <c r="NE234" s="44"/>
      <c r="NF234" s="44"/>
      <c r="NG234" s="44"/>
      <c r="NH234" s="44"/>
      <c r="NI234" s="44"/>
      <c r="NJ234" s="44"/>
      <c r="NK234" s="44"/>
      <c r="NL234" s="44"/>
      <c r="NM234" s="44"/>
      <c r="NN234" s="44"/>
      <c r="NO234" s="44"/>
    </row>
    <row r="235" spans="1:379" s="77" customFormat="1" ht="14" hidden="1" thickBot="1">
      <c r="A235" s="70"/>
      <c r="B235" s="304"/>
      <c r="C235" s="303"/>
      <c r="D235" s="380"/>
      <c r="E235" s="375"/>
      <c r="F235" s="386"/>
      <c r="G235" s="376"/>
      <c r="H235" s="306"/>
      <c r="I235" s="97"/>
      <c r="J235" s="105"/>
      <c r="K235" s="307"/>
      <c r="L235" s="105"/>
      <c r="M235" s="300"/>
      <c r="N235" s="301"/>
      <c r="O235" s="75"/>
      <c r="P235" s="75"/>
      <c r="Q235" s="75"/>
      <c r="R235" s="75"/>
      <c r="S235" s="75"/>
      <c r="T235" s="75"/>
      <c r="U235" s="75"/>
      <c r="V235" s="44"/>
      <c r="W235" s="44"/>
      <c r="X235" s="44"/>
      <c r="Y235" s="44"/>
      <c r="Z235" s="44"/>
      <c r="AA235" s="44"/>
      <c r="AB235" s="44"/>
      <c r="AC235" s="44"/>
      <c r="AD235" s="44"/>
      <c r="AE235" s="44"/>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c r="BH235" s="44"/>
      <c r="BI235" s="44"/>
      <c r="BJ235" s="44"/>
      <c r="BK235" s="44"/>
      <c r="BL235" s="44"/>
      <c r="BM235" s="44"/>
      <c r="BN235" s="44"/>
      <c r="BO235" s="44"/>
      <c r="BP235" s="44"/>
      <c r="BQ235" s="44"/>
      <c r="BR235" s="44"/>
      <c r="BS235" s="44"/>
      <c r="BT235" s="44"/>
      <c r="BU235" s="44"/>
      <c r="BV235" s="44"/>
      <c r="BW235" s="44"/>
      <c r="BX235" s="44"/>
      <c r="BY235" s="44"/>
      <c r="BZ235" s="44"/>
      <c r="CA235" s="44"/>
      <c r="CB235" s="44"/>
      <c r="CC235" s="44"/>
      <c r="CD235" s="44"/>
      <c r="CE235" s="44"/>
      <c r="CF235" s="44"/>
      <c r="CG235" s="44"/>
      <c r="CH235" s="44"/>
      <c r="CI235" s="44"/>
      <c r="CJ235" s="44"/>
      <c r="CK235" s="44"/>
      <c r="CL235" s="44"/>
      <c r="CM235" s="44"/>
      <c r="CN235" s="44"/>
      <c r="CO235" s="44"/>
      <c r="CP235" s="44"/>
      <c r="CQ235" s="44"/>
      <c r="CR235" s="44"/>
      <c r="CS235" s="44"/>
      <c r="CT235" s="44"/>
      <c r="CU235" s="44"/>
      <c r="CV235" s="44"/>
      <c r="CW235" s="44"/>
      <c r="CX235" s="44"/>
      <c r="CY235" s="44"/>
      <c r="CZ235" s="44"/>
      <c r="DA235" s="44"/>
      <c r="DB235" s="44"/>
      <c r="DC235" s="44"/>
      <c r="DD235" s="44"/>
      <c r="DE235" s="44"/>
      <c r="DF235" s="44"/>
      <c r="DG235" s="44"/>
      <c r="DH235" s="44"/>
      <c r="DI235" s="44"/>
      <c r="DJ235" s="44"/>
      <c r="DK235" s="44"/>
      <c r="DL235" s="44"/>
      <c r="DM235" s="44"/>
      <c r="DN235" s="44"/>
      <c r="DO235" s="44"/>
      <c r="DP235" s="44"/>
      <c r="DQ235" s="44"/>
      <c r="DR235" s="44"/>
      <c r="DS235" s="44"/>
      <c r="DT235" s="44"/>
      <c r="DU235" s="44"/>
      <c r="DV235" s="44"/>
      <c r="DW235" s="44"/>
      <c r="DX235" s="44"/>
      <c r="DY235" s="44"/>
      <c r="DZ235" s="44"/>
      <c r="EA235" s="44"/>
      <c r="EB235" s="44"/>
      <c r="EC235" s="44"/>
      <c r="ED235" s="44"/>
      <c r="EE235" s="44"/>
      <c r="EF235" s="44"/>
      <c r="EG235" s="44"/>
      <c r="EH235" s="44"/>
      <c r="EI235" s="44"/>
      <c r="EJ235" s="44"/>
      <c r="EK235" s="44"/>
      <c r="EL235" s="44"/>
      <c r="EM235" s="44"/>
      <c r="EN235" s="44"/>
      <c r="EO235" s="44"/>
      <c r="EP235" s="44"/>
      <c r="EQ235" s="44"/>
      <c r="ER235" s="44"/>
      <c r="ES235" s="44"/>
      <c r="ET235" s="44"/>
      <c r="EU235" s="44"/>
      <c r="EV235" s="44"/>
      <c r="EW235" s="44"/>
      <c r="EX235" s="44"/>
      <c r="EY235" s="44"/>
      <c r="EZ235" s="44"/>
      <c r="FA235" s="44"/>
      <c r="FB235" s="44"/>
      <c r="FC235" s="44"/>
      <c r="FD235" s="44"/>
      <c r="FE235" s="44"/>
      <c r="FF235" s="44"/>
      <c r="FG235" s="44"/>
      <c r="FH235" s="44"/>
      <c r="FI235" s="44"/>
      <c r="FJ235" s="44"/>
      <c r="FK235" s="44"/>
      <c r="FL235" s="44"/>
      <c r="FM235" s="44"/>
      <c r="FN235" s="44"/>
      <c r="FO235" s="44"/>
      <c r="FP235" s="44"/>
      <c r="FQ235" s="44"/>
      <c r="FR235" s="44"/>
      <c r="FS235" s="44"/>
      <c r="FT235" s="44"/>
      <c r="FU235" s="44"/>
      <c r="FV235" s="44"/>
      <c r="FW235" s="44"/>
      <c r="FX235" s="44"/>
      <c r="FY235" s="44"/>
      <c r="FZ235" s="44"/>
      <c r="GA235" s="44"/>
      <c r="GB235" s="44"/>
      <c r="GC235" s="44"/>
      <c r="GD235" s="44"/>
      <c r="GE235" s="44"/>
      <c r="GF235" s="44"/>
      <c r="GG235" s="44"/>
      <c r="GH235" s="44"/>
      <c r="GI235" s="44"/>
      <c r="GJ235" s="44"/>
      <c r="GK235" s="44"/>
      <c r="GL235" s="44"/>
      <c r="GM235" s="44"/>
      <c r="GN235" s="44"/>
      <c r="GO235" s="44"/>
      <c r="GP235" s="44"/>
      <c r="GQ235" s="44"/>
      <c r="GR235" s="44"/>
      <c r="GS235" s="44"/>
      <c r="GT235" s="44"/>
      <c r="GU235" s="44"/>
      <c r="GV235" s="44"/>
      <c r="GW235" s="44"/>
      <c r="GX235" s="44"/>
      <c r="GY235" s="44"/>
      <c r="GZ235" s="44"/>
      <c r="HA235" s="44"/>
      <c r="HB235" s="44"/>
      <c r="HC235" s="44"/>
      <c r="HD235" s="44"/>
      <c r="HE235" s="44"/>
      <c r="HF235" s="44"/>
      <c r="HG235" s="44"/>
      <c r="HH235" s="44"/>
      <c r="HI235" s="44"/>
      <c r="HJ235" s="44"/>
      <c r="HK235" s="44"/>
      <c r="HL235" s="44"/>
      <c r="HM235" s="44"/>
      <c r="HN235" s="44"/>
      <c r="HO235" s="44"/>
      <c r="HP235" s="44"/>
      <c r="HQ235" s="44"/>
      <c r="HR235" s="44"/>
      <c r="HS235" s="44"/>
      <c r="HT235" s="44"/>
      <c r="HU235" s="44"/>
      <c r="HV235" s="44"/>
      <c r="HW235" s="44"/>
      <c r="HX235" s="44"/>
      <c r="HY235" s="44"/>
      <c r="HZ235" s="44"/>
      <c r="IA235" s="44"/>
      <c r="IB235" s="44"/>
      <c r="IC235" s="44"/>
      <c r="ID235" s="44"/>
      <c r="IE235" s="44"/>
      <c r="IF235" s="44"/>
      <c r="IG235" s="44"/>
      <c r="IH235" s="44"/>
      <c r="II235" s="44"/>
      <c r="IJ235" s="44"/>
      <c r="IK235" s="44"/>
      <c r="IL235" s="44"/>
      <c r="IM235" s="44"/>
      <c r="IN235" s="44"/>
      <c r="IO235" s="44"/>
      <c r="IP235" s="44"/>
      <c r="IQ235" s="44"/>
      <c r="IR235" s="44"/>
      <c r="IS235" s="44"/>
      <c r="IT235" s="44"/>
      <c r="IU235" s="44"/>
      <c r="IV235" s="44"/>
      <c r="IW235" s="44"/>
      <c r="IX235" s="44"/>
      <c r="IY235" s="44"/>
      <c r="IZ235" s="44"/>
      <c r="JA235" s="44"/>
      <c r="JB235" s="44"/>
      <c r="JC235" s="44"/>
      <c r="JD235" s="44"/>
      <c r="JE235" s="44"/>
      <c r="JF235" s="44"/>
      <c r="JG235" s="44"/>
      <c r="JH235" s="44"/>
      <c r="JI235" s="44"/>
      <c r="JJ235" s="44"/>
      <c r="JK235" s="44"/>
      <c r="JL235" s="44"/>
      <c r="JM235" s="44"/>
      <c r="JN235" s="44"/>
      <c r="JO235" s="44"/>
      <c r="JP235" s="44"/>
      <c r="JQ235" s="44"/>
      <c r="JR235" s="44"/>
      <c r="JS235" s="44"/>
      <c r="JT235" s="44"/>
      <c r="JU235" s="44"/>
      <c r="JV235" s="44"/>
      <c r="JW235" s="44"/>
      <c r="JX235" s="44"/>
      <c r="JY235" s="44"/>
      <c r="JZ235" s="44"/>
      <c r="KA235" s="44"/>
      <c r="KB235" s="44"/>
      <c r="KC235" s="44"/>
      <c r="KD235" s="44"/>
      <c r="KE235" s="44"/>
      <c r="KF235" s="44"/>
      <c r="KG235" s="44"/>
      <c r="KH235" s="44"/>
      <c r="KI235" s="44"/>
      <c r="KJ235" s="44"/>
      <c r="KK235" s="44"/>
      <c r="KL235" s="44"/>
      <c r="KM235" s="44"/>
      <c r="KN235" s="44"/>
      <c r="KO235" s="44"/>
      <c r="KP235" s="44"/>
      <c r="KQ235" s="44"/>
      <c r="KR235" s="44"/>
      <c r="KS235" s="44"/>
      <c r="KT235" s="44"/>
      <c r="KU235" s="44"/>
      <c r="KV235" s="44"/>
      <c r="KW235" s="44"/>
      <c r="KX235" s="44"/>
      <c r="KY235" s="44"/>
      <c r="KZ235" s="44"/>
      <c r="LA235" s="44"/>
      <c r="LB235" s="44"/>
      <c r="LC235" s="44"/>
      <c r="LD235" s="44"/>
      <c r="LE235" s="44"/>
      <c r="LF235" s="44"/>
      <c r="LG235" s="44"/>
      <c r="LH235" s="44"/>
      <c r="LI235" s="44"/>
      <c r="LJ235" s="44"/>
      <c r="LK235" s="44"/>
      <c r="LL235" s="44"/>
      <c r="LM235" s="44"/>
      <c r="LN235" s="44"/>
      <c r="LO235" s="44"/>
      <c r="LP235" s="44"/>
      <c r="LQ235" s="44"/>
      <c r="LR235" s="44"/>
      <c r="LS235" s="44"/>
      <c r="LT235" s="44"/>
      <c r="LU235" s="44"/>
      <c r="LV235" s="44"/>
      <c r="LW235" s="44"/>
      <c r="LX235" s="44"/>
      <c r="LY235" s="44"/>
      <c r="LZ235" s="44"/>
      <c r="MA235" s="44"/>
      <c r="MB235" s="44"/>
      <c r="MC235" s="44"/>
      <c r="MD235" s="44"/>
      <c r="ME235" s="44"/>
      <c r="MF235" s="44"/>
      <c r="MG235" s="44"/>
      <c r="MH235" s="44"/>
      <c r="MI235" s="44"/>
      <c r="MJ235" s="44"/>
      <c r="MK235" s="44"/>
      <c r="ML235" s="44"/>
      <c r="MM235" s="44"/>
      <c r="MN235" s="44"/>
      <c r="MO235" s="44"/>
      <c r="MP235" s="44"/>
      <c r="MQ235" s="44"/>
      <c r="MR235" s="44"/>
      <c r="MS235" s="44"/>
      <c r="MT235" s="44"/>
      <c r="MU235" s="44"/>
      <c r="MV235" s="44"/>
      <c r="MW235" s="44"/>
      <c r="MX235" s="44"/>
      <c r="MY235" s="44"/>
      <c r="MZ235" s="44"/>
      <c r="NA235" s="44"/>
      <c r="NB235" s="44"/>
      <c r="NC235" s="44"/>
      <c r="ND235" s="44"/>
      <c r="NE235" s="44"/>
      <c r="NF235" s="44"/>
      <c r="NG235" s="44"/>
      <c r="NH235" s="44"/>
      <c r="NI235" s="44"/>
      <c r="NJ235" s="44"/>
      <c r="NK235" s="44"/>
      <c r="NL235" s="44"/>
      <c r="NM235" s="44"/>
      <c r="NN235" s="44"/>
      <c r="NO235" s="44"/>
    </row>
    <row r="236" spans="1:379" s="530" customFormat="1" ht="17" thickBot="1">
      <c r="A236" s="73" t="str">
        <f>'Ontario Total'!A236</f>
        <v>IEUA Locally Implemented Commercial Programs</v>
      </c>
      <c r="B236" s="662"/>
      <c r="C236" s="716"/>
      <c r="D236" s="663"/>
      <c r="E236" s="716"/>
      <c r="F236" s="687"/>
      <c r="G236" s="687"/>
      <c r="H236" s="216"/>
      <c r="I236" s="444"/>
      <c r="J236" s="112"/>
      <c r="K236" s="112"/>
      <c r="L236" s="113"/>
      <c r="M236" s="719"/>
      <c r="N236" s="689"/>
      <c r="O236" s="135"/>
      <c r="P236" s="135"/>
      <c r="Q236" s="135"/>
      <c r="R236" s="135"/>
      <c r="S236" s="135"/>
      <c r="T236" s="135"/>
      <c r="U236" s="135"/>
    </row>
    <row r="237" spans="1:379" hidden="1">
      <c r="A237" s="24" t="str">
        <f>'Ontario Total'!A237</f>
        <v>Fontana Unified School Retrofit Program</v>
      </c>
      <c r="B237" s="895"/>
      <c r="C237" s="629"/>
      <c r="D237" s="636">
        <f>F237*325851</f>
        <v>0</v>
      </c>
      <c r="E237" s="629"/>
      <c r="F237" s="903">
        <f>0.018*B237</f>
        <v>0</v>
      </c>
      <c r="G237" s="904"/>
      <c r="H237" s="181">
        <f>F237*10</f>
        <v>0</v>
      </c>
      <c r="I237" s="106">
        <f>SUM(F237:H237)</f>
        <v>0</v>
      </c>
      <c r="J237" s="106">
        <f>SUM(G237:I237)</f>
        <v>0</v>
      </c>
      <c r="K237" s="106">
        <f>SUM(H237:J237)</f>
        <v>0</v>
      </c>
      <c r="L237" s="106">
        <f>SUM(I237:K237)</f>
        <v>0</v>
      </c>
      <c r="M237" s="697">
        <f>IF(ISERROR(L237/(F237*727)),0,L237/(F237*727))</f>
        <v>0</v>
      </c>
      <c r="N237" s="698"/>
    </row>
    <row r="238" spans="1:379" ht="14" thickBot="1">
      <c r="A238" s="24" t="s">
        <v>113</v>
      </c>
      <c r="B238" s="895">
        <f>Chino!N286</f>
        <v>0</v>
      </c>
      <c r="C238" s="629"/>
      <c r="D238" s="944">
        <f>F238*325900</f>
        <v>0</v>
      </c>
      <c r="E238" s="901"/>
      <c r="F238" s="858">
        <f>0.004*B238</f>
        <v>0</v>
      </c>
      <c r="G238" s="859"/>
      <c r="H238" s="181">
        <f>F238*5</f>
        <v>0</v>
      </c>
      <c r="I238" s="97">
        <v>0</v>
      </c>
      <c r="J238" s="97">
        <f>0*B238</f>
        <v>0</v>
      </c>
      <c r="K238" s="97">
        <f>3.25*B238</f>
        <v>0</v>
      </c>
      <c r="L238" s="106">
        <f>SUM(I238:K238)</f>
        <v>0</v>
      </c>
      <c r="M238" s="697">
        <f>IF(ISERROR(L238/(F238*752)),0,L238/(F238*752))</f>
        <v>0</v>
      </c>
      <c r="N238" s="698"/>
    </row>
    <row r="239" spans="1:379" s="275" customFormat="1" ht="14" thickBot="1">
      <c r="A239" s="40" t="s">
        <v>60</v>
      </c>
      <c r="B239" s="644">
        <f>SUM(B221:B238)</f>
        <v>3278</v>
      </c>
      <c r="C239" s="706"/>
      <c r="D239" s="644">
        <f>SUM(D221:E238)</f>
        <v>11414751.787999999</v>
      </c>
      <c r="E239" s="706"/>
      <c r="F239" s="707">
        <f>SUM(F221:G238)</f>
        <v>35.025320000000001</v>
      </c>
      <c r="G239" s="708"/>
      <c r="H239" s="231">
        <f>SUM(H221:H238)</f>
        <v>374.23320000000001</v>
      </c>
      <c r="I239" s="86">
        <v>0</v>
      </c>
      <c r="J239" s="86">
        <f>SUM(J221:J238)</f>
        <v>63463</v>
      </c>
      <c r="K239" s="86">
        <f>SUM(K221:K238)</f>
        <v>119956</v>
      </c>
      <c r="L239" s="86">
        <f>SUM(L221:L238)</f>
        <v>183420</v>
      </c>
      <c r="M239" s="646"/>
      <c r="N239" s="1035"/>
      <c r="O239" s="276"/>
      <c r="P239" s="276"/>
      <c r="Q239" s="276"/>
      <c r="R239" s="276"/>
      <c r="S239" s="276"/>
      <c r="T239" s="276"/>
      <c r="U239" s="276"/>
    </row>
    <row r="240" spans="1:379" s="534" customFormat="1" ht="17" thickBot="1">
      <c r="A240" s="531" t="s">
        <v>17</v>
      </c>
      <c r="B240" s="711">
        <f>B239+B215</f>
        <v>3930</v>
      </c>
      <c r="C240" s="622"/>
      <c r="D240" s="711">
        <f>D239+D215</f>
        <v>21412959.697999999</v>
      </c>
      <c r="E240" s="622"/>
      <c r="F240" s="711">
        <f>F239+F215</f>
        <v>65.67022</v>
      </c>
      <c r="G240" s="622"/>
      <c r="H240" s="541">
        <f>H239+H215</f>
        <v>711.53120000000001</v>
      </c>
      <c r="I240" s="535">
        <f>SUM(I215+I219+I239)</f>
        <v>29304.89</v>
      </c>
      <c r="J240" s="535">
        <f>SUM(J215+J219+J239)</f>
        <v>92930.5</v>
      </c>
      <c r="K240" s="535">
        <f>SUM(K215+K219+K239)</f>
        <v>203798.89</v>
      </c>
      <c r="L240" s="535">
        <f>SUM(L215+L219+L239)</f>
        <v>326035.28000000003</v>
      </c>
      <c r="M240" s="624"/>
      <c r="N240" s="819"/>
      <c r="O240" s="75"/>
      <c r="P240" s="75"/>
      <c r="Q240" s="75"/>
      <c r="R240" s="75"/>
      <c r="S240" s="75"/>
      <c r="T240" s="75"/>
      <c r="U240" s="75"/>
    </row>
    <row r="241" spans="1:21">
      <c r="A241" s="39"/>
      <c r="B241" s="13"/>
      <c r="C241" s="153"/>
      <c r="D241" s="149"/>
      <c r="E241" s="13"/>
      <c r="F241" s="201"/>
      <c r="G241" s="201"/>
      <c r="H241" s="201"/>
      <c r="I241" s="14"/>
      <c r="J241" s="14"/>
      <c r="K241" s="14"/>
      <c r="L241" s="14"/>
      <c r="M241" s="129"/>
      <c r="N241" s="129"/>
    </row>
    <row r="242" spans="1:21" ht="15">
      <c r="A242" s="5" t="s">
        <v>18</v>
      </c>
      <c r="B242" s="626" t="s">
        <v>59</v>
      </c>
      <c r="C242" s="765"/>
      <c r="D242" s="765"/>
      <c r="E242" s="912"/>
      <c r="F242" s="201"/>
      <c r="G242" s="201"/>
      <c r="H242" s="201"/>
      <c r="I242" s="14"/>
      <c r="J242" s="14"/>
      <c r="K242" s="14"/>
      <c r="L242" s="14"/>
      <c r="M242" s="129"/>
      <c r="N242" s="129"/>
    </row>
    <row r="243" spans="1:21">
      <c r="B243" s="627" t="s">
        <v>19</v>
      </c>
      <c r="C243" s="627"/>
      <c r="D243" s="627"/>
      <c r="E243" s="627"/>
      <c r="F243" s="201"/>
      <c r="G243" s="201"/>
      <c r="H243" s="201"/>
      <c r="I243" s="14"/>
      <c r="J243" s="14"/>
      <c r="K243" s="14"/>
      <c r="L243" s="14"/>
      <c r="M243" s="129"/>
      <c r="N243" s="129"/>
    </row>
    <row r="244" spans="1:21" ht="14" thickBot="1">
      <c r="A244" s="332"/>
      <c r="B244" s="382"/>
      <c r="C244" s="382"/>
      <c r="D244" s="382"/>
      <c r="E244" s="382"/>
      <c r="F244" s="384"/>
      <c r="G244" s="384"/>
      <c r="H244" s="384"/>
      <c r="I244" s="14"/>
      <c r="J244" s="14"/>
      <c r="K244" s="14"/>
      <c r="L244" s="14"/>
      <c r="M244" s="382"/>
      <c r="N244" s="382"/>
    </row>
    <row r="245" spans="1:21" ht="16">
      <c r="A245" s="63"/>
      <c r="B245" s="64"/>
      <c r="C245" s="64"/>
      <c r="D245" s="64"/>
      <c r="E245" s="64"/>
      <c r="F245" s="200"/>
      <c r="G245" s="200"/>
      <c r="H245" s="200"/>
      <c r="I245" s="670" t="s">
        <v>0</v>
      </c>
      <c r="J245" s="670"/>
      <c r="K245" s="670"/>
      <c r="L245" s="670"/>
      <c r="M245" s="64"/>
      <c r="N245" s="65"/>
    </row>
    <row r="246" spans="1:21" ht="16">
      <c r="A246" s="62"/>
      <c r="B246" s="671" t="s">
        <v>1</v>
      </c>
      <c r="C246" s="671"/>
      <c r="D246" s="671" t="s">
        <v>2</v>
      </c>
      <c r="E246" s="671"/>
      <c r="F246" s="672" t="s">
        <v>3</v>
      </c>
      <c r="G246" s="672"/>
      <c r="H246" s="364" t="s">
        <v>3</v>
      </c>
      <c r="I246" s="78" t="s">
        <v>137</v>
      </c>
      <c r="J246" s="110"/>
      <c r="K246" s="110"/>
      <c r="L246" s="79"/>
      <c r="M246" s="671" t="s">
        <v>4</v>
      </c>
      <c r="N246" s="674"/>
    </row>
    <row r="247" spans="1:21" ht="19" thickBot="1">
      <c r="A247" s="67" t="s">
        <v>5</v>
      </c>
      <c r="B247" s="675" t="s">
        <v>6</v>
      </c>
      <c r="C247" s="675"/>
      <c r="D247" s="675" t="s">
        <v>7</v>
      </c>
      <c r="E247" s="675"/>
      <c r="F247" s="676" t="s">
        <v>7</v>
      </c>
      <c r="G247" s="676"/>
      <c r="H247" s="366" t="s">
        <v>58</v>
      </c>
      <c r="I247" s="367" t="s">
        <v>138</v>
      </c>
      <c r="J247" s="365" t="s">
        <v>8</v>
      </c>
      <c r="K247" s="365" t="s">
        <v>9</v>
      </c>
      <c r="L247" s="187" t="s">
        <v>10</v>
      </c>
      <c r="M247" s="675" t="s">
        <v>103</v>
      </c>
      <c r="N247" s="678"/>
    </row>
    <row r="248" spans="1:21" ht="24" thickBot="1">
      <c r="A248" s="60" t="s">
        <v>144</v>
      </c>
      <c r="B248" s="928"/>
      <c r="C248" s="680"/>
      <c r="D248" s="681"/>
      <c r="E248" s="682"/>
      <c r="F248" s="683"/>
      <c r="G248" s="684"/>
      <c r="H248" s="381"/>
      <c r="I248" s="118"/>
      <c r="J248" s="111"/>
      <c r="K248" s="118"/>
      <c r="L248" s="119"/>
      <c r="M248" s="685"/>
      <c r="N248" s="686"/>
    </row>
    <row r="249" spans="1:21" s="530" customFormat="1" ht="17" thickBot="1">
      <c r="A249" s="71" t="str">
        <f>'Ontario Total'!A249</f>
        <v>SoCal Water$mart Residential Rebates</v>
      </c>
      <c r="B249" s="662"/>
      <c r="C249" s="716"/>
      <c r="D249" s="729"/>
      <c r="E249" s="716"/>
      <c r="F249" s="717"/>
      <c r="G249" s="718"/>
      <c r="H249" s="216"/>
      <c r="I249" s="72"/>
      <c r="J249" s="112"/>
      <c r="K249" s="72"/>
      <c r="L249" s="72"/>
      <c r="M249" s="688"/>
      <c r="N249" s="689"/>
      <c r="O249" s="135"/>
      <c r="P249" s="135"/>
      <c r="Q249" s="135"/>
      <c r="R249" s="135"/>
      <c r="S249" s="135"/>
      <c r="T249" s="135"/>
      <c r="U249" s="135"/>
    </row>
    <row r="250" spans="1:21">
      <c r="A250" s="24" t="str">
        <f>'Ontario Total'!A250</f>
        <v>High Efficiency Toilets (HET)</v>
      </c>
      <c r="B250" s="628">
        <f>Chino!N215</f>
        <v>15</v>
      </c>
      <c r="C250" s="629"/>
      <c r="D250" s="636">
        <f t="shared" ref="D250:D255" si="65">F250*325851</f>
        <v>207730.01250000001</v>
      </c>
      <c r="E250" s="629"/>
      <c r="F250" s="1029">
        <f>0.0425*B250</f>
        <v>0.63750000000000007</v>
      </c>
      <c r="G250" s="904"/>
      <c r="H250" s="213">
        <f>F250*20</f>
        <v>12.750000000000002</v>
      </c>
      <c r="I250" s="120">
        <v>0</v>
      </c>
      <c r="J250" s="89">
        <f>50*B250</f>
        <v>750</v>
      </c>
      <c r="K250" s="89">
        <f>B250*50</f>
        <v>750</v>
      </c>
      <c r="L250" s="89">
        <f t="shared" ref="L250:L255" si="66">I250+J250+K250</f>
        <v>1500</v>
      </c>
      <c r="M250" s="724">
        <f t="shared" ref="M250:M255" si="67">IF(ISERROR(L250/(F250*752)),0,L250/(F250*752))</f>
        <v>3.1289111389236544</v>
      </c>
      <c r="N250" s="698"/>
    </row>
    <row r="251" spans="1:21">
      <c r="A251" s="24" t="str">
        <f>'Ontario Total'!A251</f>
        <v>High Efficiency Clothes Washers (HECW)</v>
      </c>
      <c r="B251" s="628">
        <f>Chino!N216</f>
        <v>70</v>
      </c>
      <c r="C251" s="629"/>
      <c r="D251" s="636">
        <f t="shared" si="65"/>
        <v>629544.13199999998</v>
      </c>
      <c r="E251" s="629"/>
      <c r="F251" s="1029">
        <f>0.0276*B251</f>
        <v>1.9319999999999999</v>
      </c>
      <c r="G251" s="904"/>
      <c r="H251" s="213">
        <f>F251*15</f>
        <v>28.98</v>
      </c>
      <c r="I251" s="89">
        <f>0*B251</f>
        <v>0</v>
      </c>
      <c r="J251" s="89">
        <f>B251*65</f>
        <v>4550</v>
      </c>
      <c r="K251" s="89">
        <f>B251*85</f>
        <v>5950</v>
      </c>
      <c r="L251" s="89">
        <f t="shared" si="66"/>
        <v>10500</v>
      </c>
      <c r="M251" s="724">
        <f t="shared" si="67"/>
        <v>7.227104532839963</v>
      </c>
      <c r="N251" s="698"/>
    </row>
    <row r="252" spans="1:21">
      <c r="A252" s="24" t="str">
        <f>'Ontario Total'!A252</f>
        <v>Rotating Nozzles for Pop-up Spray Heads</v>
      </c>
      <c r="B252" s="628">
        <f>Chino!N217</f>
        <v>0</v>
      </c>
      <c r="C252" s="629"/>
      <c r="D252" s="636">
        <f t="shared" si="65"/>
        <v>0</v>
      </c>
      <c r="E252" s="629"/>
      <c r="F252" s="1029">
        <f>0.0044*B252</f>
        <v>0</v>
      </c>
      <c r="G252" s="904"/>
      <c r="H252" s="213">
        <f>F252*5</f>
        <v>0</v>
      </c>
      <c r="I252" s="89">
        <f>0*B252</f>
        <v>0</v>
      </c>
      <c r="J252" s="89">
        <f>1*B252</f>
        <v>0</v>
      </c>
      <c r="K252" s="89">
        <f>B252*4</f>
        <v>0</v>
      </c>
      <c r="L252" s="89">
        <f t="shared" si="66"/>
        <v>0</v>
      </c>
      <c r="M252" s="724">
        <f t="shared" si="67"/>
        <v>0</v>
      </c>
      <c r="N252" s="698"/>
    </row>
    <row r="253" spans="1:21">
      <c r="A253" s="24" t="str">
        <f>'Ontario Total'!A253</f>
        <v>Weather based Irrigation Controllers (WBIC)</v>
      </c>
      <c r="B253" s="628">
        <f>Chino!N218</f>
        <v>0</v>
      </c>
      <c r="C253" s="629"/>
      <c r="D253" s="667">
        <f t="shared" si="65"/>
        <v>0</v>
      </c>
      <c r="E253" s="639"/>
      <c r="F253" s="1027">
        <f>0.325*B253</f>
        <v>0</v>
      </c>
      <c r="G253" s="1028"/>
      <c r="H253" s="214">
        <f>F253*10</f>
        <v>0</v>
      </c>
      <c r="I253" s="120">
        <v>0</v>
      </c>
      <c r="J253" s="121">
        <f>70*B253</f>
        <v>0</v>
      </c>
      <c r="K253" s="121">
        <f>B253*80</f>
        <v>0</v>
      </c>
      <c r="L253" s="89">
        <f t="shared" si="66"/>
        <v>0</v>
      </c>
      <c r="M253" s="724">
        <f t="shared" si="67"/>
        <v>0</v>
      </c>
      <c r="N253" s="698"/>
    </row>
    <row r="254" spans="1:21" hidden="1">
      <c r="A254" s="53" t="s">
        <v>53</v>
      </c>
      <c r="B254" s="628">
        <f>Chino!N219</f>
        <v>0</v>
      </c>
      <c r="C254" s="629"/>
      <c r="D254" s="667">
        <f t="shared" si="65"/>
        <v>0</v>
      </c>
      <c r="E254" s="639"/>
      <c r="F254" s="1027">
        <f>0.325*B254</f>
        <v>0</v>
      </c>
      <c r="G254" s="1028"/>
      <c r="H254" s="214">
        <f>F254*10</f>
        <v>0</v>
      </c>
      <c r="I254" s="120">
        <v>0</v>
      </c>
      <c r="J254" s="121">
        <f>70*B254</f>
        <v>0</v>
      </c>
      <c r="K254" s="121">
        <f>B254*80</f>
        <v>0</v>
      </c>
      <c r="L254" s="89">
        <f t="shared" si="66"/>
        <v>0</v>
      </c>
      <c r="M254" s="724">
        <f t="shared" si="67"/>
        <v>0</v>
      </c>
      <c r="N254" s="698"/>
    </row>
    <row r="255" spans="1:21" ht="14" thickBot="1">
      <c r="A255" s="53" t="s">
        <v>147</v>
      </c>
      <c r="B255" s="628">
        <f>Chino!N220</f>
        <v>0</v>
      </c>
      <c r="C255" s="629"/>
      <c r="D255" s="667">
        <f t="shared" si="65"/>
        <v>0</v>
      </c>
      <c r="E255" s="639"/>
      <c r="F255" s="1027">
        <f>0.325*B255</f>
        <v>0</v>
      </c>
      <c r="G255" s="1028"/>
      <c r="H255" s="214">
        <f>F255*5</f>
        <v>0</v>
      </c>
      <c r="I255" s="120">
        <v>0</v>
      </c>
      <c r="J255" s="121">
        <f>0*B255</f>
        <v>0</v>
      </c>
      <c r="K255" s="121">
        <f>B255*75</f>
        <v>0</v>
      </c>
      <c r="L255" s="89">
        <f t="shared" si="66"/>
        <v>0</v>
      </c>
      <c r="M255" s="724">
        <f t="shared" si="67"/>
        <v>0</v>
      </c>
      <c r="N255" s="698"/>
    </row>
    <row r="256" spans="1:21" s="530" customFormat="1" ht="17" thickBot="1">
      <c r="A256" s="71" t="str">
        <f>'Ontario Total'!A256</f>
        <v>IEUA Locally Implemented Residential Programs</v>
      </c>
      <c r="B256" s="662"/>
      <c r="C256" s="716"/>
      <c r="D256" s="729"/>
      <c r="E256" s="716"/>
      <c r="F256" s="717"/>
      <c r="G256" s="718"/>
      <c r="H256" s="216"/>
      <c r="I256" s="112"/>
      <c r="J256" s="112"/>
      <c r="K256" s="112"/>
      <c r="L256" s="112"/>
      <c r="M256" s="831"/>
      <c r="N256" s="816"/>
      <c r="O256" s="135"/>
      <c r="P256" s="135"/>
      <c r="Q256" s="135"/>
      <c r="R256" s="135"/>
      <c r="S256" s="135"/>
      <c r="T256" s="135"/>
      <c r="U256" s="135"/>
    </row>
    <row r="257" spans="1:21">
      <c r="A257" s="54" t="s">
        <v>113</v>
      </c>
      <c r="B257" s="628">
        <f>Chino!N222</f>
        <v>325</v>
      </c>
      <c r="C257" s="629"/>
      <c r="D257" s="667">
        <f>F257*325900</f>
        <v>423670</v>
      </c>
      <c r="E257" s="920"/>
      <c r="F257" s="1027">
        <f>B257*0.004</f>
        <v>1.3</v>
      </c>
      <c r="G257" s="904"/>
      <c r="H257" s="214">
        <f>F257*5</f>
        <v>6.5</v>
      </c>
      <c r="I257" s="120">
        <v>0</v>
      </c>
      <c r="J257" s="120">
        <v>0</v>
      </c>
      <c r="K257" s="120">
        <f>1200*3.25</f>
        <v>3900</v>
      </c>
      <c r="L257" s="120">
        <f>I257+J257+K257</f>
        <v>3900</v>
      </c>
      <c r="M257" s="724">
        <f>IF(ISERROR(L257/(F257*752)),0,L257/(F257*752))</f>
        <v>3.9893617021276593</v>
      </c>
      <c r="N257" s="698"/>
    </row>
    <row r="258" spans="1:21">
      <c r="A258" s="24" t="s">
        <v>114</v>
      </c>
      <c r="B258" s="628">
        <f>Chino!N223</f>
        <v>0</v>
      </c>
      <c r="C258" s="629"/>
      <c r="D258" s="667">
        <f>F258*325900</f>
        <v>0</v>
      </c>
      <c r="E258" s="920"/>
      <c r="F258" s="1027">
        <f>B258*0.004</f>
        <v>0</v>
      </c>
      <c r="G258" s="904"/>
      <c r="H258" s="215">
        <f>F258*5</f>
        <v>0</v>
      </c>
      <c r="I258" s="120">
        <v>0</v>
      </c>
      <c r="J258" s="120">
        <v>0</v>
      </c>
      <c r="K258" s="120">
        <v>0</v>
      </c>
      <c r="L258" s="120">
        <f>I258+J258+K258</f>
        <v>0</v>
      </c>
      <c r="M258" s="724">
        <f>IF(ISERROR(L258/(F258*752)),0,L258/(F258*752))</f>
        <v>0</v>
      </c>
      <c r="N258" s="698"/>
    </row>
    <row r="259" spans="1:21" ht="14" thickBot="1">
      <c r="A259" s="54" t="s">
        <v>148</v>
      </c>
      <c r="B259" s="693">
        <f>Chino!N224</f>
        <v>6</v>
      </c>
      <c r="C259" s="631"/>
      <c r="D259" s="654">
        <f>F259*325900</f>
        <v>255459.97399999996</v>
      </c>
      <c r="E259" s="768"/>
      <c r="F259" s="838">
        <f>5599*0.00014</f>
        <v>0.78385999999999989</v>
      </c>
      <c r="G259" s="859"/>
      <c r="H259" s="215">
        <f>F259*10</f>
        <v>7.8385999999999987</v>
      </c>
      <c r="I259" s="120">
        <v>0</v>
      </c>
      <c r="J259" s="120">
        <v>9734</v>
      </c>
      <c r="K259" s="120">
        <v>7348</v>
      </c>
      <c r="L259" s="120">
        <f>I259+J259+K259</f>
        <v>17082</v>
      </c>
      <c r="M259" s="724">
        <f>IF(ISERROR(L259/(F259*752)),0,L259/(F259*752))</f>
        <v>28.978931865275559</v>
      </c>
      <c r="N259" s="698"/>
    </row>
    <row r="260" spans="1:21" s="275" customFormat="1" ht="14" thickBot="1">
      <c r="A260" s="40" t="s">
        <v>60</v>
      </c>
      <c r="B260" s="642">
        <f>SUM(B250:C259)</f>
        <v>416</v>
      </c>
      <c r="C260" s="706"/>
      <c r="D260" s="645">
        <f>SUM(D250:E259)</f>
        <v>1516404.1184999999</v>
      </c>
      <c r="E260" s="706"/>
      <c r="F260" s="726">
        <f>SUM(F250:G259)</f>
        <v>4.6533600000000002</v>
      </c>
      <c r="G260" s="708"/>
      <c r="H260" s="217">
        <f>SUM(H250:H259)</f>
        <v>56.068600000000004</v>
      </c>
      <c r="I260" s="91">
        <f>SUM(I250:I259)</f>
        <v>0</v>
      </c>
      <c r="J260" s="91">
        <f>SUM(J250:J259)</f>
        <v>15034</v>
      </c>
      <c r="K260" s="91">
        <f>SUM(K250:K259)</f>
        <v>17948</v>
      </c>
      <c r="L260" s="91">
        <f>SUM(L250:L259)</f>
        <v>32982</v>
      </c>
      <c r="M260" s="644"/>
      <c r="N260" s="732"/>
      <c r="O260" s="276"/>
      <c r="P260" s="276"/>
      <c r="Q260" s="276"/>
      <c r="R260" s="276"/>
      <c r="S260" s="276"/>
      <c r="T260" s="276"/>
      <c r="U260" s="276"/>
    </row>
    <row r="261" spans="1:21" s="61" customFormat="1" ht="17" hidden="1" thickBot="1">
      <c r="A261" s="71" t="str">
        <f>'Ontario Total'!A261</f>
        <v xml:space="preserve">IEUA High Efficiency Toilet (HET) Installation Prog. </v>
      </c>
      <c r="B261" s="662"/>
      <c r="C261" s="716"/>
      <c r="D261" s="729"/>
      <c r="E261" s="716"/>
      <c r="F261" s="717"/>
      <c r="G261" s="718"/>
      <c r="H261" s="216"/>
      <c r="I261" s="112"/>
      <c r="J261" s="112"/>
      <c r="K261" s="112"/>
      <c r="L261" s="112"/>
      <c r="M261" s="831"/>
      <c r="N261" s="816"/>
      <c r="O261" s="135"/>
      <c r="P261" s="135"/>
      <c r="Q261" s="135"/>
      <c r="R261" s="135"/>
      <c r="S261" s="135"/>
      <c r="T261" s="135"/>
      <c r="U261" s="135"/>
    </row>
    <row r="262" spans="1:21" ht="12" hidden="1" customHeight="1">
      <c r="A262" s="24" t="str">
        <f>'Ontario Total'!A262</f>
        <v>IEUA Multi-Family Direct Install Prog. (HET)</v>
      </c>
      <c r="B262" s="628">
        <f>Chino!N227</f>
        <v>0</v>
      </c>
      <c r="C262" s="629"/>
      <c r="D262" s="636">
        <f>F262*325851</f>
        <v>0</v>
      </c>
      <c r="E262" s="629"/>
      <c r="F262" s="1027">
        <f>0.0425*B262</f>
        <v>0</v>
      </c>
      <c r="G262" s="1028"/>
      <c r="H262" s="214">
        <f>F262*20</f>
        <v>0</v>
      </c>
      <c r="I262" s="56">
        <f>73.34*B262</f>
        <v>0</v>
      </c>
      <c r="J262" s="56">
        <f>35.66*B262</f>
        <v>0</v>
      </c>
      <c r="K262" s="56">
        <f>B262*50</f>
        <v>0</v>
      </c>
      <c r="L262" s="56">
        <f>I262+J262+K262</f>
        <v>0</v>
      </c>
      <c r="M262" s="724">
        <f>IF(ISERROR(L262/(F262*727)),0,L262/(F262*727))</f>
        <v>0</v>
      </c>
      <c r="N262" s="698"/>
    </row>
    <row r="263" spans="1:21" ht="14" hidden="1" thickBot="1">
      <c r="A263" s="24" t="str">
        <f>'Ontario Total'!A263</f>
        <v>IEUA Single-Family Direct Install Prog. (HET)</v>
      </c>
      <c r="B263" s="628">
        <f>Chino!N228</f>
        <v>0</v>
      </c>
      <c r="C263" s="629"/>
      <c r="D263" s="636">
        <f>F263*325851</f>
        <v>0</v>
      </c>
      <c r="E263" s="629"/>
      <c r="F263" s="1027">
        <f>0.0425*B263</f>
        <v>0</v>
      </c>
      <c r="G263" s="1028"/>
      <c r="H263" s="214">
        <f>F263*20</f>
        <v>0</v>
      </c>
      <c r="I263" s="96">
        <f>73.34*B263</f>
        <v>0</v>
      </c>
      <c r="J263" s="96">
        <f>35.66*B263</f>
        <v>0</v>
      </c>
      <c r="K263" s="96">
        <f>B263*50</f>
        <v>0</v>
      </c>
      <c r="L263" s="96">
        <f>I263+J263+K263</f>
        <v>0</v>
      </c>
      <c r="M263" s="724">
        <f>IF(ISERROR(L263/(F263*727)),0,L263/(F263*727))</f>
        <v>0</v>
      </c>
      <c r="N263" s="698"/>
    </row>
    <row r="264" spans="1:21" s="275" customFormat="1" ht="14" hidden="1" thickBot="1">
      <c r="A264" s="40" t="s">
        <v>60</v>
      </c>
      <c r="B264" s="642">
        <f>SUM(B262:B263)</f>
        <v>0</v>
      </c>
      <c r="C264" s="706"/>
      <c r="D264" s="645">
        <f>SUM(D262:D263)</f>
        <v>0</v>
      </c>
      <c r="E264" s="706"/>
      <c r="F264" s="726">
        <f>SUM(F262:F263)</f>
        <v>0</v>
      </c>
      <c r="G264" s="708"/>
      <c r="H264" s="217">
        <f>SUM(H262:H263)</f>
        <v>0</v>
      </c>
      <c r="I264" s="91">
        <f>SUM(I262:I263)</f>
        <v>0</v>
      </c>
      <c r="J264" s="91">
        <f>SUM(J262:J263)</f>
        <v>0</v>
      </c>
      <c r="K264" s="91">
        <f>SUM(K262:K263)</f>
        <v>0</v>
      </c>
      <c r="L264" s="91">
        <f>SUM(L262:L263)</f>
        <v>0</v>
      </c>
      <c r="M264" s="744"/>
      <c r="N264" s="710"/>
      <c r="O264" s="276"/>
      <c r="P264" s="276"/>
      <c r="Q264" s="276"/>
      <c r="R264" s="276"/>
      <c r="S264" s="276"/>
      <c r="T264" s="276"/>
      <c r="U264" s="276"/>
    </row>
    <row r="265" spans="1:21" s="530" customFormat="1" ht="17" thickBot="1">
      <c r="A265" s="71" t="str">
        <f>'Ontario Total'!A265</f>
        <v>SoCal Water$mart Commercial Rebates</v>
      </c>
      <c r="B265" s="662"/>
      <c r="C265" s="716"/>
      <c r="D265" s="729"/>
      <c r="E265" s="716"/>
      <c r="F265" s="717"/>
      <c r="G265" s="718"/>
      <c r="H265" s="216"/>
      <c r="I265" s="72"/>
      <c r="J265" s="72"/>
      <c r="K265" s="72"/>
      <c r="L265" s="72"/>
      <c r="M265" s="688"/>
      <c r="N265" s="689"/>
      <c r="O265" s="135"/>
      <c r="P265" s="135"/>
      <c r="Q265" s="135"/>
      <c r="R265" s="135"/>
      <c r="S265" s="135"/>
      <c r="T265" s="135"/>
      <c r="U265" s="135"/>
    </row>
    <row r="266" spans="1:21">
      <c r="A266" s="24" t="str">
        <f>'Ontario Total'!A266</f>
        <v>High Efficiency Toilets (HET)</v>
      </c>
      <c r="B266" s="628">
        <f>Chino!N231</f>
        <v>0</v>
      </c>
      <c r="C266" s="629"/>
      <c r="D266" s="636">
        <f t="shared" ref="D266:D272" si="68">F266*325851</f>
        <v>0</v>
      </c>
      <c r="E266" s="629"/>
      <c r="F266" s="1029">
        <f>0.0425*B266</f>
        <v>0</v>
      </c>
      <c r="G266" s="904"/>
      <c r="H266" s="213">
        <f>F266*20</f>
        <v>0</v>
      </c>
      <c r="I266" s="97">
        <v>0</v>
      </c>
      <c r="J266" s="96">
        <f>50*B266</f>
        <v>0</v>
      </c>
      <c r="K266" s="96">
        <f>50*B266</f>
        <v>0</v>
      </c>
      <c r="L266" s="96">
        <f t="shared" ref="L266:L273" si="69">SUM(I266:K266)</f>
        <v>0</v>
      </c>
      <c r="M266" s="724">
        <f>IF(ISERROR(L266/(F266*752)),0,L266/(F266*752))</f>
        <v>0</v>
      </c>
      <c r="N266" s="698"/>
    </row>
    <row r="267" spans="1:21">
      <c r="A267" s="24" t="str">
        <f>'Ontario Total'!A267</f>
        <v>Waterless Urinals</v>
      </c>
      <c r="B267" s="628">
        <f>Chino!N232</f>
        <v>0</v>
      </c>
      <c r="C267" s="629"/>
      <c r="D267" s="636">
        <f t="shared" si="68"/>
        <v>0</v>
      </c>
      <c r="E267" s="629"/>
      <c r="F267" s="1029">
        <f>0.1227*B267</f>
        <v>0</v>
      </c>
      <c r="G267" s="904"/>
      <c r="H267" s="213">
        <f>F267*20</f>
        <v>0</v>
      </c>
      <c r="I267" s="97">
        <v>0</v>
      </c>
      <c r="J267" s="96">
        <f>100*B267</f>
        <v>0</v>
      </c>
      <c r="K267" s="96">
        <f>200*B267</f>
        <v>0</v>
      </c>
      <c r="L267" s="96">
        <f t="shared" si="69"/>
        <v>0</v>
      </c>
      <c r="M267" s="724">
        <f t="shared" ref="M267:M279" si="70">IF(ISERROR(L267/(F267*752)),0,L267/(F267*752))</f>
        <v>0</v>
      </c>
      <c r="N267" s="698"/>
    </row>
    <row r="268" spans="1:21">
      <c r="A268" s="24" t="s">
        <v>140</v>
      </c>
      <c r="B268" s="628">
        <f>Chino!N233</f>
        <v>0</v>
      </c>
      <c r="C268" s="629"/>
      <c r="D268" s="636">
        <f t="shared" si="68"/>
        <v>0</v>
      </c>
      <c r="E268" s="629"/>
      <c r="F268" s="1029">
        <f>0.644*B268</f>
        <v>0</v>
      </c>
      <c r="G268" s="904"/>
      <c r="H268" s="213">
        <f>F268*5</f>
        <v>0</v>
      </c>
      <c r="I268" s="97">
        <v>0</v>
      </c>
      <c r="J268" s="96">
        <f>43.75*B268</f>
        <v>0</v>
      </c>
      <c r="K268" s="96">
        <f>625*B268</f>
        <v>0</v>
      </c>
      <c r="L268" s="96">
        <f t="shared" si="69"/>
        <v>0</v>
      </c>
      <c r="M268" s="724">
        <f t="shared" si="70"/>
        <v>0</v>
      </c>
      <c r="N268" s="698"/>
    </row>
    <row r="269" spans="1:21" hidden="1">
      <c r="A269" s="24" t="str">
        <f>'Ontario Total'!A269</f>
        <v>High Efficiency Clothes Washers</v>
      </c>
      <c r="B269" s="628">
        <f>Chino!N234</f>
        <v>0</v>
      </c>
      <c r="C269" s="629"/>
      <c r="D269" s="636">
        <f t="shared" si="68"/>
        <v>0</v>
      </c>
      <c r="E269" s="629"/>
      <c r="F269" s="1029">
        <f>0.0276*B269</f>
        <v>0</v>
      </c>
      <c r="G269" s="904"/>
      <c r="H269" s="213">
        <f>F269*10</f>
        <v>0</v>
      </c>
      <c r="I269" s="97">
        <v>0</v>
      </c>
      <c r="J269" s="96">
        <f>100*B269</f>
        <v>0</v>
      </c>
      <c r="K269" s="96">
        <f>80*B269</f>
        <v>0</v>
      </c>
      <c r="L269" s="96">
        <f t="shared" si="69"/>
        <v>0</v>
      </c>
      <c r="M269" s="724">
        <f t="shared" si="70"/>
        <v>0</v>
      </c>
      <c r="N269" s="698"/>
    </row>
    <row r="270" spans="1:21" hidden="1">
      <c r="A270" s="27" t="s">
        <v>47</v>
      </c>
      <c r="B270" s="628">
        <f>Chino!N235</f>
        <v>0</v>
      </c>
      <c r="C270" s="629"/>
      <c r="D270" s="636">
        <f t="shared" si="68"/>
        <v>0</v>
      </c>
      <c r="E270" s="629"/>
      <c r="F270" s="1029">
        <f>0.1534*B270</f>
        <v>0</v>
      </c>
      <c r="G270" s="904"/>
      <c r="H270" s="213">
        <f>F270*5</f>
        <v>0</v>
      </c>
      <c r="I270" s="97">
        <v>0</v>
      </c>
      <c r="J270" s="96">
        <f>0*B270</f>
        <v>0</v>
      </c>
      <c r="K270" s="96">
        <f>150*B270</f>
        <v>0</v>
      </c>
      <c r="L270" s="96">
        <f t="shared" si="69"/>
        <v>0</v>
      </c>
      <c r="M270" s="724">
        <f t="shared" si="70"/>
        <v>0</v>
      </c>
      <c r="N270" s="698"/>
    </row>
    <row r="271" spans="1:21">
      <c r="A271" s="24" t="str">
        <f>'Ontario Total'!A271</f>
        <v>Weather Based Irrigation Controllers (WBIC)</v>
      </c>
      <c r="B271" s="628">
        <f>Chino!N236</f>
        <v>4</v>
      </c>
      <c r="C271" s="629"/>
      <c r="D271" s="636">
        <f t="shared" si="68"/>
        <v>423606.3</v>
      </c>
      <c r="E271" s="629"/>
      <c r="F271" s="1029">
        <f>0.325*B271</f>
        <v>1.3</v>
      </c>
      <c r="G271" s="904"/>
      <c r="H271" s="213">
        <f>F271*10</f>
        <v>13</v>
      </c>
      <c r="I271" s="97">
        <v>0</v>
      </c>
      <c r="J271" s="96">
        <v>729</v>
      </c>
      <c r="K271" s="96">
        <v>1483</v>
      </c>
      <c r="L271" s="96">
        <f t="shared" si="69"/>
        <v>2212</v>
      </c>
      <c r="M271" s="724">
        <f t="shared" si="70"/>
        <v>2.2626841243862521</v>
      </c>
      <c r="N271" s="698"/>
    </row>
    <row r="272" spans="1:21" hidden="1">
      <c r="A272" s="53" t="s">
        <v>53</v>
      </c>
      <c r="B272" s="628">
        <f>Chino!N237</f>
        <v>0</v>
      </c>
      <c r="C272" s="629"/>
      <c r="D272" s="636">
        <f t="shared" si="68"/>
        <v>0</v>
      </c>
      <c r="E272" s="629"/>
      <c r="F272" s="1029">
        <f>0.00014*B272</f>
        <v>0</v>
      </c>
      <c r="G272" s="904"/>
      <c r="H272" s="213">
        <f>F272*10</f>
        <v>0</v>
      </c>
      <c r="I272" s="97">
        <v>0</v>
      </c>
      <c r="J272" s="96">
        <f>0.45*B272</f>
        <v>0</v>
      </c>
      <c r="K272" s="96">
        <f>0.3*B272</f>
        <v>0</v>
      </c>
      <c r="L272" s="96">
        <f t="shared" si="69"/>
        <v>0</v>
      </c>
      <c r="M272" s="724">
        <f t="shared" si="70"/>
        <v>0</v>
      </c>
      <c r="N272" s="698"/>
    </row>
    <row r="273" spans="1:379">
      <c r="A273" s="24" t="str">
        <f>'Ontario Total'!A273</f>
        <v>Rotating Nozzles for Pop-up Spray Heads</v>
      </c>
      <c r="B273" s="628">
        <f>Chino!N238</f>
        <v>53</v>
      </c>
      <c r="C273" s="629"/>
      <c r="D273" s="636">
        <f t="shared" ref="D273:D279" si="71">F273*325851</f>
        <v>69080.411999999997</v>
      </c>
      <c r="E273" s="629"/>
      <c r="F273" s="1029">
        <f>0.004*B273</f>
        <v>0.21199999999999999</v>
      </c>
      <c r="G273" s="904"/>
      <c r="H273" s="213">
        <f>F273*5</f>
        <v>1.06</v>
      </c>
      <c r="I273" s="97">
        <v>0</v>
      </c>
      <c r="J273" s="96">
        <v>90</v>
      </c>
      <c r="K273" s="96">
        <v>185</v>
      </c>
      <c r="L273" s="96">
        <f t="shared" si="69"/>
        <v>275</v>
      </c>
      <c r="M273" s="724">
        <f t="shared" si="70"/>
        <v>1.724959855479727</v>
      </c>
      <c r="N273" s="698"/>
    </row>
    <row r="274" spans="1:379">
      <c r="A274" s="24" t="str">
        <f>'Ontario Total'!A274</f>
        <v>Large Rotary Nozzles</v>
      </c>
      <c r="B274" s="628">
        <f>Chino!N239</f>
        <v>0</v>
      </c>
      <c r="C274" s="629"/>
      <c r="D274" s="636">
        <f t="shared" si="71"/>
        <v>0</v>
      </c>
      <c r="E274" s="629"/>
      <c r="F274" s="1029">
        <f t="shared" ref="F274:F279" si="72">0.018*B274</f>
        <v>0</v>
      </c>
      <c r="G274" s="904"/>
      <c r="H274" s="213">
        <f t="shared" ref="H274:H279" si="73">F274*10</f>
        <v>0</v>
      </c>
      <c r="I274" s="97">
        <v>0</v>
      </c>
      <c r="J274" s="96">
        <f>0*B274</f>
        <v>0</v>
      </c>
      <c r="K274" s="96">
        <f>13*B274</f>
        <v>0</v>
      </c>
      <c r="L274" s="96">
        <f t="shared" ref="L274:L279" si="74">SUM(I274:K274)</f>
        <v>0</v>
      </c>
      <c r="M274" s="724">
        <f t="shared" si="70"/>
        <v>0</v>
      </c>
      <c r="N274" s="698"/>
    </row>
    <row r="275" spans="1:379" hidden="1">
      <c r="A275" s="25" t="s">
        <v>83</v>
      </c>
      <c r="B275" s="628">
        <f>Chino!N240</f>
        <v>0</v>
      </c>
      <c r="C275" s="629"/>
      <c r="D275" s="636">
        <f t="shared" si="71"/>
        <v>0</v>
      </c>
      <c r="E275" s="629"/>
      <c r="F275" s="1029">
        <f t="shared" si="72"/>
        <v>0</v>
      </c>
      <c r="G275" s="904"/>
      <c r="H275" s="213">
        <f t="shared" si="73"/>
        <v>0</v>
      </c>
      <c r="I275" s="97">
        <v>1</v>
      </c>
      <c r="J275" s="96">
        <f>0*B275</f>
        <v>0</v>
      </c>
      <c r="K275" s="96">
        <f>13*B275</f>
        <v>0</v>
      </c>
      <c r="L275" s="96">
        <f t="shared" si="74"/>
        <v>1</v>
      </c>
      <c r="M275" s="724">
        <f t="shared" si="70"/>
        <v>0</v>
      </c>
      <c r="N275" s="698"/>
    </row>
    <row r="276" spans="1:379">
      <c r="A276" s="24" t="str">
        <f>'Ontario Total'!A276</f>
        <v xml:space="preserve">Central Computerized Irrigation Controller </v>
      </c>
      <c r="B276" s="628">
        <f>Chino!N241</f>
        <v>0</v>
      </c>
      <c r="C276" s="629"/>
      <c r="D276" s="636">
        <f t="shared" si="71"/>
        <v>0</v>
      </c>
      <c r="E276" s="629"/>
      <c r="F276" s="1029">
        <f t="shared" si="72"/>
        <v>0</v>
      </c>
      <c r="G276" s="904"/>
      <c r="H276" s="213">
        <f t="shared" si="73"/>
        <v>0</v>
      </c>
      <c r="I276" s="97">
        <v>0</v>
      </c>
      <c r="J276" s="97">
        <v>0</v>
      </c>
      <c r="K276" s="97">
        <v>0</v>
      </c>
      <c r="L276" s="96">
        <f t="shared" si="74"/>
        <v>0</v>
      </c>
      <c r="M276" s="724">
        <f t="shared" si="70"/>
        <v>0</v>
      </c>
      <c r="N276" s="698"/>
    </row>
    <row r="277" spans="1:379" s="77" customFormat="1">
      <c r="A277" s="92" t="str">
        <f>'Ontario Total'!A277</f>
        <v>Laminar Flow Restrictor</v>
      </c>
      <c r="B277" s="628">
        <f>Chino!N242</f>
        <v>0</v>
      </c>
      <c r="C277" s="629"/>
      <c r="D277" s="1040">
        <f t="shared" si="71"/>
        <v>0</v>
      </c>
      <c r="E277" s="899"/>
      <c r="F277" s="1033">
        <f t="shared" si="72"/>
        <v>0</v>
      </c>
      <c r="G277" s="1034"/>
      <c r="H277" s="218">
        <f t="shared" si="73"/>
        <v>0</v>
      </c>
      <c r="I277" s="97">
        <v>0</v>
      </c>
      <c r="J277" s="97">
        <v>0</v>
      </c>
      <c r="K277" s="97">
        <v>0</v>
      </c>
      <c r="L277" s="97">
        <f t="shared" si="74"/>
        <v>0</v>
      </c>
      <c r="M277" s="724">
        <f t="shared" si="70"/>
        <v>0</v>
      </c>
      <c r="N277" s="698"/>
      <c r="O277" s="75"/>
      <c r="P277" s="75"/>
      <c r="Q277" s="75"/>
      <c r="R277" s="75"/>
      <c r="S277" s="75"/>
      <c r="T277" s="75"/>
      <c r="U277" s="75"/>
      <c r="V277" s="44"/>
      <c r="W277" s="44"/>
      <c r="X277" s="44"/>
      <c r="Y277" s="44"/>
      <c r="Z277" s="44"/>
      <c r="AA277" s="44"/>
      <c r="AB277" s="44"/>
      <c r="AC277" s="44"/>
      <c r="AD277" s="44"/>
      <c r="AE277" s="44"/>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c r="BH277" s="44"/>
      <c r="BI277" s="44"/>
      <c r="BJ277" s="44"/>
      <c r="BK277" s="44"/>
      <c r="BL277" s="44"/>
      <c r="BM277" s="44"/>
      <c r="BN277" s="44"/>
      <c r="BO277" s="44"/>
      <c r="BP277" s="44"/>
      <c r="BQ277" s="44"/>
      <c r="BR277" s="44"/>
      <c r="BS277" s="44"/>
      <c r="BT277" s="44"/>
      <c r="BU277" s="44"/>
      <c r="BV277" s="44"/>
      <c r="BW277" s="44"/>
      <c r="BX277" s="44"/>
      <c r="BY277" s="44"/>
      <c r="BZ277" s="44"/>
      <c r="CA277" s="44"/>
      <c r="CB277" s="44"/>
      <c r="CC277" s="44"/>
      <c r="CD277" s="44"/>
      <c r="CE277" s="44"/>
      <c r="CF277" s="44"/>
      <c r="CG277" s="44"/>
      <c r="CH277" s="44"/>
      <c r="CI277" s="44"/>
      <c r="CJ277" s="44"/>
      <c r="CK277" s="44"/>
      <c r="CL277" s="44"/>
      <c r="CM277" s="44"/>
      <c r="CN277" s="44"/>
      <c r="CO277" s="44"/>
      <c r="CP277" s="44"/>
      <c r="CQ277" s="44"/>
      <c r="CR277" s="44"/>
      <c r="CS277" s="44"/>
      <c r="CT277" s="44"/>
      <c r="CU277" s="44"/>
      <c r="CV277" s="44"/>
      <c r="CW277" s="44"/>
      <c r="CX277" s="44"/>
      <c r="CY277" s="44"/>
      <c r="CZ277" s="44"/>
      <c r="DA277" s="44"/>
      <c r="DB277" s="44"/>
      <c r="DC277" s="44"/>
      <c r="DD277" s="44"/>
      <c r="DE277" s="44"/>
      <c r="DF277" s="44"/>
      <c r="DG277" s="44"/>
      <c r="DH277" s="44"/>
      <c r="DI277" s="44"/>
      <c r="DJ277" s="44"/>
      <c r="DK277" s="44"/>
      <c r="DL277" s="44"/>
      <c r="DM277" s="44"/>
      <c r="DN277" s="44"/>
      <c r="DO277" s="44"/>
      <c r="DP277" s="44"/>
      <c r="DQ277" s="44"/>
      <c r="DR277" s="44"/>
      <c r="DS277" s="44"/>
      <c r="DT277" s="44"/>
      <c r="DU277" s="44"/>
      <c r="DV277" s="44"/>
      <c r="DW277" s="44"/>
      <c r="DX277" s="44"/>
      <c r="DY277" s="44"/>
      <c r="DZ277" s="44"/>
      <c r="EA277" s="44"/>
      <c r="EB277" s="44"/>
      <c r="EC277" s="44"/>
      <c r="ED277" s="44"/>
      <c r="EE277" s="44"/>
      <c r="EF277" s="44"/>
      <c r="EG277" s="44"/>
      <c r="EH277" s="44"/>
      <c r="EI277" s="44"/>
      <c r="EJ277" s="44"/>
      <c r="EK277" s="44"/>
      <c r="EL277" s="44"/>
      <c r="EM277" s="44"/>
      <c r="EN277" s="44"/>
      <c r="EO277" s="44"/>
      <c r="EP277" s="44"/>
      <c r="EQ277" s="44"/>
      <c r="ER277" s="44"/>
      <c r="ES277" s="44"/>
      <c r="ET277" s="44"/>
      <c r="EU277" s="44"/>
      <c r="EV277" s="44"/>
      <c r="EW277" s="44"/>
      <c r="EX277" s="44"/>
      <c r="EY277" s="44"/>
      <c r="EZ277" s="44"/>
      <c r="FA277" s="44"/>
      <c r="FB277" s="44"/>
      <c r="FC277" s="44"/>
      <c r="FD277" s="44"/>
      <c r="FE277" s="44"/>
      <c r="FF277" s="44"/>
      <c r="FG277" s="44"/>
      <c r="FH277" s="44"/>
      <c r="FI277" s="44"/>
      <c r="FJ277" s="44"/>
      <c r="FK277" s="44"/>
      <c r="FL277" s="44"/>
      <c r="FM277" s="44"/>
      <c r="FN277" s="44"/>
      <c r="FO277" s="44"/>
      <c r="FP277" s="44"/>
      <c r="FQ277" s="44"/>
      <c r="FR277" s="44"/>
      <c r="FS277" s="44"/>
      <c r="FT277" s="44"/>
      <c r="FU277" s="44"/>
      <c r="FV277" s="44"/>
      <c r="FW277" s="44"/>
      <c r="FX277" s="44"/>
      <c r="FY277" s="44"/>
      <c r="FZ277" s="44"/>
      <c r="GA277" s="44"/>
      <c r="GB277" s="44"/>
      <c r="GC277" s="44"/>
      <c r="GD277" s="44"/>
      <c r="GE277" s="44"/>
      <c r="GF277" s="44"/>
      <c r="GG277" s="44"/>
      <c r="GH277" s="44"/>
      <c r="GI277" s="44"/>
      <c r="GJ277" s="44"/>
      <c r="GK277" s="44"/>
      <c r="GL277" s="44"/>
      <c r="GM277" s="44"/>
      <c r="GN277" s="44"/>
      <c r="GO277" s="44"/>
      <c r="GP277" s="44"/>
      <c r="GQ277" s="44"/>
      <c r="GR277" s="44"/>
      <c r="GS277" s="44"/>
      <c r="GT277" s="44"/>
      <c r="GU277" s="44"/>
      <c r="GV277" s="44"/>
      <c r="GW277" s="44"/>
      <c r="GX277" s="44"/>
      <c r="GY277" s="44"/>
      <c r="GZ277" s="44"/>
      <c r="HA277" s="44"/>
      <c r="HB277" s="44"/>
      <c r="HC277" s="44"/>
      <c r="HD277" s="44"/>
      <c r="HE277" s="44"/>
      <c r="HF277" s="44"/>
      <c r="HG277" s="44"/>
      <c r="HH277" s="44"/>
      <c r="HI277" s="44"/>
      <c r="HJ277" s="44"/>
      <c r="HK277" s="44"/>
      <c r="HL277" s="44"/>
      <c r="HM277" s="44"/>
      <c r="HN277" s="44"/>
      <c r="HO277" s="44"/>
      <c r="HP277" s="44"/>
      <c r="HQ277" s="44"/>
      <c r="HR277" s="44"/>
      <c r="HS277" s="44"/>
      <c r="HT277" s="44"/>
      <c r="HU277" s="44"/>
      <c r="HV277" s="44"/>
      <c r="HW277" s="44"/>
      <c r="HX277" s="44"/>
      <c r="HY277" s="44"/>
      <c r="HZ277" s="44"/>
      <c r="IA277" s="44"/>
      <c r="IB277" s="44"/>
      <c r="IC277" s="44"/>
      <c r="ID277" s="44"/>
      <c r="IE277" s="44"/>
      <c r="IF277" s="44"/>
      <c r="IG277" s="44"/>
      <c r="IH277" s="44"/>
      <c r="II277" s="44"/>
      <c r="IJ277" s="44"/>
      <c r="IK277" s="44"/>
      <c r="IL277" s="44"/>
      <c r="IM277" s="44"/>
      <c r="IN277" s="44"/>
      <c r="IO277" s="44"/>
      <c r="IP277" s="44"/>
      <c r="IQ277" s="44"/>
      <c r="IR277" s="44"/>
      <c r="IS277" s="44"/>
      <c r="IT277" s="44"/>
      <c r="IU277" s="44"/>
      <c r="IV277" s="44"/>
      <c r="IW277" s="44"/>
      <c r="IX277" s="44"/>
      <c r="IY277" s="44"/>
      <c r="IZ277" s="44"/>
      <c r="JA277" s="44"/>
      <c r="JB277" s="44"/>
      <c r="JC277" s="44"/>
      <c r="JD277" s="44"/>
      <c r="JE277" s="44"/>
      <c r="JF277" s="44"/>
      <c r="JG277" s="44"/>
      <c r="JH277" s="44"/>
      <c r="JI277" s="44"/>
      <c r="JJ277" s="44"/>
      <c r="JK277" s="44"/>
      <c r="JL277" s="44"/>
      <c r="JM277" s="44"/>
      <c r="JN277" s="44"/>
      <c r="JO277" s="44"/>
      <c r="JP277" s="44"/>
      <c r="JQ277" s="44"/>
      <c r="JR277" s="44"/>
      <c r="JS277" s="44"/>
      <c r="JT277" s="44"/>
      <c r="JU277" s="44"/>
      <c r="JV277" s="44"/>
      <c r="JW277" s="44"/>
      <c r="JX277" s="44"/>
      <c r="JY277" s="44"/>
      <c r="JZ277" s="44"/>
      <c r="KA277" s="44"/>
      <c r="KB277" s="44"/>
      <c r="KC277" s="44"/>
      <c r="KD277" s="44"/>
      <c r="KE277" s="44"/>
      <c r="KF277" s="44"/>
      <c r="KG277" s="44"/>
      <c r="KH277" s="44"/>
      <c r="KI277" s="44"/>
      <c r="KJ277" s="44"/>
      <c r="KK277" s="44"/>
      <c r="KL277" s="44"/>
      <c r="KM277" s="44"/>
      <c r="KN277" s="44"/>
      <c r="KO277" s="44"/>
      <c r="KP277" s="44"/>
      <c r="KQ277" s="44"/>
      <c r="KR277" s="44"/>
      <c r="KS277" s="44"/>
      <c r="KT277" s="44"/>
      <c r="KU277" s="44"/>
      <c r="KV277" s="44"/>
      <c r="KW277" s="44"/>
      <c r="KX277" s="44"/>
      <c r="KY277" s="44"/>
      <c r="KZ277" s="44"/>
      <c r="LA277" s="44"/>
      <c r="LB277" s="44"/>
      <c r="LC277" s="44"/>
      <c r="LD277" s="44"/>
      <c r="LE277" s="44"/>
      <c r="LF277" s="44"/>
      <c r="LG277" s="44"/>
      <c r="LH277" s="44"/>
      <c r="LI277" s="44"/>
      <c r="LJ277" s="44"/>
      <c r="LK277" s="44"/>
      <c r="LL277" s="44"/>
      <c r="LM277" s="44"/>
      <c r="LN277" s="44"/>
      <c r="LO277" s="44"/>
      <c r="LP277" s="44"/>
      <c r="LQ277" s="44"/>
      <c r="LR277" s="44"/>
      <c r="LS277" s="44"/>
      <c r="LT277" s="44"/>
      <c r="LU277" s="44"/>
      <c r="LV277" s="44"/>
      <c r="LW277" s="44"/>
      <c r="LX277" s="44"/>
      <c r="LY277" s="44"/>
      <c r="LZ277" s="44"/>
      <c r="MA277" s="44"/>
      <c r="MB277" s="44"/>
      <c r="MC277" s="44"/>
      <c r="MD277" s="44"/>
      <c r="ME277" s="44"/>
      <c r="MF277" s="44"/>
      <c r="MG277" s="44"/>
      <c r="MH277" s="44"/>
      <c r="MI277" s="44"/>
      <c r="MJ277" s="44"/>
      <c r="MK277" s="44"/>
      <c r="ML277" s="44"/>
      <c r="MM277" s="44"/>
      <c r="MN277" s="44"/>
      <c r="MO277" s="44"/>
      <c r="MP277" s="44"/>
      <c r="MQ277" s="44"/>
      <c r="MR277" s="44"/>
      <c r="MS277" s="44"/>
      <c r="MT277" s="44"/>
      <c r="MU277" s="44"/>
      <c r="MV277" s="44"/>
      <c r="MW277" s="44"/>
      <c r="MX277" s="44"/>
      <c r="MY277" s="44"/>
      <c r="MZ277" s="44"/>
      <c r="NA277" s="44"/>
      <c r="NB277" s="44"/>
      <c r="NC277" s="44"/>
      <c r="ND277" s="44"/>
      <c r="NE277" s="44"/>
      <c r="NF277" s="44"/>
      <c r="NG277" s="44"/>
      <c r="NH277" s="44"/>
      <c r="NI277" s="44"/>
      <c r="NJ277" s="44"/>
      <c r="NK277" s="44"/>
      <c r="NL277" s="44"/>
      <c r="NM277" s="44"/>
      <c r="NN277" s="44"/>
      <c r="NO277" s="44"/>
    </row>
    <row r="278" spans="1:379" s="77" customFormat="1">
      <c r="A278" s="92" t="str">
        <f>'Ontario Total'!A278</f>
        <v>Air-Cooled Ice Machine</v>
      </c>
      <c r="B278" s="628">
        <f>Chino!N243</f>
        <v>0</v>
      </c>
      <c r="C278" s="629"/>
      <c r="D278" s="1040">
        <f t="shared" si="71"/>
        <v>0</v>
      </c>
      <c r="E278" s="899"/>
      <c r="F278" s="1033">
        <f t="shared" si="72"/>
        <v>0</v>
      </c>
      <c r="G278" s="1034"/>
      <c r="H278" s="218">
        <f t="shared" si="73"/>
        <v>0</v>
      </c>
      <c r="I278" s="97">
        <v>0</v>
      </c>
      <c r="J278" s="97">
        <v>0</v>
      </c>
      <c r="K278" s="97">
        <v>0</v>
      </c>
      <c r="L278" s="97">
        <f t="shared" si="74"/>
        <v>0</v>
      </c>
      <c r="M278" s="724">
        <f t="shared" si="70"/>
        <v>0</v>
      </c>
      <c r="N278" s="698"/>
      <c r="O278" s="75"/>
      <c r="P278" s="75"/>
      <c r="Q278" s="75"/>
      <c r="R278" s="75"/>
      <c r="S278" s="75"/>
      <c r="T278" s="75"/>
      <c r="U278" s="75"/>
      <c r="V278" s="44"/>
      <c r="W278" s="44"/>
      <c r="X278" s="44"/>
      <c r="Y278" s="44"/>
      <c r="Z278" s="44"/>
      <c r="AA278" s="44"/>
      <c r="AB278" s="44"/>
      <c r="AC278" s="44"/>
      <c r="AD278" s="44"/>
      <c r="AE278" s="44"/>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c r="BH278" s="44"/>
      <c r="BI278" s="44"/>
      <c r="BJ278" s="44"/>
      <c r="BK278" s="44"/>
      <c r="BL278" s="44"/>
      <c r="BM278" s="44"/>
      <c r="BN278" s="44"/>
      <c r="BO278" s="44"/>
      <c r="BP278" s="44"/>
      <c r="BQ278" s="44"/>
      <c r="BR278" s="44"/>
      <c r="BS278" s="44"/>
      <c r="BT278" s="44"/>
      <c r="BU278" s="44"/>
      <c r="BV278" s="44"/>
      <c r="BW278" s="44"/>
      <c r="BX278" s="44"/>
      <c r="BY278" s="44"/>
      <c r="BZ278" s="44"/>
      <c r="CA278" s="44"/>
      <c r="CB278" s="44"/>
      <c r="CC278" s="44"/>
      <c r="CD278" s="44"/>
      <c r="CE278" s="44"/>
      <c r="CF278" s="44"/>
      <c r="CG278" s="44"/>
      <c r="CH278" s="44"/>
      <c r="CI278" s="44"/>
      <c r="CJ278" s="44"/>
      <c r="CK278" s="44"/>
      <c r="CL278" s="44"/>
      <c r="CM278" s="44"/>
      <c r="CN278" s="44"/>
      <c r="CO278" s="44"/>
      <c r="CP278" s="44"/>
      <c r="CQ278" s="44"/>
      <c r="CR278" s="44"/>
      <c r="CS278" s="44"/>
      <c r="CT278" s="44"/>
      <c r="CU278" s="44"/>
      <c r="CV278" s="44"/>
      <c r="CW278" s="44"/>
      <c r="CX278" s="44"/>
      <c r="CY278" s="44"/>
      <c r="CZ278" s="44"/>
      <c r="DA278" s="44"/>
      <c r="DB278" s="44"/>
      <c r="DC278" s="44"/>
      <c r="DD278" s="44"/>
      <c r="DE278" s="44"/>
      <c r="DF278" s="44"/>
      <c r="DG278" s="44"/>
      <c r="DH278" s="44"/>
      <c r="DI278" s="44"/>
      <c r="DJ278" s="44"/>
      <c r="DK278" s="44"/>
      <c r="DL278" s="44"/>
      <c r="DM278" s="44"/>
      <c r="DN278" s="44"/>
      <c r="DO278" s="44"/>
      <c r="DP278" s="44"/>
      <c r="DQ278" s="44"/>
      <c r="DR278" s="44"/>
      <c r="DS278" s="44"/>
      <c r="DT278" s="44"/>
      <c r="DU278" s="44"/>
      <c r="DV278" s="44"/>
      <c r="DW278" s="44"/>
      <c r="DX278" s="44"/>
      <c r="DY278" s="44"/>
      <c r="DZ278" s="44"/>
      <c r="EA278" s="44"/>
      <c r="EB278" s="44"/>
      <c r="EC278" s="44"/>
      <c r="ED278" s="44"/>
      <c r="EE278" s="44"/>
      <c r="EF278" s="44"/>
      <c r="EG278" s="44"/>
      <c r="EH278" s="44"/>
      <c r="EI278" s="44"/>
      <c r="EJ278" s="44"/>
      <c r="EK278" s="44"/>
      <c r="EL278" s="44"/>
      <c r="EM278" s="44"/>
      <c r="EN278" s="44"/>
      <c r="EO278" s="44"/>
      <c r="EP278" s="44"/>
      <c r="EQ278" s="44"/>
      <c r="ER278" s="44"/>
      <c r="ES278" s="44"/>
      <c r="ET278" s="44"/>
      <c r="EU278" s="44"/>
      <c r="EV278" s="44"/>
      <c r="EW278" s="44"/>
      <c r="EX278" s="44"/>
      <c r="EY278" s="44"/>
      <c r="EZ278" s="44"/>
      <c r="FA278" s="44"/>
      <c r="FB278" s="44"/>
      <c r="FC278" s="44"/>
      <c r="FD278" s="44"/>
      <c r="FE278" s="44"/>
      <c r="FF278" s="44"/>
      <c r="FG278" s="44"/>
      <c r="FH278" s="44"/>
      <c r="FI278" s="44"/>
      <c r="FJ278" s="44"/>
      <c r="FK278" s="44"/>
      <c r="FL278" s="44"/>
      <c r="FM278" s="44"/>
      <c r="FN278" s="44"/>
      <c r="FO278" s="44"/>
      <c r="FP278" s="44"/>
      <c r="FQ278" s="44"/>
      <c r="FR278" s="44"/>
      <c r="FS278" s="44"/>
      <c r="FT278" s="44"/>
      <c r="FU278" s="44"/>
      <c r="FV278" s="44"/>
      <c r="FW278" s="44"/>
      <c r="FX278" s="44"/>
      <c r="FY278" s="44"/>
      <c r="FZ278" s="44"/>
      <c r="GA278" s="44"/>
      <c r="GB278" s="44"/>
      <c r="GC278" s="44"/>
      <c r="GD278" s="44"/>
      <c r="GE278" s="44"/>
      <c r="GF278" s="44"/>
      <c r="GG278" s="44"/>
      <c r="GH278" s="44"/>
      <c r="GI278" s="44"/>
      <c r="GJ278" s="44"/>
      <c r="GK278" s="44"/>
      <c r="GL278" s="44"/>
      <c r="GM278" s="44"/>
      <c r="GN278" s="44"/>
      <c r="GO278" s="44"/>
      <c r="GP278" s="44"/>
      <c r="GQ278" s="44"/>
      <c r="GR278" s="44"/>
      <c r="GS278" s="44"/>
      <c r="GT278" s="44"/>
      <c r="GU278" s="44"/>
      <c r="GV278" s="44"/>
      <c r="GW278" s="44"/>
      <c r="GX278" s="44"/>
      <c r="GY278" s="44"/>
      <c r="GZ278" s="44"/>
      <c r="HA278" s="44"/>
      <c r="HB278" s="44"/>
      <c r="HC278" s="44"/>
      <c r="HD278" s="44"/>
      <c r="HE278" s="44"/>
      <c r="HF278" s="44"/>
      <c r="HG278" s="44"/>
      <c r="HH278" s="44"/>
      <c r="HI278" s="44"/>
      <c r="HJ278" s="44"/>
      <c r="HK278" s="44"/>
      <c r="HL278" s="44"/>
      <c r="HM278" s="44"/>
      <c r="HN278" s="44"/>
      <c r="HO278" s="44"/>
      <c r="HP278" s="44"/>
      <c r="HQ278" s="44"/>
      <c r="HR278" s="44"/>
      <c r="HS278" s="44"/>
      <c r="HT278" s="44"/>
      <c r="HU278" s="44"/>
      <c r="HV278" s="44"/>
      <c r="HW278" s="44"/>
      <c r="HX278" s="44"/>
      <c r="HY278" s="44"/>
      <c r="HZ278" s="44"/>
      <c r="IA278" s="44"/>
      <c r="IB278" s="44"/>
      <c r="IC278" s="44"/>
      <c r="ID278" s="44"/>
      <c r="IE278" s="44"/>
      <c r="IF278" s="44"/>
      <c r="IG278" s="44"/>
      <c r="IH278" s="44"/>
      <c r="II278" s="44"/>
      <c r="IJ278" s="44"/>
      <c r="IK278" s="44"/>
      <c r="IL278" s="44"/>
      <c r="IM278" s="44"/>
      <c r="IN278" s="44"/>
      <c r="IO278" s="44"/>
      <c r="IP278" s="44"/>
      <c r="IQ278" s="44"/>
      <c r="IR278" s="44"/>
      <c r="IS278" s="44"/>
      <c r="IT278" s="44"/>
      <c r="IU278" s="44"/>
      <c r="IV278" s="44"/>
      <c r="IW278" s="44"/>
      <c r="IX278" s="44"/>
      <c r="IY278" s="44"/>
      <c r="IZ278" s="44"/>
      <c r="JA278" s="44"/>
      <c r="JB278" s="44"/>
      <c r="JC278" s="44"/>
      <c r="JD278" s="44"/>
      <c r="JE278" s="44"/>
      <c r="JF278" s="44"/>
      <c r="JG278" s="44"/>
      <c r="JH278" s="44"/>
      <c r="JI278" s="44"/>
      <c r="JJ278" s="44"/>
      <c r="JK278" s="44"/>
      <c r="JL278" s="44"/>
      <c r="JM278" s="44"/>
      <c r="JN278" s="44"/>
      <c r="JO278" s="44"/>
      <c r="JP278" s="44"/>
      <c r="JQ278" s="44"/>
      <c r="JR278" s="44"/>
      <c r="JS278" s="44"/>
      <c r="JT278" s="44"/>
      <c r="JU278" s="44"/>
      <c r="JV278" s="44"/>
      <c r="JW278" s="44"/>
      <c r="JX278" s="44"/>
      <c r="JY278" s="44"/>
      <c r="JZ278" s="44"/>
      <c r="KA278" s="44"/>
      <c r="KB278" s="44"/>
      <c r="KC278" s="44"/>
      <c r="KD278" s="44"/>
      <c r="KE278" s="44"/>
      <c r="KF278" s="44"/>
      <c r="KG278" s="44"/>
      <c r="KH278" s="44"/>
      <c r="KI278" s="44"/>
      <c r="KJ278" s="44"/>
      <c r="KK278" s="44"/>
      <c r="KL278" s="44"/>
      <c r="KM278" s="44"/>
      <c r="KN278" s="44"/>
      <c r="KO278" s="44"/>
      <c r="KP278" s="44"/>
      <c r="KQ278" s="44"/>
      <c r="KR278" s="44"/>
      <c r="KS278" s="44"/>
      <c r="KT278" s="44"/>
      <c r="KU278" s="44"/>
      <c r="KV278" s="44"/>
      <c r="KW278" s="44"/>
      <c r="KX278" s="44"/>
      <c r="KY278" s="44"/>
      <c r="KZ278" s="44"/>
      <c r="LA278" s="44"/>
      <c r="LB278" s="44"/>
      <c r="LC278" s="44"/>
      <c r="LD278" s="44"/>
      <c r="LE278" s="44"/>
      <c r="LF278" s="44"/>
      <c r="LG278" s="44"/>
      <c r="LH278" s="44"/>
      <c r="LI278" s="44"/>
      <c r="LJ278" s="44"/>
      <c r="LK278" s="44"/>
      <c r="LL278" s="44"/>
      <c r="LM278" s="44"/>
      <c r="LN278" s="44"/>
      <c r="LO278" s="44"/>
      <c r="LP278" s="44"/>
      <c r="LQ278" s="44"/>
      <c r="LR278" s="44"/>
      <c r="LS278" s="44"/>
      <c r="LT278" s="44"/>
      <c r="LU278" s="44"/>
      <c r="LV278" s="44"/>
      <c r="LW278" s="44"/>
      <c r="LX278" s="44"/>
      <c r="LY278" s="44"/>
      <c r="LZ278" s="44"/>
      <c r="MA278" s="44"/>
      <c r="MB278" s="44"/>
      <c r="MC278" s="44"/>
      <c r="MD278" s="44"/>
      <c r="ME278" s="44"/>
      <c r="MF278" s="44"/>
      <c r="MG278" s="44"/>
      <c r="MH278" s="44"/>
      <c r="MI278" s="44"/>
      <c r="MJ278" s="44"/>
      <c r="MK278" s="44"/>
      <c r="ML278" s="44"/>
      <c r="MM278" s="44"/>
      <c r="MN278" s="44"/>
      <c r="MO278" s="44"/>
      <c r="MP278" s="44"/>
      <c r="MQ278" s="44"/>
      <c r="MR278" s="44"/>
      <c r="MS278" s="44"/>
      <c r="MT278" s="44"/>
      <c r="MU278" s="44"/>
      <c r="MV278" s="44"/>
      <c r="MW278" s="44"/>
      <c r="MX278" s="44"/>
      <c r="MY278" s="44"/>
      <c r="MZ278" s="44"/>
      <c r="NA278" s="44"/>
      <c r="NB278" s="44"/>
      <c r="NC278" s="44"/>
      <c r="ND278" s="44"/>
      <c r="NE278" s="44"/>
      <c r="NF278" s="44"/>
      <c r="NG278" s="44"/>
      <c r="NH278" s="44"/>
      <c r="NI278" s="44"/>
      <c r="NJ278" s="44"/>
      <c r="NK278" s="44"/>
      <c r="NL278" s="44"/>
      <c r="NM278" s="44"/>
      <c r="NN278" s="44"/>
      <c r="NO278" s="44"/>
    </row>
    <row r="279" spans="1:379" s="77" customFormat="1" ht="14" thickBot="1">
      <c r="A279" s="92" t="s">
        <v>146</v>
      </c>
      <c r="B279" s="900">
        <f>Chino!N244</f>
        <v>0</v>
      </c>
      <c r="C279" s="901"/>
      <c r="D279" s="1036">
        <f t="shared" si="71"/>
        <v>0</v>
      </c>
      <c r="E279" s="1037"/>
      <c r="F279" s="1038">
        <f t="shared" si="72"/>
        <v>0</v>
      </c>
      <c r="G279" s="1039"/>
      <c r="H279" s="218">
        <f t="shared" si="73"/>
        <v>0</v>
      </c>
      <c r="I279" s="97">
        <v>0</v>
      </c>
      <c r="J279" s="97">
        <v>0</v>
      </c>
      <c r="K279" s="97">
        <v>0</v>
      </c>
      <c r="L279" s="97">
        <f t="shared" si="74"/>
        <v>0</v>
      </c>
      <c r="M279" s="724">
        <f t="shared" si="70"/>
        <v>0</v>
      </c>
      <c r="N279" s="698"/>
      <c r="O279" s="75"/>
      <c r="P279" s="75"/>
      <c r="Q279" s="75"/>
      <c r="R279" s="75"/>
      <c r="S279" s="75"/>
      <c r="T279" s="75"/>
      <c r="U279" s="75"/>
      <c r="V279" s="44"/>
      <c r="W279" s="44"/>
      <c r="X279" s="44"/>
      <c r="Y279" s="44"/>
      <c r="Z279" s="44"/>
      <c r="AA279" s="44"/>
      <c r="AB279" s="44"/>
      <c r="AC279" s="44"/>
      <c r="AD279" s="44"/>
      <c r="AE279" s="44"/>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c r="BH279" s="44"/>
      <c r="BI279" s="44"/>
      <c r="BJ279" s="44"/>
      <c r="BK279" s="44"/>
      <c r="BL279" s="44"/>
      <c r="BM279" s="44"/>
      <c r="BN279" s="44"/>
      <c r="BO279" s="44"/>
      <c r="BP279" s="44"/>
      <c r="BQ279" s="44"/>
      <c r="BR279" s="44"/>
      <c r="BS279" s="44"/>
      <c r="BT279" s="44"/>
      <c r="BU279" s="44"/>
      <c r="BV279" s="44"/>
      <c r="BW279" s="44"/>
      <c r="BX279" s="44"/>
      <c r="BY279" s="44"/>
      <c r="BZ279" s="44"/>
      <c r="CA279" s="44"/>
      <c r="CB279" s="44"/>
      <c r="CC279" s="44"/>
      <c r="CD279" s="44"/>
      <c r="CE279" s="44"/>
      <c r="CF279" s="44"/>
      <c r="CG279" s="44"/>
      <c r="CH279" s="44"/>
      <c r="CI279" s="44"/>
      <c r="CJ279" s="44"/>
      <c r="CK279" s="44"/>
      <c r="CL279" s="44"/>
      <c r="CM279" s="44"/>
      <c r="CN279" s="44"/>
      <c r="CO279" s="44"/>
      <c r="CP279" s="44"/>
      <c r="CQ279" s="44"/>
      <c r="CR279" s="44"/>
      <c r="CS279" s="44"/>
      <c r="CT279" s="44"/>
      <c r="CU279" s="44"/>
      <c r="CV279" s="44"/>
      <c r="CW279" s="44"/>
      <c r="CX279" s="44"/>
      <c r="CY279" s="44"/>
      <c r="CZ279" s="44"/>
      <c r="DA279" s="44"/>
      <c r="DB279" s="44"/>
      <c r="DC279" s="44"/>
      <c r="DD279" s="44"/>
      <c r="DE279" s="44"/>
      <c r="DF279" s="44"/>
      <c r="DG279" s="44"/>
      <c r="DH279" s="44"/>
      <c r="DI279" s="44"/>
      <c r="DJ279" s="44"/>
      <c r="DK279" s="44"/>
      <c r="DL279" s="44"/>
      <c r="DM279" s="44"/>
      <c r="DN279" s="44"/>
      <c r="DO279" s="44"/>
      <c r="DP279" s="44"/>
      <c r="DQ279" s="44"/>
      <c r="DR279" s="44"/>
      <c r="DS279" s="44"/>
      <c r="DT279" s="44"/>
      <c r="DU279" s="44"/>
      <c r="DV279" s="44"/>
      <c r="DW279" s="44"/>
      <c r="DX279" s="44"/>
      <c r="DY279" s="44"/>
      <c r="DZ279" s="44"/>
      <c r="EA279" s="44"/>
      <c r="EB279" s="44"/>
      <c r="EC279" s="44"/>
      <c r="ED279" s="44"/>
      <c r="EE279" s="44"/>
      <c r="EF279" s="44"/>
      <c r="EG279" s="44"/>
      <c r="EH279" s="44"/>
      <c r="EI279" s="44"/>
      <c r="EJ279" s="44"/>
      <c r="EK279" s="44"/>
      <c r="EL279" s="44"/>
      <c r="EM279" s="44"/>
      <c r="EN279" s="44"/>
      <c r="EO279" s="44"/>
      <c r="EP279" s="44"/>
      <c r="EQ279" s="44"/>
      <c r="ER279" s="44"/>
      <c r="ES279" s="44"/>
      <c r="ET279" s="44"/>
      <c r="EU279" s="44"/>
      <c r="EV279" s="44"/>
      <c r="EW279" s="44"/>
      <c r="EX279" s="44"/>
      <c r="EY279" s="44"/>
      <c r="EZ279" s="44"/>
      <c r="FA279" s="44"/>
      <c r="FB279" s="44"/>
      <c r="FC279" s="44"/>
      <c r="FD279" s="44"/>
      <c r="FE279" s="44"/>
      <c r="FF279" s="44"/>
      <c r="FG279" s="44"/>
      <c r="FH279" s="44"/>
      <c r="FI279" s="44"/>
      <c r="FJ279" s="44"/>
      <c r="FK279" s="44"/>
      <c r="FL279" s="44"/>
      <c r="FM279" s="44"/>
      <c r="FN279" s="44"/>
      <c r="FO279" s="44"/>
      <c r="FP279" s="44"/>
      <c r="FQ279" s="44"/>
      <c r="FR279" s="44"/>
      <c r="FS279" s="44"/>
      <c r="FT279" s="44"/>
      <c r="FU279" s="44"/>
      <c r="FV279" s="44"/>
      <c r="FW279" s="44"/>
      <c r="FX279" s="44"/>
      <c r="FY279" s="44"/>
      <c r="FZ279" s="44"/>
      <c r="GA279" s="44"/>
      <c r="GB279" s="44"/>
      <c r="GC279" s="44"/>
      <c r="GD279" s="44"/>
      <c r="GE279" s="44"/>
      <c r="GF279" s="44"/>
      <c r="GG279" s="44"/>
      <c r="GH279" s="44"/>
      <c r="GI279" s="44"/>
      <c r="GJ279" s="44"/>
      <c r="GK279" s="44"/>
      <c r="GL279" s="44"/>
      <c r="GM279" s="44"/>
      <c r="GN279" s="44"/>
      <c r="GO279" s="44"/>
      <c r="GP279" s="44"/>
      <c r="GQ279" s="44"/>
      <c r="GR279" s="44"/>
      <c r="GS279" s="44"/>
      <c r="GT279" s="44"/>
      <c r="GU279" s="44"/>
      <c r="GV279" s="44"/>
      <c r="GW279" s="44"/>
      <c r="GX279" s="44"/>
      <c r="GY279" s="44"/>
      <c r="GZ279" s="44"/>
      <c r="HA279" s="44"/>
      <c r="HB279" s="44"/>
      <c r="HC279" s="44"/>
      <c r="HD279" s="44"/>
      <c r="HE279" s="44"/>
      <c r="HF279" s="44"/>
      <c r="HG279" s="44"/>
      <c r="HH279" s="44"/>
      <c r="HI279" s="44"/>
      <c r="HJ279" s="44"/>
      <c r="HK279" s="44"/>
      <c r="HL279" s="44"/>
      <c r="HM279" s="44"/>
      <c r="HN279" s="44"/>
      <c r="HO279" s="44"/>
      <c r="HP279" s="44"/>
      <c r="HQ279" s="44"/>
      <c r="HR279" s="44"/>
      <c r="HS279" s="44"/>
      <c r="HT279" s="44"/>
      <c r="HU279" s="44"/>
      <c r="HV279" s="44"/>
      <c r="HW279" s="44"/>
      <c r="HX279" s="44"/>
      <c r="HY279" s="44"/>
      <c r="HZ279" s="44"/>
      <c r="IA279" s="44"/>
      <c r="IB279" s="44"/>
      <c r="IC279" s="44"/>
      <c r="ID279" s="44"/>
      <c r="IE279" s="44"/>
      <c r="IF279" s="44"/>
      <c r="IG279" s="44"/>
      <c r="IH279" s="44"/>
      <c r="II279" s="44"/>
      <c r="IJ279" s="44"/>
      <c r="IK279" s="44"/>
      <c r="IL279" s="44"/>
      <c r="IM279" s="44"/>
      <c r="IN279" s="44"/>
      <c r="IO279" s="44"/>
      <c r="IP279" s="44"/>
      <c r="IQ279" s="44"/>
      <c r="IR279" s="44"/>
      <c r="IS279" s="44"/>
      <c r="IT279" s="44"/>
      <c r="IU279" s="44"/>
      <c r="IV279" s="44"/>
      <c r="IW279" s="44"/>
      <c r="IX279" s="44"/>
      <c r="IY279" s="44"/>
      <c r="IZ279" s="44"/>
      <c r="JA279" s="44"/>
      <c r="JB279" s="44"/>
      <c r="JC279" s="44"/>
      <c r="JD279" s="44"/>
      <c r="JE279" s="44"/>
      <c r="JF279" s="44"/>
      <c r="JG279" s="44"/>
      <c r="JH279" s="44"/>
      <c r="JI279" s="44"/>
      <c r="JJ279" s="44"/>
      <c r="JK279" s="44"/>
      <c r="JL279" s="44"/>
      <c r="JM279" s="44"/>
      <c r="JN279" s="44"/>
      <c r="JO279" s="44"/>
      <c r="JP279" s="44"/>
      <c r="JQ279" s="44"/>
      <c r="JR279" s="44"/>
      <c r="JS279" s="44"/>
      <c r="JT279" s="44"/>
      <c r="JU279" s="44"/>
      <c r="JV279" s="44"/>
      <c r="JW279" s="44"/>
      <c r="JX279" s="44"/>
      <c r="JY279" s="44"/>
      <c r="JZ279" s="44"/>
      <c r="KA279" s="44"/>
      <c r="KB279" s="44"/>
      <c r="KC279" s="44"/>
      <c r="KD279" s="44"/>
      <c r="KE279" s="44"/>
      <c r="KF279" s="44"/>
      <c r="KG279" s="44"/>
      <c r="KH279" s="44"/>
      <c r="KI279" s="44"/>
      <c r="KJ279" s="44"/>
      <c r="KK279" s="44"/>
      <c r="KL279" s="44"/>
      <c r="KM279" s="44"/>
      <c r="KN279" s="44"/>
      <c r="KO279" s="44"/>
      <c r="KP279" s="44"/>
      <c r="KQ279" s="44"/>
      <c r="KR279" s="44"/>
      <c r="KS279" s="44"/>
      <c r="KT279" s="44"/>
      <c r="KU279" s="44"/>
      <c r="KV279" s="44"/>
      <c r="KW279" s="44"/>
      <c r="KX279" s="44"/>
      <c r="KY279" s="44"/>
      <c r="KZ279" s="44"/>
      <c r="LA279" s="44"/>
      <c r="LB279" s="44"/>
      <c r="LC279" s="44"/>
      <c r="LD279" s="44"/>
      <c r="LE279" s="44"/>
      <c r="LF279" s="44"/>
      <c r="LG279" s="44"/>
      <c r="LH279" s="44"/>
      <c r="LI279" s="44"/>
      <c r="LJ279" s="44"/>
      <c r="LK279" s="44"/>
      <c r="LL279" s="44"/>
      <c r="LM279" s="44"/>
      <c r="LN279" s="44"/>
      <c r="LO279" s="44"/>
      <c r="LP279" s="44"/>
      <c r="LQ279" s="44"/>
      <c r="LR279" s="44"/>
      <c r="LS279" s="44"/>
      <c r="LT279" s="44"/>
      <c r="LU279" s="44"/>
      <c r="LV279" s="44"/>
      <c r="LW279" s="44"/>
      <c r="LX279" s="44"/>
      <c r="LY279" s="44"/>
      <c r="LZ279" s="44"/>
      <c r="MA279" s="44"/>
      <c r="MB279" s="44"/>
      <c r="MC279" s="44"/>
      <c r="MD279" s="44"/>
      <c r="ME279" s="44"/>
      <c r="MF279" s="44"/>
      <c r="MG279" s="44"/>
      <c r="MH279" s="44"/>
      <c r="MI279" s="44"/>
      <c r="MJ279" s="44"/>
      <c r="MK279" s="44"/>
      <c r="ML279" s="44"/>
      <c r="MM279" s="44"/>
      <c r="MN279" s="44"/>
      <c r="MO279" s="44"/>
      <c r="MP279" s="44"/>
      <c r="MQ279" s="44"/>
      <c r="MR279" s="44"/>
      <c r="MS279" s="44"/>
      <c r="MT279" s="44"/>
      <c r="MU279" s="44"/>
      <c r="MV279" s="44"/>
      <c r="MW279" s="44"/>
      <c r="MX279" s="44"/>
      <c r="MY279" s="44"/>
      <c r="MZ279" s="44"/>
      <c r="NA279" s="44"/>
      <c r="NB279" s="44"/>
      <c r="NC279" s="44"/>
      <c r="ND279" s="44"/>
      <c r="NE279" s="44"/>
      <c r="NF279" s="44"/>
      <c r="NG279" s="44"/>
      <c r="NH279" s="44"/>
      <c r="NI279" s="44"/>
      <c r="NJ279" s="44"/>
      <c r="NK279" s="44"/>
      <c r="NL279" s="44"/>
      <c r="NM279" s="44"/>
      <c r="NN279" s="44"/>
      <c r="NO279" s="44"/>
    </row>
    <row r="280" spans="1:379" s="530" customFormat="1" ht="17" thickBot="1">
      <c r="A280" s="71" t="str">
        <f>'Ontario Total'!A280</f>
        <v>IEUA Locally Implemented Commercial Programs</v>
      </c>
      <c r="B280" s="662"/>
      <c r="C280" s="716"/>
      <c r="D280" s="729"/>
      <c r="E280" s="716"/>
      <c r="F280" s="717"/>
      <c r="G280" s="718"/>
      <c r="H280" s="216"/>
      <c r="I280" s="115"/>
      <c r="J280" s="112"/>
      <c r="K280" s="112"/>
      <c r="L280" s="112"/>
      <c r="M280" s="688"/>
      <c r="N280" s="689"/>
      <c r="O280" s="135"/>
      <c r="P280" s="135"/>
      <c r="Q280" s="135"/>
      <c r="R280" s="135"/>
      <c r="S280" s="135"/>
      <c r="T280" s="135"/>
      <c r="U280" s="135"/>
    </row>
    <row r="281" spans="1:379" hidden="1">
      <c r="A281" s="24" t="str">
        <f>'Ontario Total'!A281</f>
        <v>Fontana Unified School Retrofit Program</v>
      </c>
      <c r="B281" s="628">
        <f>Chino!N246</f>
        <v>0</v>
      </c>
      <c r="C281" s="629"/>
      <c r="D281" s="895">
        <f>F281*325851</f>
        <v>0</v>
      </c>
      <c r="E281" s="629"/>
      <c r="F281" s="1029">
        <f>0.018*B281</f>
        <v>0</v>
      </c>
      <c r="G281" s="904"/>
      <c r="H281" s="213">
        <f>F281*10</f>
        <v>0</v>
      </c>
      <c r="I281" s="114"/>
      <c r="J281" s="114"/>
      <c r="K281" s="114"/>
      <c r="L281" s="97">
        <f>SUM(I281:K281)</f>
        <v>0</v>
      </c>
      <c r="M281" s="724">
        <f>IF(ISERROR(L281/(F281*727)),0,L281/(F281*727))</f>
        <v>0</v>
      </c>
      <c r="N281" s="698"/>
    </row>
    <row r="282" spans="1:379" ht="14" thickBot="1">
      <c r="A282" s="24" t="s">
        <v>113</v>
      </c>
      <c r="B282" s="628">
        <f>Chino!N247</f>
        <v>660</v>
      </c>
      <c r="C282" s="629"/>
      <c r="D282" s="895">
        <f>F282*325851</f>
        <v>860246.64</v>
      </c>
      <c r="E282" s="629"/>
      <c r="F282" s="1029">
        <f>0.004*B282</f>
        <v>2.64</v>
      </c>
      <c r="G282" s="904"/>
      <c r="H282" s="213">
        <f>F282*5</f>
        <v>13.200000000000001</v>
      </c>
      <c r="I282" s="97">
        <v>0</v>
      </c>
      <c r="J282" s="97">
        <f>0*B282</f>
        <v>0</v>
      </c>
      <c r="K282" s="97">
        <f>3.25*B282</f>
        <v>2145</v>
      </c>
      <c r="L282" s="96">
        <f>SUM(I282:K282)</f>
        <v>2145</v>
      </c>
      <c r="M282" s="724">
        <f>IF(ISERROR(L282/(F282*752)),0,L282/(F282*752))</f>
        <v>1.0804521276595744</v>
      </c>
      <c r="N282" s="698"/>
    </row>
    <row r="283" spans="1:379" s="275" customFormat="1" ht="14" thickBot="1">
      <c r="A283" s="40" t="s">
        <v>60</v>
      </c>
      <c r="B283" s="642">
        <f>SUM(B266:C282)</f>
        <v>717</v>
      </c>
      <c r="C283" s="706"/>
      <c r="D283" s="644">
        <f>SUM(D266:E282)</f>
        <v>1352933.352</v>
      </c>
      <c r="E283" s="706"/>
      <c r="F283" s="707">
        <f>SUM(F266:G282)</f>
        <v>4.1520000000000001</v>
      </c>
      <c r="G283" s="708"/>
      <c r="H283" s="217">
        <f>SUM(H266:H282)</f>
        <v>27.26</v>
      </c>
      <c r="I283" s="91">
        <v>0</v>
      </c>
      <c r="J283" s="86">
        <f>SUM(J266:J282)</f>
        <v>819</v>
      </c>
      <c r="K283" s="91">
        <f>SUM(K266:K282)</f>
        <v>3813</v>
      </c>
      <c r="L283" s="86">
        <f>SUM(L266:L282)</f>
        <v>4633</v>
      </c>
      <c r="M283" s="646"/>
      <c r="N283" s="1035"/>
      <c r="O283" s="276"/>
      <c r="P283" s="276"/>
      <c r="Q283" s="276"/>
      <c r="R283" s="276"/>
      <c r="S283" s="276"/>
      <c r="T283" s="276"/>
      <c r="U283" s="276"/>
    </row>
    <row r="284" spans="1:379" s="534" customFormat="1" ht="17" thickBot="1">
      <c r="A284" s="531" t="s">
        <v>17</v>
      </c>
      <c r="B284" s="621">
        <f>SUM(B260+B264+B283)</f>
        <v>1133</v>
      </c>
      <c r="C284" s="622"/>
      <c r="D284" s="711">
        <f>SUM(D260+D264+D283)</f>
        <v>2869337.4704999998</v>
      </c>
      <c r="E284" s="622"/>
      <c r="F284" s="712">
        <f>SUM(F260+F264+F283)</f>
        <v>8.8053600000000003</v>
      </c>
      <c r="G284" s="713"/>
      <c r="H284" s="541">
        <f>SUM(,H260,H264,H283)</f>
        <v>83.328600000000009</v>
      </c>
      <c r="I284" s="535">
        <f>SUM(I260+I264+I283)</f>
        <v>0</v>
      </c>
      <c r="J284" s="535">
        <f>SUM(J260+J264+J283)</f>
        <v>15853</v>
      </c>
      <c r="K284" s="535">
        <f>SUM(K260+K264+K283)</f>
        <v>21761</v>
      </c>
      <c r="L284" s="535">
        <f>SUM(L260+L264+L283)</f>
        <v>37615</v>
      </c>
      <c r="M284" s="624"/>
      <c r="N284" s="819"/>
      <c r="O284" s="75"/>
      <c r="P284" s="75"/>
      <c r="Q284" s="75"/>
      <c r="R284" s="75"/>
      <c r="S284" s="75"/>
      <c r="T284" s="75"/>
      <c r="U284" s="75"/>
    </row>
    <row r="285" spans="1:379">
      <c r="A285" s="39"/>
      <c r="B285" s="13"/>
      <c r="C285" s="13"/>
      <c r="D285" s="13"/>
      <c r="E285" s="13"/>
      <c r="F285" s="201"/>
      <c r="G285" s="201"/>
      <c r="H285" s="201"/>
      <c r="I285" s="14"/>
      <c r="J285" s="14"/>
      <c r="K285" s="14"/>
      <c r="L285" s="14"/>
      <c r="M285" s="102"/>
      <c r="N285" s="102"/>
    </row>
    <row r="286" spans="1:379" ht="15">
      <c r="A286" s="5" t="s">
        <v>18</v>
      </c>
      <c r="B286" s="626" t="s">
        <v>59</v>
      </c>
      <c r="C286" s="765"/>
      <c r="D286" s="765"/>
      <c r="E286" s="912"/>
      <c r="F286" s="201"/>
      <c r="G286" s="201"/>
      <c r="H286" s="201"/>
      <c r="I286" s="14"/>
      <c r="J286" s="14"/>
      <c r="K286" s="14"/>
      <c r="L286" s="14"/>
      <c r="M286" s="102"/>
      <c r="N286" s="102"/>
    </row>
    <row r="287" spans="1:379">
      <c r="B287" s="627" t="s">
        <v>19</v>
      </c>
      <c r="C287" s="627"/>
      <c r="D287" s="627"/>
      <c r="E287" s="627"/>
      <c r="F287" s="201"/>
      <c r="G287" s="201"/>
      <c r="H287" s="201"/>
      <c r="I287" s="14"/>
      <c r="J287" s="14"/>
      <c r="K287" s="14"/>
      <c r="L287" s="14"/>
      <c r="M287" s="102"/>
      <c r="N287" s="102"/>
    </row>
    <row r="288" spans="1:379" ht="14" thickBot="1">
      <c r="A288" s="332"/>
      <c r="B288" s="382"/>
      <c r="C288" s="382"/>
      <c r="D288" s="382"/>
      <c r="E288" s="382"/>
      <c r="F288" s="384"/>
      <c r="G288" s="384"/>
      <c r="H288" s="384"/>
      <c r="I288" s="14"/>
      <c r="J288" s="14"/>
      <c r="K288" s="14"/>
      <c r="L288" s="14"/>
      <c r="M288" s="382"/>
      <c r="N288" s="382"/>
    </row>
    <row r="289" spans="1:21" ht="16">
      <c r="A289" s="63"/>
      <c r="B289" s="64"/>
      <c r="C289" s="64"/>
      <c r="D289" s="64"/>
      <c r="E289" s="64"/>
      <c r="F289" s="200"/>
      <c r="G289" s="200"/>
      <c r="H289" s="200"/>
      <c r="I289" s="670" t="s">
        <v>0</v>
      </c>
      <c r="J289" s="670"/>
      <c r="K289" s="670"/>
      <c r="L289" s="670"/>
      <c r="M289" s="64"/>
      <c r="N289" s="65"/>
    </row>
    <row r="290" spans="1:21" ht="16">
      <c r="A290" s="62"/>
      <c r="B290" s="671" t="s">
        <v>1</v>
      </c>
      <c r="C290" s="671"/>
      <c r="D290" s="671" t="s">
        <v>2</v>
      </c>
      <c r="E290" s="671"/>
      <c r="F290" s="672" t="s">
        <v>3</v>
      </c>
      <c r="G290" s="672"/>
      <c r="H290" s="364" t="s">
        <v>3</v>
      </c>
      <c r="I290" s="78" t="s">
        <v>137</v>
      </c>
      <c r="J290" s="66"/>
      <c r="K290" s="66"/>
      <c r="L290" s="79"/>
      <c r="M290" s="671" t="s">
        <v>4</v>
      </c>
      <c r="N290" s="674"/>
    </row>
    <row r="291" spans="1:21" ht="19" thickBot="1">
      <c r="A291" s="67" t="s">
        <v>5</v>
      </c>
      <c r="B291" s="675" t="s">
        <v>6</v>
      </c>
      <c r="C291" s="675"/>
      <c r="D291" s="675" t="s">
        <v>7</v>
      </c>
      <c r="E291" s="675"/>
      <c r="F291" s="676" t="s">
        <v>7</v>
      </c>
      <c r="G291" s="676"/>
      <c r="H291" s="366" t="s">
        <v>58</v>
      </c>
      <c r="I291" s="367" t="s">
        <v>138</v>
      </c>
      <c r="J291" s="365" t="s">
        <v>8</v>
      </c>
      <c r="K291" s="365" t="s">
        <v>9</v>
      </c>
      <c r="L291" s="187" t="s">
        <v>10</v>
      </c>
      <c r="M291" s="675" t="s">
        <v>103</v>
      </c>
      <c r="N291" s="678"/>
    </row>
    <row r="292" spans="1:21" ht="24" thickBot="1">
      <c r="A292" s="60" t="s">
        <v>125</v>
      </c>
      <c r="B292" s="928"/>
      <c r="C292" s="680"/>
      <c r="D292" s="681"/>
      <c r="E292" s="682"/>
      <c r="F292" s="683"/>
      <c r="G292" s="684"/>
      <c r="H292" s="381"/>
      <c r="I292" s="3"/>
      <c r="J292" s="3"/>
      <c r="K292" s="3"/>
      <c r="L292" s="4"/>
      <c r="M292" s="929"/>
      <c r="N292" s="930"/>
    </row>
    <row r="293" spans="1:21" s="530" customFormat="1" ht="17" thickBot="1">
      <c r="A293" s="71" t="str">
        <f>'Ontario Total'!A293</f>
        <v>SoCal Water$mart Residential Rebates</v>
      </c>
      <c r="B293" s="662"/>
      <c r="C293" s="716"/>
      <c r="D293" s="663"/>
      <c r="E293" s="716"/>
      <c r="F293" s="717"/>
      <c r="G293" s="718"/>
      <c r="H293" s="524"/>
      <c r="I293" s="72"/>
      <c r="J293" s="72"/>
      <c r="K293" s="72"/>
      <c r="L293" s="521"/>
      <c r="M293" s="719"/>
      <c r="N293" s="689"/>
      <c r="O293" s="135"/>
      <c r="P293" s="135"/>
      <c r="Q293" s="135"/>
      <c r="R293" s="135"/>
      <c r="S293" s="135"/>
      <c r="T293" s="135"/>
      <c r="U293" s="135"/>
    </row>
    <row r="294" spans="1:21">
      <c r="A294" s="24" t="str">
        <f>'Ontario Total'!A294</f>
        <v>High Efficiency Toilets (HET)</v>
      </c>
      <c r="B294" s="628">
        <f>Chino!N178</f>
        <v>3</v>
      </c>
      <c r="C294" s="629"/>
      <c r="D294" s="924">
        <f>F294*325851</f>
        <v>41546.002500000002</v>
      </c>
      <c r="E294" s="925"/>
      <c r="F294" s="907">
        <f>0.0425*B294</f>
        <v>0.1275</v>
      </c>
      <c r="G294" s="908"/>
      <c r="H294" s="425">
        <f>F294*20</f>
        <v>2.5499999999999998</v>
      </c>
      <c r="I294" s="90">
        <v>0</v>
      </c>
      <c r="J294" s="87">
        <f>50*B294</f>
        <v>150</v>
      </c>
      <c r="K294" s="87">
        <f>B294*50</f>
        <v>150</v>
      </c>
      <c r="L294" s="88">
        <f t="shared" ref="L294:L301" si="75">I294+J294+K294</f>
        <v>300</v>
      </c>
      <c r="M294" s="905">
        <f>IF(ISERROR(L294/(F294*727)),0,L294/(F294*727))</f>
        <v>3.2365078080750873</v>
      </c>
      <c r="N294" s="906"/>
    </row>
    <row r="295" spans="1:21">
      <c r="A295" s="24" t="str">
        <f>'Ontario Total'!A295</f>
        <v>High Efficiency Clothes Washers (HECW)</v>
      </c>
      <c r="B295" s="628">
        <f>Chino!N179</f>
        <v>102</v>
      </c>
      <c r="C295" s="629"/>
      <c r="D295" s="636">
        <f>F295*325851</f>
        <v>917335.7352</v>
      </c>
      <c r="E295" s="629"/>
      <c r="F295" s="907">
        <f>0.0276*B295</f>
        <v>2.8151999999999999</v>
      </c>
      <c r="G295" s="908"/>
      <c r="H295" s="425">
        <f>F295*15</f>
        <v>42.228000000000002</v>
      </c>
      <c r="I295" s="90">
        <f>0*B295</f>
        <v>0</v>
      </c>
      <c r="J295" s="89">
        <f>B295*65</f>
        <v>6630</v>
      </c>
      <c r="K295" s="87">
        <f>B295*85</f>
        <v>8670</v>
      </c>
      <c r="L295" s="88">
        <f t="shared" si="75"/>
        <v>15300</v>
      </c>
      <c r="M295" s="905">
        <f t="shared" ref="M295:M301" si="76">IF(ISERROR(L295/(F295*727)),0,L295/(F295*727))</f>
        <v>7.4756294479995216</v>
      </c>
      <c r="N295" s="906"/>
    </row>
    <row r="296" spans="1:21">
      <c r="A296" s="24" t="str">
        <f>'Ontario Total'!A296</f>
        <v>Rotating Nozzles for Pop-up Spray Heads</v>
      </c>
      <c r="B296" s="628">
        <f>Chino!N180</f>
        <v>2</v>
      </c>
      <c r="C296" s="629"/>
      <c r="D296" s="636">
        <f>F296*325851</f>
        <v>2606.808</v>
      </c>
      <c r="E296" s="629"/>
      <c r="F296" s="907">
        <f>0.004*B296</f>
        <v>8.0000000000000002E-3</v>
      </c>
      <c r="G296" s="907"/>
      <c r="H296" s="414">
        <f>F296*5</f>
        <v>0.04</v>
      </c>
      <c r="I296" s="90">
        <f>0*B296</f>
        <v>0</v>
      </c>
      <c r="J296" s="87">
        <f>1*B296</f>
        <v>2</v>
      </c>
      <c r="K296" s="87">
        <f>B296*4</f>
        <v>8</v>
      </c>
      <c r="L296" s="88">
        <f t="shared" si="75"/>
        <v>10</v>
      </c>
      <c r="M296" s="905">
        <f t="shared" si="76"/>
        <v>1.71939477303989</v>
      </c>
      <c r="N296" s="906"/>
    </row>
    <row r="297" spans="1:21" ht="14" thickBot="1">
      <c r="A297" s="24" t="str">
        <f>'Ontario Total'!A297</f>
        <v>Weather based Irrigation Controllers (WBIC)</v>
      </c>
      <c r="B297" s="628">
        <f>Chino!N181</f>
        <v>3</v>
      </c>
      <c r="C297" s="629"/>
      <c r="D297" s="667">
        <f>F297*325851</f>
        <v>317704.72500000003</v>
      </c>
      <c r="E297" s="639"/>
      <c r="F297" s="913">
        <f>0.325*B297</f>
        <v>0.97500000000000009</v>
      </c>
      <c r="G297" s="913"/>
      <c r="H297" s="282">
        <f>F297*10</f>
        <v>9.75</v>
      </c>
      <c r="I297" s="90">
        <v>0</v>
      </c>
      <c r="J297" s="90">
        <f>70*B297</f>
        <v>210</v>
      </c>
      <c r="K297" s="90">
        <f>B297*80</f>
        <v>240</v>
      </c>
      <c r="L297" s="88">
        <f t="shared" si="75"/>
        <v>450</v>
      </c>
      <c r="M297" s="905">
        <f t="shared" si="76"/>
        <v>0.63485345466088239</v>
      </c>
      <c r="N297" s="906"/>
    </row>
    <row r="298" spans="1:21" ht="14" hidden="1" thickBot="1">
      <c r="A298" s="53" t="s">
        <v>53</v>
      </c>
      <c r="B298" s="628">
        <f>Chino!N182</f>
        <v>0</v>
      </c>
      <c r="C298" s="629"/>
      <c r="D298" s="667">
        <f>F298*325851</f>
        <v>0</v>
      </c>
      <c r="E298" s="639"/>
      <c r="F298" s="913">
        <f>0.325*B298</f>
        <v>0</v>
      </c>
      <c r="G298" s="913"/>
      <c r="H298" s="282">
        <f>F298*10</f>
        <v>0</v>
      </c>
      <c r="I298" s="69">
        <v>0</v>
      </c>
      <c r="J298" s="12"/>
      <c r="K298" s="12"/>
      <c r="L298" s="373">
        <f t="shared" si="75"/>
        <v>0</v>
      </c>
      <c r="M298" s="905">
        <f t="shared" si="76"/>
        <v>0</v>
      </c>
      <c r="N298" s="906"/>
    </row>
    <row r="299" spans="1:21" s="530" customFormat="1" ht="17" thickBot="1">
      <c r="A299" s="71" t="str">
        <f>'Ontario Total'!A299</f>
        <v>IEUA Locally Implemented Residential Programs</v>
      </c>
      <c r="B299" s="662"/>
      <c r="C299" s="716"/>
      <c r="D299" s="729"/>
      <c r="E299" s="716"/>
      <c r="F299" s="917"/>
      <c r="G299" s="814"/>
      <c r="H299" s="528"/>
      <c r="I299" s="72"/>
      <c r="J299" s="72"/>
      <c r="K299" s="72"/>
      <c r="L299" s="521"/>
      <c r="M299" s="719"/>
      <c r="N299" s="689"/>
      <c r="O299" s="135"/>
      <c r="P299" s="135"/>
      <c r="Q299" s="135"/>
      <c r="R299" s="135"/>
      <c r="S299" s="135"/>
      <c r="T299" s="135"/>
      <c r="U299" s="135"/>
    </row>
    <row r="300" spans="1:21">
      <c r="A300" s="54" t="s">
        <v>113</v>
      </c>
      <c r="B300" s="628">
        <f>Chino!N184</f>
        <v>748</v>
      </c>
      <c r="C300" s="629"/>
      <c r="D300" s="667">
        <f>F300*325900</f>
        <v>975092.8</v>
      </c>
      <c r="E300" s="920"/>
      <c r="F300" s="913">
        <f>B300*0.004</f>
        <v>2.992</v>
      </c>
      <c r="G300" s="907"/>
      <c r="H300" s="282">
        <f>F300*5</f>
        <v>14.96</v>
      </c>
      <c r="I300" s="90">
        <v>0</v>
      </c>
      <c r="J300" s="90">
        <v>0</v>
      </c>
      <c r="K300" s="90">
        <f>1200*3.25</f>
        <v>3900</v>
      </c>
      <c r="L300" s="415">
        <f t="shared" si="75"/>
        <v>3900</v>
      </c>
      <c r="M300" s="905">
        <f t="shared" si="76"/>
        <v>1.7929517686779599</v>
      </c>
      <c r="N300" s="906"/>
    </row>
    <row r="301" spans="1:21">
      <c r="A301" s="24" t="s">
        <v>114</v>
      </c>
      <c r="B301" s="628">
        <f>Chino!N185</f>
        <v>0</v>
      </c>
      <c r="C301" s="629"/>
      <c r="D301" s="667">
        <f>F301*325900</f>
        <v>0</v>
      </c>
      <c r="E301" s="920"/>
      <c r="F301" s="913">
        <f>B301*0.004</f>
        <v>0</v>
      </c>
      <c r="G301" s="908"/>
      <c r="H301" s="423">
        <f>F301*5</f>
        <v>0</v>
      </c>
      <c r="I301" s="90">
        <v>0</v>
      </c>
      <c r="J301" s="90">
        <v>0</v>
      </c>
      <c r="K301" s="90">
        <v>0</v>
      </c>
      <c r="L301" s="415">
        <f t="shared" si="75"/>
        <v>0</v>
      </c>
      <c r="M301" s="905">
        <f t="shared" si="76"/>
        <v>0</v>
      </c>
      <c r="N301" s="906"/>
    </row>
    <row r="302" spans="1:21" ht="14" thickBot="1">
      <c r="A302" s="54" t="s">
        <v>139</v>
      </c>
      <c r="B302" s="693">
        <f>Chino!N186</f>
        <v>6</v>
      </c>
      <c r="C302" s="631"/>
      <c r="D302" s="654">
        <f>F302*325900</f>
        <v>257695.64799999999</v>
      </c>
      <c r="E302" s="768"/>
      <c r="F302" s="749">
        <f>5648*0.00014</f>
        <v>0.79071999999999998</v>
      </c>
      <c r="G302" s="788"/>
      <c r="H302" s="421">
        <f>F302*10</f>
        <v>7.9071999999999996</v>
      </c>
      <c r="I302" s="121">
        <f>5648*0.25</f>
        <v>1412</v>
      </c>
      <c r="J302" s="121">
        <f>0.83*5648</f>
        <v>4687.84</v>
      </c>
      <c r="K302" s="121">
        <f>5648*1</f>
        <v>5648</v>
      </c>
      <c r="L302" s="267">
        <f>I302+J302+K302</f>
        <v>11747.84</v>
      </c>
      <c r="M302" s="905">
        <f>IF(ISERROR(L302/(F302*727)),0,L302/(F302*727))</f>
        <v>20.436235016702692</v>
      </c>
      <c r="N302" s="906"/>
    </row>
    <row r="303" spans="1:21" s="275" customFormat="1" ht="14" thickBot="1">
      <c r="A303" s="40" t="s">
        <v>60</v>
      </c>
      <c r="B303" s="642">
        <f>SUM(B294:C302)</f>
        <v>864</v>
      </c>
      <c r="C303" s="706"/>
      <c r="D303" s="645">
        <f>SUM(D294:E302)</f>
        <v>2511981.7187000001</v>
      </c>
      <c r="E303" s="706"/>
      <c r="F303" s="707">
        <f>SUM(F294:G302)</f>
        <v>7.7084200000000003</v>
      </c>
      <c r="G303" s="708"/>
      <c r="H303" s="363">
        <f>SUM(H294:H302)</f>
        <v>77.435199999999995</v>
      </c>
      <c r="I303" s="86">
        <f>SUM(I294:I302)</f>
        <v>1412</v>
      </c>
      <c r="J303" s="86">
        <f>SUM(J294:J302)</f>
        <v>11679.84</v>
      </c>
      <c r="K303" s="86">
        <f>SUM(K294:K302)</f>
        <v>18616</v>
      </c>
      <c r="L303" s="86">
        <f>SUM(L294:L302)</f>
        <v>31707.84</v>
      </c>
      <c r="M303" s="926"/>
      <c r="N303" s="927"/>
      <c r="O303" s="276"/>
      <c r="P303" s="276"/>
      <c r="Q303" s="276"/>
      <c r="R303" s="276"/>
      <c r="S303" s="276"/>
      <c r="T303" s="276"/>
      <c r="U303" s="276"/>
    </row>
    <row r="304" spans="1:21" s="530" customFormat="1" ht="17" thickBot="1">
      <c r="A304" s="71" t="str">
        <f>'Ontario Total'!A304</f>
        <v xml:space="preserve">IEUA High Efficiency Toilet (HET) Installation Prog. </v>
      </c>
      <c r="B304" s="662"/>
      <c r="C304" s="716"/>
      <c r="D304" s="729"/>
      <c r="E304" s="716"/>
      <c r="F304" s="687"/>
      <c r="G304" s="718"/>
      <c r="H304" s="524"/>
      <c r="I304" s="72"/>
      <c r="J304" s="72"/>
      <c r="K304" s="72"/>
      <c r="L304" s="521"/>
      <c r="M304" s="719"/>
      <c r="N304" s="689"/>
      <c r="O304" s="135"/>
      <c r="P304" s="135"/>
      <c r="Q304" s="135"/>
      <c r="R304" s="135"/>
      <c r="S304" s="135"/>
      <c r="T304" s="135"/>
      <c r="U304" s="135"/>
    </row>
    <row r="305" spans="1:379">
      <c r="A305" s="24" t="str">
        <f>'Ontario Total'!A305</f>
        <v>IEUA Multi-Family Direct Install Prog. (HET)</v>
      </c>
      <c r="B305" s="628">
        <f>Chino!N189</f>
        <v>0</v>
      </c>
      <c r="C305" s="629"/>
      <c r="D305" s="636">
        <f>F305*325851</f>
        <v>0</v>
      </c>
      <c r="E305" s="629"/>
      <c r="F305" s="913">
        <f>0.0425*B305</f>
        <v>0</v>
      </c>
      <c r="G305" s="914"/>
      <c r="H305" s="423">
        <f>F305*20</f>
        <v>0</v>
      </c>
      <c r="I305" s="87">
        <f>73.34*B305</f>
        <v>0</v>
      </c>
      <c r="J305" s="87">
        <f>35.66*B305</f>
        <v>0</v>
      </c>
      <c r="K305" s="87">
        <f>B305*50</f>
        <v>0</v>
      </c>
      <c r="L305" s="88">
        <f>I305+J305+K305</f>
        <v>0</v>
      </c>
      <c r="M305" s="905">
        <f>IF(ISERROR(L305/(F305*727)),0,L305/(F305*727))</f>
        <v>0</v>
      </c>
      <c r="N305" s="906"/>
    </row>
    <row r="306" spans="1:379" ht="14" thickBot="1">
      <c r="A306" s="24" t="str">
        <f>'Ontario Total'!A306</f>
        <v>IEUA Single-Family Direct Install Prog. (HET)</v>
      </c>
      <c r="B306" s="628">
        <f>Chino!N190</f>
        <v>102</v>
      </c>
      <c r="C306" s="629"/>
      <c r="D306" s="636">
        <f>F306*325851</f>
        <v>1412564.085</v>
      </c>
      <c r="E306" s="629"/>
      <c r="F306" s="913">
        <f>0.0425*B306</f>
        <v>4.335</v>
      </c>
      <c r="G306" s="914"/>
      <c r="H306" s="411">
        <f>F306*20</f>
        <v>86.7</v>
      </c>
      <c r="I306" s="81">
        <f>73.34*B306</f>
        <v>7480.68</v>
      </c>
      <c r="J306" s="81">
        <f>35.66*B306</f>
        <v>3637.3199999999997</v>
      </c>
      <c r="K306" s="81">
        <f>B306*50</f>
        <v>5100</v>
      </c>
      <c r="L306" s="82">
        <f>I306+J306+K306</f>
        <v>16218</v>
      </c>
      <c r="M306" s="905">
        <f>IF(ISERROR(L306/(F306*727)),0,L306/(F306*727))</f>
        <v>5.146047414839388</v>
      </c>
      <c r="N306" s="906"/>
    </row>
    <row r="307" spans="1:379" s="275" customFormat="1" ht="14" thickBot="1">
      <c r="A307" s="40" t="s">
        <v>60</v>
      </c>
      <c r="B307" s="642">
        <f>SUM(B305:B306)</f>
        <v>102</v>
      </c>
      <c r="C307" s="706"/>
      <c r="D307" s="645">
        <f>SUM(D305:D306)</f>
        <v>1412564.085</v>
      </c>
      <c r="E307" s="706"/>
      <c r="F307" s="707">
        <f>SUM(F305:F306)</f>
        <v>4.335</v>
      </c>
      <c r="G307" s="708"/>
      <c r="H307" s="410">
        <f>SUM(H305:H306)</f>
        <v>86.7</v>
      </c>
      <c r="I307" s="86">
        <f>SUM(I305:I306)</f>
        <v>7480.68</v>
      </c>
      <c r="J307" s="91">
        <f>SUM(J305:J306)</f>
        <v>3637.3199999999997</v>
      </c>
      <c r="K307" s="91">
        <f>SUM(K305:K306)</f>
        <v>5100</v>
      </c>
      <c r="L307" s="86">
        <f>SUM(L305:L306)</f>
        <v>16218</v>
      </c>
      <c r="M307" s="709"/>
      <c r="N307" s="811"/>
      <c r="O307" s="276"/>
      <c r="P307" s="276"/>
      <c r="Q307" s="276"/>
      <c r="R307" s="276"/>
      <c r="S307" s="276"/>
      <c r="T307" s="276"/>
      <c r="U307" s="276"/>
    </row>
    <row r="308" spans="1:379" s="530" customFormat="1" ht="17" thickBot="1">
      <c r="A308" s="71" t="str">
        <f>'Ontario Total'!A308</f>
        <v>SoCal Water$mart Commercial Rebates</v>
      </c>
      <c r="B308" s="662"/>
      <c r="C308" s="716"/>
      <c r="D308" s="729"/>
      <c r="E308" s="716"/>
      <c r="F308" s="687"/>
      <c r="G308" s="718"/>
      <c r="H308" s="528"/>
      <c r="I308" s="72"/>
      <c r="J308" s="72"/>
      <c r="K308" s="72"/>
      <c r="L308" s="521"/>
      <c r="M308" s="719"/>
      <c r="N308" s="689"/>
      <c r="O308" s="135"/>
      <c r="P308" s="135"/>
      <c r="Q308" s="135"/>
      <c r="R308" s="135"/>
      <c r="S308" s="135"/>
      <c r="T308" s="135"/>
      <c r="U308" s="135"/>
    </row>
    <row r="309" spans="1:379" s="75" customFormat="1">
      <c r="A309" s="25" t="str">
        <f>'Ontario Total'!A309</f>
        <v>High Efficiency Toilets (HET)</v>
      </c>
      <c r="B309" s="638">
        <f>Chino!N193</f>
        <v>1</v>
      </c>
      <c r="C309" s="639"/>
      <c r="D309" s="667">
        <f t="shared" ref="D309:D315" si="77">F309*325851</f>
        <v>13848.667500000001</v>
      </c>
      <c r="E309" s="639"/>
      <c r="F309" s="913">
        <f>0.0425*B309</f>
        <v>4.2500000000000003E-2</v>
      </c>
      <c r="G309" s="914"/>
      <c r="H309" s="411">
        <f>F309*20</f>
        <v>0.85000000000000009</v>
      </c>
      <c r="I309" s="83">
        <v>0</v>
      </c>
      <c r="J309" s="83">
        <f>50*B309</f>
        <v>50</v>
      </c>
      <c r="K309" s="83">
        <f>50*B309</f>
        <v>50</v>
      </c>
      <c r="L309" s="84">
        <f t="shared" ref="L309:L316" si="78">SUM(I309:K309)</f>
        <v>100</v>
      </c>
      <c r="M309" s="918">
        <f>IF(ISERROR(L309/(F309*727)),0,L309/(F309*727))</f>
        <v>3.2365078080750869</v>
      </c>
      <c r="N309" s="919"/>
    </row>
    <row r="310" spans="1:379">
      <c r="A310" s="24" t="str">
        <f>'Ontario Total'!A310</f>
        <v>Waterless Urinals</v>
      </c>
      <c r="B310" s="628">
        <f>Chino!N194</f>
        <v>1</v>
      </c>
      <c r="C310" s="629"/>
      <c r="D310" s="636">
        <f t="shared" si="77"/>
        <v>39981.917699999998</v>
      </c>
      <c r="E310" s="629"/>
      <c r="F310" s="907">
        <f>0.1227*B310</f>
        <v>0.1227</v>
      </c>
      <c r="G310" s="908"/>
      <c r="H310" s="412">
        <f>F310*20</f>
        <v>2.4540000000000002</v>
      </c>
      <c r="I310" s="83">
        <v>0</v>
      </c>
      <c r="J310" s="81">
        <f>100*B310</f>
        <v>100</v>
      </c>
      <c r="K310" s="81">
        <f>200*B310</f>
        <v>200</v>
      </c>
      <c r="L310" s="82">
        <f t="shared" si="78"/>
        <v>300</v>
      </c>
      <c r="M310" s="905">
        <f t="shared" ref="M310:M324" si="79">IF(ISERROR(L310/(F310*727)),0,L310/(F310*727))</f>
        <v>3.3631193604692222</v>
      </c>
      <c r="N310" s="906"/>
    </row>
    <row r="311" spans="1:379">
      <c r="A311" s="24" t="s">
        <v>140</v>
      </c>
      <c r="B311" s="628">
        <f>Chino!N195</f>
        <v>0</v>
      </c>
      <c r="C311" s="629"/>
      <c r="D311" s="636">
        <f t="shared" si="77"/>
        <v>0</v>
      </c>
      <c r="E311" s="629"/>
      <c r="F311" s="907">
        <f>0.644*B311</f>
        <v>0</v>
      </c>
      <c r="G311" s="908"/>
      <c r="H311" s="425">
        <f>F311*5</f>
        <v>0</v>
      </c>
      <c r="I311" s="83">
        <v>0</v>
      </c>
      <c r="J311" s="81">
        <f>43.75*B311</f>
        <v>0</v>
      </c>
      <c r="K311" s="81">
        <f>625*B311</f>
        <v>0</v>
      </c>
      <c r="L311" s="82">
        <f t="shared" si="78"/>
        <v>0</v>
      </c>
      <c r="M311" s="905">
        <f t="shared" si="79"/>
        <v>0</v>
      </c>
      <c r="N311" s="906"/>
    </row>
    <row r="312" spans="1:379">
      <c r="A312" s="24" t="str">
        <f>'Ontario Total'!A312</f>
        <v>High Efficiency Clothes Washers</v>
      </c>
      <c r="B312" s="628">
        <f>Chino!N196</f>
        <v>0</v>
      </c>
      <c r="C312" s="629"/>
      <c r="D312" s="636">
        <f t="shared" si="77"/>
        <v>0</v>
      </c>
      <c r="E312" s="629"/>
      <c r="F312" s="907">
        <f>0.0276*B312</f>
        <v>0</v>
      </c>
      <c r="G312" s="908"/>
      <c r="H312" s="425">
        <f>F312*10</f>
        <v>0</v>
      </c>
      <c r="I312" s="83">
        <v>0</v>
      </c>
      <c r="J312" s="81">
        <f>100*B312</f>
        <v>0</v>
      </c>
      <c r="K312" s="81">
        <f>80*B312</f>
        <v>0</v>
      </c>
      <c r="L312" s="82">
        <f t="shared" si="78"/>
        <v>0</v>
      </c>
      <c r="M312" s="905">
        <f t="shared" si="79"/>
        <v>0</v>
      </c>
      <c r="N312" s="906"/>
    </row>
    <row r="313" spans="1:379" hidden="1">
      <c r="A313" s="27" t="s">
        <v>47</v>
      </c>
      <c r="B313" s="628">
        <f>Chino!N197</f>
        <v>0</v>
      </c>
      <c r="C313" s="629"/>
      <c r="D313" s="636">
        <f t="shared" si="77"/>
        <v>0</v>
      </c>
      <c r="E313" s="629"/>
      <c r="F313" s="907">
        <f>0.1534*B313</f>
        <v>0</v>
      </c>
      <c r="G313" s="908"/>
      <c r="H313" s="425">
        <f>F313*5</f>
        <v>0</v>
      </c>
      <c r="I313" s="83">
        <v>0</v>
      </c>
      <c r="J313" s="81">
        <f>0*B313</f>
        <v>0</v>
      </c>
      <c r="K313" s="81">
        <f>150*B313</f>
        <v>0</v>
      </c>
      <c r="L313" s="82">
        <f t="shared" si="78"/>
        <v>0</v>
      </c>
      <c r="M313" s="905">
        <f t="shared" si="79"/>
        <v>0</v>
      </c>
      <c r="N313" s="906"/>
    </row>
    <row r="314" spans="1:379">
      <c r="A314" s="24" t="str">
        <f>'Ontario Total'!A314</f>
        <v>Weather based Irrigation Controllers (WBIC)</v>
      </c>
      <c r="B314" s="628">
        <f>Chino!N198</f>
        <v>0</v>
      </c>
      <c r="C314" s="629"/>
      <c r="D314" s="636">
        <f t="shared" si="77"/>
        <v>0</v>
      </c>
      <c r="E314" s="629"/>
      <c r="F314" s="907">
        <f>0.325*B314</f>
        <v>0</v>
      </c>
      <c r="G314" s="908"/>
      <c r="H314" s="425">
        <f>F314*10</f>
        <v>0</v>
      </c>
      <c r="I314" s="83">
        <v>0</v>
      </c>
      <c r="J314" s="81">
        <f>120*B314</f>
        <v>0</v>
      </c>
      <c r="K314" s="81">
        <f>200*B314</f>
        <v>0</v>
      </c>
      <c r="L314" s="82">
        <f t="shared" si="78"/>
        <v>0</v>
      </c>
      <c r="M314" s="905">
        <f t="shared" si="79"/>
        <v>0</v>
      </c>
      <c r="N314" s="906"/>
    </row>
    <row r="315" spans="1:379" hidden="1">
      <c r="A315" s="53" t="s">
        <v>53</v>
      </c>
      <c r="B315" s="628">
        <f>Chino!N199</f>
        <v>0</v>
      </c>
      <c r="C315" s="629"/>
      <c r="D315" s="636">
        <f t="shared" si="77"/>
        <v>0</v>
      </c>
      <c r="E315" s="629"/>
      <c r="F315" s="907">
        <f>0.00014*B315</f>
        <v>0</v>
      </c>
      <c r="G315" s="908"/>
      <c r="H315" s="425">
        <f>F315*10</f>
        <v>0</v>
      </c>
      <c r="I315" s="83">
        <v>0</v>
      </c>
      <c r="J315" s="81">
        <f>0.45*B315</f>
        <v>0</v>
      </c>
      <c r="K315" s="81">
        <f>0.3*B315</f>
        <v>0</v>
      </c>
      <c r="L315" s="82">
        <f t="shared" si="78"/>
        <v>0</v>
      </c>
      <c r="M315" s="905">
        <f t="shared" si="79"/>
        <v>0</v>
      </c>
      <c r="N315" s="906"/>
    </row>
    <row r="316" spans="1:379">
      <c r="A316" s="24" t="str">
        <f>'Ontario Total'!A316</f>
        <v>Rotating Nozzles for Pop-up Spray Heads</v>
      </c>
      <c r="B316" s="628">
        <f>Chino!N200</f>
        <v>0</v>
      </c>
      <c r="C316" s="629"/>
      <c r="D316" s="636">
        <f t="shared" ref="D316:D321" si="80">F316*325851</f>
        <v>0</v>
      </c>
      <c r="E316" s="629"/>
      <c r="F316" s="907">
        <f>0.004*B316</f>
        <v>0</v>
      </c>
      <c r="G316" s="908"/>
      <c r="H316" s="425">
        <f>F316*5</f>
        <v>0</v>
      </c>
      <c r="I316" s="83">
        <v>0</v>
      </c>
      <c r="J316" s="81">
        <f>0*B316</f>
        <v>0</v>
      </c>
      <c r="K316" s="81">
        <f>4*B316</f>
        <v>0</v>
      </c>
      <c r="L316" s="82">
        <f t="shared" si="78"/>
        <v>0</v>
      </c>
      <c r="M316" s="905">
        <f t="shared" si="79"/>
        <v>0</v>
      </c>
      <c r="N316" s="906"/>
    </row>
    <row r="317" spans="1:379">
      <c r="A317" s="24" t="str">
        <f>'Ontario Total'!A317</f>
        <v>Large Rotary Nozzles</v>
      </c>
      <c r="B317" s="628">
        <f>Chino!N201</f>
        <v>0</v>
      </c>
      <c r="C317" s="629"/>
      <c r="D317" s="636">
        <f t="shared" si="80"/>
        <v>0</v>
      </c>
      <c r="E317" s="629"/>
      <c r="F317" s="907">
        <f>0.018*B317</f>
        <v>0</v>
      </c>
      <c r="G317" s="908"/>
      <c r="H317" s="425">
        <f>F317*10</f>
        <v>0</v>
      </c>
      <c r="I317" s="83">
        <v>0</v>
      </c>
      <c r="J317" s="81">
        <f>0*B317</f>
        <v>0</v>
      </c>
      <c r="K317" s="81">
        <f>13*B317</f>
        <v>0</v>
      </c>
      <c r="L317" s="82">
        <f>SUM(I317:K317)</f>
        <v>0</v>
      </c>
      <c r="M317" s="905">
        <f t="shared" si="79"/>
        <v>0</v>
      </c>
      <c r="N317" s="906"/>
    </row>
    <row r="318" spans="1:379" hidden="1">
      <c r="A318" s="25" t="s">
        <v>83</v>
      </c>
      <c r="B318" s="628">
        <f>Chino!N202</f>
        <v>0</v>
      </c>
      <c r="C318" s="629"/>
      <c r="D318" s="636">
        <f t="shared" si="80"/>
        <v>0</v>
      </c>
      <c r="E318" s="629"/>
      <c r="F318" s="907">
        <f>0.018*B318</f>
        <v>0</v>
      </c>
      <c r="G318" s="908"/>
      <c r="H318" s="425">
        <f>F318*10</f>
        <v>0</v>
      </c>
      <c r="I318" s="83">
        <v>1</v>
      </c>
      <c r="J318" s="81">
        <f>0*B318</f>
        <v>0</v>
      </c>
      <c r="K318" s="81">
        <f>13*B318</f>
        <v>0</v>
      </c>
      <c r="L318" s="82">
        <f>SUM(I318:K318)</f>
        <v>1</v>
      </c>
      <c r="M318" s="905">
        <f t="shared" si="79"/>
        <v>0</v>
      </c>
      <c r="N318" s="906"/>
    </row>
    <row r="319" spans="1:379">
      <c r="A319" s="24" t="str">
        <f>'Ontario Total'!A319</f>
        <v xml:space="preserve">Central Computerized Irrigation Controller </v>
      </c>
      <c r="B319" s="638">
        <f>Chino!N203</f>
        <v>0</v>
      </c>
      <c r="C319" s="639"/>
      <c r="D319" s="667">
        <f t="shared" si="80"/>
        <v>0</v>
      </c>
      <c r="E319" s="639"/>
      <c r="F319" s="913">
        <f>0.018*B319</f>
        <v>0</v>
      </c>
      <c r="G319" s="914"/>
      <c r="H319" s="423">
        <f>F319*10</f>
        <v>0</v>
      </c>
      <c r="I319" s="83">
        <v>0</v>
      </c>
      <c r="J319" s="80">
        <v>0</v>
      </c>
      <c r="K319" s="80">
        <v>0</v>
      </c>
      <c r="L319" s="82">
        <f t="shared" ref="L319:L324" si="81">SUM(I319:K319)</f>
        <v>0</v>
      </c>
      <c r="M319" s="905">
        <f t="shared" si="79"/>
        <v>0</v>
      </c>
      <c r="N319" s="906"/>
    </row>
    <row r="320" spans="1:379" s="77" customFormat="1">
      <c r="A320" s="92" t="str">
        <f>'Ontario Total'!A320</f>
        <v>Laminar Flow Restrictor</v>
      </c>
      <c r="B320" s="638">
        <f>Chino!N204</f>
        <v>0</v>
      </c>
      <c r="C320" s="639"/>
      <c r="D320" s="667">
        <f t="shared" si="80"/>
        <v>0</v>
      </c>
      <c r="E320" s="639"/>
      <c r="F320" s="913">
        <f>0.018*B320</f>
        <v>0</v>
      </c>
      <c r="G320" s="914"/>
      <c r="H320" s="423">
        <f>F320*10</f>
        <v>0</v>
      </c>
      <c r="I320" s="83">
        <v>0</v>
      </c>
      <c r="J320" s="80">
        <v>0</v>
      </c>
      <c r="K320" s="80">
        <v>0</v>
      </c>
      <c r="L320" s="85">
        <f t="shared" si="81"/>
        <v>0</v>
      </c>
      <c r="M320" s="915">
        <f t="shared" si="79"/>
        <v>0</v>
      </c>
      <c r="N320" s="916"/>
      <c r="O320" s="75"/>
      <c r="P320" s="75"/>
      <c r="Q320" s="75"/>
      <c r="R320" s="75"/>
      <c r="S320" s="75"/>
      <c r="T320" s="75"/>
      <c r="U320" s="75"/>
      <c r="V320" s="44"/>
      <c r="W320" s="44"/>
      <c r="X320" s="44"/>
      <c r="Y320" s="44"/>
      <c r="Z320" s="44"/>
      <c r="AA320" s="44"/>
      <c r="AB320" s="44"/>
      <c r="AC320" s="44"/>
      <c r="AD320" s="44"/>
      <c r="AE320" s="44"/>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c r="BH320" s="44"/>
      <c r="BI320" s="44"/>
      <c r="BJ320" s="44"/>
      <c r="BK320" s="44"/>
      <c r="BL320" s="44"/>
      <c r="BM320" s="44"/>
      <c r="BN320" s="44"/>
      <c r="BO320" s="44"/>
      <c r="BP320" s="44"/>
      <c r="BQ320" s="44"/>
      <c r="BR320" s="44"/>
      <c r="BS320" s="44"/>
      <c r="BT320" s="44"/>
      <c r="BU320" s="44"/>
      <c r="BV320" s="44"/>
      <c r="BW320" s="44"/>
      <c r="BX320" s="44"/>
      <c r="BY320" s="44"/>
      <c r="BZ320" s="44"/>
      <c r="CA320" s="44"/>
      <c r="CB320" s="44"/>
      <c r="CC320" s="44"/>
      <c r="CD320" s="44"/>
      <c r="CE320" s="44"/>
      <c r="CF320" s="44"/>
      <c r="CG320" s="44"/>
      <c r="CH320" s="44"/>
      <c r="CI320" s="44"/>
      <c r="CJ320" s="44"/>
      <c r="CK320" s="44"/>
      <c r="CL320" s="44"/>
      <c r="CM320" s="44"/>
      <c r="CN320" s="44"/>
      <c r="CO320" s="44"/>
      <c r="CP320" s="44"/>
      <c r="CQ320" s="44"/>
      <c r="CR320" s="44"/>
      <c r="CS320" s="44"/>
      <c r="CT320" s="44"/>
      <c r="CU320" s="44"/>
      <c r="CV320" s="44"/>
      <c r="CW320" s="44"/>
      <c r="CX320" s="44"/>
      <c r="CY320" s="44"/>
      <c r="CZ320" s="44"/>
      <c r="DA320" s="44"/>
      <c r="DB320" s="44"/>
      <c r="DC320" s="44"/>
      <c r="DD320" s="44"/>
      <c r="DE320" s="44"/>
      <c r="DF320" s="44"/>
      <c r="DG320" s="44"/>
      <c r="DH320" s="44"/>
      <c r="DI320" s="44"/>
      <c r="DJ320" s="44"/>
      <c r="DK320" s="44"/>
      <c r="DL320" s="44"/>
      <c r="DM320" s="44"/>
      <c r="DN320" s="44"/>
      <c r="DO320" s="44"/>
      <c r="DP320" s="44"/>
      <c r="DQ320" s="44"/>
      <c r="DR320" s="44"/>
      <c r="DS320" s="44"/>
      <c r="DT320" s="44"/>
      <c r="DU320" s="44"/>
      <c r="DV320" s="44"/>
      <c r="DW320" s="44"/>
      <c r="DX320" s="44"/>
      <c r="DY320" s="44"/>
      <c r="DZ320" s="44"/>
      <c r="EA320" s="44"/>
      <c r="EB320" s="44"/>
      <c r="EC320" s="44"/>
      <c r="ED320" s="44"/>
      <c r="EE320" s="44"/>
      <c r="EF320" s="44"/>
      <c r="EG320" s="44"/>
      <c r="EH320" s="44"/>
      <c r="EI320" s="44"/>
      <c r="EJ320" s="44"/>
      <c r="EK320" s="44"/>
      <c r="EL320" s="44"/>
      <c r="EM320" s="44"/>
      <c r="EN320" s="44"/>
      <c r="EO320" s="44"/>
      <c r="EP320" s="44"/>
      <c r="EQ320" s="44"/>
      <c r="ER320" s="44"/>
      <c r="ES320" s="44"/>
      <c r="ET320" s="44"/>
      <c r="EU320" s="44"/>
      <c r="EV320" s="44"/>
      <c r="EW320" s="44"/>
      <c r="EX320" s="44"/>
      <c r="EY320" s="44"/>
      <c r="EZ320" s="44"/>
      <c r="FA320" s="44"/>
      <c r="FB320" s="44"/>
      <c r="FC320" s="44"/>
      <c r="FD320" s="44"/>
      <c r="FE320" s="44"/>
      <c r="FF320" s="44"/>
      <c r="FG320" s="44"/>
      <c r="FH320" s="44"/>
      <c r="FI320" s="44"/>
      <c r="FJ320" s="44"/>
      <c r="FK320" s="44"/>
      <c r="FL320" s="44"/>
      <c r="FM320" s="44"/>
      <c r="FN320" s="44"/>
      <c r="FO320" s="44"/>
      <c r="FP320" s="44"/>
      <c r="FQ320" s="44"/>
      <c r="FR320" s="44"/>
      <c r="FS320" s="44"/>
      <c r="FT320" s="44"/>
      <c r="FU320" s="44"/>
      <c r="FV320" s="44"/>
      <c r="FW320" s="44"/>
      <c r="FX320" s="44"/>
      <c r="FY320" s="44"/>
      <c r="FZ320" s="44"/>
      <c r="GA320" s="44"/>
      <c r="GB320" s="44"/>
      <c r="GC320" s="44"/>
      <c r="GD320" s="44"/>
      <c r="GE320" s="44"/>
      <c r="GF320" s="44"/>
      <c r="GG320" s="44"/>
      <c r="GH320" s="44"/>
      <c r="GI320" s="44"/>
      <c r="GJ320" s="44"/>
      <c r="GK320" s="44"/>
      <c r="GL320" s="44"/>
      <c r="GM320" s="44"/>
      <c r="GN320" s="44"/>
      <c r="GO320" s="44"/>
      <c r="GP320" s="44"/>
      <c r="GQ320" s="44"/>
      <c r="GR320" s="44"/>
      <c r="GS320" s="44"/>
      <c r="GT320" s="44"/>
      <c r="GU320" s="44"/>
      <c r="GV320" s="44"/>
      <c r="GW320" s="44"/>
      <c r="GX320" s="44"/>
      <c r="GY320" s="44"/>
      <c r="GZ320" s="44"/>
      <c r="HA320" s="44"/>
      <c r="HB320" s="44"/>
      <c r="HC320" s="44"/>
      <c r="HD320" s="44"/>
      <c r="HE320" s="44"/>
      <c r="HF320" s="44"/>
      <c r="HG320" s="44"/>
      <c r="HH320" s="44"/>
      <c r="HI320" s="44"/>
      <c r="HJ320" s="44"/>
      <c r="HK320" s="44"/>
      <c r="HL320" s="44"/>
      <c r="HM320" s="44"/>
      <c r="HN320" s="44"/>
      <c r="HO320" s="44"/>
      <c r="HP320" s="44"/>
      <c r="HQ320" s="44"/>
      <c r="HR320" s="44"/>
      <c r="HS320" s="44"/>
      <c r="HT320" s="44"/>
      <c r="HU320" s="44"/>
      <c r="HV320" s="44"/>
      <c r="HW320" s="44"/>
      <c r="HX320" s="44"/>
      <c r="HY320" s="44"/>
      <c r="HZ320" s="44"/>
      <c r="IA320" s="44"/>
      <c r="IB320" s="44"/>
      <c r="IC320" s="44"/>
      <c r="ID320" s="44"/>
      <c r="IE320" s="44"/>
      <c r="IF320" s="44"/>
      <c r="IG320" s="44"/>
      <c r="IH320" s="44"/>
      <c r="II320" s="44"/>
      <c r="IJ320" s="44"/>
      <c r="IK320" s="44"/>
      <c r="IL320" s="44"/>
      <c r="IM320" s="44"/>
      <c r="IN320" s="44"/>
      <c r="IO320" s="44"/>
      <c r="IP320" s="44"/>
      <c r="IQ320" s="44"/>
      <c r="IR320" s="44"/>
      <c r="IS320" s="44"/>
      <c r="IT320" s="44"/>
      <c r="IU320" s="44"/>
      <c r="IV320" s="44"/>
      <c r="IW320" s="44"/>
      <c r="IX320" s="44"/>
      <c r="IY320" s="44"/>
      <c r="IZ320" s="44"/>
      <c r="JA320" s="44"/>
      <c r="JB320" s="44"/>
      <c r="JC320" s="44"/>
      <c r="JD320" s="44"/>
      <c r="JE320" s="44"/>
      <c r="JF320" s="44"/>
      <c r="JG320" s="44"/>
      <c r="JH320" s="44"/>
      <c r="JI320" s="44"/>
      <c r="JJ320" s="44"/>
      <c r="JK320" s="44"/>
      <c r="JL320" s="44"/>
      <c r="JM320" s="44"/>
      <c r="JN320" s="44"/>
      <c r="JO320" s="44"/>
      <c r="JP320" s="44"/>
      <c r="JQ320" s="44"/>
      <c r="JR320" s="44"/>
      <c r="JS320" s="44"/>
      <c r="JT320" s="44"/>
      <c r="JU320" s="44"/>
      <c r="JV320" s="44"/>
      <c r="JW320" s="44"/>
      <c r="JX320" s="44"/>
      <c r="JY320" s="44"/>
      <c r="JZ320" s="44"/>
      <c r="KA320" s="44"/>
      <c r="KB320" s="44"/>
      <c r="KC320" s="44"/>
      <c r="KD320" s="44"/>
      <c r="KE320" s="44"/>
      <c r="KF320" s="44"/>
      <c r="KG320" s="44"/>
      <c r="KH320" s="44"/>
      <c r="KI320" s="44"/>
      <c r="KJ320" s="44"/>
      <c r="KK320" s="44"/>
      <c r="KL320" s="44"/>
      <c r="KM320" s="44"/>
      <c r="KN320" s="44"/>
      <c r="KO320" s="44"/>
      <c r="KP320" s="44"/>
      <c r="KQ320" s="44"/>
      <c r="KR320" s="44"/>
      <c r="KS320" s="44"/>
      <c r="KT320" s="44"/>
      <c r="KU320" s="44"/>
      <c r="KV320" s="44"/>
      <c r="KW320" s="44"/>
      <c r="KX320" s="44"/>
      <c r="KY320" s="44"/>
      <c r="KZ320" s="44"/>
      <c r="LA320" s="44"/>
      <c r="LB320" s="44"/>
      <c r="LC320" s="44"/>
      <c r="LD320" s="44"/>
      <c r="LE320" s="44"/>
      <c r="LF320" s="44"/>
      <c r="LG320" s="44"/>
      <c r="LH320" s="44"/>
      <c r="LI320" s="44"/>
      <c r="LJ320" s="44"/>
      <c r="LK320" s="44"/>
      <c r="LL320" s="44"/>
      <c r="LM320" s="44"/>
      <c r="LN320" s="44"/>
      <c r="LO320" s="44"/>
      <c r="LP320" s="44"/>
      <c r="LQ320" s="44"/>
      <c r="LR320" s="44"/>
      <c r="LS320" s="44"/>
      <c r="LT320" s="44"/>
      <c r="LU320" s="44"/>
      <c r="LV320" s="44"/>
      <c r="LW320" s="44"/>
      <c r="LX320" s="44"/>
      <c r="LY320" s="44"/>
      <c r="LZ320" s="44"/>
      <c r="MA320" s="44"/>
      <c r="MB320" s="44"/>
      <c r="MC320" s="44"/>
      <c r="MD320" s="44"/>
      <c r="ME320" s="44"/>
      <c r="MF320" s="44"/>
      <c r="MG320" s="44"/>
      <c r="MH320" s="44"/>
      <c r="MI320" s="44"/>
      <c r="MJ320" s="44"/>
      <c r="MK320" s="44"/>
      <c r="ML320" s="44"/>
      <c r="MM320" s="44"/>
      <c r="MN320" s="44"/>
      <c r="MO320" s="44"/>
      <c r="MP320" s="44"/>
      <c r="MQ320" s="44"/>
      <c r="MR320" s="44"/>
      <c r="MS320" s="44"/>
      <c r="MT320" s="44"/>
      <c r="MU320" s="44"/>
      <c r="MV320" s="44"/>
      <c r="MW320" s="44"/>
      <c r="MX320" s="44"/>
      <c r="MY320" s="44"/>
      <c r="MZ320" s="44"/>
      <c r="NA320" s="44"/>
      <c r="NB320" s="44"/>
      <c r="NC320" s="44"/>
      <c r="ND320" s="44"/>
      <c r="NE320" s="44"/>
      <c r="NF320" s="44"/>
      <c r="NG320" s="44"/>
      <c r="NH320" s="44"/>
      <c r="NI320" s="44"/>
      <c r="NJ320" s="44"/>
      <c r="NK320" s="44"/>
      <c r="NL320" s="44"/>
      <c r="NM320" s="44"/>
      <c r="NN320" s="44"/>
      <c r="NO320" s="44"/>
    </row>
    <row r="321" spans="1:379" s="77" customFormat="1" ht="14" thickBot="1">
      <c r="A321" s="92" t="str">
        <f>'Ontario Total'!A321</f>
        <v>Air-Cooled Ice Machine</v>
      </c>
      <c r="B321" s="638">
        <f>Chino!N205</f>
        <v>0</v>
      </c>
      <c r="C321" s="639"/>
      <c r="D321" s="667">
        <f t="shared" si="80"/>
        <v>0</v>
      </c>
      <c r="E321" s="639"/>
      <c r="F321" s="913">
        <f>0.018*B321</f>
        <v>0</v>
      </c>
      <c r="G321" s="914"/>
      <c r="H321" s="423">
        <f>F321*10</f>
        <v>0</v>
      </c>
      <c r="I321" s="83">
        <v>0</v>
      </c>
      <c r="J321" s="80">
        <v>0</v>
      </c>
      <c r="K321" s="80">
        <v>0</v>
      </c>
      <c r="L321" s="85">
        <f t="shared" si="81"/>
        <v>0</v>
      </c>
      <c r="M321" s="915">
        <f t="shared" si="79"/>
        <v>0</v>
      </c>
      <c r="N321" s="916"/>
      <c r="O321" s="75"/>
      <c r="P321" s="75"/>
      <c r="Q321" s="75"/>
      <c r="R321" s="75"/>
      <c r="S321" s="75"/>
      <c r="T321" s="75"/>
      <c r="U321" s="75"/>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c r="BH321" s="44"/>
      <c r="BI321" s="44"/>
      <c r="BJ321" s="44"/>
      <c r="BK321" s="44"/>
      <c r="BL321" s="44"/>
      <c r="BM321" s="44"/>
      <c r="BN321" s="44"/>
      <c r="BO321" s="44"/>
      <c r="BP321" s="44"/>
      <c r="BQ321" s="44"/>
      <c r="BR321" s="44"/>
      <c r="BS321" s="44"/>
      <c r="BT321" s="44"/>
      <c r="BU321" s="44"/>
      <c r="BV321" s="44"/>
      <c r="BW321" s="44"/>
      <c r="BX321" s="44"/>
      <c r="BY321" s="44"/>
      <c r="BZ321" s="44"/>
      <c r="CA321" s="44"/>
      <c r="CB321" s="44"/>
      <c r="CC321" s="44"/>
      <c r="CD321" s="44"/>
      <c r="CE321" s="44"/>
      <c r="CF321" s="44"/>
      <c r="CG321" s="44"/>
      <c r="CH321" s="44"/>
      <c r="CI321" s="44"/>
      <c r="CJ321" s="44"/>
      <c r="CK321" s="44"/>
      <c r="CL321" s="44"/>
      <c r="CM321" s="44"/>
      <c r="CN321" s="44"/>
      <c r="CO321" s="44"/>
      <c r="CP321" s="44"/>
      <c r="CQ321" s="44"/>
      <c r="CR321" s="44"/>
      <c r="CS321" s="44"/>
      <c r="CT321" s="44"/>
      <c r="CU321" s="44"/>
      <c r="CV321" s="44"/>
      <c r="CW321" s="44"/>
      <c r="CX321" s="44"/>
      <c r="CY321" s="44"/>
      <c r="CZ321" s="44"/>
      <c r="DA321" s="44"/>
      <c r="DB321" s="44"/>
      <c r="DC321" s="44"/>
      <c r="DD321" s="44"/>
      <c r="DE321" s="44"/>
      <c r="DF321" s="44"/>
      <c r="DG321" s="44"/>
      <c r="DH321" s="44"/>
      <c r="DI321" s="44"/>
      <c r="DJ321" s="44"/>
      <c r="DK321" s="44"/>
      <c r="DL321" s="44"/>
      <c r="DM321" s="44"/>
      <c r="DN321" s="44"/>
      <c r="DO321" s="44"/>
      <c r="DP321" s="44"/>
      <c r="DQ321" s="44"/>
      <c r="DR321" s="44"/>
      <c r="DS321" s="44"/>
      <c r="DT321" s="44"/>
      <c r="DU321" s="44"/>
      <c r="DV321" s="44"/>
      <c r="DW321" s="44"/>
      <c r="DX321" s="44"/>
      <c r="DY321" s="44"/>
      <c r="DZ321" s="44"/>
      <c r="EA321" s="44"/>
      <c r="EB321" s="44"/>
      <c r="EC321" s="44"/>
      <c r="ED321" s="44"/>
      <c r="EE321" s="44"/>
      <c r="EF321" s="44"/>
      <c r="EG321" s="44"/>
      <c r="EH321" s="44"/>
      <c r="EI321" s="44"/>
      <c r="EJ321" s="44"/>
      <c r="EK321" s="44"/>
      <c r="EL321" s="44"/>
      <c r="EM321" s="44"/>
      <c r="EN321" s="44"/>
      <c r="EO321" s="44"/>
      <c r="EP321" s="44"/>
      <c r="EQ321" s="44"/>
      <c r="ER321" s="44"/>
      <c r="ES321" s="44"/>
      <c r="ET321" s="44"/>
      <c r="EU321" s="44"/>
      <c r="EV321" s="44"/>
      <c r="EW321" s="44"/>
      <c r="EX321" s="44"/>
      <c r="EY321" s="44"/>
      <c r="EZ321" s="44"/>
      <c r="FA321" s="44"/>
      <c r="FB321" s="44"/>
      <c r="FC321" s="44"/>
      <c r="FD321" s="44"/>
      <c r="FE321" s="44"/>
      <c r="FF321" s="44"/>
      <c r="FG321" s="44"/>
      <c r="FH321" s="44"/>
      <c r="FI321" s="44"/>
      <c r="FJ321" s="44"/>
      <c r="FK321" s="44"/>
      <c r="FL321" s="44"/>
      <c r="FM321" s="44"/>
      <c r="FN321" s="44"/>
      <c r="FO321" s="44"/>
      <c r="FP321" s="44"/>
      <c r="FQ321" s="44"/>
      <c r="FR321" s="44"/>
      <c r="FS321" s="44"/>
      <c r="FT321" s="44"/>
      <c r="FU321" s="44"/>
      <c r="FV321" s="44"/>
      <c r="FW321" s="44"/>
      <c r="FX321" s="44"/>
      <c r="FY321" s="44"/>
      <c r="FZ321" s="44"/>
      <c r="GA321" s="44"/>
      <c r="GB321" s="44"/>
      <c r="GC321" s="44"/>
      <c r="GD321" s="44"/>
      <c r="GE321" s="44"/>
      <c r="GF321" s="44"/>
      <c r="GG321" s="44"/>
      <c r="GH321" s="44"/>
      <c r="GI321" s="44"/>
      <c r="GJ321" s="44"/>
      <c r="GK321" s="44"/>
      <c r="GL321" s="44"/>
      <c r="GM321" s="44"/>
      <c r="GN321" s="44"/>
      <c r="GO321" s="44"/>
      <c r="GP321" s="44"/>
      <c r="GQ321" s="44"/>
      <c r="GR321" s="44"/>
      <c r="GS321" s="44"/>
      <c r="GT321" s="44"/>
      <c r="GU321" s="44"/>
      <c r="GV321" s="44"/>
      <c r="GW321" s="44"/>
      <c r="GX321" s="44"/>
      <c r="GY321" s="44"/>
      <c r="GZ321" s="44"/>
      <c r="HA321" s="44"/>
      <c r="HB321" s="44"/>
      <c r="HC321" s="44"/>
      <c r="HD321" s="44"/>
      <c r="HE321" s="44"/>
      <c r="HF321" s="44"/>
      <c r="HG321" s="44"/>
      <c r="HH321" s="44"/>
      <c r="HI321" s="44"/>
      <c r="HJ321" s="44"/>
      <c r="HK321" s="44"/>
      <c r="HL321" s="44"/>
      <c r="HM321" s="44"/>
      <c r="HN321" s="44"/>
      <c r="HO321" s="44"/>
      <c r="HP321" s="44"/>
      <c r="HQ321" s="44"/>
      <c r="HR321" s="44"/>
      <c r="HS321" s="44"/>
      <c r="HT321" s="44"/>
      <c r="HU321" s="44"/>
      <c r="HV321" s="44"/>
      <c r="HW321" s="44"/>
      <c r="HX321" s="44"/>
      <c r="HY321" s="44"/>
      <c r="HZ321" s="44"/>
      <c r="IA321" s="44"/>
      <c r="IB321" s="44"/>
      <c r="IC321" s="44"/>
      <c r="ID321" s="44"/>
      <c r="IE321" s="44"/>
      <c r="IF321" s="44"/>
      <c r="IG321" s="44"/>
      <c r="IH321" s="44"/>
      <c r="II321" s="44"/>
      <c r="IJ321" s="44"/>
      <c r="IK321" s="44"/>
      <c r="IL321" s="44"/>
      <c r="IM321" s="44"/>
      <c r="IN321" s="44"/>
      <c r="IO321" s="44"/>
      <c r="IP321" s="44"/>
      <c r="IQ321" s="44"/>
      <c r="IR321" s="44"/>
      <c r="IS321" s="44"/>
      <c r="IT321" s="44"/>
      <c r="IU321" s="44"/>
      <c r="IV321" s="44"/>
      <c r="IW321" s="44"/>
      <c r="IX321" s="44"/>
      <c r="IY321" s="44"/>
      <c r="IZ321" s="44"/>
      <c r="JA321" s="44"/>
      <c r="JB321" s="44"/>
      <c r="JC321" s="44"/>
      <c r="JD321" s="44"/>
      <c r="JE321" s="44"/>
      <c r="JF321" s="44"/>
      <c r="JG321" s="44"/>
      <c r="JH321" s="44"/>
      <c r="JI321" s="44"/>
      <c r="JJ321" s="44"/>
      <c r="JK321" s="44"/>
      <c r="JL321" s="44"/>
      <c r="JM321" s="44"/>
      <c r="JN321" s="44"/>
      <c r="JO321" s="44"/>
      <c r="JP321" s="44"/>
      <c r="JQ321" s="44"/>
      <c r="JR321" s="44"/>
      <c r="JS321" s="44"/>
      <c r="JT321" s="44"/>
      <c r="JU321" s="44"/>
      <c r="JV321" s="44"/>
      <c r="JW321" s="44"/>
      <c r="JX321" s="44"/>
      <c r="JY321" s="44"/>
      <c r="JZ321" s="44"/>
      <c r="KA321" s="44"/>
      <c r="KB321" s="44"/>
      <c r="KC321" s="44"/>
      <c r="KD321" s="44"/>
      <c r="KE321" s="44"/>
      <c r="KF321" s="44"/>
      <c r="KG321" s="44"/>
      <c r="KH321" s="44"/>
      <c r="KI321" s="44"/>
      <c r="KJ321" s="44"/>
      <c r="KK321" s="44"/>
      <c r="KL321" s="44"/>
      <c r="KM321" s="44"/>
      <c r="KN321" s="44"/>
      <c r="KO321" s="44"/>
      <c r="KP321" s="44"/>
      <c r="KQ321" s="44"/>
      <c r="KR321" s="44"/>
      <c r="KS321" s="44"/>
      <c r="KT321" s="44"/>
      <c r="KU321" s="44"/>
      <c r="KV321" s="44"/>
      <c r="KW321" s="44"/>
      <c r="KX321" s="44"/>
      <c r="KY321" s="44"/>
      <c r="KZ321" s="44"/>
      <c r="LA321" s="44"/>
      <c r="LB321" s="44"/>
      <c r="LC321" s="44"/>
      <c r="LD321" s="44"/>
      <c r="LE321" s="44"/>
      <c r="LF321" s="44"/>
      <c r="LG321" s="44"/>
      <c r="LH321" s="44"/>
      <c r="LI321" s="44"/>
      <c r="LJ321" s="44"/>
      <c r="LK321" s="44"/>
      <c r="LL321" s="44"/>
      <c r="LM321" s="44"/>
      <c r="LN321" s="44"/>
      <c r="LO321" s="44"/>
      <c r="LP321" s="44"/>
      <c r="LQ321" s="44"/>
      <c r="LR321" s="44"/>
      <c r="LS321" s="44"/>
      <c r="LT321" s="44"/>
      <c r="LU321" s="44"/>
      <c r="LV321" s="44"/>
      <c r="LW321" s="44"/>
      <c r="LX321" s="44"/>
      <c r="LY321" s="44"/>
      <c r="LZ321" s="44"/>
      <c r="MA321" s="44"/>
      <c r="MB321" s="44"/>
      <c r="MC321" s="44"/>
      <c r="MD321" s="44"/>
      <c r="ME321" s="44"/>
      <c r="MF321" s="44"/>
      <c r="MG321" s="44"/>
      <c r="MH321" s="44"/>
      <c r="MI321" s="44"/>
      <c r="MJ321" s="44"/>
      <c r="MK321" s="44"/>
      <c r="ML321" s="44"/>
      <c r="MM321" s="44"/>
      <c r="MN321" s="44"/>
      <c r="MO321" s="44"/>
      <c r="MP321" s="44"/>
      <c r="MQ321" s="44"/>
      <c r="MR321" s="44"/>
      <c r="MS321" s="44"/>
      <c r="MT321" s="44"/>
      <c r="MU321" s="44"/>
      <c r="MV321" s="44"/>
      <c r="MW321" s="44"/>
      <c r="MX321" s="44"/>
      <c r="MY321" s="44"/>
      <c r="MZ321" s="44"/>
      <c r="NA321" s="44"/>
      <c r="NB321" s="44"/>
      <c r="NC321" s="44"/>
      <c r="ND321" s="44"/>
      <c r="NE321" s="44"/>
      <c r="NF321" s="44"/>
      <c r="NG321" s="44"/>
      <c r="NH321" s="44"/>
      <c r="NI321" s="44"/>
      <c r="NJ321" s="44"/>
      <c r="NK321" s="44"/>
      <c r="NL321" s="44"/>
      <c r="NM321" s="44"/>
      <c r="NN321" s="44"/>
      <c r="NO321" s="44"/>
    </row>
    <row r="322" spans="1:379" s="530" customFormat="1" ht="17" thickBot="1">
      <c r="A322" s="71" t="str">
        <f>'Ontario Total'!A322</f>
        <v>IEUA Locally Implemented Commercial Programs</v>
      </c>
      <c r="B322" s="662"/>
      <c r="C322" s="716"/>
      <c r="D322" s="729"/>
      <c r="E322" s="716"/>
      <c r="F322" s="917"/>
      <c r="G322" s="814"/>
      <c r="H322" s="528"/>
      <c r="I322" s="100"/>
      <c r="J322" s="72"/>
      <c r="K322" s="72"/>
      <c r="L322" s="521"/>
      <c r="M322" s="719"/>
      <c r="N322" s="689"/>
      <c r="O322" s="135"/>
      <c r="P322" s="135"/>
      <c r="Q322" s="135"/>
      <c r="R322" s="135"/>
      <c r="S322" s="135"/>
      <c r="T322" s="135"/>
      <c r="U322" s="135"/>
    </row>
    <row r="323" spans="1:379">
      <c r="A323" s="24" t="str">
        <f>'Ontario Total'!A323</f>
        <v>Fontana Unified School Retrofit Program</v>
      </c>
      <c r="B323" s="628">
        <f>Chino!N207</f>
        <v>0</v>
      </c>
      <c r="C323" s="629"/>
      <c r="D323" s="636">
        <f>F323*325851</f>
        <v>0</v>
      </c>
      <c r="E323" s="629"/>
      <c r="F323" s="907">
        <f>0.018*B323</f>
        <v>0</v>
      </c>
      <c r="G323" s="908"/>
      <c r="H323" s="425">
        <f>F323*10</f>
        <v>0</v>
      </c>
      <c r="I323" s="95">
        <v>0</v>
      </c>
      <c r="J323" s="80">
        <v>0</v>
      </c>
      <c r="K323" s="80">
        <v>0</v>
      </c>
      <c r="L323" s="82">
        <f t="shared" si="81"/>
        <v>0</v>
      </c>
      <c r="M323" s="905">
        <f t="shared" si="79"/>
        <v>0</v>
      </c>
      <c r="N323" s="906"/>
    </row>
    <row r="324" spans="1:379" ht="14" thickBot="1">
      <c r="A324" s="24" t="s">
        <v>113</v>
      </c>
      <c r="B324" s="628">
        <f>Chino!N208</f>
        <v>3340</v>
      </c>
      <c r="C324" s="629"/>
      <c r="D324" s="636">
        <f>F324*325851</f>
        <v>4353369.3599999994</v>
      </c>
      <c r="E324" s="629"/>
      <c r="F324" s="903">
        <f>0.004*B324</f>
        <v>13.36</v>
      </c>
      <c r="G324" s="904"/>
      <c r="H324" s="424">
        <f>F324*5</f>
        <v>66.8</v>
      </c>
      <c r="I324" s="80">
        <v>0</v>
      </c>
      <c r="J324" s="80">
        <f>0*B324</f>
        <v>0</v>
      </c>
      <c r="K324" s="80">
        <f>3*B324</f>
        <v>10020</v>
      </c>
      <c r="L324" s="82">
        <f t="shared" si="81"/>
        <v>10020</v>
      </c>
      <c r="M324" s="905">
        <f t="shared" si="79"/>
        <v>1.0316368638239339</v>
      </c>
      <c r="N324" s="906"/>
    </row>
    <row r="325" spans="1:379" s="275" customFormat="1" ht="14" thickBot="1">
      <c r="A325" s="40" t="s">
        <v>60</v>
      </c>
      <c r="B325" s="642">
        <f>SUM(B309:C324)</f>
        <v>3342</v>
      </c>
      <c r="C325" s="706"/>
      <c r="D325" s="645">
        <f>SUM(D309:E324)</f>
        <v>4407199.945199999</v>
      </c>
      <c r="E325" s="706"/>
      <c r="F325" s="707">
        <f>SUM(F309:G324)</f>
        <v>13.5252</v>
      </c>
      <c r="G325" s="708"/>
      <c r="H325" s="363">
        <f>SUM(H309:H324)</f>
        <v>70.103999999999999</v>
      </c>
      <c r="I325" s="422">
        <f>SUM(I309:I324)</f>
        <v>1</v>
      </c>
      <c r="J325" s="86">
        <f>SUM(J309:J324)</f>
        <v>150</v>
      </c>
      <c r="K325" s="86">
        <f>SUM(K309:K324)</f>
        <v>10270</v>
      </c>
      <c r="L325" s="86">
        <f>SUM(L309:L324)</f>
        <v>10421</v>
      </c>
      <c r="M325" s="709"/>
      <c r="N325" s="710"/>
      <c r="O325" s="276"/>
      <c r="P325" s="276"/>
      <c r="Q325" s="276"/>
      <c r="R325" s="276"/>
      <c r="S325" s="276"/>
      <c r="T325" s="276"/>
      <c r="U325" s="276"/>
    </row>
    <row r="326" spans="1:379" s="534" customFormat="1" ht="17" thickBot="1">
      <c r="A326" s="531" t="s">
        <v>17</v>
      </c>
      <c r="B326" s="621">
        <f>SUM(B303+B307+B325)</f>
        <v>4308</v>
      </c>
      <c r="C326" s="622"/>
      <c r="D326" s="711">
        <f>SUM(D303+D307+D325)</f>
        <v>8331745.7488999991</v>
      </c>
      <c r="E326" s="622"/>
      <c r="F326" s="712">
        <f>SUM(F303+F307+F325)</f>
        <v>25.568620000000003</v>
      </c>
      <c r="G326" s="713"/>
      <c r="H326" s="541">
        <f>SUM(,H303,H307,H325)</f>
        <v>234.23919999999998</v>
      </c>
      <c r="I326" s="535">
        <f>SUM(I303+I307+I325)</f>
        <v>8893.68</v>
      </c>
      <c r="J326" s="535">
        <f>SUM(J303+J307+J325)</f>
        <v>15467.16</v>
      </c>
      <c r="K326" s="535">
        <f>SUM(K303+K307+K325)</f>
        <v>33986</v>
      </c>
      <c r="L326" s="535">
        <f>SUM(L303+L307+L325)</f>
        <v>58346.84</v>
      </c>
      <c r="M326" s="714"/>
      <c r="N326" s="715"/>
      <c r="O326" s="75"/>
      <c r="P326" s="75"/>
      <c r="Q326" s="75"/>
      <c r="R326" s="75"/>
      <c r="S326" s="75"/>
      <c r="T326" s="75"/>
      <c r="U326" s="75"/>
    </row>
    <row r="327" spans="1:379">
      <c r="A327" s="39"/>
      <c r="B327" s="13"/>
      <c r="C327" s="13"/>
      <c r="D327" s="13"/>
      <c r="E327" s="13"/>
      <c r="F327" s="201"/>
      <c r="G327" s="201"/>
      <c r="H327" s="201"/>
      <c r="I327" s="14"/>
      <c r="J327" s="14"/>
      <c r="K327" s="14"/>
      <c r="L327" s="14"/>
      <c r="M327" s="11"/>
      <c r="N327" s="11"/>
    </row>
    <row r="328" spans="1:379" ht="15">
      <c r="A328" s="5" t="s">
        <v>18</v>
      </c>
      <c r="B328" s="626" t="s">
        <v>59</v>
      </c>
      <c r="C328" s="765"/>
      <c r="D328" s="765"/>
      <c r="E328" s="912"/>
      <c r="F328" s="201"/>
      <c r="G328" s="201"/>
      <c r="H328" s="201"/>
      <c r="I328" s="14"/>
      <c r="J328" s="14"/>
      <c r="K328" s="14"/>
      <c r="L328" s="14"/>
      <c r="M328" s="11"/>
      <c r="N328" s="11"/>
    </row>
    <row r="329" spans="1:379">
      <c r="B329" s="627" t="s">
        <v>19</v>
      </c>
      <c r="C329" s="627"/>
      <c r="D329" s="627"/>
      <c r="E329" s="627"/>
      <c r="F329" s="201"/>
      <c r="G329" s="201"/>
      <c r="H329" s="201"/>
      <c r="I329" s="14"/>
      <c r="J329" s="14"/>
      <c r="K329" s="14"/>
      <c r="L329" s="14"/>
      <c r="M329" s="11"/>
      <c r="N329" s="11"/>
    </row>
    <row r="330" spans="1:379" ht="14" thickBot="1">
      <c r="A330" s="332"/>
      <c r="B330" s="382"/>
      <c r="C330" s="382"/>
      <c r="D330" s="382"/>
      <c r="E330" s="382"/>
      <c r="F330" s="384"/>
      <c r="G330" s="384"/>
      <c r="H330" s="384"/>
      <c r="I330" s="14"/>
      <c r="J330" s="14"/>
      <c r="K330" s="14"/>
      <c r="L330" s="14"/>
      <c r="M330" s="382"/>
      <c r="N330" s="382"/>
    </row>
    <row r="331" spans="1:379" ht="16">
      <c r="A331" s="63"/>
      <c r="B331" s="64"/>
      <c r="C331" s="64"/>
      <c r="D331" s="64"/>
      <c r="E331" s="64"/>
      <c r="F331" s="200"/>
      <c r="G331" s="200"/>
      <c r="H331" s="200"/>
      <c r="I331" s="670" t="s">
        <v>0</v>
      </c>
      <c r="J331" s="670"/>
      <c r="K331" s="670"/>
      <c r="L331" s="670"/>
      <c r="M331" s="64"/>
      <c r="N331" s="65"/>
    </row>
    <row r="332" spans="1:379" ht="16">
      <c r="A332" s="62"/>
      <c r="B332" s="671" t="s">
        <v>1</v>
      </c>
      <c r="C332" s="671"/>
      <c r="D332" s="671" t="s">
        <v>2</v>
      </c>
      <c r="E332" s="671"/>
      <c r="F332" s="672" t="s">
        <v>3</v>
      </c>
      <c r="G332" s="672"/>
      <c r="H332" s="364" t="s">
        <v>3</v>
      </c>
      <c r="I332" s="78" t="s">
        <v>135</v>
      </c>
      <c r="J332" s="66"/>
      <c r="K332" s="66"/>
      <c r="L332" s="79"/>
      <c r="M332" s="671" t="s">
        <v>4</v>
      </c>
      <c r="N332" s="674"/>
    </row>
    <row r="333" spans="1:379" ht="19" thickBot="1">
      <c r="A333" s="67" t="s">
        <v>5</v>
      </c>
      <c r="B333" s="675" t="s">
        <v>6</v>
      </c>
      <c r="C333" s="675"/>
      <c r="D333" s="675" t="s">
        <v>7</v>
      </c>
      <c r="E333" s="675"/>
      <c r="F333" s="676" t="s">
        <v>7</v>
      </c>
      <c r="G333" s="676"/>
      <c r="H333" s="366" t="s">
        <v>58</v>
      </c>
      <c r="I333" s="367" t="s">
        <v>136</v>
      </c>
      <c r="J333" s="365" t="s">
        <v>8</v>
      </c>
      <c r="K333" s="365" t="s">
        <v>9</v>
      </c>
      <c r="L333" s="187" t="s">
        <v>10</v>
      </c>
      <c r="M333" s="675" t="s">
        <v>103</v>
      </c>
      <c r="N333" s="678"/>
    </row>
    <row r="334" spans="1:379" ht="24" thickBot="1">
      <c r="A334" s="60" t="s">
        <v>121</v>
      </c>
      <c r="B334" s="928"/>
      <c r="C334" s="680"/>
      <c r="D334" s="681"/>
      <c r="E334" s="682"/>
      <c r="F334" s="683"/>
      <c r="G334" s="684"/>
      <c r="H334" s="381"/>
      <c r="I334" s="3"/>
      <c r="J334" s="3"/>
      <c r="K334" s="3"/>
      <c r="L334" s="4"/>
      <c r="M334" s="929"/>
      <c r="N334" s="930"/>
    </row>
    <row r="335" spans="1:379" s="530" customFormat="1" ht="17" thickBot="1">
      <c r="A335" s="71" t="s">
        <v>48</v>
      </c>
      <c r="B335" s="663"/>
      <c r="C335" s="716"/>
      <c r="D335" s="729"/>
      <c r="E335" s="716"/>
      <c r="F335" s="717"/>
      <c r="G335" s="718"/>
      <c r="H335" s="524"/>
      <c r="I335" s="72"/>
      <c r="J335" s="72"/>
      <c r="K335" s="72"/>
      <c r="L335" s="521"/>
      <c r="M335" s="719"/>
      <c r="N335" s="689"/>
      <c r="O335" s="135"/>
      <c r="P335" s="135"/>
      <c r="Q335" s="135"/>
      <c r="R335" s="135"/>
      <c r="S335" s="135"/>
      <c r="T335" s="135"/>
      <c r="U335" s="135"/>
    </row>
    <row r="336" spans="1:379" hidden="1">
      <c r="A336" s="24" t="s">
        <v>29</v>
      </c>
      <c r="B336" s="895">
        <f>Chino!N146</f>
        <v>0</v>
      </c>
      <c r="C336" s="629"/>
      <c r="D336" s="636">
        <f>F336*325851</f>
        <v>0</v>
      </c>
      <c r="E336" s="629"/>
      <c r="F336" s="931">
        <f>0.0425*B336</f>
        <v>0</v>
      </c>
      <c r="G336" s="908"/>
      <c r="H336" s="383">
        <f>F336*20</f>
        <v>0</v>
      </c>
      <c r="I336" s="81">
        <v>0</v>
      </c>
      <c r="J336" s="81">
        <f>35*B336</f>
        <v>0</v>
      </c>
      <c r="K336" s="81">
        <f>B336*50</f>
        <v>0</v>
      </c>
      <c r="L336" s="82">
        <f t="shared" ref="L336:L341" si="82">I336+J336+K336</f>
        <v>0</v>
      </c>
      <c r="M336" s="905" t="e">
        <f>L336/(F336*681)</f>
        <v>#DIV/0!</v>
      </c>
      <c r="N336" s="906"/>
    </row>
    <row r="337" spans="1:21">
      <c r="A337" s="24" t="s">
        <v>33</v>
      </c>
      <c r="B337" s="895">
        <f>Chino!N147</f>
        <v>126</v>
      </c>
      <c r="C337" s="629"/>
      <c r="D337" s="636">
        <f>F337*325851</f>
        <v>1133179.4375999998</v>
      </c>
      <c r="E337" s="629"/>
      <c r="F337" s="931">
        <f>0.0276*B337</f>
        <v>3.4775999999999998</v>
      </c>
      <c r="G337" s="908"/>
      <c r="H337" s="412">
        <f>F337*15</f>
        <v>52.163999999999994</v>
      </c>
      <c r="I337" s="81">
        <f>0*B337</f>
        <v>0</v>
      </c>
      <c r="J337" s="96">
        <v>0</v>
      </c>
      <c r="K337" s="81">
        <f>B337*85</f>
        <v>10710</v>
      </c>
      <c r="L337" s="82">
        <f t="shared" si="82"/>
        <v>10710</v>
      </c>
      <c r="M337" s="905">
        <f>L337/(F337*681)</f>
        <v>4.5223350145778802</v>
      </c>
      <c r="N337" s="906"/>
    </row>
    <row r="338" spans="1:21">
      <c r="A338" s="24" t="s">
        <v>56</v>
      </c>
      <c r="B338" s="895">
        <f>Chino!N148</f>
        <v>0</v>
      </c>
      <c r="C338" s="629"/>
      <c r="D338" s="636">
        <f>F338*325851</f>
        <v>0</v>
      </c>
      <c r="E338" s="629"/>
      <c r="F338" s="931">
        <f>0.004*B338</f>
        <v>0</v>
      </c>
      <c r="G338" s="907"/>
      <c r="H338" s="414">
        <f>F338*5</f>
        <v>0</v>
      </c>
      <c r="I338" s="81">
        <f>0*B338</f>
        <v>0</v>
      </c>
      <c r="J338" s="81">
        <f>2*B338</f>
        <v>0</v>
      </c>
      <c r="K338" s="81">
        <f>B338*3</f>
        <v>0</v>
      </c>
      <c r="L338" s="82">
        <f t="shared" si="82"/>
        <v>0</v>
      </c>
      <c r="M338" s="905">
        <v>0</v>
      </c>
      <c r="N338" s="906"/>
    </row>
    <row r="339" spans="1:21">
      <c r="A339" s="54" t="s">
        <v>30</v>
      </c>
      <c r="B339" s="895">
        <f>Chino!N149</f>
        <v>2</v>
      </c>
      <c r="C339" s="895"/>
      <c r="D339" s="667">
        <f>F339*325851</f>
        <v>211803.15</v>
      </c>
      <c r="E339" s="664"/>
      <c r="F339" s="923">
        <f>0.325*B339</f>
        <v>0.65</v>
      </c>
      <c r="G339" s="913"/>
      <c r="H339" s="282">
        <f>F339*10</f>
        <v>6.5</v>
      </c>
      <c r="I339" s="83">
        <v>0</v>
      </c>
      <c r="J339" s="83">
        <f>45*B339</f>
        <v>90</v>
      </c>
      <c r="K339" s="83">
        <f>B339*80</f>
        <v>160</v>
      </c>
      <c r="L339" s="84">
        <f t="shared" si="82"/>
        <v>250</v>
      </c>
      <c r="M339" s="905">
        <f>L339/(F339*681)</f>
        <v>0.56478030046311978</v>
      </c>
      <c r="N339" s="906"/>
    </row>
    <row r="340" spans="1:21" hidden="1">
      <c r="A340" s="53" t="s">
        <v>53</v>
      </c>
      <c r="B340" s="895">
        <f>Chino!N150</f>
        <v>0</v>
      </c>
      <c r="C340" s="895"/>
      <c r="D340" s="667">
        <v>0</v>
      </c>
      <c r="E340" s="664"/>
      <c r="F340" s="923">
        <v>0</v>
      </c>
      <c r="G340" s="913"/>
      <c r="H340" s="282">
        <f>F340*10</f>
        <v>0</v>
      </c>
      <c r="I340" s="83">
        <v>0</v>
      </c>
      <c r="J340" s="83">
        <v>0</v>
      </c>
      <c r="K340" s="83">
        <v>0</v>
      </c>
      <c r="L340" s="84">
        <f t="shared" si="82"/>
        <v>0</v>
      </c>
      <c r="M340" s="905" t="e">
        <f>L340/(F340*681)</f>
        <v>#DIV/0!</v>
      </c>
      <c r="N340" s="906"/>
    </row>
    <row r="341" spans="1:21">
      <c r="A341" s="53" t="s">
        <v>113</v>
      </c>
      <c r="B341" s="895">
        <f>Chino!N151</f>
        <v>1103</v>
      </c>
      <c r="C341" s="895"/>
      <c r="D341" s="667">
        <f>F341*325900</f>
        <v>1437870.8</v>
      </c>
      <c r="E341" s="909"/>
      <c r="F341" s="923">
        <f>B341*0.004</f>
        <v>4.4119999999999999</v>
      </c>
      <c r="G341" s="907"/>
      <c r="H341" s="282">
        <f>F341*5</f>
        <v>22.06</v>
      </c>
      <c r="I341" s="83">
        <v>0</v>
      </c>
      <c r="J341" s="83">
        <v>0</v>
      </c>
      <c r="K341" s="83">
        <f>1200*3</f>
        <v>3600</v>
      </c>
      <c r="L341" s="84">
        <f t="shared" si="82"/>
        <v>3600</v>
      </c>
      <c r="M341" s="905">
        <f>L341/(F341*681)</f>
        <v>1.1981739828501363</v>
      </c>
      <c r="N341" s="906"/>
    </row>
    <row r="342" spans="1:21" ht="14" thickBot="1">
      <c r="A342" s="53" t="s">
        <v>114</v>
      </c>
      <c r="B342" s="895">
        <f>Chino!N152</f>
        <v>0</v>
      </c>
      <c r="C342" s="895"/>
      <c r="D342" s="902">
        <f>F342*325900</f>
        <v>0</v>
      </c>
      <c r="E342" s="954"/>
      <c r="F342" s="1030">
        <f>B342*0.004</f>
        <v>0</v>
      </c>
      <c r="G342" s="946"/>
      <c r="H342" s="423">
        <f>F342*5</f>
        <v>0</v>
      </c>
      <c r="I342" s="83">
        <v>0</v>
      </c>
      <c r="J342" s="83">
        <v>0</v>
      </c>
      <c r="K342" s="83">
        <v>0</v>
      </c>
      <c r="L342" s="84">
        <v>0</v>
      </c>
      <c r="M342" s="905">
        <v>0</v>
      </c>
      <c r="N342" s="906"/>
    </row>
    <row r="343" spans="1:21" s="275" customFormat="1" ht="14" thickBot="1">
      <c r="A343" s="40" t="s">
        <v>60</v>
      </c>
      <c r="B343" s="642">
        <f>SUM(B336:C342)</f>
        <v>1231</v>
      </c>
      <c r="C343" s="706"/>
      <c r="D343" s="644">
        <f>SUM(D336:E342)</f>
        <v>2782853.3876</v>
      </c>
      <c r="E343" s="706"/>
      <c r="F343" s="707">
        <f>SUM(F336:G342)</f>
        <v>8.5396000000000001</v>
      </c>
      <c r="G343" s="708"/>
      <c r="H343" s="363">
        <f>SUM(H336:H342)</f>
        <v>80.72399999999999</v>
      </c>
      <c r="I343" s="86">
        <f>SUM(I336:I342)</f>
        <v>0</v>
      </c>
      <c r="J343" s="86">
        <f>SUM(J336:J342)</f>
        <v>90</v>
      </c>
      <c r="K343" s="86">
        <f>SUM(K336:K342)</f>
        <v>14470</v>
      </c>
      <c r="L343" s="86">
        <f>SUM(L336:L342)</f>
        <v>14560</v>
      </c>
      <c r="M343" s="709"/>
      <c r="N343" s="710"/>
      <c r="O343" s="276"/>
      <c r="P343" s="276"/>
      <c r="Q343" s="276"/>
      <c r="R343" s="276"/>
      <c r="S343" s="276"/>
      <c r="T343" s="276"/>
      <c r="U343" s="276"/>
    </row>
    <row r="344" spans="1:21" s="530" customFormat="1" ht="17" thickBot="1">
      <c r="A344" s="71" t="s">
        <v>91</v>
      </c>
      <c r="B344" s="662"/>
      <c r="C344" s="716"/>
      <c r="D344" s="663"/>
      <c r="E344" s="716"/>
      <c r="F344" s="717"/>
      <c r="G344" s="718"/>
      <c r="H344" s="524"/>
      <c r="I344" s="100"/>
      <c r="J344" s="100"/>
      <c r="K344" s="100"/>
      <c r="L344" s="101"/>
      <c r="M344" s="719"/>
      <c r="N344" s="689"/>
      <c r="O344" s="135"/>
      <c r="P344" s="135"/>
      <c r="Q344" s="135"/>
      <c r="R344" s="135"/>
      <c r="S344" s="135"/>
      <c r="T344" s="135"/>
      <c r="U344" s="135"/>
    </row>
    <row r="345" spans="1:21">
      <c r="A345" s="53" t="s">
        <v>104</v>
      </c>
      <c r="B345" s="628">
        <f>Chino!N155</f>
        <v>2</v>
      </c>
      <c r="C345" s="629"/>
      <c r="D345" s="895">
        <f>F345*325851</f>
        <v>27697.335000000003</v>
      </c>
      <c r="E345" s="629"/>
      <c r="F345" s="923">
        <f>0.0425*B345</f>
        <v>8.5000000000000006E-2</v>
      </c>
      <c r="G345" s="914"/>
      <c r="H345" s="411">
        <f>F345*20</f>
        <v>1.7000000000000002</v>
      </c>
      <c r="I345" s="81">
        <f>73.34*B345</f>
        <v>146.68</v>
      </c>
      <c r="J345" s="81">
        <f>35.66*B345</f>
        <v>71.319999999999993</v>
      </c>
      <c r="K345" s="81">
        <f>B345*50</f>
        <v>100</v>
      </c>
      <c r="L345" s="82">
        <f>I345+J345+K345</f>
        <v>318</v>
      </c>
      <c r="M345" s="905">
        <f>L345/(F345*681)</f>
        <v>5.4936512049753814</v>
      </c>
      <c r="N345" s="906"/>
    </row>
    <row r="346" spans="1:21" ht="14" thickBot="1">
      <c r="A346" s="53" t="s">
        <v>122</v>
      </c>
      <c r="B346" s="628">
        <f>Chino!N156</f>
        <v>82</v>
      </c>
      <c r="C346" s="629"/>
      <c r="D346" s="895">
        <f>F346*325851</f>
        <v>1135590.7350000001</v>
      </c>
      <c r="E346" s="629"/>
      <c r="F346" s="923">
        <f>0.0425*B346</f>
        <v>3.4850000000000003</v>
      </c>
      <c r="G346" s="914"/>
      <c r="H346" s="411">
        <f>F346*20</f>
        <v>69.7</v>
      </c>
      <c r="I346" s="81">
        <f>73.34*B346</f>
        <v>6013.88</v>
      </c>
      <c r="J346" s="81">
        <f>35.66*B346</f>
        <v>2924.12</v>
      </c>
      <c r="K346" s="81">
        <f>B346*50</f>
        <v>4100</v>
      </c>
      <c r="L346" s="82">
        <f>I346+J346+K346</f>
        <v>13038</v>
      </c>
      <c r="M346" s="905">
        <f>L346/(F346*681)</f>
        <v>5.4936512049753814</v>
      </c>
      <c r="N346" s="906"/>
    </row>
    <row r="347" spans="1:21" s="275" customFormat="1" ht="14" thickBot="1">
      <c r="A347" s="40" t="s">
        <v>60</v>
      </c>
      <c r="B347" s="642">
        <f>SUM(B345:B346)</f>
        <v>84</v>
      </c>
      <c r="C347" s="706"/>
      <c r="D347" s="644">
        <f>SUM(D345:D346)</f>
        <v>1163288.07</v>
      </c>
      <c r="E347" s="706"/>
      <c r="F347" s="808">
        <f>SUM(F345:F346)</f>
        <v>3.5700000000000003</v>
      </c>
      <c r="G347" s="708"/>
      <c r="H347" s="363">
        <f>SUM(H345:H346)</f>
        <v>71.400000000000006</v>
      </c>
      <c r="I347" s="86">
        <f>SUM(I345:I346)</f>
        <v>6160.56</v>
      </c>
      <c r="J347" s="91">
        <f>SUM(J345:J346)</f>
        <v>2995.44</v>
      </c>
      <c r="K347" s="91">
        <f>SUM(K345:K346)</f>
        <v>4200</v>
      </c>
      <c r="L347" s="86">
        <f>SUM(L345:L346)</f>
        <v>13356</v>
      </c>
      <c r="M347" s="709"/>
      <c r="N347" s="710"/>
      <c r="O347" s="276"/>
      <c r="P347" s="276"/>
      <c r="Q347" s="276"/>
      <c r="R347" s="276"/>
      <c r="S347" s="276"/>
      <c r="T347" s="276"/>
      <c r="U347" s="276"/>
    </row>
    <row r="348" spans="1:21" s="530" customFormat="1" ht="17" thickBot="1">
      <c r="A348" s="71" t="s">
        <v>50</v>
      </c>
      <c r="B348" s="662"/>
      <c r="C348" s="716"/>
      <c r="D348" s="663"/>
      <c r="E348" s="716"/>
      <c r="F348" s="717"/>
      <c r="G348" s="718"/>
      <c r="H348" s="524"/>
      <c r="I348" s="100"/>
      <c r="J348" s="100"/>
      <c r="K348" s="100"/>
      <c r="L348" s="101"/>
      <c r="M348" s="719"/>
      <c r="N348" s="689"/>
      <c r="O348" s="135"/>
      <c r="P348" s="135"/>
      <c r="Q348" s="135"/>
      <c r="R348" s="135"/>
      <c r="S348" s="135"/>
      <c r="T348" s="135"/>
      <c r="U348" s="135"/>
    </row>
    <row r="349" spans="1:21">
      <c r="A349" s="24" t="s">
        <v>29</v>
      </c>
      <c r="B349" s="628">
        <f>Chino!N159</f>
        <v>0</v>
      </c>
      <c r="C349" s="629"/>
      <c r="D349" s="895">
        <f t="shared" ref="D349:D355" si="83">F349*325851</f>
        <v>0</v>
      </c>
      <c r="E349" s="629"/>
      <c r="F349" s="931">
        <f>0.0425*B349</f>
        <v>0</v>
      </c>
      <c r="G349" s="908"/>
      <c r="H349" s="425">
        <f>F349*20</f>
        <v>0</v>
      </c>
      <c r="I349" s="81">
        <v>0</v>
      </c>
      <c r="J349" s="81">
        <f>135*B349</f>
        <v>0</v>
      </c>
      <c r="K349" s="81">
        <f>165*B349</f>
        <v>0</v>
      </c>
      <c r="L349" s="82">
        <f t="shared" ref="L349:L356" si="84">SUM(I349:K349)</f>
        <v>0</v>
      </c>
      <c r="M349" s="905">
        <v>0</v>
      </c>
      <c r="N349" s="906"/>
    </row>
    <row r="350" spans="1:21">
      <c r="A350" s="24" t="s">
        <v>51</v>
      </c>
      <c r="B350" s="628">
        <f>Chino!N160</f>
        <v>6</v>
      </c>
      <c r="C350" s="629"/>
      <c r="D350" s="895">
        <f t="shared" si="83"/>
        <v>239891.50619999997</v>
      </c>
      <c r="E350" s="629"/>
      <c r="F350" s="931">
        <f>0.1227*B350</f>
        <v>0.73619999999999997</v>
      </c>
      <c r="G350" s="908"/>
      <c r="H350" s="425">
        <f>F350*20</f>
        <v>14.724</v>
      </c>
      <c r="I350" s="81">
        <v>0</v>
      </c>
      <c r="J350" s="81">
        <f>50*B350</f>
        <v>300</v>
      </c>
      <c r="K350" s="81">
        <f>200*B350</f>
        <v>1200</v>
      </c>
      <c r="L350" s="82">
        <f t="shared" si="84"/>
        <v>1500</v>
      </c>
      <c r="M350" s="905">
        <f>L350/(F350*681)</f>
        <v>2.9919086821599667</v>
      </c>
      <c r="N350" s="906"/>
    </row>
    <row r="351" spans="1:21">
      <c r="A351" s="26" t="s">
        <v>20</v>
      </c>
      <c r="B351" s="628">
        <f>Chino!N161</f>
        <v>0</v>
      </c>
      <c r="C351" s="629"/>
      <c r="D351" s="895">
        <f t="shared" si="83"/>
        <v>0</v>
      </c>
      <c r="E351" s="629"/>
      <c r="F351" s="931">
        <f>0.644*B351</f>
        <v>0</v>
      </c>
      <c r="G351" s="908"/>
      <c r="H351" s="425">
        <f>F351*5</f>
        <v>0</v>
      </c>
      <c r="I351" s="81">
        <v>0</v>
      </c>
      <c r="J351" s="81">
        <f>43.75*B351</f>
        <v>0</v>
      </c>
      <c r="K351" s="81">
        <f>625*B351</f>
        <v>0</v>
      </c>
      <c r="L351" s="82">
        <f t="shared" si="84"/>
        <v>0</v>
      </c>
      <c r="M351" s="905">
        <v>0</v>
      </c>
      <c r="N351" s="906"/>
    </row>
    <row r="352" spans="1:21">
      <c r="A352" s="26" t="s">
        <v>13</v>
      </c>
      <c r="B352" s="628">
        <f>Chino!N162</f>
        <v>0</v>
      </c>
      <c r="C352" s="629"/>
      <c r="D352" s="895">
        <f t="shared" si="83"/>
        <v>0</v>
      </c>
      <c r="E352" s="629"/>
      <c r="F352" s="931">
        <f>0.0276*B352</f>
        <v>0</v>
      </c>
      <c r="G352" s="908"/>
      <c r="H352" s="425">
        <f>F352*10</f>
        <v>0</v>
      </c>
      <c r="I352" s="81">
        <v>0</v>
      </c>
      <c r="J352" s="81">
        <f>100*B352</f>
        <v>0</v>
      </c>
      <c r="K352" s="81">
        <f>80*B352</f>
        <v>0</v>
      </c>
      <c r="L352" s="82">
        <f t="shared" si="84"/>
        <v>0</v>
      </c>
      <c r="M352" s="905">
        <v>0</v>
      </c>
      <c r="N352" s="906"/>
    </row>
    <row r="353" spans="1:21" hidden="1">
      <c r="A353" s="27" t="s">
        <v>47</v>
      </c>
      <c r="B353" s="628">
        <f>Chino!N163</f>
        <v>0</v>
      </c>
      <c r="C353" s="629"/>
      <c r="D353" s="895">
        <f t="shared" si="83"/>
        <v>0</v>
      </c>
      <c r="E353" s="629"/>
      <c r="F353" s="931">
        <f>0.1534*B353</f>
        <v>0</v>
      </c>
      <c r="G353" s="908"/>
      <c r="H353" s="425">
        <f>F353*5</f>
        <v>0</v>
      </c>
      <c r="I353" s="81">
        <v>0</v>
      </c>
      <c r="J353" s="81">
        <f>0*B353</f>
        <v>0</v>
      </c>
      <c r="K353" s="81">
        <f>150*B353</f>
        <v>0</v>
      </c>
      <c r="L353" s="82">
        <f t="shared" si="84"/>
        <v>0</v>
      </c>
      <c r="M353" s="905">
        <v>0</v>
      </c>
      <c r="N353" s="906"/>
    </row>
    <row r="354" spans="1:21">
      <c r="A354" s="53" t="s">
        <v>30</v>
      </c>
      <c r="B354" s="628">
        <f>Chino!N164</f>
        <v>0</v>
      </c>
      <c r="C354" s="629"/>
      <c r="D354" s="895">
        <f t="shared" si="83"/>
        <v>0</v>
      </c>
      <c r="E354" s="629"/>
      <c r="F354" s="931">
        <f>0.325*B354</f>
        <v>0</v>
      </c>
      <c r="G354" s="908"/>
      <c r="H354" s="425">
        <f>F354*10</f>
        <v>0</v>
      </c>
      <c r="I354" s="81">
        <v>0</v>
      </c>
      <c r="J354" s="81">
        <f>120*B354</f>
        <v>0</v>
      </c>
      <c r="K354" s="81">
        <f>200*B354</f>
        <v>0</v>
      </c>
      <c r="L354" s="82">
        <f t="shared" si="84"/>
        <v>0</v>
      </c>
      <c r="M354" s="905">
        <v>0</v>
      </c>
      <c r="N354" s="906"/>
    </row>
    <row r="355" spans="1:21" hidden="1">
      <c r="A355" s="53" t="s">
        <v>53</v>
      </c>
      <c r="B355" s="628">
        <f>Chino!N165</f>
        <v>0</v>
      </c>
      <c r="C355" s="629"/>
      <c r="D355" s="895">
        <f t="shared" si="83"/>
        <v>0</v>
      </c>
      <c r="E355" s="629"/>
      <c r="F355" s="931">
        <f>0.00014*B355</f>
        <v>0</v>
      </c>
      <c r="G355" s="908"/>
      <c r="H355" s="425">
        <f>F355*10</f>
        <v>0</v>
      </c>
      <c r="I355" s="81">
        <v>0</v>
      </c>
      <c r="J355" s="81">
        <f>0.45*B355</f>
        <v>0</v>
      </c>
      <c r="K355" s="81">
        <f>0.3*B355</f>
        <v>0</v>
      </c>
      <c r="L355" s="82">
        <f t="shared" si="84"/>
        <v>0</v>
      </c>
      <c r="M355" s="905">
        <v>0</v>
      </c>
      <c r="N355" s="906"/>
    </row>
    <row r="356" spans="1:21">
      <c r="A356" s="25" t="s">
        <v>56</v>
      </c>
      <c r="B356" s="628">
        <f>Chino!N166</f>
        <v>0</v>
      </c>
      <c r="C356" s="629"/>
      <c r="D356" s="895">
        <f>F356*325851</f>
        <v>0</v>
      </c>
      <c r="E356" s="629"/>
      <c r="F356" s="931">
        <f>0.004*B356</f>
        <v>0</v>
      </c>
      <c r="G356" s="908"/>
      <c r="H356" s="425">
        <f>F356*5</f>
        <v>0</v>
      </c>
      <c r="I356" s="81">
        <v>0</v>
      </c>
      <c r="J356" s="81">
        <f>0*B356</f>
        <v>0</v>
      </c>
      <c r="K356" s="81">
        <f>4*B356</f>
        <v>0</v>
      </c>
      <c r="L356" s="82">
        <f t="shared" si="84"/>
        <v>0</v>
      </c>
      <c r="M356" s="905">
        <v>0</v>
      </c>
      <c r="N356" s="906"/>
    </row>
    <row r="357" spans="1:21">
      <c r="A357" s="53" t="s">
        <v>89</v>
      </c>
      <c r="B357" s="628">
        <f>Chino!N167</f>
        <v>0</v>
      </c>
      <c r="C357" s="629"/>
      <c r="D357" s="895">
        <f>F357*325851</f>
        <v>0</v>
      </c>
      <c r="E357" s="629"/>
      <c r="F357" s="931">
        <f>0.018*B357</f>
        <v>0</v>
      </c>
      <c r="G357" s="908"/>
      <c r="H357" s="425">
        <f>F357*10</f>
        <v>0</v>
      </c>
      <c r="I357" s="81">
        <v>0</v>
      </c>
      <c r="J357" s="81">
        <f>0*B357</f>
        <v>0</v>
      </c>
      <c r="K357" s="81">
        <f>13*B357</f>
        <v>0</v>
      </c>
      <c r="L357" s="82">
        <f>SUM(I357:K357)</f>
        <v>0</v>
      </c>
      <c r="M357" s="905">
        <v>0</v>
      </c>
      <c r="N357" s="906"/>
    </row>
    <row r="358" spans="1:21" hidden="1">
      <c r="A358" s="25" t="s">
        <v>83</v>
      </c>
      <c r="B358" s="628">
        <f>Chino!N168</f>
        <v>0</v>
      </c>
      <c r="C358" s="629"/>
      <c r="D358" s="895">
        <f>F358*325851</f>
        <v>0</v>
      </c>
      <c r="E358" s="629"/>
      <c r="F358" s="931">
        <f>0.018*B358</f>
        <v>0</v>
      </c>
      <c r="G358" s="908"/>
      <c r="H358" s="425">
        <f>F358*10</f>
        <v>0</v>
      </c>
      <c r="I358" s="81">
        <v>0</v>
      </c>
      <c r="J358" s="81">
        <f>0*B358</f>
        <v>0</v>
      </c>
      <c r="K358" s="81">
        <f>13*B358</f>
        <v>0</v>
      </c>
      <c r="L358" s="82">
        <f>SUM(I358:K358)</f>
        <v>0</v>
      </c>
      <c r="M358" s="905">
        <v>0</v>
      </c>
      <c r="N358" s="906"/>
    </row>
    <row r="359" spans="1:21" hidden="1">
      <c r="A359" s="25" t="s">
        <v>115</v>
      </c>
      <c r="B359" s="628"/>
      <c r="C359" s="629"/>
      <c r="D359" s="895"/>
      <c r="E359" s="629"/>
      <c r="F359" s="931"/>
      <c r="G359" s="908"/>
      <c r="H359" s="425"/>
      <c r="I359" s="104"/>
      <c r="J359" s="81"/>
      <c r="K359" s="81"/>
      <c r="L359" s="82"/>
      <c r="M359" s="905"/>
      <c r="N359" s="906"/>
    </row>
    <row r="360" spans="1:21">
      <c r="A360" s="25" t="s">
        <v>113</v>
      </c>
      <c r="B360" s="628">
        <f>Chino!N170</f>
        <v>1855</v>
      </c>
      <c r="C360" s="629"/>
      <c r="D360" s="895">
        <f>F360*325851</f>
        <v>2417814.42</v>
      </c>
      <c r="E360" s="895"/>
      <c r="F360" s="931">
        <f>0.004*B360</f>
        <v>7.42</v>
      </c>
      <c r="G360" s="908"/>
      <c r="H360" s="425">
        <f>F360*5</f>
        <v>37.1</v>
      </c>
      <c r="I360" s="81">
        <v>0</v>
      </c>
      <c r="J360" s="81">
        <f>0*B360</f>
        <v>0</v>
      </c>
      <c r="K360" s="81">
        <f>3*B360</f>
        <v>5565</v>
      </c>
      <c r="L360" s="82">
        <f>SUM(I360:K360)</f>
        <v>5565</v>
      </c>
      <c r="M360" s="905">
        <f>L360/(F360*681)</f>
        <v>1.1013215859030838</v>
      </c>
      <c r="N360" s="906"/>
    </row>
    <row r="361" spans="1:21" ht="14" thickBot="1">
      <c r="A361" s="54" t="s">
        <v>124</v>
      </c>
      <c r="B361" s="628">
        <f>Chino!N171</f>
        <v>0</v>
      </c>
      <c r="C361" s="629"/>
      <c r="D361" s="895">
        <f>F361*325851</f>
        <v>0</v>
      </c>
      <c r="E361" s="629"/>
      <c r="F361" s="931">
        <f>0.018*B361</f>
        <v>0</v>
      </c>
      <c r="G361" s="908"/>
      <c r="H361" s="425">
        <f>F361*10</f>
        <v>0</v>
      </c>
      <c r="I361" s="81">
        <v>0</v>
      </c>
      <c r="J361" s="81">
        <v>0</v>
      </c>
      <c r="K361" s="81">
        <v>0</v>
      </c>
      <c r="L361" s="82">
        <v>0</v>
      </c>
      <c r="M361" s="905">
        <v>0</v>
      </c>
      <c r="N361" s="906"/>
    </row>
    <row r="362" spans="1:21" s="275" customFormat="1" ht="14" thickBot="1">
      <c r="A362" s="40" t="s">
        <v>60</v>
      </c>
      <c r="B362" s="642">
        <f>SUM(B349:C361)</f>
        <v>1861</v>
      </c>
      <c r="C362" s="706"/>
      <c r="D362" s="644">
        <f>SUM(D349:E361)</f>
        <v>2657705.9262000001</v>
      </c>
      <c r="E362" s="706"/>
      <c r="F362" s="707">
        <f>SUM(F349:G361)</f>
        <v>8.1562000000000001</v>
      </c>
      <c r="G362" s="708"/>
      <c r="H362" s="363">
        <f>SUM(H349:H361)</f>
        <v>51.823999999999998</v>
      </c>
      <c r="I362" s="86">
        <f>SUM(I349:I361)</f>
        <v>0</v>
      </c>
      <c r="J362" s="86">
        <f>SUM(J349:J361)</f>
        <v>300</v>
      </c>
      <c r="K362" s="86">
        <f>SUM(K349:K361)</f>
        <v>6765</v>
      </c>
      <c r="L362" s="86">
        <f>SUM(L349:L361)</f>
        <v>7065</v>
      </c>
      <c r="M362" s="709"/>
      <c r="N362" s="710"/>
      <c r="O362" s="276"/>
      <c r="P362" s="276"/>
      <c r="Q362" s="276"/>
      <c r="R362" s="276"/>
      <c r="S362" s="276"/>
      <c r="T362" s="276"/>
      <c r="U362" s="276"/>
    </row>
    <row r="363" spans="1:21" s="534" customFormat="1" ht="17" thickBot="1">
      <c r="A363" s="531" t="s">
        <v>17</v>
      </c>
      <c r="B363" s="621">
        <f>SUM(B343+B347+B362)</f>
        <v>3176</v>
      </c>
      <c r="C363" s="622"/>
      <c r="D363" s="711">
        <f>SUM(D343+D347+D362)</f>
        <v>6603847.3838</v>
      </c>
      <c r="E363" s="622"/>
      <c r="F363" s="712">
        <f>SUM(F343+F347+F362)</f>
        <v>20.265799999999999</v>
      </c>
      <c r="G363" s="713"/>
      <c r="H363" s="541">
        <f>SUM(,H343,H347,H362)</f>
        <v>203.94799999999998</v>
      </c>
      <c r="I363" s="535">
        <f>SUM(I343+I347+I362)</f>
        <v>6160.56</v>
      </c>
      <c r="J363" s="535">
        <f>SUM(J343+J347+J362)</f>
        <v>3385.44</v>
      </c>
      <c r="K363" s="535">
        <f>SUM(K343+K347+K362)</f>
        <v>25435</v>
      </c>
      <c r="L363" s="535">
        <f>SUM(L343+L347+L362)</f>
        <v>34981</v>
      </c>
      <c r="M363" s="714"/>
      <c r="N363" s="715"/>
      <c r="O363" s="75"/>
      <c r="P363" s="75"/>
      <c r="Q363" s="75"/>
      <c r="R363" s="75"/>
      <c r="S363" s="75"/>
      <c r="T363" s="75"/>
      <c r="U363" s="75"/>
    </row>
    <row r="364" spans="1:21">
      <c r="A364" s="39"/>
      <c r="B364" s="13"/>
      <c r="C364" s="13"/>
      <c r="D364" s="13"/>
      <c r="E364" s="13"/>
      <c r="F364" s="201"/>
      <c r="G364" s="201"/>
      <c r="H364" s="201"/>
      <c r="I364" s="14"/>
      <c r="J364" s="14"/>
      <c r="K364" s="14"/>
      <c r="L364" s="14"/>
      <c r="M364" s="11"/>
      <c r="N364" s="11"/>
    </row>
    <row r="365" spans="1:21" ht="15">
      <c r="A365" s="5" t="s">
        <v>18</v>
      </c>
      <c r="B365" s="626" t="s">
        <v>59</v>
      </c>
      <c r="C365" s="765"/>
      <c r="D365" s="765"/>
      <c r="E365" s="912"/>
      <c r="F365" s="201"/>
      <c r="G365" s="201"/>
      <c r="H365" s="201"/>
      <c r="I365" s="14"/>
      <c r="J365" s="14"/>
      <c r="K365" s="14"/>
      <c r="L365" s="14"/>
      <c r="M365" s="11"/>
      <c r="N365" s="11"/>
    </row>
    <row r="366" spans="1:21">
      <c r="B366" s="627" t="s">
        <v>19</v>
      </c>
      <c r="C366" s="627"/>
      <c r="D366" s="627"/>
      <c r="E366" s="627"/>
      <c r="F366" s="201"/>
      <c r="G366" s="201"/>
      <c r="H366" s="201"/>
      <c r="I366" s="14"/>
      <c r="J366" s="14"/>
      <c r="K366" s="14"/>
      <c r="L366" s="14"/>
      <c r="M366" s="11"/>
      <c r="N366" s="11"/>
    </row>
    <row r="367" spans="1:21" ht="14" thickBot="1">
      <c r="A367" s="332"/>
      <c r="B367" s="382"/>
      <c r="C367" s="382"/>
      <c r="D367" s="382"/>
      <c r="E367" s="382"/>
      <c r="F367" s="384"/>
      <c r="G367" s="384"/>
      <c r="H367" s="384"/>
      <c r="I367" s="14"/>
      <c r="J367" s="14"/>
      <c r="K367" s="14"/>
      <c r="L367" s="14"/>
      <c r="M367" s="382"/>
      <c r="N367" s="382"/>
    </row>
    <row r="368" spans="1:21" ht="16">
      <c r="A368" s="63"/>
      <c r="B368" s="64"/>
      <c r="C368" s="64"/>
      <c r="D368" s="64"/>
      <c r="E368" s="64"/>
      <c r="F368" s="200"/>
      <c r="G368" s="200"/>
      <c r="H368" s="200"/>
      <c r="I368" s="670" t="s">
        <v>0</v>
      </c>
      <c r="J368" s="670"/>
      <c r="K368" s="670"/>
      <c r="L368" s="670"/>
      <c r="M368" s="64"/>
      <c r="N368" s="65"/>
    </row>
    <row r="369" spans="1:21" ht="16">
      <c r="A369" s="62"/>
      <c r="B369" s="671" t="s">
        <v>1</v>
      </c>
      <c r="C369" s="671"/>
      <c r="D369" s="671" t="s">
        <v>2</v>
      </c>
      <c r="E369" s="671"/>
      <c r="F369" s="672" t="s">
        <v>3</v>
      </c>
      <c r="G369" s="672"/>
      <c r="H369" s="364" t="s">
        <v>3</v>
      </c>
      <c r="I369" s="78" t="s">
        <v>135</v>
      </c>
      <c r="J369" s="66"/>
      <c r="K369" s="66"/>
      <c r="L369" s="79"/>
      <c r="M369" s="671" t="s">
        <v>4</v>
      </c>
      <c r="N369" s="674"/>
    </row>
    <row r="370" spans="1:21" ht="19" thickBot="1">
      <c r="A370" s="67" t="s">
        <v>5</v>
      </c>
      <c r="B370" s="675" t="s">
        <v>6</v>
      </c>
      <c r="C370" s="675"/>
      <c r="D370" s="675" t="s">
        <v>7</v>
      </c>
      <c r="E370" s="675"/>
      <c r="F370" s="676" t="s">
        <v>7</v>
      </c>
      <c r="G370" s="676"/>
      <c r="H370" s="366" t="s">
        <v>58</v>
      </c>
      <c r="I370" s="367" t="s">
        <v>136</v>
      </c>
      <c r="J370" s="365" t="s">
        <v>8</v>
      </c>
      <c r="K370" s="365" t="s">
        <v>9</v>
      </c>
      <c r="L370" s="187" t="s">
        <v>10</v>
      </c>
      <c r="M370" s="675" t="s">
        <v>103</v>
      </c>
      <c r="N370" s="678"/>
    </row>
    <row r="371" spans="1:21" ht="24" thickBot="1">
      <c r="A371" s="60" t="s">
        <v>112</v>
      </c>
      <c r="B371" s="928"/>
      <c r="C371" s="680"/>
      <c r="D371" s="681"/>
      <c r="E371" s="682"/>
      <c r="F371" s="683"/>
      <c r="G371" s="684"/>
      <c r="H371" s="381"/>
      <c r="I371" s="3"/>
      <c r="J371" s="3"/>
      <c r="K371" s="3"/>
      <c r="L371" s="4"/>
      <c r="M371" s="929"/>
      <c r="N371" s="930"/>
    </row>
    <row r="372" spans="1:21" s="530" customFormat="1" ht="17" thickBot="1">
      <c r="A372" s="71" t="s">
        <v>48</v>
      </c>
      <c r="B372" s="663"/>
      <c r="C372" s="716"/>
      <c r="D372" s="729"/>
      <c r="E372" s="716"/>
      <c r="F372" s="717"/>
      <c r="G372" s="718"/>
      <c r="H372" s="524"/>
      <c r="I372" s="72"/>
      <c r="J372" s="72"/>
      <c r="K372" s="72"/>
      <c r="L372" s="521"/>
      <c r="M372" s="719"/>
      <c r="N372" s="689"/>
      <c r="O372" s="135"/>
      <c r="P372" s="135"/>
      <c r="Q372" s="135"/>
      <c r="R372" s="135"/>
      <c r="S372" s="135"/>
      <c r="T372" s="135"/>
      <c r="U372" s="135"/>
    </row>
    <row r="373" spans="1:21">
      <c r="A373" s="24" t="s">
        <v>29</v>
      </c>
      <c r="B373" s="895">
        <f>Chino!N117</f>
        <v>5</v>
      </c>
      <c r="C373" s="629"/>
      <c r="D373" s="636">
        <f>F373*325851</f>
        <v>69243.337500000009</v>
      </c>
      <c r="E373" s="629"/>
      <c r="F373" s="931">
        <f>0.0425*B373</f>
        <v>0.21250000000000002</v>
      </c>
      <c r="G373" s="908"/>
      <c r="H373" s="412">
        <f>F373*20</f>
        <v>4.25</v>
      </c>
      <c r="I373" s="81">
        <v>0</v>
      </c>
      <c r="J373" s="81">
        <f>35*B373</f>
        <v>175</v>
      </c>
      <c r="K373" s="81">
        <f>B373*50</f>
        <v>250</v>
      </c>
      <c r="L373" s="82">
        <f t="shared" ref="L373:L378" si="85">I373+J373+K373</f>
        <v>425</v>
      </c>
      <c r="M373" s="905">
        <f>L373/(F373*498.5)</f>
        <v>4.0120361083249749</v>
      </c>
      <c r="N373" s="906"/>
    </row>
    <row r="374" spans="1:21">
      <c r="A374" s="24" t="s">
        <v>33</v>
      </c>
      <c r="B374" s="895">
        <f>Chino!N118</f>
        <v>199</v>
      </c>
      <c r="C374" s="629"/>
      <c r="D374" s="636">
        <f>F374*325851</f>
        <v>1789704.0323999999</v>
      </c>
      <c r="E374" s="629"/>
      <c r="F374" s="931">
        <f>0.0276*B374</f>
        <v>5.4923999999999999</v>
      </c>
      <c r="G374" s="908"/>
      <c r="H374" s="412">
        <f>F374*15</f>
        <v>82.385999999999996</v>
      </c>
      <c r="I374" s="81">
        <f>0*B374</f>
        <v>0</v>
      </c>
      <c r="J374" s="96">
        <v>0</v>
      </c>
      <c r="K374" s="81">
        <f>B374*85</f>
        <v>16915</v>
      </c>
      <c r="L374" s="82">
        <f t="shared" si="85"/>
        <v>16915</v>
      </c>
      <c r="M374" s="905">
        <f>L374/(F374*498.5)</f>
        <v>6.1779541523120081</v>
      </c>
      <c r="N374" s="906"/>
    </row>
    <row r="375" spans="1:21">
      <c r="A375" s="24" t="s">
        <v>56</v>
      </c>
      <c r="B375" s="895">
        <f>Chino!N119</f>
        <v>90</v>
      </c>
      <c r="C375" s="629"/>
      <c r="D375" s="636">
        <f>F375*325851</f>
        <v>117306.36</v>
      </c>
      <c r="E375" s="629"/>
      <c r="F375" s="931">
        <f>0.004*B375</f>
        <v>0.36</v>
      </c>
      <c r="G375" s="908"/>
      <c r="H375" s="412">
        <f>F375*5</f>
        <v>1.7999999999999998</v>
      </c>
      <c r="I375" s="81">
        <f>0*B375</f>
        <v>0</v>
      </c>
      <c r="J375" s="81">
        <f>2*B375</f>
        <v>180</v>
      </c>
      <c r="K375" s="81">
        <f>B375*3</f>
        <v>270</v>
      </c>
      <c r="L375" s="82">
        <f t="shared" si="85"/>
        <v>450</v>
      </c>
      <c r="M375" s="905">
        <v>0</v>
      </c>
      <c r="N375" s="906"/>
    </row>
    <row r="376" spans="1:21">
      <c r="A376" s="54" t="s">
        <v>30</v>
      </c>
      <c r="B376" s="895">
        <f>Chino!N120</f>
        <v>1</v>
      </c>
      <c r="C376" s="629"/>
      <c r="D376" s="667">
        <f>F376*325851</f>
        <v>105901.575</v>
      </c>
      <c r="E376" s="639"/>
      <c r="F376" s="923">
        <f>0.325*B376</f>
        <v>0.32500000000000001</v>
      </c>
      <c r="G376" s="914"/>
      <c r="H376" s="411">
        <f>F376*10</f>
        <v>3.25</v>
      </c>
      <c r="I376" s="83">
        <v>0</v>
      </c>
      <c r="J376" s="83">
        <f>45*B376</f>
        <v>45</v>
      </c>
      <c r="K376" s="83">
        <f>B376*80</f>
        <v>80</v>
      </c>
      <c r="L376" s="84">
        <f t="shared" si="85"/>
        <v>125</v>
      </c>
      <c r="M376" s="905">
        <f>L376/(F376*498.5)</f>
        <v>0.77154540544711048</v>
      </c>
      <c r="N376" s="906"/>
    </row>
    <row r="377" spans="1:21">
      <c r="A377" s="53" t="s">
        <v>116</v>
      </c>
      <c r="B377" s="895">
        <v>1</v>
      </c>
      <c r="C377" s="629"/>
      <c r="D377" s="667">
        <f>F377*325900</f>
        <v>27375.599999999999</v>
      </c>
      <c r="E377" s="639"/>
      <c r="F377" s="923">
        <f>600*0.00014</f>
        <v>8.3999999999999991E-2</v>
      </c>
      <c r="G377" s="914"/>
      <c r="H377" s="411">
        <f>F377*10</f>
        <v>0.83999999999999986</v>
      </c>
      <c r="I377" s="83">
        <v>0</v>
      </c>
      <c r="J377" s="83">
        <f>600*0.45</f>
        <v>270</v>
      </c>
      <c r="K377" s="83">
        <f>600*0.3</f>
        <v>180</v>
      </c>
      <c r="L377" s="84">
        <f t="shared" si="85"/>
        <v>450</v>
      </c>
      <c r="M377" s="905">
        <f>L377/(F377*498.5)</f>
        <v>10.746525290156184</v>
      </c>
      <c r="N377" s="906"/>
    </row>
    <row r="378" spans="1:21" ht="14" thickBot="1">
      <c r="A378" s="53" t="s">
        <v>113</v>
      </c>
      <c r="B378" s="694">
        <f>Chino!N122</f>
        <v>48</v>
      </c>
      <c r="C378" s="694"/>
      <c r="D378" s="652">
        <f>F378*325900</f>
        <v>62572.800000000003</v>
      </c>
      <c r="E378" s="766"/>
      <c r="F378" s="720">
        <f>B378*0.004</f>
        <v>0.192</v>
      </c>
      <c r="G378" s="696"/>
      <c r="H378" s="409">
        <f>F378*5</f>
        <v>0.96</v>
      </c>
      <c r="I378" s="107">
        <v>0</v>
      </c>
      <c r="J378" s="107">
        <v>0</v>
      </c>
      <c r="K378" s="107">
        <f>1200*3</f>
        <v>3600</v>
      </c>
      <c r="L378" s="108">
        <f t="shared" si="85"/>
        <v>3600</v>
      </c>
      <c r="M378" s="905">
        <f>L378/(F378*498.5)</f>
        <v>37.612838515546642</v>
      </c>
      <c r="N378" s="906"/>
    </row>
    <row r="379" spans="1:21" ht="14" hidden="1" thickBot="1">
      <c r="A379" s="53" t="s">
        <v>114</v>
      </c>
      <c r="B379" s="747"/>
      <c r="C379" s="748"/>
      <c r="D379" s="654"/>
      <c r="E379" s="655"/>
      <c r="F379" s="722"/>
      <c r="G379" s="723"/>
      <c r="H379" s="362"/>
      <c r="I379" s="139"/>
      <c r="J379" s="139"/>
      <c r="K379" s="139"/>
      <c r="L379" s="108"/>
      <c r="M379" s="981"/>
      <c r="N379" s="982"/>
    </row>
    <row r="380" spans="1:21" s="275" customFormat="1" ht="14" thickBot="1">
      <c r="A380" s="40" t="s">
        <v>60</v>
      </c>
      <c r="B380" s="644">
        <f>SUM(B373:C378)</f>
        <v>344</v>
      </c>
      <c r="C380" s="706"/>
      <c r="D380" s="645">
        <f>SUM(D373:E378)</f>
        <v>2172103.7048999998</v>
      </c>
      <c r="E380" s="706"/>
      <c r="F380" s="707">
        <f>SUM(F373:G378)</f>
        <v>6.6659000000000006</v>
      </c>
      <c r="G380" s="708"/>
      <c r="H380" s="413">
        <f>SUM(H373:H378)</f>
        <v>93.48599999999999</v>
      </c>
      <c r="I380" s="86">
        <f>SUM(I373:I378)</f>
        <v>0</v>
      </c>
      <c r="J380" s="86">
        <f>SUM(J373:J378)</f>
        <v>670</v>
      </c>
      <c r="K380" s="86">
        <f>SUM(K373:K378)</f>
        <v>21295</v>
      </c>
      <c r="L380" s="86">
        <f>SUM(L373:L378)</f>
        <v>21965</v>
      </c>
      <c r="M380" s="709"/>
      <c r="N380" s="710"/>
      <c r="O380" s="276"/>
      <c r="P380" s="276"/>
      <c r="Q380" s="276"/>
      <c r="R380" s="276"/>
      <c r="S380" s="276"/>
      <c r="T380" s="276"/>
      <c r="U380" s="276"/>
    </row>
    <row r="381" spans="1:21" s="530" customFormat="1" ht="17" thickBot="1">
      <c r="A381" s="71" t="s">
        <v>91</v>
      </c>
      <c r="B381" s="662"/>
      <c r="C381" s="716"/>
      <c r="D381" s="729"/>
      <c r="E381" s="716"/>
      <c r="F381" s="687"/>
      <c r="G381" s="718"/>
      <c r="H381" s="524"/>
      <c r="I381" s="100"/>
      <c r="J381" s="100"/>
      <c r="K381" s="100"/>
      <c r="L381" s="101"/>
      <c r="M381" s="719"/>
      <c r="N381" s="689"/>
      <c r="O381" s="135"/>
      <c r="P381" s="135"/>
      <c r="Q381" s="135"/>
      <c r="R381" s="135"/>
      <c r="S381" s="135"/>
      <c r="T381" s="135"/>
      <c r="U381" s="135"/>
    </row>
    <row r="382" spans="1:21" ht="14" thickBot="1">
      <c r="A382" s="53" t="s">
        <v>104</v>
      </c>
      <c r="B382" s="628">
        <f>Chino!N126</f>
        <v>1</v>
      </c>
      <c r="C382" s="629"/>
      <c r="D382" s="636">
        <f>F382*325851</f>
        <v>13848.667500000001</v>
      </c>
      <c r="E382" s="629"/>
      <c r="F382" s="913">
        <f>0.0425*B382</f>
        <v>4.2500000000000003E-2</v>
      </c>
      <c r="G382" s="914"/>
      <c r="H382" s="411">
        <f>F382*20</f>
        <v>0.85000000000000009</v>
      </c>
      <c r="I382" s="81">
        <f>73.34*B382</f>
        <v>73.34</v>
      </c>
      <c r="J382" s="81">
        <f>35.66*B382</f>
        <v>35.659999999999997</v>
      </c>
      <c r="K382" s="81">
        <f>B382*50</f>
        <v>50</v>
      </c>
      <c r="L382" s="82">
        <f>I382+J382+K382</f>
        <v>159</v>
      </c>
      <c r="M382" s="905">
        <v>0</v>
      </c>
      <c r="N382" s="906"/>
    </row>
    <row r="383" spans="1:21" s="275" customFormat="1" ht="14" thickBot="1">
      <c r="A383" s="40" t="s">
        <v>60</v>
      </c>
      <c r="B383" s="642">
        <f>SUM(B382)</f>
        <v>1</v>
      </c>
      <c r="C383" s="706"/>
      <c r="D383" s="645">
        <f>SUM(D382)</f>
        <v>13848.667500000001</v>
      </c>
      <c r="E383" s="706"/>
      <c r="F383" s="921">
        <f>SUM(F382)</f>
        <v>4.2500000000000003E-2</v>
      </c>
      <c r="G383" s="922"/>
      <c r="H383" s="413">
        <f>SUM(H382)</f>
        <v>0.85000000000000009</v>
      </c>
      <c r="I383" s="86">
        <f>SUM(I382)</f>
        <v>73.34</v>
      </c>
      <c r="J383" s="91">
        <f>SUM(J382)</f>
        <v>35.659999999999997</v>
      </c>
      <c r="K383" s="91">
        <f>SUM(K382)</f>
        <v>50</v>
      </c>
      <c r="L383" s="91">
        <f>SUM(L382)</f>
        <v>159</v>
      </c>
      <c r="M383" s="709"/>
      <c r="N383" s="710"/>
      <c r="O383" s="276"/>
      <c r="P383" s="276"/>
      <c r="Q383" s="276"/>
      <c r="R383" s="276"/>
      <c r="S383" s="276"/>
      <c r="T383" s="276"/>
      <c r="U383" s="276"/>
    </row>
    <row r="384" spans="1:21" s="530" customFormat="1" ht="17" thickBot="1">
      <c r="A384" s="71" t="s">
        <v>50</v>
      </c>
      <c r="B384" s="662"/>
      <c r="C384" s="716"/>
      <c r="D384" s="729"/>
      <c r="E384" s="716"/>
      <c r="F384" s="687"/>
      <c r="G384" s="718"/>
      <c r="H384" s="524"/>
      <c r="I384" s="100"/>
      <c r="J384" s="100"/>
      <c r="K384" s="100"/>
      <c r="L384" s="101"/>
      <c r="M384" s="719"/>
      <c r="N384" s="689"/>
      <c r="O384" s="135"/>
      <c r="P384" s="135"/>
      <c r="Q384" s="135"/>
      <c r="R384" s="135"/>
      <c r="S384" s="135"/>
      <c r="T384" s="135"/>
      <c r="U384" s="135"/>
    </row>
    <row r="385" spans="1:21">
      <c r="A385" s="24" t="s">
        <v>29</v>
      </c>
      <c r="B385" s="628">
        <f>Chino!N129</f>
        <v>0</v>
      </c>
      <c r="C385" s="629"/>
      <c r="D385" s="636">
        <f t="shared" ref="D385:D391" si="86">F385*325851</f>
        <v>0</v>
      </c>
      <c r="E385" s="629"/>
      <c r="F385" s="907">
        <f>0.0425*B385</f>
        <v>0</v>
      </c>
      <c r="G385" s="908"/>
      <c r="H385" s="425">
        <f>F385*20</f>
        <v>0</v>
      </c>
      <c r="I385" s="81">
        <v>0</v>
      </c>
      <c r="J385" s="81">
        <f>135*B385</f>
        <v>0</v>
      </c>
      <c r="K385" s="81">
        <f>165*B385</f>
        <v>0</v>
      </c>
      <c r="L385" s="82">
        <f t="shared" ref="L385:L392" si="87">SUM(I385:K385)</f>
        <v>0</v>
      </c>
      <c r="M385" s="905">
        <v>0</v>
      </c>
      <c r="N385" s="906"/>
    </row>
    <row r="386" spans="1:21">
      <c r="A386" s="24" t="s">
        <v>51</v>
      </c>
      <c r="B386" s="628">
        <f>Chino!N130</f>
        <v>111</v>
      </c>
      <c r="C386" s="629"/>
      <c r="D386" s="636">
        <f t="shared" si="86"/>
        <v>4437992.8646999998</v>
      </c>
      <c r="E386" s="629"/>
      <c r="F386" s="907">
        <f>0.1227*B386</f>
        <v>13.6197</v>
      </c>
      <c r="G386" s="908"/>
      <c r="H386" s="425">
        <f>F386*20</f>
        <v>272.39400000000001</v>
      </c>
      <c r="I386" s="81">
        <v>0</v>
      </c>
      <c r="J386" s="81">
        <f>50*B386</f>
        <v>5550</v>
      </c>
      <c r="K386" s="81">
        <f>200*B386</f>
        <v>22200</v>
      </c>
      <c r="L386" s="82">
        <f t="shared" si="87"/>
        <v>27750</v>
      </c>
      <c r="M386" s="905">
        <f>L386/(F386*498.5)</f>
        <v>4.0872413491493225</v>
      </c>
      <c r="N386" s="906"/>
    </row>
    <row r="387" spans="1:21" ht="13.5" customHeight="1">
      <c r="A387" s="26" t="s">
        <v>20</v>
      </c>
      <c r="B387" s="628">
        <f>Chino!N131</f>
        <v>0</v>
      </c>
      <c r="C387" s="629"/>
      <c r="D387" s="636">
        <f t="shared" si="86"/>
        <v>0</v>
      </c>
      <c r="E387" s="629"/>
      <c r="F387" s="907">
        <f>0.644*B387</f>
        <v>0</v>
      </c>
      <c r="G387" s="908"/>
      <c r="H387" s="425">
        <f>F387*5</f>
        <v>0</v>
      </c>
      <c r="I387" s="81">
        <v>0</v>
      </c>
      <c r="J387" s="81">
        <f>43.75*B387</f>
        <v>0</v>
      </c>
      <c r="K387" s="81">
        <f>625*B387</f>
        <v>0</v>
      </c>
      <c r="L387" s="82">
        <f t="shared" si="87"/>
        <v>0</v>
      </c>
      <c r="M387" s="905">
        <v>0</v>
      </c>
      <c r="N387" s="906"/>
    </row>
    <row r="388" spans="1:21" hidden="1">
      <c r="A388" s="26" t="s">
        <v>13</v>
      </c>
      <c r="B388" s="628">
        <f>Chino!N132</f>
        <v>0</v>
      </c>
      <c r="C388" s="629"/>
      <c r="D388" s="636">
        <f t="shared" si="86"/>
        <v>0</v>
      </c>
      <c r="E388" s="629"/>
      <c r="F388" s="907">
        <f>0.0276*B388</f>
        <v>0</v>
      </c>
      <c r="G388" s="908"/>
      <c r="H388" s="425">
        <f>F388*10</f>
        <v>0</v>
      </c>
      <c r="I388" s="81">
        <v>0</v>
      </c>
      <c r="J388" s="81">
        <f>100*B388</f>
        <v>0</v>
      </c>
      <c r="K388" s="81">
        <f>80*B388</f>
        <v>0</v>
      </c>
      <c r="L388" s="82">
        <f t="shared" si="87"/>
        <v>0</v>
      </c>
      <c r="M388" s="905">
        <v>0</v>
      </c>
      <c r="N388" s="906"/>
    </row>
    <row r="389" spans="1:21" hidden="1">
      <c r="A389" s="27" t="s">
        <v>47</v>
      </c>
      <c r="B389" s="628">
        <f>Chino!N133</f>
        <v>0</v>
      </c>
      <c r="C389" s="629"/>
      <c r="D389" s="636">
        <f t="shared" si="86"/>
        <v>0</v>
      </c>
      <c r="E389" s="629"/>
      <c r="F389" s="907">
        <f>0.1534*B389</f>
        <v>0</v>
      </c>
      <c r="G389" s="908"/>
      <c r="H389" s="425">
        <f>F389*5</f>
        <v>0</v>
      </c>
      <c r="I389" s="81">
        <v>0</v>
      </c>
      <c r="J389" s="81">
        <f>0*B389</f>
        <v>0</v>
      </c>
      <c r="K389" s="81">
        <f>150*B389</f>
        <v>0</v>
      </c>
      <c r="L389" s="82">
        <f t="shared" si="87"/>
        <v>0</v>
      </c>
      <c r="M389" s="905">
        <v>0</v>
      </c>
      <c r="N389" s="906"/>
    </row>
    <row r="390" spans="1:21">
      <c r="A390" s="53" t="s">
        <v>30</v>
      </c>
      <c r="B390" s="628">
        <f>Chino!N134</f>
        <v>0</v>
      </c>
      <c r="C390" s="629"/>
      <c r="D390" s="636">
        <f t="shared" si="86"/>
        <v>0</v>
      </c>
      <c r="E390" s="629"/>
      <c r="F390" s="907">
        <f>0.325*B390</f>
        <v>0</v>
      </c>
      <c r="G390" s="908"/>
      <c r="H390" s="425">
        <f>F390*10</f>
        <v>0</v>
      </c>
      <c r="I390" s="81">
        <v>0</v>
      </c>
      <c r="J390" s="81">
        <f>120*B390</f>
        <v>0</v>
      </c>
      <c r="K390" s="81">
        <f>200*B390</f>
        <v>0</v>
      </c>
      <c r="L390" s="82">
        <f t="shared" si="87"/>
        <v>0</v>
      </c>
      <c r="M390" s="905">
        <v>0</v>
      </c>
      <c r="N390" s="906"/>
    </row>
    <row r="391" spans="1:21">
      <c r="A391" s="53" t="s">
        <v>53</v>
      </c>
      <c r="B391" s="628">
        <f>Chino!N135</f>
        <v>0</v>
      </c>
      <c r="C391" s="629"/>
      <c r="D391" s="636">
        <f t="shared" si="86"/>
        <v>0</v>
      </c>
      <c r="E391" s="629"/>
      <c r="F391" s="907">
        <f>0.00014*B391</f>
        <v>0</v>
      </c>
      <c r="G391" s="908"/>
      <c r="H391" s="425">
        <f>F391*10</f>
        <v>0</v>
      </c>
      <c r="I391" s="81">
        <v>0</v>
      </c>
      <c r="J391" s="81">
        <f>0.45*B391</f>
        <v>0</v>
      </c>
      <c r="K391" s="81">
        <f>0.3*B391</f>
        <v>0</v>
      </c>
      <c r="L391" s="82">
        <f t="shared" si="87"/>
        <v>0</v>
      </c>
      <c r="M391" s="905">
        <v>0</v>
      </c>
      <c r="N391" s="906"/>
    </row>
    <row r="392" spans="1:21">
      <c r="A392" s="25" t="s">
        <v>56</v>
      </c>
      <c r="B392" s="628">
        <f>Chino!N136</f>
        <v>0</v>
      </c>
      <c r="C392" s="629"/>
      <c r="D392" s="636">
        <f>F392*325851</f>
        <v>0</v>
      </c>
      <c r="E392" s="629"/>
      <c r="F392" s="907">
        <f>0.004*B392</f>
        <v>0</v>
      </c>
      <c r="G392" s="908"/>
      <c r="H392" s="425">
        <f>F392*5</f>
        <v>0</v>
      </c>
      <c r="I392" s="81">
        <v>0</v>
      </c>
      <c r="J392" s="81">
        <f>0*B392</f>
        <v>0</v>
      </c>
      <c r="K392" s="81">
        <f>4*B392</f>
        <v>0</v>
      </c>
      <c r="L392" s="82">
        <f t="shared" si="87"/>
        <v>0</v>
      </c>
      <c r="M392" s="905">
        <v>0</v>
      </c>
      <c r="N392" s="906"/>
    </row>
    <row r="393" spans="1:21" ht="14" thickBot="1">
      <c r="A393" s="53" t="s">
        <v>89</v>
      </c>
      <c r="B393" s="628">
        <f>Chino!N137</f>
        <v>0</v>
      </c>
      <c r="C393" s="629"/>
      <c r="D393" s="636">
        <f>F393*325851</f>
        <v>0</v>
      </c>
      <c r="E393" s="629"/>
      <c r="F393" s="907">
        <f>0.018*B393</f>
        <v>0</v>
      </c>
      <c r="G393" s="908"/>
      <c r="H393" s="425">
        <f>F393*10</f>
        <v>0</v>
      </c>
      <c r="I393" s="81">
        <v>0</v>
      </c>
      <c r="J393" s="81">
        <f>0*B393</f>
        <v>0</v>
      </c>
      <c r="K393" s="81">
        <f>13*B393</f>
        <v>0</v>
      </c>
      <c r="L393" s="82">
        <f>SUM(I393:K393)</f>
        <v>0</v>
      </c>
      <c r="M393" s="905">
        <v>0</v>
      </c>
      <c r="N393" s="906"/>
    </row>
    <row r="394" spans="1:21" ht="14" hidden="1" thickBot="1">
      <c r="A394" s="25" t="s">
        <v>83</v>
      </c>
      <c r="B394" s="628">
        <f>Chino!N138</f>
        <v>0</v>
      </c>
      <c r="C394" s="629"/>
      <c r="D394" s="636">
        <f>F394*325851</f>
        <v>0</v>
      </c>
      <c r="E394" s="629"/>
      <c r="F394" s="907">
        <f>0.153*B394</f>
        <v>0</v>
      </c>
      <c r="G394" s="908"/>
      <c r="H394" s="383">
        <f>F394*5</f>
        <v>0</v>
      </c>
      <c r="I394" s="81">
        <v>0</v>
      </c>
      <c r="J394" s="81">
        <f>0*B394</f>
        <v>0</v>
      </c>
      <c r="K394" s="81">
        <f>60*B394</f>
        <v>0</v>
      </c>
      <c r="L394" s="82">
        <f>SUM(I394:K394)</f>
        <v>0</v>
      </c>
      <c r="M394" s="905">
        <v>0</v>
      </c>
      <c r="N394" s="906"/>
    </row>
    <row r="395" spans="1:21" ht="14" hidden="1" thickBot="1">
      <c r="A395" s="54" t="s">
        <v>115</v>
      </c>
      <c r="B395" s="900"/>
      <c r="C395" s="901"/>
      <c r="D395" s="902"/>
      <c r="E395" s="641"/>
      <c r="F395" s="1031"/>
      <c r="G395" s="1032"/>
      <c r="H395" s="378"/>
      <c r="I395" s="162"/>
      <c r="J395" s="162"/>
      <c r="K395" s="162"/>
      <c r="L395" s="84"/>
      <c r="M395" s="981"/>
      <c r="N395" s="982"/>
    </row>
    <row r="396" spans="1:21" s="275" customFormat="1" ht="14" thickBot="1">
      <c r="A396" s="40" t="s">
        <v>60</v>
      </c>
      <c r="B396" s="642">
        <f>SUM(B385:C394)</f>
        <v>111</v>
      </c>
      <c r="C396" s="706"/>
      <c r="D396" s="645">
        <f>SUM(D385:E394)</f>
        <v>4437992.8646999998</v>
      </c>
      <c r="E396" s="643"/>
      <c r="F396" s="707">
        <f>SUM(F385:G394)</f>
        <v>13.6197</v>
      </c>
      <c r="G396" s="708"/>
      <c r="H396" s="363">
        <f>SUM(H385:H394)</f>
        <v>272.39400000000001</v>
      </c>
      <c r="I396" s="86">
        <f>SUM(I385:I394)</f>
        <v>0</v>
      </c>
      <c r="J396" s="91">
        <f>SUM(J385:J394)</f>
        <v>5550</v>
      </c>
      <c r="K396" s="91">
        <f>SUM(K385:K394)</f>
        <v>22200</v>
      </c>
      <c r="L396" s="86">
        <f>SUM(L385:L394)</f>
        <v>27750</v>
      </c>
      <c r="M396" s="709"/>
      <c r="N396" s="710"/>
      <c r="O396" s="276"/>
      <c r="P396" s="276"/>
      <c r="Q396" s="276"/>
      <c r="R396" s="276"/>
      <c r="S396" s="276"/>
      <c r="T396" s="276"/>
      <c r="U396" s="276"/>
    </row>
    <row r="397" spans="1:21" s="534" customFormat="1" ht="17" thickBot="1">
      <c r="A397" s="531" t="s">
        <v>17</v>
      </c>
      <c r="B397" s="621">
        <f>SUM(B380+B383+B396)</f>
        <v>456</v>
      </c>
      <c r="C397" s="622"/>
      <c r="D397" s="623">
        <f>SUM(D380+D383+D396)</f>
        <v>6623945.2370999996</v>
      </c>
      <c r="E397" s="622"/>
      <c r="F397" s="773">
        <f>SUM(F380+F383+F396)</f>
        <v>20.328099999999999</v>
      </c>
      <c r="G397" s="713"/>
      <c r="H397" s="541">
        <f>SUM(,H380,H383,H396)</f>
        <v>366.73</v>
      </c>
      <c r="I397" s="535">
        <f>SUM(I380+I383+I396)</f>
        <v>73.34</v>
      </c>
      <c r="J397" s="535">
        <f>SUM(J380+J383+J396)</f>
        <v>6255.66</v>
      </c>
      <c r="K397" s="535">
        <f>SUM(K380+K383+K396)</f>
        <v>43545</v>
      </c>
      <c r="L397" s="535">
        <f>SUM(L380+L383+L396)</f>
        <v>49874</v>
      </c>
      <c r="M397" s="714"/>
      <c r="N397" s="715"/>
      <c r="O397" s="75"/>
      <c r="P397" s="75"/>
      <c r="Q397" s="75"/>
      <c r="R397" s="75"/>
      <c r="S397" s="75"/>
      <c r="T397" s="75"/>
      <c r="U397" s="75"/>
    </row>
    <row r="398" spans="1:21">
      <c r="A398" s="39"/>
      <c r="B398" s="13"/>
      <c r="C398" s="13"/>
      <c r="D398" s="13"/>
      <c r="E398" s="13"/>
      <c r="F398" s="201"/>
      <c r="G398" s="201"/>
      <c r="H398" s="201"/>
      <c r="I398" s="14"/>
      <c r="J398" s="14"/>
      <c r="K398" s="14"/>
      <c r="L398" s="14"/>
      <c r="M398" s="11"/>
      <c r="N398" s="11"/>
    </row>
    <row r="399" spans="1:21" ht="15">
      <c r="A399" s="5" t="s">
        <v>18</v>
      </c>
      <c r="B399" s="626" t="s">
        <v>59</v>
      </c>
      <c r="C399" s="765"/>
      <c r="D399" s="765"/>
      <c r="E399" s="912"/>
      <c r="F399" s="201"/>
      <c r="G399" s="201"/>
      <c r="H399" s="201"/>
      <c r="I399" s="14"/>
      <c r="J399" s="14"/>
      <c r="K399" s="14"/>
      <c r="L399" s="14"/>
      <c r="M399" s="11"/>
      <c r="N399" s="11"/>
    </row>
    <row r="400" spans="1:21">
      <c r="B400" s="627" t="s">
        <v>19</v>
      </c>
      <c r="C400" s="627"/>
      <c r="D400" s="627"/>
      <c r="E400" s="627"/>
      <c r="F400" s="201"/>
      <c r="G400" s="201"/>
      <c r="H400" s="201"/>
      <c r="I400" s="14"/>
      <c r="J400" s="14"/>
      <c r="K400" s="14"/>
      <c r="L400" s="14"/>
      <c r="M400" s="11"/>
      <c r="N400" s="11"/>
    </row>
    <row r="401" spans="1:21" ht="14" thickBot="1">
      <c r="A401" s="332"/>
      <c r="B401" s="382"/>
      <c r="C401" s="382"/>
      <c r="D401" s="382"/>
      <c r="E401" s="382"/>
      <c r="F401" s="384"/>
      <c r="G401" s="384"/>
      <c r="H401" s="384"/>
      <c r="I401" s="14"/>
      <c r="J401" s="14"/>
      <c r="K401" s="14"/>
      <c r="L401" s="14"/>
      <c r="M401" s="382"/>
      <c r="N401" s="382"/>
    </row>
    <row r="402" spans="1:21" ht="16">
      <c r="A402" s="63"/>
      <c r="B402" s="64"/>
      <c r="C402" s="64"/>
      <c r="D402" s="64"/>
      <c r="E402" s="64"/>
      <c r="F402" s="200"/>
      <c r="G402" s="200"/>
      <c r="H402" s="200"/>
      <c r="I402" s="670" t="s">
        <v>0</v>
      </c>
      <c r="J402" s="670"/>
      <c r="K402" s="670"/>
      <c r="L402" s="670"/>
      <c r="M402" s="64"/>
      <c r="N402" s="65"/>
    </row>
    <row r="403" spans="1:21" ht="16">
      <c r="A403" s="62"/>
      <c r="B403" s="671" t="s">
        <v>1</v>
      </c>
      <c r="C403" s="671"/>
      <c r="D403" s="671" t="s">
        <v>2</v>
      </c>
      <c r="E403" s="671"/>
      <c r="F403" s="672" t="s">
        <v>3</v>
      </c>
      <c r="G403" s="672"/>
      <c r="H403" s="364" t="s">
        <v>3</v>
      </c>
      <c r="I403" s="78" t="s">
        <v>135</v>
      </c>
      <c r="J403" s="66"/>
      <c r="K403" s="66"/>
      <c r="L403" s="79"/>
      <c r="M403" s="671" t="s">
        <v>4</v>
      </c>
      <c r="N403" s="674"/>
    </row>
    <row r="404" spans="1:21" ht="19" thickBot="1">
      <c r="A404" s="67" t="s">
        <v>5</v>
      </c>
      <c r="B404" s="675" t="s">
        <v>6</v>
      </c>
      <c r="C404" s="675"/>
      <c r="D404" s="675" t="s">
        <v>7</v>
      </c>
      <c r="E404" s="675"/>
      <c r="F404" s="676" t="s">
        <v>7</v>
      </c>
      <c r="G404" s="676"/>
      <c r="H404" s="366" t="s">
        <v>58</v>
      </c>
      <c r="I404" s="367" t="s">
        <v>136</v>
      </c>
      <c r="J404" s="365" t="s">
        <v>8</v>
      </c>
      <c r="K404" s="365" t="s">
        <v>9</v>
      </c>
      <c r="L404" s="187" t="s">
        <v>10</v>
      </c>
      <c r="M404" s="675" t="s">
        <v>103</v>
      </c>
      <c r="N404" s="678"/>
    </row>
    <row r="405" spans="1:21" ht="24" thickBot="1">
      <c r="A405" s="60" t="s">
        <v>102</v>
      </c>
      <c r="B405" s="928"/>
      <c r="C405" s="680"/>
      <c r="D405" s="681"/>
      <c r="E405" s="682"/>
      <c r="F405" s="683"/>
      <c r="G405" s="684"/>
      <c r="H405" s="381"/>
      <c r="I405" s="3"/>
      <c r="J405" s="3"/>
      <c r="K405" s="3"/>
      <c r="L405" s="4"/>
      <c r="M405" s="929"/>
      <c r="N405" s="930"/>
    </row>
    <row r="406" spans="1:21" s="530" customFormat="1" ht="17" thickBot="1">
      <c r="A406" s="71" t="s">
        <v>48</v>
      </c>
      <c r="B406" s="663"/>
      <c r="C406" s="716"/>
      <c r="D406" s="729"/>
      <c r="E406" s="716"/>
      <c r="F406" s="717"/>
      <c r="G406" s="718"/>
      <c r="H406" s="524"/>
      <c r="I406" s="72"/>
      <c r="J406" s="72"/>
      <c r="K406" s="72"/>
      <c r="L406" s="521"/>
      <c r="M406" s="719"/>
      <c r="N406" s="689"/>
      <c r="O406" s="135"/>
      <c r="P406" s="135"/>
      <c r="Q406" s="135"/>
      <c r="R406" s="135"/>
      <c r="S406" s="135"/>
      <c r="T406" s="135"/>
      <c r="U406" s="135"/>
    </row>
    <row r="407" spans="1:21" hidden="1">
      <c r="A407" s="24" t="s">
        <v>28</v>
      </c>
      <c r="B407" s="895">
        <f>Chino!N79</f>
        <v>0</v>
      </c>
      <c r="C407" s="629"/>
      <c r="D407" s="636">
        <f t="shared" ref="D407:D413" si="88">F407*325851</f>
        <v>0</v>
      </c>
      <c r="E407" s="629"/>
      <c r="F407" s="931">
        <f>0.0379*B407</f>
        <v>0</v>
      </c>
      <c r="G407" s="908"/>
      <c r="H407" s="383">
        <f>F407*20</f>
        <v>0</v>
      </c>
      <c r="I407" s="81">
        <v>0</v>
      </c>
      <c r="J407" s="81">
        <f>0*B407</f>
        <v>0</v>
      </c>
      <c r="K407" s="81">
        <f>60*B407</f>
        <v>0</v>
      </c>
      <c r="L407" s="82">
        <f t="shared" ref="L407:L413" si="89">I407+J407+K407</f>
        <v>0</v>
      </c>
      <c r="M407" s="905">
        <v>0</v>
      </c>
      <c r="N407" s="906"/>
    </row>
    <row r="408" spans="1:21">
      <c r="A408" s="24" t="s">
        <v>29</v>
      </c>
      <c r="B408" s="895">
        <f>Chino!N80</f>
        <v>147</v>
      </c>
      <c r="C408" s="629"/>
      <c r="D408" s="636">
        <f t="shared" si="88"/>
        <v>2035754.1225000001</v>
      </c>
      <c r="E408" s="629"/>
      <c r="F408" s="931">
        <f>0.0425*B408</f>
        <v>6.2475000000000005</v>
      </c>
      <c r="G408" s="908"/>
      <c r="H408" s="412">
        <f>F408*20</f>
        <v>124.95000000000002</v>
      </c>
      <c r="I408" s="81">
        <v>0</v>
      </c>
      <c r="J408" s="81">
        <f>35*B408</f>
        <v>5145</v>
      </c>
      <c r="K408" s="81">
        <f>B408*50</f>
        <v>7350</v>
      </c>
      <c r="L408" s="82">
        <f t="shared" si="89"/>
        <v>12495</v>
      </c>
      <c r="M408" s="905">
        <f t="shared" ref="M408:M413" si="90">L408/(F408*498.5)</f>
        <v>4.0120361083249749</v>
      </c>
      <c r="N408" s="906"/>
    </row>
    <row r="409" spans="1:21">
      <c r="A409" s="24" t="s">
        <v>33</v>
      </c>
      <c r="B409" s="895">
        <f>Chino!N81</f>
        <v>49</v>
      </c>
      <c r="C409" s="629"/>
      <c r="D409" s="636">
        <f t="shared" si="88"/>
        <v>440680.89240000001</v>
      </c>
      <c r="E409" s="629"/>
      <c r="F409" s="931">
        <f>0.0276*B409</f>
        <v>1.3524</v>
      </c>
      <c r="G409" s="908"/>
      <c r="H409" s="412">
        <f>F409*15</f>
        <v>20.286000000000001</v>
      </c>
      <c r="I409" s="81">
        <f>0*B409</f>
        <v>0</v>
      </c>
      <c r="J409" s="81">
        <f>50*B409</f>
        <v>2450</v>
      </c>
      <c r="K409" s="81">
        <f>B409*110</f>
        <v>5390</v>
      </c>
      <c r="L409" s="82">
        <f t="shared" si="89"/>
        <v>7840</v>
      </c>
      <c r="M409" s="905">
        <f t="shared" si="90"/>
        <v>11.629090169057898</v>
      </c>
      <c r="N409" s="906"/>
    </row>
    <row r="410" spans="1:21">
      <c r="A410" s="24" t="s">
        <v>56</v>
      </c>
      <c r="B410" s="895">
        <f>Chino!N82</f>
        <v>0</v>
      </c>
      <c r="C410" s="629"/>
      <c r="D410" s="636">
        <f t="shared" si="88"/>
        <v>0</v>
      </c>
      <c r="E410" s="629"/>
      <c r="F410" s="931">
        <f>0.004*B410</f>
        <v>0</v>
      </c>
      <c r="G410" s="908"/>
      <c r="H410" s="425">
        <f>F410*5</f>
        <v>0</v>
      </c>
      <c r="I410" s="81">
        <f>0*B410</f>
        <v>0</v>
      </c>
      <c r="J410" s="81">
        <f>2*B410</f>
        <v>0</v>
      </c>
      <c r="K410" s="81">
        <f>B410*4</f>
        <v>0</v>
      </c>
      <c r="L410" s="82">
        <f t="shared" si="89"/>
        <v>0</v>
      </c>
      <c r="M410" s="905">
        <v>0</v>
      </c>
      <c r="N410" s="906"/>
    </row>
    <row r="411" spans="1:21">
      <c r="A411" s="54" t="s">
        <v>30</v>
      </c>
      <c r="B411" s="895">
        <f>Chino!N83</f>
        <v>1</v>
      </c>
      <c r="C411" s="629"/>
      <c r="D411" s="667">
        <f t="shared" si="88"/>
        <v>105901.575</v>
      </c>
      <c r="E411" s="639"/>
      <c r="F411" s="923">
        <f>0.325*B411</f>
        <v>0.32500000000000001</v>
      </c>
      <c r="G411" s="914"/>
      <c r="H411" s="423">
        <f>F411*10</f>
        <v>3.25</v>
      </c>
      <c r="I411" s="83">
        <v>0</v>
      </c>
      <c r="J411" s="83">
        <f>45*B411</f>
        <v>45</v>
      </c>
      <c r="K411" s="83">
        <f>B411*80</f>
        <v>80</v>
      </c>
      <c r="L411" s="84">
        <f t="shared" si="89"/>
        <v>125</v>
      </c>
      <c r="M411" s="905">
        <f t="shared" si="90"/>
        <v>0.77154540544711048</v>
      </c>
      <c r="N411" s="906"/>
    </row>
    <row r="412" spans="1:21">
      <c r="A412" s="53" t="s">
        <v>110</v>
      </c>
      <c r="B412" s="895">
        <f>Chino!N84</f>
        <v>0</v>
      </c>
      <c r="C412" s="629"/>
      <c r="D412" s="652">
        <f t="shared" si="88"/>
        <v>0</v>
      </c>
      <c r="E412" s="651"/>
      <c r="F412" s="720">
        <v>0</v>
      </c>
      <c r="G412" s="721"/>
      <c r="H412" s="421">
        <f>F412*10</f>
        <v>0</v>
      </c>
      <c r="I412" s="107">
        <v>0</v>
      </c>
      <c r="J412" s="107">
        <v>0</v>
      </c>
      <c r="K412" s="107">
        <f>B412*0</f>
        <v>0</v>
      </c>
      <c r="L412" s="108">
        <f t="shared" si="89"/>
        <v>0</v>
      </c>
      <c r="M412" s="697">
        <v>0</v>
      </c>
      <c r="N412" s="698"/>
    </row>
    <row r="413" spans="1:21" ht="14" thickBot="1">
      <c r="A413" s="53" t="s">
        <v>109</v>
      </c>
      <c r="B413" s="895">
        <f>Chino!N85</f>
        <v>3</v>
      </c>
      <c r="C413" s="629"/>
      <c r="D413" s="667">
        <f t="shared" si="88"/>
        <v>64049.272559999998</v>
      </c>
      <c r="E413" s="639"/>
      <c r="F413" s="923">
        <f>0.00014*1404</f>
        <v>0.19655999999999998</v>
      </c>
      <c r="G413" s="914"/>
      <c r="H413" s="411">
        <f>F413*10</f>
        <v>1.9655999999999998</v>
      </c>
      <c r="I413" s="83">
        <v>0</v>
      </c>
      <c r="J413" s="83">
        <f>0.45*1404</f>
        <v>631.80000000000007</v>
      </c>
      <c r="K413" s="83">
        <f>1404*0.3</f>
        <v>421.2</v>
      </c>
      <c r="L413" s="84">
        <f t="shared" si="89"/>
        <v>1053</v>
      </c>
      <c r="M413" s="905">
        <f t="shared" si="90"/>
        <v>10.746525290156184</v>
      </c>
      <c r="N413" s="906"/>
    </row>
    <row r="414" spans="1:21" s="275" customFormat="1" ht="14" thickBot="1">
      <c r="A414" s="40" t="s">
        <v>60</v>
      </c>
      <c r="B414" s="642">
        <f>SUM(B407:C413)</f>
        <v>200</v>
      </c>
      <c r="C414" s="706"/>
      <c r="D414" s="644">
        <f>SUM(D407:E413)</f>
        <v>2646385.86246</v>
      </c>
      <c r="E414" s="725"/>
      <c r="F414" s="726">
        <f>SUM(F407:G413)</f>
        <v>8.1214600000000008</v>
      </c>
      <c r="G414" s="708"/>
      <c r="H414" s="363">
        <f>SUM(H407:H413)</f>
        <v>150.45160000000001</v>
      </c>
      <c r="I414" s="91">
        <f>SUM(I407:I413)</f>
        <v>0</v>
      </c>
      <c r="J414" s="91">
        <f>SUM(J407:J413)</f>
        <v>8271.7999999999993</v>
      </c>
      <c r="K414" s="91">
        <f>SUM(K407:K413)</f>
        <v>13241.2</v>
      </c>
      <c r="L414" s="98">
        <f>SUM(L407:L413)</f>
        <v>21513</v>
      </c>
      <c r="M414" s="709"/>
      <c r="N414" s="710"/>
      <c r="O414" s="276"/>
      <c r="P414" s="276"/>
      <c r="Q414" s="276"/>
      <c r="R414" s="276"/>
      <c r="S414" s="276"/>
      <c r="T414" s="276"/>
      <c r="U414" s="276"/>
    </row>
    <row r="415" spans="1:21" s="530" customFormat="1" ht="17" thickBot="1">
      <c r="A415" s="71" t="s">
        <v>91</v>
      </c>
      <c r="B415" s="662"/>
      <c r="C415" s="716"/>
      <c r="D415" s="663"/>
      <c r="E415" s="716"/>
      <c r="F415" s="717"/>
      <c r="G415" s="718"/>
      <c r="H415" s="524"/>
      <c r="I415" s="100"/>
      <c r="J415" s="100"/>
      <c r="K415" s="100"/>
      <c r="L415" s="101"/>
      <c r="M415" s="719"/>
      <c r="N415" s="689"/>
      <c r="O415" s="135"/>
      <c r="P415" s="135"/>
      <c r="Q415" s="135"/>
      <c r="R415" s="135"/>
      <c r="S415" s="135"/>
      <c r="T415" s="135"/>
      <c r="U415" s="135"/>
    </row>
    <row r="416" spans="1:21" ht="14" thickBot="1">
      <c r="A416" s="53" t="s">
        <v>104</v>
      </c>
      <c r="B416" s="628">
        <f>Chino!N88</f>
        <v>0</v>
      </c>
      <c r="C416" s="629"/>
      <c r="D416" s="895">
        <f>F416*325851</f>
        <v>0</v>
      </c>
      <c r="E416" s="629"/>
      <c r="F416" s="1027">
        <f>0.0425*B416</f>
        <v>0</v>
      </c>
      <c r="G416" s="1028"/>
      <c r="H416" s="377">
        <f>F416*20</f>
        <v>0</v>
      </c>
      <c r="I416" s="81">
        <f>73.34*B416</f>
        <v>0</v>
      </c>
      <c r="J416" s="81">
        <f>35.66*B416</f>
        <v>0</v>
      </c>
      <c r="K416" s="81">
        <f>B416*165</f>
        <v>0</v>
      </c>
      <c r="L416" s="82">
        <f>I416+J416+K416</f>
        <v>0</v>
      </c>
      <c r="M416" s="905">
        <v>0</v>
      </c>
      <c r="N416" s="906"/>
    </row>
    <row r="417" spans="1:21" s="275" customFormat="1" ht="14" thickBot="1">
      <c r="A417" s="40" t="s">
        <v>60</v>
      </c>
      <c r="B417" s="642">
        <f>SUM(B416)</f>
        <v>0</v>
      </c>
      <c r="C417" s="706"/>
      <c r="D417" s="644">
        <f>SUM(D416)</f>
        <v>0</v>
      </c>
      <c r="E417" s="706"/>
      <c r="F417" s="808">
        <f>SUM(F416)</f>
        <v>0</v>
      </c>
      <c r="G417" s="708"/>
      <c r="H417" s="363">
        <f>SUM(H416)</f>
        <v>0</v>
      </c>
      <c r="I417" s="86">
        <f>SUM(I416)</f>
        <v>0</v>
      </c>
      <c r="J417" s="91">
        <f>SUM(J416)</f>
        <v>0</v>
      </c>
      <c r="K417" s="91">
        <f>SUM(K416)</f>
        <v>0</v>
      </c>
      <c r="L417" s="86">
        <f>SUM(L416)</f>
        <v>0</v>
      </c>
      <c r="M417" s="709"/>
      <c r="N417" s="710"/>
      <c r="O417" s="276"/>
      <c r="P417" s="276"/>
      <c r="Q417" s="276"/>
      <c r="R417" s="276"/>
      <c r="S417" s="276"/>
      <c r="T417" s="276"/>
      <c r="U417" s="276"/>
    </row>
    <row r="418" spans="1:21" s="530" customFormat="1" ht="17" thickBot="1">
      <c r="A418" s="71" t="s">
        <v>50</v>
      </c>
      <c r="B418" s="662"/>
      <c r="C418" s="716"/>
      <c r="D418" s="663"/>
      <c r="E418" s="716"/>
      <c r="F418" s="717"/>
      <c r="G418" s="718"/>
      <c r="H418" s="524"/>
      <c r="I418" s="100"/>
      <c r="J418" s="100"/>
      <c r="K418" s="100"/>
      <c r="L418" s="101"/>
      <c r="M418" s="719"/>
      <c r="N418" s="689"/>
      <c r="O418" s="135"/>
      <c r="P418" s="135"/>
      <c r="Q418" s="135"/>
      <c r="R418" s="135"/>
      <c r="S418" s="135"/>
      <c r="T418" s="135"/>
      <c r="U418" s="135"/>
    </row>
    <row r="419" spans="1:21" hidden="1">
      <c r="A419" s="28" t="s">
        <v>26</v>
      </c>
      <c r="B419" s="628">
        <f>Chino!N91</f>
        <v>0</v>
      </c>
      <c r="C419" s="629"/>
      <c r="D419" s="895">
        <f t="shared" ref="D419:D427" si="91">F419*325851</f>
        <v>0</v>
      </c>
      <c r="E419" s="629"/>
      <c r="F419" s="1029">
        <f>0.0379*B419</f>
        <v>0</v>
      </c>
      <c r="G419" s="904"/>
      <c r="H419" s="374">
        <f>F419*20</f>
        <v>0</v>
      </c>
      <c r="I419" s="81">
        <v>0</v>
      </c>
      <c r="J419" s="81">
        <f>35.66*B419</f>
        <v>0</v>
      </c>
      <c r="K419" s="81">
        <f>135*B419</f>
        <v>0</v>
      </c>
      <c r="L419" s="82">
        <f>SUM(I419:K419)</f>
        <v>0</v>
      </c>
      <c r="M419" s="905">
        <v>0</v>
      </c>
      <c r="N419" s="906"/>
    </row>
    <row r="420" spans="1:21">
      <c r="A420" s="26" t="s">
        <v>25</v>
      </c>
      <c r="B420" s="628">
        <f>Chino!N92</f>
        <v>0</v>
      </c>
      <c r="C420" s="629"/>
      <c r="D420" s="895">
        <f t="shared" si="91"/>
        <v>0</v>
      </c>
      <c r="E420" s="629"/>
      <c r="F420" s="931">
        <f>0.0379*B420</f>
        <v>0</v>
      </c>
      <c r="G420" s="908"/>
      <c r="H420" s="425">
        <f>F420*20</f>
        <v>0</v>
      </c>
      <c r="I420" s="81">
        <v>0</v>
      </c>
      <c r="J420" s="81">
        <f>0*B420</f>
        <v>0</v>
      </c>
      <c r="K420" s="81">
        <f>60*B420</f>
        <v>0</v>
      </c>
      <c r="L420" s="82">
        <f t="shared" ref="L420:L428" si="92">SUM(I420:K420)</f>
        <v>0</v>
      </c>
      <c r="M420" s="905">
        <v>0</v>
      </c>
      <c r="N420" s="906"/>
    </row>
    <row r="421" spans="1:21">
      <c r="A421" s="24" t="s">
        <v>29</v>
      </c>
      <c r="B421" s="628">
        <f>Chino!N93</f>
        <v>101</v>
      </c>
      <c r="C421" s="629"/>
      <c r="D421" s="895">
        <f t="shared" si="91"/>
        <v>1398715.4175000002</v>
      </c>
      <c r="E421" s="629"/>
      <c r="F421" s="931">
        <f>0.0425*B421</f>
        <v>4.2925000000000004</v>
      </c>
      <c r="G421" s="908"/>
      <c r="H421" s="425">
        <f>F421*20</f>
        <v>85.850000000000009</v>
      </c>
      <c r="I421" s="81">
        <v>0</v>
      </c>
      <c r="J421" s="81">
        <f>135*B421</f>
        <v>13635</v>
      </c>
      <c r="K421" s="81">
        <f>165*B421</f>
        <v>16665</v>
      </c>
      <c r="L421" s="82">
        <f t="shared" si="92"/>
        <v>30300</v>
      </c>
      <c r="M421" s="905">
        <f>L421/(F421*498.5)</f>
        <v>14.160127441146969</v>
      </c>
      <c r="N421" s="906"/>
    </row>
    <row r="422" spans="1:21">
      <c r="A422" s="24" t="s">
        <v>51</v>
      </c>
      <c r="B422" s="628">
        <f>Chino!N94</f>
        <v>15</v>
      </c>
      <c r="C422" s="629"/>
      <c r="D422" s="895">
        <f t="shared" si="91"/>
        <v>599728.76549999998</v>
      </c>
      <c r="E422" s="629"/>
      <c r="F422" s="931">
        <f>0.1227*B422</f>
        <v>1.8405</v>
      </c>
      <c r="G422" s="908"/>
      <c r="H422" s="425">
        <f>F422*20</f>
        <v>36.81</v>
      </c>
      <c r="I422" s="81">
        <v>0</v>
      </c>
      <c r="J422" s="81">
        <f>0*B422</f>
        <v>0</v>
      </c>
      <c r="K422" s="81">
        <f>400*B422</f>
        <v>6000</v>
      </c>
      <c r="L422" s="82">
        <f t="shared" si="92"/>
        <v>6000</v>
      </c>
      <c r="M422" s="905">
        <f>L422/(F422*498.5)</f>
        <v>6.5395861586389161</v>
      </c>
      <c r="N422" s="906"/>
    </row>
    <row r="423" spans="1:21">
      <c r="A423" s="26" t="s">
        <v>20</v>
      </c>
      <c r="B423" s="628">
        <f>Chino!N95</f>
        <v>0</v>
      </c>
      <c r="C423" s="629"/>
      <c r="D423" s="895">
        <f t="shared" si="91"/>
        <v>0</v>
      </c>
      <c r="E423" s="629"/>
      <c r="F423" s="931">
        <f>0.644*B423</f>
        <v>0</v>
      </c>
      <c r="G423" s="908"/>
      <c r="H423" s="425">
        <f>F423*5</f>
        <v>0</v>
      </c>
      <c r="I423" s="81">
        <v>0</v>
      </c>
      <c r="J423" s="81">
        <f>43.75*B423</f>
        <v>0</v>
      </c>
      <c r="K423" s="81">
        <f>625*B423</f>
        <v>0</v>
      </c>
      <c r="L423" s="82">
        <f t="shared" si="92"/>
        <v>0</v>
      </c>
      <c r="M423" s="905">
        <v>0</v>
      </c>
      <c r="N423" s="906"/>
    </row>
    <row r="424" spans="1:21">
      <c r="A424" s="26" t="s">
        <v>13</v>
      </c>
      <c r="B424" s="628">
        <f>Chino!N96</f>
        <v>0</v>
      </c>
      <c r="C424" s="629"/>
      <c r="D424" s="895">
        <f t="shared" si="91"/>
        <v>0</v>
      </c>
      <c r="E424" s="629"/>
      <c r="F424" s="931">
        <f>0.0276*B424</f>
        <v>0</v>
      </c>
      <c r="G424" s="908"/>
      <c r="H424" s="425">
        <f>F424*10</f>
        <v>0</v>
      </c>
      <c r="I424" s="81">
        <v>0</v>
      </c>
      <c r="J424" s="81">
        <f>100*B424</f>
        <v>0</v>
      </c>
      <c r="K424" s="81">
        <f>80*B424</f>
        <v>0</v>
      </c>
      <c r="L424" s="82">
        <f t="shared" si="92"/>
        <v>0</v>
      </c>
      <c r="M424" s="905">
        <v>0</v>
      </c>
      <c r="N424" s="906"/>
    </row>
    <row r="425" spans="1:21" hidden="1">
      <c r="A425" s="27" t="s">
        <v>47</v>
      </c>
      <c r="B425" s="628">
        <f>Chino!N97</f>
        <v>0</v>
      </c>
      <c r="C425" s="629"/>
      <c r="D425" s="895">
        <f t="shared" si="91"/>
        <v>0</v>
      </c>
      <c r="E425" s="629"/>
      <c r="F425" s="931">
        <f>0.1534*B425</f>
        <v>0</v>
      </c>
      <c r="G425" s="908"/>
      <c r="H425" s="425">
        <f>F425*5</f>
        <v>0</v>
      </c>
      <c r="I425" s="81">
        <v>0</v>
      </c>
      <c r="J425" s="81">
        <f>0*B425</f>
        <v>0</v>
      </c>
      <c r="K425" s="81">
        <f>150*B425</f>
        <v>0</v>
      </c>
      <c r="L425" s="82">
        <f t="shared" si="92"/>
        <v>0</v>
      </c>
      <c r="M425" s="905">
        <v>0</v>
      </c>
      <c r="N425" s="906"/>
    </row>
    <row r="426" spans="1:21">
      <c r="A426" s="53" t="s">
        <v>30</v>
      </c>
      <c r="B426" s="628">
        <f>Chino!N98</f>
        <v>1</v>
      </c>
      <c r="C426" s="629"/>
      <c r="D426" s="895">
        <f t="shared" si="91"/>
        <v>105901.575</v>
      </c>
      <c r="E426" s="629"/>
      <c r="F426" s="931">
        <f>0.325*B426</f>
        <v>0.32500000000000001</v>
      </c>
      <c r="G426" s="908"/>
      <c r="H426" s="425">
        <f>F426*10</f>
        <v>3.25</v>
      </c>
      <c r="I426" s="81">
        <v>0</v>
      </c>
      <c r="J426" s="81">
        <f>120*B426</f>
        <v>120</v>
      </c>
      <c r="K426" s="81">
        <f>200*B426</f>
        <v>200</v>
      </c>
      <c r="L426" s="82">
        <f t="shared" si="92"/>
        <v>320</v>
      </c>
      <c r="M426" s="905">
        <f>L426/(F426*498.5)</f>
        <v>1.9751562379446028</v>
      </c>
      <c r="N426" s="906"/>
    </row>
    <row r="427" spans="1:21">
      <c r="A427" s="53" t="s">
        <v>53</v>
      </c>
      <c r="B427" s="628">
        <f>Chino!N99</f>
        <v>0</v>
      </c>
      <c r="C427" s="629"/>
      <c r="D427" s="895">
        <f t="shared" si="91"/>
        <v>0</v>
      </c>
      <c r="E427" s="629"/>
      <c r="F427" s="931">
        <f>0.00014*B427</f>
        <v>0</v>
      </c>
      <c r="G427" s="908"/>
      <c r="H427" s="425">
        <f>F427*10</f>
        <v>0</v>
      </c>
      <c r="I427" s="81">
        <v>0</v>
      </c>
      <c r="J427" s="81">
        <f>0.45*B427</f>
        <v>0</v>
      </c>
      <c r="K427" s="81">
        <f>0.3*B427</f>
        <v>0</v>
      </c>
      <c r="L427" s="82">
        <f t="shared" si="92"/>
        <v>0</v>
      </c>
      <c r="M427" s="905">
        <v>0</v>
      </c>
      <c r="N427" s="906"/>
    </row>
    <row r="428" spans="1:21">
      <c r="A428" s="25" t="s">
        <v>56</v>
      </c>
      <c r="B428" s="628">
        <f>Chino!N100</f>
        <v>0</v>
      </c>
      <c r="C428" s="629"/>
      <c r="D428" s="895">
        <f>F428*325851</f>
        <v>0</v>
      </c>
      <c r="E428" s="629"/>
      <c r="F428" s="931">
        <f>0.004*B428</f>
        <v>0</v>
      </c>
      <c r="G428" s="908"/>
      <c r="H428" s="425">
        <f>F428*5</f>
        <v>0</v>
      </c>
      <c r="I428" s="81">
        <v>0</v>
      </c>
      <c r="J428" s="81">
        <f>0*B428</f>
        <v>0</v>
      </c>
      <c r="K428" s="81">
        <f>4*B428</f>
        <v>0</v>
      </c>
      <c r="L428" s="82">
        <f t="shared" si="92"/>
        <v>0</v>
      </c>
      <c r="M428" s="905">
        <v>0</v>
      </c>
      <c r="N428" s="906"/>
    </row>
    <row r="429" spans="1:21" hidden="1">
      <c r="A429" s="53" t="s">
        <v>89</v>
      </c>
      <c r="B429" s="628">
        <f>Chino!N101</f>
        <v>0</v>
      </c>
      <c r="C429" s="629"/>
      <c r="D429" s="895">
        <f>F429*325851</f>
        <v>0</v>
      </c>
      <c r="E429" s="629"/>
      <c r="F429" s="931">
        <f>0.018*B429</f>
        <v>0</v>
      </c>
      <c r="G429" s="908"/>
      <c r="H429" s="425">
        <f>F429*10</f>
        <v>0</v>
      </c>
      <c r="I429" s="81">
        <v>0</v>
      </c>
      <c r="J429" s="81">
        <f>0*B429</f>
        <v>0</v>
      </c>
      <c r="K429" s="81">
        <f>13*B429</f>
        <v>0</v>
      </c>
      <c r="L429" s="82">
        <f>SUM(I429:K429)</f>
        <v>0</v>
      </c>
      <c r="M429" s="905">
        <v>0</v>
      </c>
      <c r="N429" s="906"/>
    </row>
    <row r="430" spans="1:21" ht="14" thickBot="1">
      <c r="A430" s="25" t="s">
        <v>83</v>
      </c>
      <c r="B430" s="628">
        <f>Chino!N102</f>
        <v>0</v>
      </c>
      <c r="C430" s="629"/>
      <c r="D430" s="895">
        <f>F430*325851</f>
        <v>0</v>
      </c>
      <c r="E430" s="629"/>
      <c r="F430" s="931">
        <f>0.153*B430</f>
        <v>0</v>
      </c>
      <c r="G430" s="908"/>
      <c r="H430" s="425">
        <f>F430*5</f>
        <v>0</v>
      </c>
      <c r="I430" s="81">
        <v>0</v>
      </c>
      <c r="J430" s="81">
        <f>0*B430</f>
        <v>0</v>
      </c>
      <c r="K430" s="81">
        <f>60*B430</f>
        <v>0</v>
      </c>
      <c r="L430" s="82">
        <f>SUM(I430:K430)</f>
        <v>0</v>
      </c>
      <c r="M430" s="905">
        <v>0</v>
      </c>
      <c r="N430" s="906"/>
    </row>
    <row r="431" spans="1:21" s="275" customFormat="1" ht="14" thickBot="1">
      <c r="A431" s="40" t="s">
        <v>60</v>
      </c>
      <c r="B431" s="642">
        <f>SUM(B419:C430)</f>
        <v>117</v>
      </c>
      <c r="C431" s="706"/>
      <c r="D431" s="644">
        <f>SUM(D419:E430)</f>
        <v>2104345.7580000004</v>
      </c>
      <c r="E431" s="644"/>
      <c r="F431" s="726">
        <f>SUM(F419:G430)</f>
        <v>6.4580000000000011</v>
      </c>
      <c r="G431" s="708"/>
      <c r="H431" s="363">
        <f>SUM(H419:H430)</f>
        <v>125.91000000000001</v>
      </c>
      <c r="I431" s="86">
        <f>SUM(I419:I430)</f>
        <v>0</v>
      </c>
      <c r="J431" s="91">
        <f>SUM(J419:J430)</f>
        <v>13755</v>
      </c>
      <c r="K431" s="91">
        <f>SUM(K419:K430)</f>
        <v>22865</v>
      </c>
      <c r="L431" s="86">
        <f>SUM(L419:L430)</f>
        <v>36620</v>
      </c>
      <c r="M431" s="709"/>
      <c r="N431" s="710"/>
      <c r="O431" s="276"/>
      <c r="P431" s="276"/>
      <c r="Q431" s="276"/>
      <c r="R431" s="276"/>
      <c r="S431" s="276"/>
      <c r="T431" s="276"/>
      <c r="U431" s="276"/>
    </row>
    <row r="432" spans="1:21" s="61" customFormat="1" ht="17" hidden="1" thickBot="1">
      <c r="A432" s="71" t="s">
        <v>54</v>
      </c>
      <c r="B432" s="662"/>
      <c r="C432" s="716"/>
      <c r="D432" s="370"/>
      <c r="E432" s="369"/>
      <c r="F432" s="371"/>
      <c r="G432" s="372"/>
      <c r="H432" s="372"/>
      <c r="I432" s="100"/>
      <c r="J432" s="100"/>
      <c r="K432" s="100"/>
      <c r="L432" s="101"/>
      <c r="M432" s="387"/>
      <c r="N432" s="388"/>
      <c r="O432" s="135"/>
      <c r="P432" s="135"/>
      <c r="Q432" s="135"/>
      <c r="R432" s="135"/>
      <c r="S432" s="135"/>
      <c r="T432" s="135"/>
      <c r="U432" s="135"/>
    </row>
    <row r="433" spans="1:21" ht="14" hidden="1" thickBot="1">
      <c r="A433" s="28" t="s">
        <v>29</v>
      </c>
      <c r="B433" s="628">
        <f>Chino!N105</f>
        <v>0</v>
      </c>
      <c r="C433" s="629"/>
      <c r="D433" s="895">
        <f t="shared" ref="D433:D438" si="93">F433*325851</f>
        <v>0</v>
      </c>
      <c r="E433" s="629"/>
      <c r="F433" s="1029">
        <f>0.0425*B433</f>
        <v>0</v>
      </c>
      <c r="G433" s="904"/>
      <c r="H433" s="374">
        <f>F433*20</f>
        <v>0</v>
      </c>
      <c r="I433" s="81">
        <v>0</v>
      </c>
      <c r="J433" s="81">
        <f>35.66*B433</f>
        <v>0</v>
      </c>
      <c r="K433" s="81">
        <f>0*B433</f>
        <v>0</v>
      </c>
      <c r="L433" s="82">
        <f t="shared" ref="L433:L438" si="94">SUM(I433:K433)</f>
        <v>0</v>
      </c>
      <c r="M433" s="905">
        <v>0</v>
      </c>
      <c r="N433" s="906"/>
    </row>
    <row r="434" spans="1:21" ht="14" hidden="1" thickBot="1">
      <c r="A434" s="26" t="s">
        <v>51</v>
      </c>
      <c r="B434" s="628">
        <f>Chino!N106</f>
        <v>0</v>
      </c>
      <c r="C434" s="629"/>
      <c r="D434" s="895">
        <f t="shared" si="93"/>
        <v>0</v>
      </c>
      <c r="E434" s="629"/>
      <c r="F434" s="1029">
        <f>0.125*B434</f>
        <v>0</v>
      </c>
      <c r="G434" s="904"/>
      <c r="H434" s="374">
        <f>F434*20</f>
        <v>0</v>
      </c>
      <c r="I434" s="81">
        <v>0</v>
      </c>
      <c r="J434" s="81">
        <f>0*B434</f>
        <v>0</v>
      </c>
      <c r="K434" s="81">
        <f>0*B434</f>
        <v>0</v>
      </c>
      <c r="L434" s="82">
        <f t="shared" si="94"/>
        <v>0</v>
      </c>
      <c r="M434" s="905">
        <v>0</v>
      </c>
      <c r="N434" s="906"/>
    </row>
    <row r="435" spans="1:21" ht="14" hidden="1" thickBot="1">
      <c r="A435" s="54" t="s">
        <v>15</v>
      </c>
      <c r="B435" s="628">
        <f>Chino!N107</f>
        <v>0</v>
      </c>
      <c r="C435" s="629"/>
      <c r="D435" s="694">
        <f t="shared" si="93"/>
        <v>0</v>
      </c>
      <c r="E435" s="631"/>
      <c r="F435" s="807">
        <f>0.1534*B435</f>
        <v>0</v>
      </c>
      <c r="G435" s="806"/>
      <c r="H435" s="359">
        <f>F435*5</f>
        <v>0</v>
      </c>
      <c r="I435" s="96">
        <v>0</v>
      </c>
      <c r="J435" s="96">
        <f>0*B435</f>
        <v>0</v>
      </c>
      <c r="K435" s="96">
        <f>0*B435</f>
        <v>0</v>
      </c>
      <c r="L435" s="106">
        <f t="shared" si="94"/>
        <v>0</v>
      </c>
      <c r="M435" s="697">
        <v>0</v>
      </c>
      <c r="N435" s="698"/>
    </row>
    <row r="436" spans="1:21" ht="14" hidden="1" thickBot="1">
      <c r="A436" s="54" t="s">
        <v>30</v>
      </c>
      <c r="B436" s="628">
        <f>Chino!N108</f>
        <v>0</v>
      </c>
      <c r="C436" s="629"/>
      <c r="D436" s="694">
        <f t="shared" si="93"/>
        <v>0</v>
      </c>
      <c r="E436" s="631"/>
      <c r="F436" s="807">
        <f>0.609*B436</f>
        <v>0</v>
      </c>
      <c r="G436" s="806"/>
      <c r="H436" s="359">
        <f>F436*10</f>
        <v>0</v>
      </c>
      <c r="I436" s="96">
        <v>0</v>
      </c>
      <c r="J436" s="96">
        <f>0*B436</f>
        <v>0</v>
      </c>
      <c r="K436" s="96">
        <f>0*B436</f>
        <v>0</v>
      </c>
      <c r="L436" s="106">
        <f t="shared" si="94"/>
        <v>0</v>
      </c>
      <c r="M436" s="697">
        <v>0</v>
      </c>
      <c r="N436" s="698"/>
    </row>
    <row r="437" spans="1:21" ht="14" hidden="1" thickBot="1">
      <c r="A437" s="54" t="s">
        <v>55</v>
      </c>
      <c r="B437" s="628">
        <f>Chino!N109</f>
        <v>0</v>
      </c>
      <c r="C437" s="629"/>
      <c r="D437" s="694">
        <f t="shared" si="93"/>
        <v>0</v>
      </c>
      <c r="E437" s="631"/>
      <c r="F437" s="733">
        <f>0.992*B437</f>
        <v>0</v>
      </c>
      <c r="G437" s="734"/>
      <c r="H437" s="359">
        <f>F437*10</f>
        <v>0</v>
      </c>
      <c r="I437" s="96">
        <v>0</v>
      </c>
      <c r="J437" s="96">
        <f>0*B437</f>
        <v>0</v>
      </c>
      <c r="K437" s="96">
        <f>4830.23*B437</f>
        <v>0</v>
      </c>
      <c r="L437" s="106">
        <f t="shared" si="94"/>
        <v>0</v>
      </c>
      <c r="M437" s="697" t="e">
        <f>L437/(F437*498.5)</f>
        <v>#DIV/0!</v>
      </c>
      <c r="N437" s="698"/>
    </row>
    <row r="438" spans="1:21" ht="14" hidden="1" thickBot="1">
      <c r="A438" s="68" t="s">
        <v>108</v>
      </c>
      <c r="B438" s="628">
        <f>Chino!N110</f>
        <v>0</v>
      </c>
      <c r="C438" s="629"/>
      <c r="D438" s="895">
        <f t="shared" si="93"/>
        <v>0</v>
      </c>
      <c r="E438" s="629"/>
      <c r="F438" s="1029">
        <v>0</v>
      </c>
      <c r="G438" s="904"/>
      <c r="H438" s="374">
        <f>F438*10</f>
        <v>0</v>
      </c>
      <c r="I438" s="81">
        <v>0</v>
      </c>
      <c r="J438" s="81">
        <v>0</v>
      </c>
      <c r="K438" s="81">
        <v>0</v>
      </c>
      <c r="L438" s="82">
        <f t="shared" si="94"/>
        <v>0</v>
      </c>
      <c r="M438" s="905" t="e">
        <f>L438/(F438*498.5)</f>
        <v>#DIV/0!</v>
      </c>
      <c r="N438" s="906"/>
    </row>
    <row r="439" spans="1:21" s="275" customFormat="1" ht="14" hidden="1" thickBot="1">
      <c r="A439" s="40" t="s">
        <v>60</v>
      </c>
      <c r="B439" s="642">
        <f>SUM(B433:C438)</f>
        <v>0</v>
      </c>
      <c r="C439" s="706"/>
      <c r="D439" s="644">
        <f>SUM(D433:E438)</f>
        <v>0</v>
      </c>
      <c r="E439" s="706"/>
      <c r="F439" s="808">
        <f>SUM(F433:G438)</f>
        <v>0</v>
      </c>
      <c r="G439" s="708"/>
      <c r="H439" s="363">
        <f>SUM(H433:H438)</f>
        <v>0</v>
      </c>
      <c r="I439" s="86">
        <f>SUM(I433:I438)</f>
        <v>0</v>
      </c>
      <c r="J439" s="86">
        <f>SUM(J433:J438)</f>
        <v>0</v>
      </c>
      <c r="K439" s="86">
        <f>SUM(K433:K438)</f>
        <v>0</v>
      </c>
      <c r="L439" s="86">
        <f>SUM(L433:L438)</f>
        <v>0</v>
      </c>
      <c r="M439" s="709"/>
      <c r="N439" s="710"/>
      <c r="O439" s="276"/>
      <c r="P439" s="276"/>
      <c r="Q439" s="276"/>
      <c r="R439" s="276"/>
      <c r="S439" s="276"/>
      <c r="T439" s="276"/>
      <c r="U439" s="276"/>
    </row>
    <row r="440" spans="1:21" s="534" customFormat="1" ht="17" thickBot="1">
      <c r="A440" s="531" t="s">
        <v>17</v>
      </c>
      <c r="B440" s="621">
        <f>SUM(B414+B417+B431+B439)</f>
        <v>317</v>
      </c>
      <c r="C440" s="622"/>
      <c r="D440" s="711">
        <f>SUM(D414+D417+D431+D439)</f>
        <v>4750731.6204599999</v>
      </c>
      <c r="E440" s="622"/>
      <c r="F440" s="773">
        <f>SUM(F439,F414,F417,F431)</f>
        <v>14.579460000000001</v>
      </c>
      <c r="G440" s="713"/>
      <c r="H440" s="541">
        <f>SUM(H439,H414,H417,H431)</f>
        <v>276.36160000000001</v>
      </c>
      <c r="I440" s="535">
        <f>SUM(I414+I417+I431+I439)</f>
        <v>0</v>
      </c>
      <c r="J440" s="535">
        <f>SUM(J414+J417+J431+J439)</f>
        <v>22026.799999999999</v>
      </c>
      <c r="K440" s="535">
        <f>SUM(K414+K417+K431+K439)</f>
        <v>36106.199999999997</v>
      </c>
      <c r="L440" s="535">
        <f>SUM(L414+L417+L431+L439)</f>
        <v>58133</v>
      </c>
      <c r="M440" s="714"/>
      <c r="N440" s="715"/>
      <c r="O440" s="75"/>
      <c r="P440" s="75"/>
      <c r="Q440" s="75"/>
      <c r="R440" s="75"/>
      <c r="S440" s="75"/>
      <c r="T440" s="75"/>
      <c r="U440" s="75"/>
    </row>
    <row r="441" spans="1:21">
      <c r="A441" s="39"/>
      <c r="B441" s="13"/>
      <c r="C441" s="13"/>
      <c r="D441" s="13"/>
      <c r="E441" s="13"/>
      <c r="F441" s="201"/>
      <c r="G441" s="201"/>
      <c r="H441" s="201"/>
      <c r="I441" s="14"/>
      <c r="J441" s="14"/>
      <c r="K441" s="14"/>
      <c r="L441" s="14"/>
      <c r="M441" s="11"/>
      <c r="N441" s="11"/>
    </row>
    <row r="442" spans="1:21" ht="15">
      <c r="A442" s="5" t="s">
        <v>18</v>
      </c>
      <c r="B442" s="626" t="s">
        <v>59</v>
      </c>
      <c r="C442" s="765"/>
      <c r="D442" s="765"/>
      <c r="E442" s="912"/>
      <c r="F442" s="201"/>
      <c r="G442" s="201"/>
      <c r="H442" s="201"/>
      <c r="I442" s="14"/>
      <c r="J442" s="14"/>
      <c r="K442" s="14"/>
      <c r="L442" s="14"/>
      <c r="M442" s="11"/>
      <c r="N442" s="11"/>
    </row>
    <row r="443" spans="1:21">
      <c r="B443" s="627" t="s">
        <v>19</v>
      </c>
      <c r="C443" s="627"/>
      <c r="D443" s="627"/>
      <c r="E443" s="627"/>
      <c r="F443" s="201"/>
      <c r="G443" s="201"/>
      <c r="H443" s="201"/>
      <c r="I443" s="14"/>
      <c r="J443" s="14"/>
      <c r="K443" s="14"/>
      <c r="L443" s="14"/>
      <c r="M443" s="11"/>
      <c r="N443" s="11"/>
    </row>
    <row r="444" spans="1:21" ht="14" thickBot="1">
      <c r="A444" s="332"/>
      <c r="B444" s="382"/>
      <c r="C444" s="382"/>
      <c r="D444" s="382"/>
      <c r="E444" s="382"/>
      <c r="F444" s="384"/>
      <c r="G444" s="384"/>
      <c r="H444" s="384"/>
      <c r="I444" s="14"/>
      <c r="J444" s="14"/>
      <c r="K444" s="14"/>
      <c r="L444" s="14"/>
      <c r="M444" s="382"/>
      <c r="N444" s="382"/>
    </row>
    <row r="445" spans="1:21" ht="16">
      <c r="A445" s="63"/>
      <c r="B445" s="64"/>
      <c r="C445" s="64"/>
      <c r="D445" s="64"/>
      <c r="E445" s="64"/>
      <c r="F445" s="200"/>
      <c r="G445" s="200"/>
      <c r="H445" s="200"/>
      <c r="I445" s="670" t="s">
        <v>0</v>
      </c>
      <c r="J445" s="670"/>
      <c r="K445" s="670"/>
      <c r="L445" s="670"/>
      <c r="M445" s="64"/>
      <c r="N445" s="65"/>
    </row>
    <row r="446" spans="1:21" ht="16">
      <c r="A446" s="62"/>
      <c r="B446" s="671" t="s">
        <v>1</v>
      </c>
      <c r="C446" s="671"/>
      <c r="D446" s="671" t="s">
        <v>2</v>
      </c>
      <c r="E446" s="671"/>
      <c r="F446" s="672" t="s">
        <v>3</v>
      </c>
      <c r="G446" s="672"/>
      <c r="H446" s="364" t="s">
        <v>3</v>
      </c>
      <c r="I446" s="78" t="s">
        <v>135</v>
      </c>
      <c r="J446" s="66"/>
      <c r="K446" s="66"/>
      <c r="L446" s="79"/>
      <c r="M446" s="671" t="s">
        <v>4</v>
      </c>
      <c r="N446" s="674"/>
    </row>
    <row r="447" spans="1:21" ht="19" thickBot="1">
      <c r="A447" s="67" t="s">
        <v>5</v>
      </c>
      <c r="B447" s="675" t="s">
        <v>6</v>
      </c>
      <c r="C447" s="675"/>
      <c r="D447" s="675" t="s">
        <v>7</v>
      </c>
      <c r="E447" s="675"/>
      <c r="F447" s="676" t="s">
        <v>7</v>
      </c>
      <c r="G447" s="676"/>
      <c r="H447" s="366" t="s">
        <v>58</v>
      </c>
      <c r="I447" s="367" t="s">
        <v>136</v>
      </c>
      <c r="J447" s="365" t="s">
        <v>8</v>
      </c>
      <c r="K447" s="365" t="s">
        <v>9</v>
      </c>
      <c r="L447" s="187" t="s">
        <v>10</v>
      </c>
      <c r="M447" s="675" t="s">
        <v>103</v>
      </c>
      <c r="N447" s="678"/>
    </row>
    <row r="448" spans="1:21" ht="24" thickBot="1">
      <c r="A448" s="60" t="s">
        <v>94</v>
      </c>
      <c r="B448" s="928"/>
      <c r="C448" s="680"/>
      <c r="D448" s="681"/>
      <c r="E448" s="682"/>
      <c r="F448" s="683"/>
      <c r="G448" s="684"/>
      <c r="H448" s="381"/>
      <c r="I448" s="3"/>
      <c r="J448" s="3"/>
      <c r="K448" s="3"/>
      <c r="L448" s="4"/>
      <c r="M448" s="929"/>
      <c r="N448" s="930"/>
    </row>
    <row r="449" spans="1:21" s="530" customFormat="1" ht="17" thickBot="1">
      <c r="A449" s="71" t="s">
        <v>48</v>
      </c>
      <c r="B449" s="663"/>
      <c r="C449" s="716"/>
      <c r="D449" s="729"/>
      <c r="E449" s="716"/>
      <c r="F449" s="717"/>
      <c r="G449" s="718"/>
      <c r="H449" s="524"/>
      <c r="I449" s="72"/>
      <c r="J449" s="72"/>
      <c r="K449" s="72"/>
      <c r="L449" s="521"/>
      <c r="M449" s="719"/>
      <c r="N449" s="689"/>
      <c r="O449" s="135"/>
      <c r="P449" s="135"/>
      <c r="Q449" s="135"/>
      <c r="R449" s="135"/>
      <c r="S449" s="135"/>
      <c r="T449" s="135"/>
      <c r="U449" s="135"/>
    </row>
    <row r="450" spans="1:21">
      <c r="A450" s="24" t="s">
        <v>28</v>
      </c>
      <c r="B450" s="895">
        <f>Chino!N41</f>
        <v>0</v>
      </c>
      <c r="C450" s="629"/>
      <c r="D450" s="636">
        <f t="shared" ref="D450:D456" si="95">F450*325851</f>
        <v>0</v>
      </c>
      <c r="E450" s="629"/>
      <c r="F450" s="931">
        <f>0.0379*B450</f>
        <v>0</v>
      </c>
      <c r="G450" s="908"/>
      <c r="H450" s="431">
        <f>F450*20</f>
        <v>0</v>
      </c>
      <c r="I450" s="81">
        <v>0</v>
      </c>
      <c r="J450" s="81">
        <f>0*B450</f>
        <v>0</v>
      </c>
      <c r="K450" s="81">
        <f>60*B450</f>
        <v>0</v>
      </c>
      <c r="L450" s="82">
        <f t="shared" ref="L450:L456" si="96">I450+J450+K450</f>
        <v>0</v>
      </c>
      <c r="M450" s="905">
        <v>0</v>
      </c>
      <c r="N450" s="906"/>
    </row>
    <row r="451" spans="1:21">
      <c r="A451" s="24" t="s">
        <v>29</v>
      </c>
      <c r="B451" s="895">
        <f>Chino!N42</f>
        <v>178</v>
      </c>
      <c r="C451" s="629"/>
      <c r="D451" s="636">
        <f t="shared" si="95"/>
        <v>2465062.8149999999</v>
      </c>
      <c r="E451" s="629"/>
      <c r="F451" s="931">
        <f>0.0425*B451</f>
        <v>7.5650000000000004</v>
      </c>
      <c r="G451" s="908"/>
      <c r="H451" s="431">
        <f>F451*20</f>
        <v>151.30000000000001</v>
      </c>
      <c r="I451" s="81">
        <v>0</v>
      </c>
      <c r="J451" s="81">
        <f>0*B451</f>
        <v>0</v>
      </c>
      <c r="K451" s="81">
        <f>B451*165</f>
        <v>29370</v>
      </c>
      <c r="L451" s="82">
        <f t="shared" si="96"/>
        <v>29370</v>
      </c>
      <c r="M451" s="905">
        <f t="shared" ref="M451:M456" si="97">L451/(F451*498.5)</f>
        <v>7.7880700926308331</v>
      </c>
      <c r="N451" s="906"/>
    </row>
    <row r="452" spans="1:21">
      <c r="A452" s="24" t="s">
        <v>33</v>
      </c>
      <c r="B452" s="895">
        <f>Chino!N43</f>
        <v>87</v>
      </c>
      <c r="C452" s="629"/>
      <c r="D452" s="636">
        <f t="shared" si="95"/>
        <v>782433.42119999998</v>
      </c>
      <c r="E452" s="629"/>
      <c r="F452" s="931">
        <f>0.0276*B452</f>
        <v>2.4011999999999998</v>
      </c>
      <c r="G452" s="908"/>
      <c r="H452" s="431">
        <f>F452*15</f>
        <v>36.017999999999994</v>
      </c>
      <c r="I452" s="81">
        <f>0*B452</f>
        <v>0</v>
      </c>
      <c r="J452" s="81">
        <f>0*B452</f>
        <v>0</v>
      </c>
      <c r="K452" s="81">
        <f>B452*110</f>
        <v>9570</v>
      </c>
      <c r="L452" s="82">
        <f t="shared" si="96"/>
        <v>9570</v>
      </c>
      <c r="M452" s="905">
        <f t="shared" si="97"/>
        <v>7.994999491227305</v>
      </c>
      <c r="N452" s="906"/>
    </row>
    <row r="453" spans="1:21">
      <c r="A453" s="24" t="s">
        <v>56</v>
      </c>
      <c r="B453" s="895">
        <f>Chino!N44</f>
        <v>40</v>
      </c>
      <c r="C453" s="629"/>
      <c r="D453" s="636">
        <f t="shared" si="95"/>
        <v>52136.160000000003</v>
      </c>
      <c r="E453" s="629"/>
      <c r="F453" s="931">
        <f>0.004*B453</f>
        <v>0.16</v>
      </c>
      <c r="G453" s="908"/>
      <c r="H453" s="431">
        <f>F453*5</f>
        <v>0.8</v>
      </c>
      <c r="I453" s="81">
        <f>0*B453</f>
        <v>0</v>
      </c>
      <c r="J453" s="81">
        <f>0*B453</f>
        <v>0</v>
      </c>
      <c r="K453" s="81">
        <f>B453*4</f>
        <v>160</v>
      </c>
      <c r="L453" s="82">
        <f t="shared" si="96"/>
        <v>160</v>
      </c>
      <c r="M453" s="905">
        <f t="shared" si="97"/>
        <v>2.0060180541624875</v>
      </c>
      <c r="N453" s="906"/>
    </row>
    <row r="454" spans="1:21">
      <c r="A454" s="54" t="s">
        <v>30</v>
      </c>
      <c r="B454" s="638">
        <f>Chino!N45</f>
        <v>1</v>
      </c>
      <c r="C454" s="639"/>
      <c r="D454" s="667">
        <f t="shared" si="95"/>
        <v>105901.575</v>
      </c>
      <c r="E454" s="639"/>
      <c r="F454" s="923">
        <f>0.325*B454</f>
        <v>0.32500000000000001</v>
      </c>
      <c r="G454" s="914"/>
      <c r="H454" s="432">
        <f>F454*10</f>
        <v>3.25</v>
      </c>
      <c r="I454" s="83">
        <v>0</v>
      </c>
      <c r="J454" s="83">
        <f>0*B454</f>
        <v>0</v>
      </c>
      <c r="K454" s="83">
        <f>B454*80</f>
        <v>80</v>
      </c>
      <c r="L454" s="84">
        <f t="shared" si="96"/>
        <v>80</v>
      </c>
      <c r="M454" s="905">
        <f t="shared" si="97"/>
        <v>0.49378905948615071</v>
      </c>
      <c r="N454" s="906"/>
    </row>
    <row r="455" spans="1:21">
      <c r="A455" s="53" t="s">
        <v>92</v>
      </c>
      <c r="B455" s="650">
        <f>Chino!N46</f>
        <v>4</v>
      </c>
      <c r="C455" s="651"/>
      <c r="D455" s="652">
        <f t="shared" si="95"/>
        <v>272163.78923999995</v>
      </c>
      <c r="E455" s="651"/>
      <c r="F455" s="720">
        <f>0.00014*5966</f>
        <v>0.83523999999999987</v>
      </c>
      <c r="G455" s="721"/>
      <c r="H455" s="429">
        <f>F455*10</f>
        <v>8.3523999999999994</v>
      </c>
      <c r="I455" s="107">
        <v>0</v>
      </c>
      <c r="J455" s="107">
        <v>7300</v>
      </c>
      <c r="K455" s="107">
        <f>B455*0</f>
        <v>0</v>
      </c>
      <c r="L455" s="108">
        <f t="shared" si="96"/>
        <v>7300</v>
      </c>
      <c r="M455" s="697">
        <f t="shared" si="97"/>
        <v>17.532603557523778</v>
      </c>
      <c r="N455" s="698"/>
    </row>
    <row r="456" spans="1:21" ht="14" thickBot="1">
      <c r="A456" s="53" t="s">
        <v>93</v>
      </c>
      <c r="B456" s="638">
        <f>Chino!N47</f>
        <v>8</v>
      </c>
      <c r="C456" s="639"/>
      <c r="D456" s="664">
        <f t="shared" si="95"/>
        <v>284344.09961999999</v>
      </c>
      <c r="E456" s="639"/>
      <c r="F456" s="923">
        <f>0.00014*6233</f>
        <v>0.87261999999999995</v>
      </c>
      <c r="G456" s="914"/>
      <c r="H456" s="432">
        <f>F456*10</f>
        <v>8.7261999999999986</v>
      </c>
      <c r="I456" s="83">
        <v>0</v>
      </c>
      <c r="J456" s="83">
        <f>0.3*6233</f>
        <v>1869.8999999999999</v>
      </c>
      <c r="K456" s="83">
        <f>6233*0.3</f>
        <v>1869.8999999999999</v>
      </c>
      <c r="L456" s="84">
        <f t="shared" si="96"/>
        <v>3739.7999999999997</v>
      </c>
      <c r="M456" s="905">
        <f t="shared" si="97"/>
        <v>8.5972202321249469</v>
      </c>
      <c r="N456" s="906"/>
    </row>
    <row r="457" spans="1:21" s="275" customFormat="1" ht="14" thickBot="1">
      <c r="A457" s="40" t="s">
        <v>60</v>
      </c>
      <c r="B457" s="642">
        <f>SUM(B450:C456)</f>
        <v>318</v>
      </c>
      <c r="C457" s="706"/>
      <c r="D457" s="644">
        <f>SUM(D450:E456)</f>
        <v>3962041.8600600003</v>
      </c>
      <c r="E457" s="706"/>
      <c r="F457" s="707">
        <f>SUM(F450:G456)</f>
        <v>12.15906</v>
      </c>
      <c r="G457" s="708"/>
      <c r="H457" s="363">
        <f>SUM(H450:H456)</f>
        <v>208.44660000000002</v>
      </c>
      <c r="I457" s="91">
        <f>SUM(I450:I456)</f>
        <v>0</v>
      </c>
      <c r="J457" s="91">
        <f>SUM(J450:J456)</f>
        <v>9169.9</v>
      </c>
      <c r="K457" s="91">
        <f>SUM(K450:K456)</f>
        <v>41049.9</v>
      </c>
      <c r="L457" s="98">
        <f>SUM(L450:L456)</f>
        <v>50219.8</v>
      </c>
      <c r="M457" s="709"/>
      <c r="N457" s="710"/>
      <c r="O457" s="276"/>
      <c r="P457" s="276"/>
      <c r="Q457" s="276"/>
      <c r="R457" s="276"/>
      <c r="S457" s="276"/>
      <c r="T457" s="276"/>
      <c r="U457" s="276"/>
    </row>
    <row r="458" spans="1:21" s="530" customFormat="1" ht="17" thickBot="1">
      <c r="A458" s="71" t="s">
        <v>104</v>
      </c>
      <c r="B458" s="662"/>
      <c r="C458" s="716"/>
      <c r="D458" s="663"/>
      <c r="E458" s="716"/>
      <c r="F458" s="687"/>
      <c r="G458" s="718"/>
      <c r="H458" s="524"/>
      <c r="I458" s="100"/>
      <c r="J458" s="100"/>
      <c r="K458" s="100"/>
      <c r="L458" s="101"/>
      <c r="M458" s="719"/>
      <c r="N458" s="689"/>
      <c r="O458" s="135"/>
      <c r="P458" s="135"/>
      <c r="Q458" s="135"/>
      <c r="R458" s="135"/>
      <c r="S458" s="135"/>
      <c r="T458" s="135"/>
      <c r="U458" s="135"/>
    </row>
    <row r="459" spans="1:21" ht="14" thickBot="1">
      <c r="A459" s="53" t="s">
        <v>104</v>
      </c>
      <c r="B459" s="1006">
        <f>Chino!N50</f>
        <v>235</v>
      </c>
      <c r="C459" s="1007"/>
      <c r="D459" s="895">
        <f>F459*325851</f>
        <v>3254436.8625000003</v>
      </c>
      <c r="E459" s="629"/>
      <c r="F459" s="913">
        <f>0.0425*B459</f>
        <v>9.9875000000000007</v>
      </c>
      <c r="G459" s="914"/>
      <c r="H459" s="432">
        <f>F459*20</f>
        <v>199.75</v>
      </c>
      <c r="I459" s="81">
        <f>73.34*B459</f>
        <v>17234.900000000001</v>
      </c>
      <c r="J459" s="81">
        <f>35.66*B459</f>
        <v>8380.0999999999985</v>
      </c>
      <c r="K459" s="81">
        <f>B459*165</f>
        <v>38775</v>
      </c>
      <c r="L459" s="82">
        <f>I459+J459+K459</f>
        <v>64390</v>
      </c>
      <c r="M459" s="905">
        <f>L459/(F459*498.5)</f>
        <v>12.932916396247565</v>
      </c>
      <c r="N459" s="906"/>
    </row>
    <row r="460" spans="1:21" s="275" customFormat="1" ht="14" thickBot="1">
      <c r="A460" s="40" t="s">
        <v>60</v>
      </c>
      <c r="B460" s="642">
        <f>SUM(B459)</f>
        <v>235</v>
      </c>
      <c r="C460" s="706"/>
      <c r="D460" s="644">
        <f>SUM(D459)</f>
        <v>3254436.8625000003</v>
      </c>
      <c r="E460" s="706"/>
      <c r="F460" s="707">
        <f>SUM(F459)</f>
        <v>9.9875000000000007</v>
      </c>
      <c r="G460" s="708"/>
      <c r="H460" s="363">
        <f>SUM(H459)</f>
        <v>199.75</v>
      </c>
      <c r="I460" s="86">
        <f>SUM(I459)</f>
        <v>17234.900000000001</v>
      </c>
      <c r="J460" s="91">
        <f>SUM(J459)</f>
        <v>8380.0999999999985</v>
      </c>
      <c r="K460" s="91">
        <f>SUM(K459)</f>
        <v>38775</v>
      </c>
      <c r="L460" s="86">
        <f>SUM(L459)</f>
        <v>64390</v>
      </c>
      <c r="M460" s="709"/>
      <c r="N460" s="710"/>
      <c r="O460" s="276"/>
      <c r="P460" s="276"/>
      <c r="Q460" s="276"/>
      <c r="R460" s="276"/>
      <c r="S460" s="276"/>
      <c r="T460" s="276"/>
      <c r="U460" s="276"/>
    </row>
    <row r="461" spans="1:21" s="530" customFormat="1" ht="17" thickBot="1">
      <c r="A461" s="71" t="s">
        <v>50</v>
      </c>
      <c r="B461" s="801"/>
      <c r="C461" s="802"/>
      <c r="D461" s="663"/>
      <c r="E461" s="716"/>
      <c r="F461" s="687"/>
      <c r="G461" s="718"/>
      <c r="H461" s="524"/>
      <c r="I461" s="100"/>
      <c r="J461" s="100"/>
      <c r="K461" s="100"/>
      <c r="L461" s="101"/>
      <c r="M461" s="719"/>
      <c r="N461" s="689"/>
      <c r="O461" s="135"/>
      <c r="P461" s="135"/>
      <c r="Q461" s="135"/>
      <c r="R461" s="135"/>
      <c r="S461" s="135"/>
      <c r="T461" s="135"/>
      <c r="U461" s="135"/>
    </row>
    <row r="462" spans="1:21">
      <c r="A462" s="28" t="s">
        <v>26</v>
      </c>
      <c r="B462" s="932">
        <f>Chino!N53</f>
        <v>0</v>
      </c>
      <c r="C462" s="925"/>
      <c r="D462" s="895">
        <f t="shared" ref="D462:D470" si="98">F462*325851</f>
        <v>0</v>
      </c>
      <c r="E462" s="629"/>
      <c r="F462" s="907">
        <f>0.0379*B462</f>
        <v>0</v>
      </c>
      <c r="G462" s="908"/>
      <c r="H462" s="431">
        <f>F462*20</f>
        <v>0</v>
      </c>
      <c r="I462" s="81">
        <v>0</v>
      </c>
      <c r="J462" s="81">
        <f>35.66*B462</f>
        <v>0</v>
      </c>
      <c r="K462" s="81">
        <f>135*B462</f>
        <v>0</v>
      </c>
      <c r="L462" s="82">
        <f>SUM(I462:K462)</f>
        <v>0</v>
      </c>
      <c r="M462" s="905">
        <v>0</v>
      </c>
      <c r="N462" s="906"/>
    </row>
    <row r="463" spans="1:21">
      <c r="A463" s="26" t="s">
        <v>25</v>
      </c>
      <c r="B463" s="628">
        <f>Chino!N54</f>
        <v>0</v>
      </c>
      <c r="C463" s="629"/>
      <c r="D463" s="895">
        <f t="shared" si="98"/>
        <v>0</v>
      </c>
      <c r="E463" s="629"/>
      <c r="F463" s="907">
        <f>0.0379*B463</f>
        <v>0</v>
      </c>
      <c r="G463" s="908"/>
      <c r="H463" s="431">
        <f>F463*20</f>
        <v>0</v>
      </c>
      <c r="I463" s="81">
        <v>0</v>
      </c>
      <c r="J463" s="81">
        <f>0*B463</f>
        <v>0</v>
      </c>
      <c r="K463" s="81">
        <f>60*B463</f>
        <v>0</v>
      </c>
      <c r="L463" s="82">
        <f t="shared" ref="L463:L471" si="99">SUM(I463:K463)</f>
        <v>0</v>
      </c>
      <c r="M463" s="905">
        <v>0</v>
      </c>
      <c r="N463" s="906"/>
    </row>
    <row r="464" spans="1:21">
      <c r="A464" s="24" t="s">
        <v>29</v>
      </c>
      <c r="B464" s="628">
        <f>Chino!N55</f>
        <v>26</v>
      </c>
      <c r="C464" s="629"/>
      <c r="D464" s="895">
        <f t="shared" si="98"/>
        <v>360065.35499999998</v>
      </c>
      <c r="E464" s="629"/>
      <c r="F464" s="907">
        <f>0.0425*B464</f>
        <v>1.105</v>
      </c>
      <c r="G464" s="908"/>
      <c r="H464" s="431">
        <f>F464*20</f>
        <v>22.1</v>
      </c>
      <c r="I464" s="81">
        <v>0</v>
      </c>
      <c r="J464" s="81">
        <f>135*B464</f>
        <v>3510</v>
      </c>
      <c r="K464" s="81">
        <f>165*B464</f>
        <v>4290</v>
      </c>
      <c r="L464" s="82">
        <f t="shared" si="99"/>
        <v>7800</v>
      </c>
      <c r="M464" s="905">
        <f t="shared" ref="M464:M473" si="100">L464/(F464*498.5)</f>
        <v>14.160127441146971</v>
      </c>
      <c r="N464" s="906"/>
    </row>
    <row r="465" spans="1:21">
      <c r="A465" s="24" t="s">
        <v>51</v>
      </c>
      <c r="B465" s="628">
        <f>Chino!N56</f>
        <v>29</v>
      </c>
      <c r="C465" s="629"/>
      <c r="D465" s="895">
        <f t="shared" si="98"/>
        <v>1159475.6133000001</v>
      </c>
      <c r="E465" s="629"/>
      <c r="F465" s="907">
        <f>0.1227*B465</f>
        <v>3.5583</v>
      </c>
      <c r="G465" s="908"/>
      <c r="H465" s="431">
        <f>F465*20</f>
        <v>71.165999999999997</v>
      </c>
      <c r="I465" s="81">
        <v>0</v>
      </c>
      <c r="J465" s="81">
        <f>0*B465</f>
        <v>0</v>
      </c>
      <c r="K465" s="81">
        <f>400*B465</f>
        <v>11600</v>
      </c>
      <c r="L465" s="82">
        <f t="shared" si="99"/>
        <v>11600</v>
      </c>
      <c r="M465" s="905">
        <f t="shared" si="100"/>
        <v>6.5395861586389152</v>
      </c>
      <c r="N465" s="906"/>
    </row>
    <row r="466" spans="1:21">
      <c r="A466" s="26" t="s">
        <v>20</v>
      </c>
      <c r="B466" s="628">
        <f>Chino!N57</f>
        <v>0</v>
      </c>
      <c r="C466" s="629"/>
      <c r="D466" s="895">
        <f t="shared" si="98"/>
        <v>0</v>
      </c>
      <c r="E466" s="629"/>
      <c r="F466" s="907">
        <f>0.644*B466</f>
        <v>0</v>
      </c>
      <c r="G466" s="908"/>
      <c r="H466" s="431">
        <f>F466*5</f>
        <v>0</v>
      </c>
      <c r="I466" s="81">
        <v>0</v>
      </c>
      <c r="J466" s="81">
        <f>43.75*B466</f>
        <v>0</v>
      </c>
      <c r="K466" s="81">
        <f>625*B466</f>
        <v>0</v>
      </c>
      <c r="L466" s="82">
        <f t="shared" si="99"/>
        <v>0</v>
      </c>
      <c r="M466" s="905">
        <v>0</v>
      </c>
      <c r="N466" s="906"/>
    </row>
    <row r="467" spans="1:21">
      <c r="A467" s="26" t="s">
        <v>13</v>
      </c>
      <c r="B467" s="628">
        <f>Chino!N58</f>
        <v>3</v>
      </c>
      <c r="C467" s="629"/>
      <c r="D467" s="895">
        <f t="shared" si="98"/>
        <v>26980.462800000001</v>
      </c>
      <c r="E467" s="629"/>
      <c r="F467" s="907">
        <f>0.0276*B467</f>
        <v>8.2799999999999999E-2</v>
      </c>
      <c r="G467" s="908"/>
      <c r="H467" s="431">
        <f>F467*10</f>
        <v>0.82799999999999996</v>
      </c>
      <c r="I467" s="81">
        <v>0</v>
      </c>
      <c r="J467" s="81">
        <f>100*B467</f>
        <v>300</v>
      </c>
      <c r="K467" s="81">
        <f>80*B467</f>
        <v>240</v>
      </c>
      <c r="L467" s="82">
        <f t="shared" si="99"/>
        <v>540</v>
      </c>
      <c r="M467" s="905">
        <f t="shared" si="100"/>
        <v>13.082726440190136</v>
      </c>
      <c r="N467" s="906"/>
    </row>
    <row r="468" spans="1:21">
      <c r="A468" s="27" t="s">
        <v>47</v>
      </c>
      <c r="B468" s="628">
        <f>Chino!N59</f>
        <v>0</v>
      </c>
      <c r="C468" s="629"/>
      <c r="D468" s="895">
        <f t="shared" si="98"/>
        <v>0</v>
      </c>
      <c r="E468" s="629"/>
      <c r="F468" s="907">
        <f>0.1534*B468</f>
        <v>0</v>
      </c>
      <c r="G468" s="908"/>
      <c r="H468" s="431">
        <f>F468*5</f>
        <v>0</v>
      </c>
      <c r="I468" s="81">
        <v>0</v>
      </c>
      <c r="J468" s="81">
        <f>0*B468</f>
        <v>0</v>
      </c>
      <c r="K468" s="81">
        <f>150*B468</f>
        <v>0</v>
      </c>
      <c r="L468" s="82">
        <f t="shared" si="99"/>
        <v>0</v>
      </c>
      <c r="M468" s="905">
        <v>0</v>
      </c>
      <c r="N468" s="906"/>
    </row>
    <row r="469" spans="1:21">
      <c r="A469" s="53" t="s">
        <v>30</v>
      </c>
      <c r="B469" s="628">
        <f>Chino!N60</f>
        <v>8</v>
      </c>
      <c r="C469" s="629"/>
      <c r="D469" s="895">
        <f t="shared" si="98"/>
        <v>847212.6</v>
      </c>
      <c r="E469" s="629"/>
      <c r="F469" s="907">
        <f>0.325*B469</f>
        <v>2.6</v>
      </c>
      <c r="G469" s="908"/>
      <c r="H469" s="431">
        <f>F469*10</f>
        <v>26</v>
      </c>
      <c r="I469" s="81">
        <v>0</v>
      </c>
      <c r="J469" s="81">
        <f>0*B469</f>
        <v>0</v>
      </c>
      <c r="K469" s="81">
        <f>669*B469</f>
        <v>5352</v>
      </c>
      <c r="L469" s="82">
        <f t="shared" si="99"/>
        <v>5352</v>
      </c>
      <c r="M469" s="905">
        <f t="shared" si="100"/>
        <v>4.1293110099529349</v>
      </c>
      <c r="N469" s="906"/>
    </row>
    <row r="470" spans="1:21">
      <c r="A470" s="53" t="s">
        <v>53</v>
      </c>
      <c r="B470" s="628">
        <f>Chino!N61</f>
        <v>0</v>
      </c>
      <c r="C470" s="629"/>
      <c r="D470" s="895">
        <f t="shared" si="98"/>
        <v>0</v>
      </c>
      <c r="E470" s="629"/>
      <c r="F470" s="907">
        <f>0.00014*B470</f>
        <v>0</v>
      </c>
      <c r="G470" s="908"/>
      <c r="H470" s="431">
        <f>F470*10</f>
        <v>0</v>
      </c>
      <c r="I470" s="81">
        <v>0</v>
      </c>
      <c r="J470" s="81">
        <f>0.3*B470</f>
        <v>0</v>
      </c>
      <c r="K470" s="81">
        <f>0.3*B470</f>
        <v>0</v>
      </c>
      <c r="L470" s="82">
        <f t="shared" si="99"/>
        <v>0</v>
      </c>
      <c r="M470" s="905">
        <v>0</v>
      </c>
      <c r="N470" s="906"/>
    </row>
    <row r="471" spans="1:21">
      <c r="A471" s="25" t="s">
        <v>56</v>
      </c>
      <c r="B471" s="628">
        <f>Chino!N62</f>
        <v>0</v>
      </c>
      <c r="C471" s="629"/>
      <c r="D471" s="895">
        <f>F471*325851</f>
        <v>0</v>
      </c>
      <c r="E471" s="629"/>
      <c r="F471" s="907">
        <f>0.004*B471</f>
        <v>0</v>
      </c>
      <c r="G471" s="908"/>
      <c r="H471" s="431">
        <f>F471*5</f>
        <v>0</v>
      </c>
      <c r="I471" s="81">
        <v>0</v>
      </c>
      <c r="J471" s="81">
        <f>0*B471</f>
        <v>0</v>
      </c>
      <c r="K471" s="81">
        <f>4*B471</f>
        <v>0</v>
      </c>
      <c r="L471" s="82">
        <f t="shared" si="99"/>
        <v>0</v>
      </c>
      <c r="M471" s="905">
        <v>0</v>
      </c>
      <c r="N471" s="906"/>
    </row>
    <row r="472" spans="1:21">
      <c r="A472" s="53" t="s">
        <v>89</v>
      </c>
      <c r="B472" s="628">
        <f>Chino!N63</f>
        <v>0</v>
      </c>
      <c r="C472" s="629"/>
      <c r="D472" s="895">
        <f>F472*325851</f>
        <v>0</v>
      </c>
      <c r="E472" s="629"/>
      <c r="F472" s="907">
        <f>0.018*B472</f>
        <v>0</v>
      </c>
      <c r="G472" s="908"/>
      <c r="H472" s="431">
        <f>F472*10</f>
        <v>0</v>
      </c>
      <c r="I472" s="81">
        <v>0</v>
      </c>
      <c r="J472" s="81">
        <f>0*B472</f>
        <v>0</v>
      </c>
      <c r="K472" s="81">
        <f>13*B472</f>
        <v>0</v>
      </c>
      <c r="L472" s="82">
        <f>SUM(I472:K472)</f>
        <v>0</v>
      </c>
      <c r="M472" s="905">
        <v>0</v>
      </c>
      <c r="N472" s="906"/>
    </row>
    <row r="473" spans="1:21" ht="14" thickBot="1">
      <c r="A473" s="38" t="s">
        <v>83</v>
      </c>
      <c r="B473" s="900">
        <f>Chino!N64</f>
        <v>15</v>
      </c>
      <c r="C473" s="901"/>
      <c r="D473" s="952">
        <f>F473*325851</f>
        <v>747828.04499999993</v>
      </c>
      <c r="E473" s="901"/>
      <c r="F473" s="945">
        <f>0.153*B473</f>
        <v>2.2949999999999999</v>
      </c>
      <c r="G473" s="946"/>
      <c r="H473" s="435">
        <f>F473*5</f>
        <v>11.475</v>
      </c>
      <c r="I473" s="94">
        <v>0</v>
      </c>
      <c r="J473" s="94">
        <f>0*B473</f>
        <v>0</v>
      </c>
      <c r="K473" s="94">
        <f>60*B473</f>
        <v>900</v>
      </c>
      <c r="L473" s="404">
        <f>SUM(I473:K473)</f>
        <v>900</v>
      </c>
      <c r="M473" s="981">
        <f t="shared" si="100"/>
        <v>0.78667374673038737</v>
      </c>
      <c r="N473" s="982"/>
    </row>
    <row r="474" spans="1:21" s="275" customFormat="1" ht="14" thickBot="1">
      <c r="A474" s="40" t="s">
        <v>60</v>
      </c>
      <c r="B474" s="642">
        <f>SUM(B462:C473)</f>
        <v>81</v>
      </c>
      <c r="C474" s="706"/>
      <c r="D474" s="644">
        <f>SUM(D462:E473)</f>
        <v>3141562.0761000002</v>
      </c>
      <c r="E474" s="643"/>
      <c r="F474" s="707">
        <f>SUM(F462:G473)</f>
        <v>9.6410999999999998</v>
      </c>
      <c r="G474" s="708"/>
      <c r="H474" s="310">
        <f>SUM(H462:H473)</f>
        <v>131.56899999999999</v>
      </c>
      <c r="I474" s="86">
        <f>SUM(I462:I473)</f>
        <v>0</v>
      </c>
      <c r="J474" s="91">
        <f>SUM(J462:J473)</f>
        <v>3810</v>
      </c>
      <c r="K474" s="91">
        <f>SUM(K462:K473)</f>
        <v>22382</v>
      </c>
      <c r="L474" s="86">
        <f>SUM(L462:L473)</f>
        <v>26192</v>
      </c>
      <c r="M474" s="709"/>
      <c r="N474" s="710"/>
      <c r="O474" s="276"/>
      <c r="P474" s="276"/>
      <c r="Q474" s="276"/>
      <c r="R474" s="276"/>
      <c r="S474" s="276"/>
      <c r="T474" s="276"/>
      <c r="U474" s="276"/>
    </row>
    <row r="475" spans="1:21" s="530" customFormat="1" ht="17" thickBot="1">
      <c r="A475" s="71" t="s">
        <v>54</v>
      </c>
      <c r="B475" s="662"/>
      <c r="C475" s="716"/>
      <c r="D475" s="525"/>
      <c r="E475" s="522"/>
      <c r="F475" s="529"/>
      <c r="G475" s="524"/>
      <c r="H475" s="524"/>
      <c r="I475" s="100"/>
      <c r="J475" s="100"/>
      <c r="K475" s="100"/>
      <c r="L475" s="101"/>
      <c r="M475" s="526"/>
      <c r="N475" s="527"/>
      <c r="O475" s="135"/>
      <c r="P475" s="135"/>
      <c r="Q475" s="135"/>
      <c r="R475" s="135"/>
      <c r="S475" s="135"/>
      <c r="T475" s="135"/>
      <c r="U475" s="135"/>
    </row>
    <row r="476" spans="1:21">
      <c r="A476" s="28" t="s">
        <v>29</v>
      </c>
      <c r="B476" s="953">
        <f>Chino!N67</f>
        <v>0</v>
      </c>
      <c r="C476" s="925"/>
      <c r="D476" s="953">
        <f t="shared" ref="D476:D481" si="101">F476*325851</f>
        <v>0</v>
      </c>
      <c r="E476" s="925"/>
      <c r="F476" s="907">
        <f>0.0425*B476</f>
        <v>0</v>
      </c>
      <c r="G476" s="908"/>
      <c r="H476" s="431">
        <f>F476*20</f>
        <v>0</v>
      </c>
      <c r="I476" s="81">
        <v>0</v>
      </c>
      <c r="J476" s="81">
        <f>35.66*B476</f>
        <v>0</v>
      </c>
      <c r="K476" s="81">
        <f>0*B476</f>
        <v>0</v>
      </c>
      <c r="L476" s="82">
        <f t="shared" ref="L476:L481" si="102">SUM(I476:K476)</f>
        <v>0</v>
      </c>
      <c r="M476" s="905">
        <v>0</v>
      </c>
      <c r="N476" s="906"/>
    </row>
    <row r="477" spans="1:21">
      <c r="A477" s="26" t="s">
        <v>51</v>
      </c>
      <c r="B477" s="895">
        <f>Chino!N68</f>
        <v>0</v>
      </c>
      <c r="C477" s="629"/>
      <c r="D477" s="895">
        <f t="shared" si="101"/>
        <v>0</v>
      </c>
      <c r="E477" s="629"/>
      <c r="F477" s="907">
        <f>0.125*B477</f>
        <v>0</v>
      </c>
      <c r="G477" s="908"/>
      <c r="H477" s="431">
        <f>F477*20</f>
        <v>0</v>
      </c>
      <c r="I477" s="81">
        <v>0</v>
      </c>
      <c r="J477" s="81">
        <f>0*B477</f>
        <v>0</v>
      </c>
      <c r="K477" s="81">
        <f>0*B477</f>
        <v>0</v>
      </c>
      <c r="L477" s="82">
        <f t="shared" si="102"/>
        <v>0</v>
      </c>
      <c r="M477" s="905">
        <v>0</v>
      </c>
      <c r="N477" s="906"/>
    </row>
    <row r="478" spans="1:21">
      <c r="A478" s="54" t="s">
        <v>15</v>
      </c>
      <c r="B478" s="694">
        <f>Chino!N69</f>
        <v>0</v>
      </c>
      <c r="C478" s="631"/>
      <c r="D478" s="694">
        <f t="shared" si="101"/>
        <v>0</v>
      </c>
      <c r="E478" s="631"/>
      <c r="F478" s="743">
        <f>0.1534*B478</f>
        <v>0</v>
      </c>
      <c r="G478" s="696"/>
      <c r="H478" s="427">
        <f>F478*5</f>
        <v>0</v>
      </c>
      <c r="I478" s="96">
        <v>0</v>
      </c>
      <c r="J478" s="96">
        <f>0*B478</f>
        <v>0</v>
      </c>
      <c r="K478" s="96">
        <f>0*B478</f>
        <v>0</v>
      </c>
      <c r="L478" s="106">
        <f t="shared" si="102"/>
        <v>0</v>
      </c>
      <c r="M478" s="697">
        <v>0</v>
      </c>
      <c r="N478" s="698"/>
    </row>
    <row r="479" spans="1:21">
      <c r="A479" s="54" t="s">
        <v>30</v>
      </c>
      <c r="B479" s="694">
        <f>Chino!N70</f>
        <v>0</v>
      </c>
      <c r="C479" s="631"/>
      <c r="D479" s="694">
        <f t="shared" si="101"/>
        <v>0</v>
      </c>
      <c r="E479" s="631"/>
      <c r="F479" s="743">
        <f>0.609*B479</f>
        <v>0</v>
      </c>
      <c r="G479" s="696"/>
      <c r="H479" s="427">
        <f>F479*10</f>
        <v>0</v>
      </c>
      <c r="I479" s="96">
        <v>0</v>
      </c>
      <c r="J479" s="96">
        <f>0*B479</f>
        <v>0</v>
      </c>
      <c r="K479" s="96">
        <f>0*B479</f>
        <v>0</v>
      </c>
      <c r="L479" s="106">
        <f t="shared" si="102"/>
        <v>0</v>
      </c>
      <c r="M479" s="697">
        <v>0</v>
      </c>
      <c r="N479" s="698"/>
    </row>
    <row r="480" spans="1:21">
      <c r="A480" s="54" t="s">
        <v>55</v>
      </c>
      <c r="B480" s="694">
        <f>Chino!N71</f>
        <v>44</v>
      </c>
      <c r="C480" s="631"/>
      <c r="D480" s="694">
        <f t="shared" si="101"/>
        <v>14222744.447999999</v>
      </c>
      <c r="E480" s="631"/>
      <c r="F480" s="745">
        <f>0.992*B480</f>
        <v>43.647999999999996</v>
      </c>
      <c r="G480" s="721"/>
      <c r="H480" s="427">
        <f>F480*10</f>
        <v>436.47999999999996</v>
      </c>
      <c r="I480" s="96">
        <v>0</v>
      </c>
      <c r="J480" s="96">
        <f>0*B480</f>
        <v>0</v>
      </c>
      <c r="K480" s="96">
        <f>4830.23*B480</f>
        <v>212530.12</v>
      </c>
      <c r="L480" s="106">
        <f t="shared" si="102"/>
        <v>212530.12</v>
      </c>
      <c r="M480" s="697">
        <f>L480/(F480*498.5)</f>
        <v>9.767669945319831</v>
      </c>
      <c r="N480" s="698"/>
    </row>
    <row r="481" spans="1:21" s="50" customFormat="1" ht="14" thickBot="1">
      <c r="A481" s="38" t="s">
        <v>88</v>
      </c>
      <c r="B481" s="952">
        <f>Chino!N72</f>
        <v>1</v>
      </c>
      <c r="C481" s="901"/>
      <c r="D481" s="895">
        <f t="shared" si="101"/>
        <v>1018538.5387799999</v>
      </c>
      <c r="E481" s="629"/>
      <c r="F481" s="907">
        <f>0.00014*22327</f>
        <v>3.1257799999999998</v>
      </c>
      <c r="G481" s="908"/>
      <c r="H481" s="431">
        <f>F481*10</f>
        <v>31.257799999999996</v>
      </c>
      <c r="I481" s="81">
        <v>0</v>
      </c>
      <c r="J481" s="81">
        <v>0</v>
      </c>
      <c r="K481" s="81">
        <f>0.75*22327</f>
        <v>16745.25</v>
      </c>
      <c r="L481" s="82">
        <f t="shared" si="102"/>
        <v>16745.25</v>
      </c>
      <c r="M481" s="905">
        <f>L481/(F481*498.5)</f>
        <v>10.746525290156184</v>
      </c>
      <c r="N481" s="906"/>
      <c r="O481" s="555"/>
      <c r="P481" s="555"/>
      <c r="Q481" s="555"/>
      <c r="R481" s="555"/>
      <c r="S481" s="555"/>
      <c r="T481" s="555"/>
      <c r="U481" s="555"/>
    </row>
    <row r="482" spans="1:21" s="277" customFormat="1" ht="14" thickBot="1">
      <c r="A482" s="40" t="s">
        <v>60</v>
      </c>
      <c r="B482" s="642">
        <f>SUM(B476:C481)</f>
        <v>45</v>
      </c>
      <c r="C482" s="706"/>
      <c r="D482" s="644">
        <f>SUM(D476:E481)</f>
        <v>15241282.986779999</v>
      </c>
      <c r="E482" s="706"/>
      <c r="F482" s="707">
        <f>SUM(F476:G481)</f>
        <v>46.773779999999995</v>
      </c>
      <c r="G482" s="708"/>
      <c r="H482" s="231">
        <f>SUM(H476:H481)</f>
        <v>467.73779999999994</v>
      </c>
      <c r="I482" s="86">
        <f>SUM(I476:I481)</f>
        <v>0</v>
      </c>
      <c r="J482" s="86">
        <f>SUM(J476:J481)</f>
        <v>0</v>
      </c>
      <c r="K482" s="86">
        <f>SUM(K476:K481)</f>
        <v>229275.37</v>
      </c>
      <c r="L482" s="86">
        <f>SUM(L476:L481)</f>
        <v>229275.37</v>
      </c>
      <c r="M482" s="709"/>
      <c r="N482" s="710"/>
      <c r="O482" s="334"/>
      <c r="P482" s="334"/>
      <c r="Q482" s="334"/>
      <c r="R482" s="334"/>
      <c r="S482" s="334"/>
      <c r="T482" s="334"/>
      <c r="U482" s="334"/>
    </row>
    <row r="483" spans="1:21" s="542" customFormat="1" ht="17" thickBot="1">
      <c r="A483" s="531" t="s">
        <v>17</v>
      </c>
      <c r="B483" s="711">
        <f>SUM(B457+B460+B474+B482)</f>
        <v>679</v>
      </c>
      <c r="C483" s="622"/>
      <c r="D483" s="623">
        <f>SUM(D457+D460+D474+D482)</f>
        <v>25599323.785439998</v>
      </c>
      <c r="E483" s="622"/>
      <c r="F483" s="773">
        <f>SUM(F482,F457,F460,F474)</f>
        <v>78.56143999999999</v>
      </c>
      <c r="G483" s="713"/>
      <c r="H483" s="532">
        <f>SUM(H482,H457,H460,H474)</f>
        <v>1007.5033999999999</v>
      </c>
      <c r="I483" s="535">
        <f>SUM(I457+I460+I474+I482)</f>
        <v>17234.900000000001</v>
      </c>
      <c r="J483" s="535">
        <f>SUM(J457+J460+J474+J482)</f>
        <v>21360</v>
      </c>
      <c r="K483" s="535">
        <f>SUM(K457+K460+K474+K482)</f>
        <v>331482.27</v>
      </c>
      <c r="L483" s="535">
        <f>SUM(L457+L460+L474+L482)</f>
        <v>370077.17</v>
      </c>
      <c r="M483" s="714"/>
      <c r="N483" s="715"/>
      <c r="O483" s="555"/>
      <c r="P483" s="555"/>
      <c r="Q483" s="555"/>
      <c r="R483" s="555"/>
      <c r="S483" s="555"/>
      <c r="T483" s="555"/>
      <c r="U483" s="555"/>
    </row>
    <row r="484" spans="1:21" s="50" customFormat="1">
      <c r="A484" s="39"/>
      <c r="B484" s="13"/>
      <c r="C484" s="13"/>
      <c r="D484" s="13"/>
      <c r="E484" s="13"/>
      <c r="F484" s="201"/>
      <c r="G484" s="201"/>
      <c r="H484" s="201"/>
      <c r="I484" s="14"/>
      <c r="J484" s="14"/>
      <c r="K484" s="14"/>
      <c r="L484" s="14"/>
      <c r="M484" s="11"/>
      <c r="N484" s="11"/>
      <c r="O484" s="555"/>
      <c r="P484" s="555"/>
      <c r="Q484" s="555"/>
      <c r="R484" s="555"/>
      <c r="S484" s="555"/>
      <c r="T484" s="555"/>
      <c r="U484" s="555"/>
    </row>
    <row r="485" spans="1:21" s="50" customFormat="1" ht="15">
      <c r="A485" s="5" t="s">
        <v>18</v>
      </c>
      <c r="B485" s="626" t="s">
        <v>59</v>
      </c>
      <c r="C485" s="765"/>
      <c r="D485" s="765"/>
      <c r="E485" s="912"/>
      <c r="F485" s="201"/>
      <c r="G485" s="201"/>
      <c r="H485" s="201"/>
      <c r="I485" s="14"/>
      <c r="J485" s="14"/>
      <c r="K485" s="14"/>
      <c r="L485" s="14"/>
      <c r="M485" s="11"/>
      <c r="N485" s="11"/>
      <c r="O485" s="555"/>
      <c r="P485" s="555"/>
      <c r="Q485" s="555"/>
      <c r="R485" s="555"/>
      <c r="S485" s="555"/>
      <c r="T485" s="555"/>
      <c r="U485" s="555"/>
    </row>
    <row r="486" spans="1:21" s="50" customFormat="1">
      <c r="A486"/>
      <c r="B486" s="627" t="s">
        <v>19</v>
      </c>
      <c r="C486" s="627"/>
      <c r="D486" s="627"/>
      <c r="E486" s="627"/>
      <c r="F486" s="201"/>
      <c r="G486" s="201"/>
      <c r="H486" s="201"/>
      <c r="I486" s="14"/>
      <c r="J486" s="14"/>
      <c r="K486" s="14"/>
      <c r="L486" s="14"/>
      <c r="M486" s="11"/>
      <c r="N486" s="11"/>
      <c r="O486" s="555"/>
      <c r="P486" s="555"/>
      <c r="Q486" s="555"/>
      <c r="R486" s="555"/>
      <c r="S486" s="555"/>
      <c r="T486" s="555"/>
      <c r="U486" s="555"/>
    </row>
    <row r="487" spans="1:21" s="50" customFormat="1" ht="14" thickBot="1">
      <c r="A487" s="332"/>
      <c r="B487" s="382"/>
      <c r="C487" s="382"/>
      <c r="D487" s="382"/>
      <c r="E487" s="382"/>
      <c r="F487" s="384"/>
      <c r="G487" s="384"/>
      <c r="H487" s="384"/>
      <c r="I487" s="14"/>
      <c r="J487" s="14"/>
      <c r="K487" s="14"/>
      <c r="L487" s="14"/>
      <c r="M487" s="382"/>
      <c r="N487" s="382"/>
      <c r="O487" s="555"/>
      <c r="P487" s="555"/>
      <c r="Q487" s="555"/>
      <c r="R487" s="555"/>
      <c r="S487" s="555"/>
      <c r="T487" s="555"/>
      <c r="U487" s="555"/>
    </row>
    <row r="488" spans="1:21" ht="16">
      <c r="A488" s="63"/>
      <c r="B488" s="64"/>
      <c r="C488" s="64"/>
      <c r="D488" s="64"/>
      <c r="E488" s="64"/>
      <c r="F488" s="200"/>
      <c r="G488" s="200"/>
      <c r="H488" s="200"/>
      <c r="I488" s="670" t="s">
        <v>0</v>
      </c>
      <c r="J488" s="670"/>
      <c r="K488" s="670"/>
      <c r="L488" s="670"/>
      <c r="M488" s="64"/>
      <c r="N488" s="65"/>
    </row>
    <row r="489" spans="1:21" ht="16">
      <c r="A489" s="62"/>
      <c r="B489" s="671" t="s">
        <v>1</v>
      </c>
      <c r="C489" s="671"/>
      <c r="D489" s="671" t="s">
        <v>2</v>
      </c>
      <c r="E489" s="671"/>
      <c r="F489" s="672" t="s">
        <v>3</v>
      </c>
      <c r="G489" s="672"/>
      <c r="H489" s="364" t="s">
        <v>3</v>
      </c>
      <c r="I489" s="78" t="s">
        <v>135</v>
      </c>
      <c r="J489" s="66"/>
      <c r="K489" s="66"/>
      <c r="L489" s="79"/>
      <c r="M489" s="671" t="s">
        <v>4</v>
      </c>
      <c r="N489" s="674"/>
    </row>
    <row r="490" spans="1:21" ht="19" thickBot="1">
      <c r="A490" s="67" t="s">
        <v>5</v>
      </c>
      <c r="B490" s="675" t="s">
        <v>6</v>
      </c>
      <c r="C490" s="675"/>
      <c r="D490" s="675" t="s">
        <v>7</v>
      </c>
      <c r="E490" s="675"/>
      <c r="F490" s="676" t="s">
        <v>7</v>
      </c>
      <c r="G490" s="676"/>
      <c r="H490" s="366" t="s">
        <v>58</v>
      </c>
      <c r="I490" s="367" t="s">
        <v>136</v>
      </c>
      <c r="J490" s="365" t="s">
        <v>8</v>
      </c>
      <c r="K490" s="365" t="s">
        <v>9</v>
      </c>
      <c r="L490" s="187" t="s">
        <v>10</v>
      </c>
      <c r="M490" s="675" t="s">
        <v>103</v>
      </c>
      <c r="N490" s="678"/>
    </row>
    <row r="491" spans="1:21" ht="24" thickBot="1">
      <c r="A491" s="60" t="s">
        <v>95</v>
      </c>
      <c r="B491" s="929"/>
      <c r="C491" s="680"/>
      <c r="D491" s="681"/>
      <c r="E491" s="682"/>
      <c r="F491" s="683"/>
      <c r="G491" s="684"/>
      <c r="H491" s="381"/>
      <c r="I491" s="3"/>
      <c r="J491" s="3"/>
      <c r="K491" s="3"/>
      <c r="L491" s="4"/>
      <c r="M491" s="929"/>
      <c r="N491" s="930"/>
    </row>
    <row r="492" spans="1:21" s="530" customFormat="1" ht="17" thickBot="1">
      <c r="A492" s="71" t="s">
        <v>48</v>
      </c>
      <c r="B492" s="729"/>
      <c r="C492" s="716"/>
      <c r="D492" s="729"/>
      <c r="E492" s="716"/>
      <c r="F492" s="717"/>
      <c r="G492" s="718"/>
      <c r="H492" s="524"/>
      <c r="I492" s="72"/>
      <c r="J492" s="72"/>
      <c r="K492" s="72"/>
      <c r="L492" s="521"/>
      <c r="M492" s="719"/>
      <c r="N492" s="689"/>
      <c r="O492" s="135"/>
      <c r="P492" s="135"/>
      <c r="Q492" s="135"/>
      <c r="R492" s="135"/>
      <c r="S492" s="135"/>
      <c r="T492" s="135"/>
      <c r="U492" s="135"/>
    </row>
    <row r="493" spans="1:21" s="75" customFormat="1">
      <c r="A493" s="25" t="s">
        <v>28</v>
      </c>
      <c r="B493" s="667">
        <f>Chino!N6</f>
        <v>6</v>
      </c>
      <c r="C493" s="639"/>
      <c r="D493" s="667">
        <f t="shared" ref="D493:D499" si="103">F493*325851</f>
        <v>74098.517400000012</v>
      </c>
      <c r="E493" s="639"/>
      <c r="F493" s="923">
        <f>0.0379*B493</f>
        <v>0.22740000000000002</v>
      </c>
      <c r="G493" s="914"/>
      <c r="H493" s="432">
        <f>F493*20</f>
        <v>4.548</v>
      </c>
      <c r="I493" s="83">
        <v>0</v>
      </c>
      <c r="J493" s="83">
        <f>0*B493</f>
        <v>0</v>
      </c>
      <c r="K493" s="83">
        <f>60*B493</f>
        <v>360</v>
      </c>
      <c r="L493" s="84">
        <f t="shared" ref="L493:L499" si="104">I493+J493+K493</f>
        <v>360</v>
      </c>
      <c r="M493" s="918">
        <f t="shared" ref="M493:M499" si="105">L493/(F493*427)</f>
        <v>3.7075256591671661</v>
      </c>
      <c r="N493" s="919"/>
    </row>
    <row r="494" spans="1:21">
      <c r="A494" s="24" t="s">
        <v>29</v>
      </c>
      <c r="B494" s="628">
        <f>Chino!N7</f>
        <v>0</v>
      </c>
      <c r="C494" s="629"/>
      <c r="D494" s="636">
        <f t="shared" si="103"/>
        <v>0</v>
      </c>
      <c r="E494" s="629"/>
      <c r="F494" s="931">
        <f>0.0425*B494</f>
        <v>0</v>
      </c>
      <c r="G494" s="908"/>
      <c r="H494" s="431">
        <f>F494*20</f>
        <v>0</v>
      </c>
      <c r="I494" s="81">
        <v>0</v>
      </c>
      <c r="J494" s="81">
        <f>0*B494</f>
        <v>0</v>
      </c>
      <c r="K494" s="81">
        <f>B494*165</f>
        <v>0</v>
      </c>
      <c r="L494" s="82">
        <f t="shared" si="104"/>
        <v>0</v>
      </c>
      <c r="M494" s="905">
        <v>0</v>
      </c>
      <c r="N494" s="906"/>
    </row>
    <row r="495" spans="1:21">
      <c r="A495" s="24" t="s">
        <v>33</v>
      </c>
      <c r="B495" s="628">
        <f>Chino!N8</f>
        <v>170</v>
      </c>
      <c r="C495" s="629"/>
      <c r="D495" s="636">
        <f t="shared" si="103"/>
        <v>1528892.892</v>
      </c>
      <c r="E495" s="629"/>
      <c r="F495" s="931">
        <f>0.0276*B495</f>
        <v>4.6920000000000002</v>
      </c>
      <c r="G495" s="908"/>
      <c r="H495" s="431">
        <f>F495*15</f>
        <v>70.38</v>
      </c>
      <c r="I495" s="81">
        <f>0*B495</f>
        <v>0</v>
      </c>
      <c r="J495" s="81">
        <f>0*B495</f>
        <v>0</v>
      </c>
      <c r="K495" s="81">
        <f>B495*110</f>
        <v>18700</v>
      </c>
      <c r="L495" s="82">
        <f t="shared" si="104"/>
        <v>18700</v>
      </c>
      <c r="M495" s="905">
        <f t="shared" si="105"/>
        <v>9.3337406238332825</v>
      </c>
      <c r="N495" s="906"/>
    </row>
    <row r="496" spans="1:21">
      <c r="A496" s="24" t="s">
        <v>56</v>
      </c>
      <c r="B496" s="628">
        <f>Chino!N9</f>
        <v>22</v>
      </c>
      <c r="C496" s="629"/>
      <c r="D496" s="636">
        <f>F496*325851</f>
        <v>28674.887999999999</v>
      </c>
      <c r="E496" s="629"/>
      <c r="F496" s="931">
        <f>0.004*B496</f>
        <v>8.7999999999999995E-2</v>
      </c>
      <c r="G496" s="908"/>
      <c r="H496" s="431">
        <f>F496*5</f>
        <v>0.43999999999999995</v>
      </c>
      <c r="I496" s="81">
        <f>0*B496</f>
        <v>0</v>
      </c>
      <c r="J496" s="81">
        <f>0*B496</f>
        <v>0</v>
      </c>
      <c r="K496" s="81">
        <f>B496*4</f>
        <v>88</v>
      </c>
      <c r="L496" s="82">
        <f>I496+J496+K496</f>
        <v>88</v>
      </c>
      <c r="M496" s="905">
        <f>L496/(F496*427)</f>
        <v>2.3419203747072599</v>
      </c>
      <c r="N496" s="906"/>
    </row>
    <row r="497" spans="1:21">
      <c r="A497" s="54" t="s">
        <v>30</v>
      </c>
      <c r="B497" s="628">
        <f>Chino!N10</f>
        <v>0</v>
      </c>
      <c r="C497" s="629"/>
      <c r="D497" s="636">
        <f t="shared" si="103"/>
        <v>0</v>
      </c>
      <c r="E497" s="629"/>
      <c r="F497" s="931">
        <f>0.325*B497</f>
        <v>0</v>
      </c>
      <c r="G497" s="908"/>
      <c r="H497" s="431">
        <f>F497*10</f>
        <v>0</v>
      </c>
      <c r="I497" s="81">
        <v>0</v>
      </c>
      <c r="J497" s="81">
        <f>160*B497</f>
        <v>0</v>
      </c>
      <c r="K497" s="81">
        <f>B497*80</f>
        <v>0</v>
      </c>
      <c r="L497" s="82">
        <f t="shared" si="104"/>
        <v>0</v>
      </c>
      <c r="M497" s="905">
        <v>0</v>
      </c>
      <c r="N497" s="906"/>
    </row>
    <row r="498" spans="1:21">
      <c r="A498" s="25" t="s">
        <v>57</v>
      </c>
      <c r="B498" s="628">
        <f>Chino!N11</f>
        <v>0</v>
      </c>
      <c r="C498" s="629"/>
      <c r="D498" s="636">
        <f t="shared" si="103"/>
        <v>0</v>
      </c>
      <c r="E498" s="629"/>
      <c r="F498" s="923">
        <f>0.00014*B498</f>
        <v>0</v>
      </c>
      <c r="G498" s="914"/>
      <c r="H498" s="431">
        <f>F498*10</f>
        <v>0</v>
      </c>
      <c r="I498" s="81">
        <v>0</v>
      </c>
      <c r="J498" s="81">
        <f>2*B498</f>
        <v>0</v>
      </c>
      <c r="K498" s="81">
        <f>B498*0</f>
        <v>0</v>
      </c>
      <c r="L498" s="82">
        <f t="shared" si="104"/>
        <v>0</v>
      </c>
      <c r="M498" s="905">
        <v>0</v>
      </c>
      <c r="N498" s="906"/>
    </row>
    <row r="499" spans="1:21" ht="14" thickBot="1">
      <c r="A499" s="25" t="s">
        <v>76</v>
      </c>
      <c r="B499" s="628">
        <f>Chino!N12</f>
        <v>3</v>
      </c>
      <c r="C499" s="629"/>
      <c r="D499" s="895">
        <f t="shared" si="103"/>
        <v>101046.39509999999</v>
      </c>
      <c r="E499" s="629"/>
      <c r="F499" s="931">
        <f>0.00014*2215</f>
        <v>0.31009999999999999</v>
      </c>
      <c r="G499" s="908"/>
      <c r="H499" s="431">
        <f>F499*10</f>
        <v>3.101</v>
      </c>
      <c r="I499" s="81">
        <v>0</v>
      </c>
      <c r="J499" s="81">
        <f>0.3*2215</f>
        <v>664.5</v>
      </c>
      <c r="K499" s="81">
        <f>2215*0.3</f>
        <v>664.5</v>
      </c>
      <c r="L499" s="82">
        <f t="shared" si="104"/>
        <v>1329</v>
      </c>
      <c r="M499" s="905">
        <f t="shared" si="105"/>
        <v>10.036801605888257</v>
      </c>
      <c r="N499" s="906"/>
    </row>
    <row r="500" spans="1:21" s="275" customFormat="1" ht="14" thickBot="1">
      <c r="A500" s="40" t="s">
        <v>60</v>
      </c>
      <c r="B500" s="642">
        <f>SUM(B493:C499)</f>
        <v>201</v>
      </c>
      <c r="C500" s="706"/>
      <c r="D500" s="644">
        <f>SUM(D493:E499)</f>
        <v>1732712.6925000001</v>
      </c>
      <c r="E500" s="706"/>
      <c r="F500" s="707">
        <f>SUM(F493:G499)</f>
        <v>5.3175000000000008</v>
      </c>
      <c r="G500" s="708"/>
      <c r="H500" s="363">
        <f>SUM(H493:H499)</f>
        <v>78.468999999999994</v>
      </c>
      <c r="I500" s="91">
        <f>SUM(I493:I499)</f>
        <v>0</v>
      </c>
      <c r="J500" s="91">
        <f>SUM(J493:J499)</f>
        <v>664.5</v>
      </c>
      <c r="K500" s="91">
        <f>SUM(K493:K499)</f>
        <v>19812.5</v>
      </c>
      <c r="L500" s="98">
        <f>SUM(L493:L499)</f>
        <v>20477</v>
      </c>
      <c r="M500" s="753"/>
      <c r="N500" s="732"/>
      <c r="O500" s="276"/>
      <c r="P500" s="276"/>
      <c r="Q500" s="276"/>
      <c r="R500" s="276"/>
      <c r="S500" s="276"/>
      <c r="T500" s="276"/>
      <c r="U500" s="276"/>
    </row>
    <row r="501" spans="1:21" s="530" customFormat="1" ht="17" thickBot="1">
      <c r="A501" s="569" t="s">
        <v>105</v>
      </c>
      <c r="B501" s="662"/>
      <c r="C501" s="716"/>
      <c r="D501" s="663"/>
      <c r="E501" s="716"/>
      <c r="F501" s="687"/>
      <c r="G501" s="718"/>
      <c r="H501" s="524"/>
      <c r="I501" s="100"/>
      <c r="J501" s="100"/>
      <c r="K501" s="100"/>
      <c r="L501" s="101"/>
      <c r="M501" s="719"/>
      <c r="N501" s="689"/>
      <c r="O501" s="608"/>
      <c r="P501" s="135"/>
      <c r="Q501" s="135"/>
      <c r="R501" s="135"/>
      <c r="S501" s="135"/>
      <c r="T501" s="135"/>
      <c r="U501" s="135"/>
    </row>
    <row r="502" spans="1:21" ht="14" thickBot="1">
      <c r="A502" s="53" t="s">
        <v>105</v>
      </c>
      <c r="B502" s="1006">
        <f>Chino!N15</f>
        <v>28</v>
      </c>
      <c r="C502" s="1007"/>
      <c r="D502" s="895">
        <f>F502*325851</f>
        <v>345793.08120000007</v>
      </c>
      <c r="E502" s="629"/>
      <c r="F502" s="907">
        <f>0.0379*B502</f>
        <v>1.0612000000000001</v>
      </c>
      <c r="G502" s="908"/>
      <c r="H502" s="431">
        <f>F502*20</f>
        <v>21.224000000000004</v>
      </c>
      <c r="I502" s="81">
        <f>73.34*B502</f>
        <v>2053.52</v>
      </c>
      <c r="J502" s="81">
        <f>35.66*B502</f>
        <v>998.4799999999999</v>
      </c>
      <c r="K502" s="81">
        <f>B502*60</f>
        <v>1680</v>
      </c>
      <c r="L502" s="82">
        <f>I502+J502+K502</f>
        <v>4732</v>
      </c>
      <c r="M502" s="905">
        <f>L502/(F502*427)</f>
        <v>10.442863939987516</v>
      </c>
      <c r="N502" s="906"/>
    </row>
    <row r="503" spans="1:21" s="275" customFormat="1" ht="14" thickBot="1">
      <c r="A503" s="40" t="s">
        <v>60</v>
      </c>
      <c r="B503" s="642">
        <f>SUM(B502)</f>
        <v>28</v>
      </c>
      <c r="C503" s="706"/>
      <c r="D503" s="644">
        <f>SUM(D502)</f>
        <v>345793.08120000007</v>
      </c>
      <c r="E503" s="706"/>
      <c r="F503" s="707">
        <f>SUM(F502)</f>
        <v>1.0612000000000001</v>
      </c>
      <c r="G503" s="708"/>
      <c r="H503" s="363">
        <f>SUM(H502)</f>
        <v>21.224000000000004</v>
      </c>
      <c r="I503" s="86">
        <f>SUM(I502)</f>
        <v>2053.52</v>
      </c>
      <c r="J503" s="86">
        <f>SUM(J502)</f>
        <v>998.4799999999999</v>
      </c>
      <c r="K503" s="86">
        <f>SUM(K502)</f>
        <v>1680</v>
      </c>
      <c r="L503" s="86">
        <f>SUM(L502)</f>
        <v>4732</v>
      </c>
      <c r="M503" s="753"/>
      <c r="N503" s="732"/>
      <c r="O503" s="276"/>
      <c r="P503" s="276"/>
      <c r="Q503" s="276"/>
      <c r="R503" s="276"/>
      <c r="S503" s="276"/>
      <c r="T503" s="276"/>
      <c r="U503" s="276"/>
    </row>
    <row r="504" spans="1:21" s="530" customFormat="1" ht="17" thickBot="1">
      <c r="A504" s="71" t="s">
        <v>50</v>
      </c>
      <c r="B504" s="662"/>
      <c r="C504" s="716"/>
      <c r="D504" s="663"/>
      <c r="E504" s="716"/>
      <c r="F504" s="687"/>
      <c r="G504" s="718"/>
      <c r="H504" s="524"/>
      <c r="I504" s="100"/>
      <c r="J504" s="100"/>
      <c r="K504" s="100"/>
      <c r="L504" s="101"/>
      <c r="M504" s="719"/>
      <c r="N504" s="689"/>
      <c r="O504" s="135"/>
      <c r="P504" s="135"/>
      <c r="Q504" s="135"/>
      <c r="R504" s="135"/>
      <c r="S504" s="135"/>
      <c r="T504" s="135"/>
      <c r="U504" s="135"/>
    </row>
    <row r="505" spans="1:21">
      <c r="A505" s="28" t="s">
        <v>26</v>
      </c>
      <c r="B505" s="932">
        <f>Chino!N18</f>
        <v>0</v>
      </c>
      <c r="C505" s="925"/>
      <c r="D505" s="895">
        <f t="shared" ref="D505:D513" si="106">F505*325851</f>
        <v>0</v>
      </c>
      <c r="E505" s="629"/>
      <c r="F505" s="907">
        <f>0.0379*B505</f>
        <v>0</v>
      </c>
      <c r="G505" s="908"/>
      <c r="H505" s="431">
        <f>F505*20</f>
        <v>0</v>
      </c>
      <c r="I505" s="81">
        <v>0</v>
      </c>
      <c r="J505" s="81">
        <f>35.66*B505</f>
        <v>0</v>
      </c>
      <c r="K505" s="81">
        <f>135*B505</f>
        <v>0</v>
      </c>
      <c r="L505" s="82">
        <f>SUM(I505:K505)</f>
        <v>0</v>
      </c>
      <c r="M505" s="993">
        <v>0</v>
      </c>
      <c r="N505" s="994"/>
    </row>
    <row r="506" spans="1:21">
      <c r="A506" s="26" t="s">
        <v>25</v>
      </c>
      <c r="B506" s="628">
        <f>Chino!N19</f>
        <v>0</v>
      </c>
      <c r="C506" s="629"/>
      <c r="D506" s="895">
        <f t="shared" si="106"/>
        <v>0</v>
      </c>
      <c r="E506" s="629"/>
      <c r="F506" s="907">
        <f>0.0379*B506</f>
        <v>0</v>
      </c>
      <c r="G506" s="908"/>
      <c r="H506" s="431">
        <f>F506*20</f>
        <v>0</v>
      </c>
      <c r="I506" s="81">
        <v>0</v>
      </c>
      <c r="J506" s="81">
        <f>0*B506</f>
        <v>0</v>
      </c>
      <c r="K506" s="81">
        <f>135*B506</f>
        <v>0</v>
      </c>
      <c r="L506" s="82">
        <f t="shared" ref="L506:L521" si="107">SUM(I506:K506)</f>
        <v>0</v>
      </c>
      <c r="M506" s="905">
        <v>0</v>
      </c>
      <c r="N506" s="906"/>
    </row>
    <row r="507" spans="1:21">
      <c r="A507" s="24" t="s">
        <v>29</v>
      </c>
      <c r="B507" s="628">
        <f>Chino!N20</f>
        <v>158</v>
      </c>
      <c r="C507" s="629"/>
      <c r="D507" s="895">
        <f t="shared" si="106"/>
        <v>2188089.4650000003</v>
      </c>
      <c r="E507" s="629"/>
      <c r="F507" s="907">
        <f>0.0425*B507</f>
        <v>6.7150000000000007</v>
      </c>
      <c r="G507" s="908"/>
      <c r="H507" s="431">
        <f>F507*20</f>
        <v>134.30000000000001</v>
      </c>
      <c r="I507" s="81">
        <v>0</v>
      </c>
      <c r="J507" s="81">
        <f>135*B507</f>
        <v>21330</v>
      </c>
      <c r="K507" s="81">
        <f>165*B507</f>
        <v>26070</v>
      </c>
      <c r="L507" s="82">
        <f t="shared" si="107"/>
        <v>47400</v>
      </c>
      <c r="M507" s="905">
        <f t="shared" ref="M507:M513" si="108">L507/(F507*427)</f>
        <v>16.531202644992423</v>
      </c>
      <c r="N507" s="906"/>
    </row>
    <row r="508" spans="1:21">
      <c r="A508" s="24" t="s">
        <v>51</v>
      </c>
      <c r="B508" s="628">
        <f>Chino!N21</f>
        <v>90</v>
      </c>
      <c r="C508" s="629"/>
      <c r="D508" s="895">
        <f t="shared" si="106"/>
        <v>3598372.5930000003</v>
      </c>
      <c r="E508" s="629"/>
      <c r="F508" s="907">
        <f>0.1227*B508</f>
        <v>11.043000000000001</v>
      </c>
      <c r="G508" s="908"/>
      <c r="H508" s="431">
        <f>F508*20</f>
        <v>220.86</v>
      </c>
      <c r="I508" s="81">
        <v>0</v>
      </c>
      <c r="J508" s="81">
        <f>0*B508</f>
        <v>0</v>
      </c>
      <c r="K508" s="81">
        <f>400*B508</f>
        <v>36000</v>
      </c>
      <c r="L508" s="82">
        <f t="shared" si="107"/>
        <v>36000</v>
      </c>
      <c r="M508" s="905">
        <f t="shared" si="108"/>
        <v>7.6346222484344244</v>
      </c>
      <c r="N508" s="906"/>
    </row>
    <row r="509" spans="1:21">
      <c r="A509" s="26" t="s">
        <v>20</v>
      </c>
      <c r="B509" s="628">
        <f>Chino!N22</f>
        <v>0</v>
      </c>
      <c r="C509" s="629"/>
      <c r="D509" s="895">
        <f t="shared" si="106"/>
        <v>0</v>
      </c>
      <c r="E509" s="629"/>
      <c r="F509" s="907">
        <f>0.644*B509</f>
        <v>0</v>
      </c>
      <c r="G509" s="908"/>
      <c r="H509" s="431">
        <f>F509*5</f>
        <v>0</v>
      </c>
      <c r="I509" s="81">
        <v>0</v>
      </c>
      <c r="J509" s="81">
        <f>175*B509</f>
        <v>0</v>
      </c>
      <c r="K509" s="81">
        <f>625*B509</f>
        <v>0</v>
      </c>
      <c r="L509" s="82">
        <f t="shared" si="107"/>
        <v>0</v>
      </c>
      <c r="M509" s="905">
        <v>0</v>
      </c>
      <c r="N509" s="906"/>
    </row>
    <row r="510" spans="1:21">
      <c r="A510" s="26" t="s">
        <v>13</v>
      </c>
      <c r="B510" s="628">
        <f>Chino!N23</f>
        <v>0</v>
      </c>
      <c r="C510" s="629"/>
      <c r="D510" s="895">
        <f t="shared" si="106"/>
        <v>0</v>
      </c>
      <c r="E510" s="629"/>
      <c r="F510" s="907">
        <f>0.0276*B510</f>
        <v>0</v>
      </c>
      <c r="G510" s="908"/>
      <c r="H510" s="431">
        <f>F510*15</f>
        <v>0</v>
      </c>
      <c r="I510" s="81">
        <v>0</v>
      </c>
      <c r="J510" s="81">
        <f>290*B510</f>
        <v>0</v>
      </c>
      <c r="K510" s="81">
        <f>130*B510</f>
        <v>0</v>
      </c>
      <c r="L510" s="82">
        <f t="shared" si="107"/>
        <v>0</v>
      </c>
      <c r="M510" s="905">
        <v>0</v>
      </c>
      <c r="N510" s="906"/>
    </row>
    <row r="511" spans="1:21">
      <c r="A511" s="27" t="s">
        <v>47</v>
      </c>
      <c r="B511" s="628">
        <f>Chino!N24</f>
        <v>0</v>
      </c>
      <c r="C511" s="629"/>
      <c r="D511" s="895">
        <f t="shared" si="106"/>
        <v>0</v>
      </c>
      <c r="E511" s="629"/>
      <c r="F511" s="907">
        <f>0.1534*B511</f>
        <v>0</v>
      </c>
      <c r="G511" s="908"/>
      <c r="H511" s="431">
        <f>F511*5</f>
        <v>0</v>
      </c>
      <c r="I511" s="81">
        <v>0</v>
      </c>
      <c r="J511" s="81">
        <f>0*B511</f>
        <v>0</v>
      </c>
      <c r="K511" s="81">
        <f>150*B511</f>
        <v>0</v>
      </c>
      <c r="L511" s="82">
        <f t="shared" si="107"/>
        <v>0</v>
      </c>
      <c r="M511" s="905">
        <v>0</v>
      </c>
      <c r="N511" s="906"/>
    </row>
    <row r="512" spans="1:21">
      <c r="A512" s="53" t="s">
        <v>30</v>
      </c>
      <c r="B512" s="628">
        <f>Chino!N25</f>
        <v>0</v>
      </c>
      <c r="C512" s="629"/>
      <c r="D512" s="895">
        <f t="shared" si="106"/>
        <v>0</v>
      </c>
      <c r="E512" s="629"/>
      <c r="F512" s="907">
        <f>0.325*B512</f>
        <v>0</v>
      </c>
      <c r="G512" s="908"/>
      <c r="H512" s="431">
        <f>F512*10</f>
        <v>0</v>
      </c>
      <c r="I512" s="81">
        <v>0</v>
      </c>
      <c r="J512" s="81">
        <f>0*B512</f>
        <v>0</v>
      </c>
      <c r="K512" s="81">
        <f>630*B512</f>
        <v>0</v>
      </c>
      <c r="L512" s="82">
        <f t="shared" si="107"/>
        <v>0</v>
      </c>
      <c r="M512" s="905">
        <v>0</v>
      </c>
      <c r="N512" s="906"/>
    </row>
    <row r="513" spans="1:21">
      <c r="A513" s="25" t="s">
        <v>77</v>
      </c>
      <c r="B513" s="628">
        <f>Chino!N26</f>
        <v>2</v>
      </c>
      <c r="C513" s="629"/>
      <c r="D513" s="895">
        <f t="shared" si="106"/>
        <v>1386821.8559999997</v>
      </c>
      <c r="E513" s="629"/>
      <c r="F513" s="907">
        <f>0.00014*30400</f>
        <v>4.2559999999999993</v>
      </c>
      <c r="G513" s="908"/>
      <c r="H513" s="431">
        <f>F513*10</f>
        <v>42.559999999999995</v>
      </c>
      <c r="I513" s="81">
        <v>0</v>
      </c>
      <c r="J513" s="81">
        <f>0.3*30400</f>
        <v>9120</v>
      </c>
      <c r="K513" s="81">
        <f>0.3*30400</f>
        <v>9120</v>
      </c>
      <c r="L513" s="82">
        <f t="shared" si="107"/>
        <v>18240</v>
      </c>
      <c r="M513" s="905">
        <f t="shared" si="108"/>
        <v>10.036801605888259</v>
      </c>
      <c r="N513" s="906"/>
    </row>
    <row r="514" spans="1:21" ht="14" thickBot="1">
      <c r="A514" s="38" t="s">
        <v>56</v>
      </c>
      <c r="B514" s="628">
        <f>Chino!N29</f>
        <v>0</v>
      </c>
      <c r="C514" s="629"/>
      <c r="D514" s="895">
        <f>F514*325851</f>
        <v>0</v>
      </c>
      <c r="E514" s="629"/>
      <c r="F514" s="907">
        <f>0.004*B514</f>
        <v>0</v>
      </c>
      <c r="G514" s="908"/>
      <c r="H514" s="431">
        <f>F514*5</f>
        <v>0</v>
      </c>
      <c r="I514" s="81">
        <v>0</v>
      </c>
      <c r="J514" s="81">
        <f>0*B514</f>
        <v>0</v>
      </c>
      <c r="K514" s="81">
        <f>4*B514</f>
        <v>0</v>
      </c>
      <c r="L514" s="82">
        <f t="shared" si="107"/>
        <v>0</v>
      </c>
      <c r="M514" s="905">
        <v>0</v>
      </c>
      <c r="N514" s="906"/>
    </row>
    <row r="515" spans="1:21" s="275" customFormat="1" ht="14" thickBot="1">
      <c r="A515" s="40" t="s">
        <v>60</v>
      </c>
      <c r="B515" s="642">
        <f>SUM(B505:C514)</f>
        <v>250</v>
      </c>
      <c r="C515" s="706"/>
      <c r="D515" s="644">
        <f>SUM(D505:E514)</f>
        <v>7173283.9139999999</v>
      </c>
      <c r="E515" s="706"/>
      <c r="F515" s="707">
        <f>SUM(F505:G514)</f>
        <v>22.014000000000003</v>
      </c>
      <c r="G515" s="708"/>
      <c r="H515" s="363">
        <f>SUM(H505:H514)</f>
        <v>397.72</v>
      </c>
      <c r="I515" s="86">
        <f>SUM(I505:I514)</f>
        <v>0</v>
      </c>
      <c r="J515" s="86">
        <f>SUM(J505:J514)</f>
        <v>30450</v>
      </c>
      <c r="K515" s="86">
        <f>SUM(K505:K514)</f>
        <v>71190</v>
      </c>
      <c r="L515" s="86">
        <f>SUM(L505:L514)</f>
        <v>101640</v>
      </c>
      <c r="M515" s="753"/>
      <c r="N515" s="732"/>
      <c r="O515" s="276"/>
      <c r="P515" s="276"/>
      <c r="Q515" s="276"/>
      <c r="R515" s="276"/>
      <c r="S515" s="276"/>
      <c r="T515" s="276"/>
      <c r="U515" s="276"/>
    </row>
    <row r="516" spans="1:21" s="530" customFormat="1" ht="17" thickBot="1">
      <c r="A516" s="71" t="s">
        <v>54</v>
      </c>
      <c r="B516" s="662"/>
      <c r="C516" s="716"/>
      <c r="D516" s="521"/>
      <c r="E516" s="522"/>
      <c r="F516" s="529"/>
      <c r="G516" s="524"/>
      <c r="H516" s="524"/>
      <c r="I516" s="100"/>
      <c r="J516" s="100"/>
      <c r="K516" s="100"/>
      <c r="L516" s="101"/>
      <c r="M516" s="526"/>
      <c r="N516" s="527"/>
      <c r="O516" s="135"/>
      <c r="P516" s="135"/>
      <c r="Q516" s="135"/>
      <c r="R516" s="135"/>
      <c r="S516" s="135"/>
      <c r="T516" s="135"/>
      <c r="U516" s="135"/>
    </row>
    <row r="517" spans="1:21">
      <c r="A517" s="28" t="s">
        <v>29</v>
      </c>
      <c r="B517" s="932">
        <f>Chino!N30</f>
        <v>0</v>
      </c>
      <c r="C517" s="925"/>
      <c r="D517" s="953">
        <f>F517*325851</f>
        <v>0</v>
      </c>
      <c r="E517" s="925"/>
      <c r="F517" s="907">
        <f>0.0425*B517</f>
        <v>0</v>
      </c>
      <c r="G517" s="908"/>
      <c r="H517" s="431">
        <f>F517*20</f>
        <v>0</v>
      </c>
      <c r="I517" s="81">
        <v>0</v>
      </c>
      <c r="J517" s="81">
        <f>35.66*B517</f>
        <v>0</v>
      </c>
      <c r="K517" s="81">
        <f>630*B517</f>
        <v>0</v>
      </c>
      <c r="L517" s="82">
        <f t="shared" si="107"/>
        <v>0</v>
      </c>
      <c r="M517" s="905">
        <v>0</v>
      </c>
      <c r="N517" s="906"/>
    </row>
    <row r="518" spans="1:21">
      <c r="A518" s="26" t="s">
        <v>51</v>
      </c>
      <c r="B518" s="628">
        <f>Chino!N31</f>
        <v>51</v>
      </c>
      <c r="C518" s="629"/>
      <c r="D518" s="895">
        <f>F518*325851</f>
        <v>2039077.8026999999</v>
      </c>
      <c r="E518" s="629"/>
      <c r="F518" s="907">
        <f>0.1227*B518</f>
        <v>6.2576999999999998</v>
      </c>
      <c r="G518" s="908"/>
      <c r="H518" s="431">
        <f>F518*20</f>
        <v>125.154</v>
      </c>
      <c r="I518" s="81">
        <v>0</v>
      </c>
      <c r="J518" s="81">
        <f>0*B518</f>
        <v>0</v>
      </c>
      <c r="K518" s="81">
        <f>1225*B518</f>
        <v>62475</v>
      </c>
      <c r="L518" s="82">
        <f t="shared" si="107"/>
        <v>62475</v>
      </c>
      <c r="M518" s="905">
        <f>L518/(F518*427)</f>
        <v>23.381030635830427</v>
      </c>
      <c r="N518" s="906"/>
    </row>
    <row r="519" spans="1:21">
      <c r="A519" s="26" t="s">
        <v>15</v>
      </c>
      <c r="B519" s="628">
        <f>Chino!N32</f>
        <v>42</v>
      </c>
      <c r="C519" s="629"/>
      <c r="D519" s="895">
        <f>F519*325851</f>
        <v>2099392.8228000002</v>
      </c>
      <c r="E519" s="629"/>
      <c r="F519" s="907">
        <f>0.1534*B519</f>
        <v>6.4428000000000001</v>
      </c>
      <c r="G519" s="908"/>
      <c r="H519" s="431">
        <f>F519*5</f>
        <v>32.213999999999999</v>
      </c>
      <c r="I519" s="81">
        <v>0</v>
      </c>
      <c r="J519" s="81">
        <f>0*B519</f>
        <v>0</v>
      </c>
      <c r="K519" s="81">
        <f>380*B519</f>
        <v>15960</v>
      </c>
      <c r="L519" s="82">
        <f t="shared" si="107"/>
        <v>15960</v>
      </c>
      <c r="M519" s="905">
        <f>L519/(F519*427)</f>
        <v>5.8013672906698748</v>
      </c>
      <c r="N519" s="906"/>
    </row>
    <row r="520" spans="1:21">
      <c r="A520" s="26" t="s">
        <v>30</v>
      </c>
      <c r="B520" s="628">
        <f>Chino!N33</f>
        <v>0</v>
      </c>
      <c r="C520" s="629"/>
      <c r="D520" s="895">
        <f>F520*325851</f>
        <v>0</v>
      </c>
      <c r="E520" s="629"/>
      <c r="F520" s="907">
        <f>0.466*B520</f>
        <v>0</v>
      </c>
      <c r="G520" s="908"/>
      <c r="H520" s="431">
        <f>F520*10</f>
        <v>0</v>
      </c>
      <c r="I520" s="81">
        <v>0</v>
      </c>
      <c r="J520" s="81">
        <f>0*B520</f>
        <v>0</v>
      </c>
      <c r="K520" s="81">
        <f>1004*B520</f>
        <v>0</v>
      </c>
      <c r="L520" s="82">
        <f t="shared" si="107"/>
        <v>0</v>
      </c>
      <c r="M520" s="905">
        <v>0</v>
      </c>
      <c r="N520" s="906"/>
    </row>
    <row r="521" spans="1:21" ht="14" thickBot="1">
      <c r="A521" s="29" t="s">
        <v>55</v>
      </c>
      <c r="B521" s="900">
        <f>Chino!N34</f>
        <v>0</v>
      </c>
      <c r="C521" s="901"/>
      <c r="D521" s="895">
        <f>F521*325851</f>
        <v>0</v>
      </c>
      <c r="E521" s="629"/>
      <c r="F521" s="913">
        <f>0.823*B521</f>
        <v>0</v>
      </c>
      <c r="G521" s="914"/>
      <c r="H521" s="431">
        <f>F521*10</f>
        <v>0</v>
      </c>
      <c r="I521" s="81">
        <v>0</v>
      </c>
      <c r="J521" s="81">
        <f>0*B521</f>
        <v>0</v>
      </c>
      <c r="K521" s="81">
        <f>3124*B521</f>
        <v>0</v>
      </c>
      <c r="L521" s="82">
        <f t="shared" si="107"/>
        <v>0</v>
      </c>
      <c r="M521" s="905">
        <v>0</v>
      </c>
      <c r="N521" s="906"/>
    </row>
    <row r="522" spans="1:21" s="275" customFormat="1" ht="14" thickBot="1">
      <c r="A522" s="320" t="s">
        <v>60</v>
      </c>
      <c r="B522" s="839">
        <f>SUM(B517:C521)</f>
        <v>93</v>
      </c>
      <c r="C522" s="1008"/>
      <c r="D522" s="657">
        <f>SUM(D517:E521)</f>
        <v>4138470.6255000001</v>
      </c>
      <c r="E522" s="1008"/>
      <c r="F522" s="1009">
        <f>SUM(F517:G521)</f>
        <v>12.7005</v>
      </c>
      <c r="G522" s="842"/>
      <c r="H522" s="385">
        <f>SUM(H517:H521)</f>
        <v>157.36799999999999</v>
      </c>
      <c r="I522" s="262">
        <f>SUM(I517:I521)</f>
        <v>0</v>
      </c>
      <c r="J522" s="262">
        <f>SUM(J517:J521)</f>
        <v>0</v>
      </c>
      <c r="K522" s="262">
        <f>SUM(K517:K521)</f>
        <v>78435</v>
      </c>
      <c r="L522" s="262">
        <f>SUM(L517:L521)</f>
        <v>78435</v>
      </c>
      <c r="M522" s="1021"/>
      <c r="N522" s="1022"/>
      <c r="O522" s="276"/>
      <c r="P522" s="276"/>
      <c r="Q522" s="276"/>
      <c r="R522" s="276"/>
      <c r="S522" s="276"/>
      <c r="T522" s="276"/>
      <c r="U522" s="276"/>
    </row>
    <row r="523" spans="1:21" s="534" customFormat="1" ht="17" thickBot="1">
      <c r="A523" s="537" t="s">
        <v>17</v>
      </c>
      <c r="B523" s="623">
        <f>SUM(B500+B503+B515+B522)</f>
        <v>572</v>
      </c>
      <c r="C523" s="622"/>
      <c r="D523" s="623">
        <f>SUM(D500+D503+D515+D522)</f>
        <v>13390260.313200001</v>
      </c>
      <c r="E523" s="622"/>
      <c r="F523" s="712">
        <f>SUM(F500+F503+F515+F522)</f>
        <v>41.093200000000003</v>
      </c>
      <c r="G523" s="713"/>
      <c r="H523" s="541">
        <f>SUM(H500+H503+H515+H522)</f>
        <v>654.78099999999995</v>
      </c>
      <c r="I523" s="535">
        <f>SUM(I500+I503+I515+I522)</f>
        <v>2053.52</v>
      </c>
      <c r="J523" s="535">
        <f>SUM(J500+J503+J515+J522)</f>
        <v>32112.98</v>
      </c>
      <c r="K523" s="535">
        <f>SUM(K500+K503+K515+K522)</f>
        <v>171117.5</v>
      </c>
      <c r="L523" s="535">
        <f>SUM(L500+L503+L515+L522)</f>
        <v>205284</v>
      </c>
      <c r="M523" s="714"/>
      <c r="N523" s="715"/>
      <c r="O523" s="75"/>
      <c r="P523" s="75"/>
      <c r="Q523" s="75"/>
      <c r="R523" s="75"/>
      <c r="S523" s="75"/>
      <c r="T523" s="75"/>
      <c r="U523" s="75"/>
    </row>
    <row r="524" spans="1:21">
      <c r="A524" s="39"/>
      <c r="B524" s="13"/>
      <c r="C524" s="13"/>
      <c r="D524" s="13"/>
      <c r="E524" s="13"/>
      <c r="F524" s="201"/>
      <c r="G524" s="201"/>
      <c r="H524" s="201"/>
      <c r="I524" s="14"/>
      <c r="J524" s="14"/>
      <c r="K524" s="14"/>
      <c r="L524" s="14"/>
      <c r="M524" s="11"/>
      <c r="N524" s="11"/>
    </row>
    <row r="525" spans="1:21" ht="15">
      <c r="A525" s="5" t="s">
        <v>18</v>
      </c>
      <c r="B525" s="979" t="s">
        <v>59</v>
      </c>
      <c r="C525" s="690"/>
      <c r="D525" s="690"/>
      <c r="E525" s="980"/>
      <c r="F525" s="201"/>
      <c r="G525" s="201"/>
      <c r="H525" s="201"/>
      <c r="I525" s="14"/>
      <c r="J525" s="14"/>
      <c r="K525" s="14"/>
      <c r="L525" s="14"/>
      <c r="M525" s="11"/>
      <c r="N525" s="11"/>
    </row>
    <row r="526" spans="1:21">
      <c r="B526" s="627" t="s">
        <v>19</v>
      </c>
      <c r="C526" s="627"/>
      <c r="D526" s="627"/>
      <c r="E526" s="627"/>
      <c r="F526" s="201"/>
      <c r="G526" s="201"/>
      <c r="H526" s="201"/>
      <c r="I526" s="14"/>
      <c r="J526" s="14"/>
      <c r="K526" s="14"/>
      <c r="L526" s="14"/>
      <c r="M526" s="11"/>
      <c r="N526" s="11"/>
    </row>
    <row r="527" spans="1:21" ht="14" thickBot="1">
      <c r="A527" s="332"/>
      <c r="B527" s="382"/>
      <c r="C527" s="382"/>
      <c r="D527" s="382"/>
      <c r="E527" s="382"/>
      <c r="F527" s="384"/>
      <c r="G527" s="384"/>
      <c r="H527" s="384"/>
      <c r="I527" s="14"/>
      <c r="J527" s="14"/>
      <c r="K527" s="14"/>
      <c r="L527" s="14"/>
      <c r="M527" s="382"/>
      <c r="N527" s="382"/>
    </row>
    <row r="528" spans="1:21" s="178" customFormat="1" ht="16">
      <c r="A528" s="63"/>
      <c r="B528" s="196"/>
      <c r="C528" s="196"/>
      <c r="D528" s="196"/>
      <c r="E528" s="196"/>
      <c r="F528" s="241"/>
      <c r="G528" s="241"/>
      <c r="H528" s="241"/>
      <c r="I528" s="1059" t="s">
        <v>0</v>
      </c>
      <c r="J528" s="1059"/>
      <c r="K528" s="1059"/>
      <c r="L528" s="1059"/>
      <c r="M528" s="196"/>
      <c r="N528" s="242"/>
      <c r="O528" s="610"/>
      <c r="P528" s="610"/>
      <c r="Q528" s="610"/>
      <c r="R528" s="610"/>
      <c r="S528" s="610"/>
      <c r="T528" s="610"/>
      <c r="U528" s="610"/>
    </row>
    <row r="529" spans="1:21" ht="16">
      <c r="A529" s="62"/>
      <c r="B529" s="66" t="s">
        <v>1</v>
      </c>
      <c r="C529" s="66"/>
      <c r="D529" s="66" t="s">
        <v>2</v>
      </c>
      <c r="E529" s="66"/>
      <c r="F529" s="238" t="s">
        <v>3</v>
      </c>
      <c r="G529" s="238"/>
      <c r="H529" s="238" t="s">
        <v>3</v>
      </c>
      <c r="I529" s="78" t="s">
        <v>135</v>
      </c>
      <c r="J529" s="165"/>
      <c r="K529" s="165"/>
      <c r="L529" s="79"/>
      <c r="M529" s="66" t="s">
        <v>4</v>
      </c>
      <c r="N529" s="240"/>
      <c r="Q529" s="555"/>
    </row>
    <row r="530" spans="1:21" s="2" customFormat="1" ht="19" thickBot="1">
      <c r="A530" s="67" t="s">
        <v>5</v>
      </c>
      <c r="B530" s="675" t="s">
        <v>6</v>
      </c>
      <c r="C530" s="675"/>
      <c r="D530" s="675" t="s">
        <v>7</v>
      </c>
      <c r="E530" s="675"/>
      <c r="F530" s="676" t="s">
        <v>7</v>
      </c>
      <c r="G530" s="676"/>
      <c r="H530" s="208" t="s">
        <v>58</v>
      </c>
      <c r="I530" s="185" t="s">
        <v>136</v>
      </c>
      <c r="J530" s="184" t="s">
        <v>8</v>
      </c>
      <c r="K530" s="184" t="s">
        <v>9</v>
      </c>
      <c r="L530" s="187" t="s">
        <v>10</v>
      </c>
      <c r="M530" s="675" t="s">
        <v>103</v>
      </c>
      <c r="N530" s="678"/>
      <c r="O530" s="555"/>
      <c r="P530" s="555"/>
      <c r="Q530" s="555"/>
      <c r="R530" s="555"/>
      <c r="S530" s="555"/>
      <c r="T530" s="555"/>
      <c r="U530" s="555"/>
    </row>
    <row r="531" spans="1:21" ht="24" thickBot="1">
      <c r="A531" s="60" t="s">
        <v>96</v>
      </c>
      <c r="B531" s="954"/>
      <c r="C531" s="954"/>
      <c r="D531" s="954"/>
      <c r="E531" s="954"/>
      <c r="F531" s="1005"/>
      <c r="G531" s="1005"/>
      <c r="H531" s="219"/>
      <c r="I531" s="239"/>
      <c r="J531" s="9"/>
      <c r="K531" s="9"/>
      <c r="L531" s="7"/>
      <c r="M531" s="954"/>
      <c r="N531" s="955"/>
    </row>
    <row r="532" spans="1:21" s="530" customFormat="1" ht="17" thickBot="1">
      <c r="A532" s="547" t="s">
        <v>48</v>
      </c>
      <c r="B532" s="999"/>
      <c r="C532" s="1000"/>
      <c r="D532" s="1001"/>
      <c r="E532" s="1002"/>
      <c r="F532" s="1003"/>
      <c r="G532" s="1004"/>
      <c r="H532" s="548"/>
      <c r="I532" s="549"/>
      <c r="J532" s="549"/>
      <c r="K532" s="549"/>
      <c r="L532" s="550"/>
      <c r="M532" s="991"/>
      <c r="N532" s="992"/>
      <c r="O532" s="135"/>
      <c r="P532" s="135"/>
      <c r="Q532" s="135"/>
      <c r="R532" s="135"/>
      <c r="S532" s="135"/>
      <c r="T532" s="135"/>
      <c r="U532" s="135"/>
    </row>
    <row r="533" spans="1:21">
      <c r="A533" s="59" t="s">
        <v>28</v>
      </c>
      <c r="B533" s="971">
        <f>[1]Chino!$N$4</f>
        <v>11</v>
      </c>
      <c r="C533" s="669"/>
      <c r="D533" s="972">
        <f>F533*325851</f>
        <v>124377.32670000002</v>
      </c>
      <c r="E533" s="669"/>
      <c r="F533" s="973">
        <f>0.0347*B533</f>
        <v>0.38170000000000004</v>
      </c>
      <c r="G533" s="974"/>
      <c r="H533" s="433">
        <f>F533*20</f>
        <v>7.6340000000000003</v>
      </c>
      <c r="I533" s="268">
        <v>0</v>
      </c>
      <c r="J533" s="268">
        <v>0</v>
      </c>
      <c r="K533" s="268">
        <f>60*B533</f>
        <v>660</v>
      </c>
      <c r="L533" s="268">
        <f>I533+J533+K533</f>
        <v>660</v>
      </c>
      <c r="M533" s="975">
        <f>L533/(F533*427)</f>
        <v>4.0494300427214869</v>
      </c>
      <c r="N533" s="976"/>
    </row>
    <row r="534" spans="1:21">
      <c r="A534" s="26" t="s">
        <v>29</v>
      </c>
      <c r="B534" s="895">
        <f>[1]Chino!$N$5</f>
        <v>0</v>
      </c>
      <c r="C534" s="629"/>
      <c r="D534" s="636">
        <f t="shared" ref="D534:D551" si="109">F534*325851</f>
        <v>0</v>
      </c>
      <c r="E534" s="629"/>
      <c r="F534" s="931">
        <f>0.0425*B534</f>
        <v>0</v>
      </c>
      <c r="G534" s="908"/>
      <c r="H534" s="414">
        <f>F534*20</f>
        <v>0</v>
      </c>
      <c r="I534" s="81">
        <v>0</v>
      </c>
      <c r="J534" s="81">
        <v>0</v>
      </c>
      <c r="K534" s="81">
        <f>B534*265</f>
        <v>0</v>
      </c>
      <c r="L534" s="82">
        <f>I534+J534+K534</f>
        <v>0</v>
      </c>
      <c r="M534" s="905">
        <v>0</v>
      </c>
      <c r="N534" s="906"/>
    </row>
    <row r="535" spans="1:21">
      <c r="A535" s="26" t="s">
        <v>33</v>
      </c>
      <c r="B535" s="895">
        <f>[1]Chino!$N$7</f>
        <v>146</v>
      </c>
      <c r="C535" s="629"/>
      <c r="D535" s="636">
        <f t="shared" si="109"/>
        <v>4024781.2116</v>
      </c>
      <c r="E535" s="629"/>
      <c r="F535" s="931">
        <f>0.0846*B535</f>
        <v>12.351599999999999</v>
      </c>
      <c r="G535" s="908"/>
      <c r="H535" s="431">
        <f>F535*15</f>
        <v>185.274</v>
      </c>
      <c r="I535" s="81">
        <v>0</v>
      </c>
      <c r="J535" s="81">
        <v>0</v>
      </c>
      <c r="K535" s="81">
        <f>B535*110</f>
        <v>16060</v>
      </c>
      <c r="L535" s="82">
        <f>I535+J535+K535</f>
        <v>16060</v>
      </c>
      <c r="M535" s="905">
        <f>L535/(F535*427)</f>
        <v>3.0450501325980919</v>
      </c>
      <c r="N535" s="906"/>
    </row>
    <row r="536" spans="1:21">
      <c r="A536" s="26" t="s">
        <v>24</v>
      </c>
      <c r="B536" s="895">
        <f>[1]Chino!$N$8</f>
        <v>0</v>
      </c>
      <c r="C536" s="629"/>
      <c r="D536" s="636">
        <f t="shared" si="109"/>
        <v>0</v>
      </c>
      <c r="E536" s="629"/>
      <c r="F536" s="931">
        <f>0.004*B536</f>
        <v>0</v>
      </c>
      <c r="G536" s="908"/>
      <c r="H536" s="431">
        <f>F536*5</f>
        <v>0</v>
      </c>
      <c r="I536" s="81">
        <v>0</v>
      </c>
      <c r="J536" s="81">
        <v>0</v>
      </c>
      <c r="K536" s="81">
        <f>B536*4</f>
        <v>0</v>
      </c>
      <c r="L536" s="81">
        <f>I536+J536+K536</f>
        <v>0</v>
      </c>
      <c r="M536" s="905">
        <v>0</v>
      </c>
      <c r="N536" s="906"/>
    </row>
    <row r="537" spans="1:21">
      <c r="A537" s="27" t="s">
        <v>72</v>
      </c>
      <c r="B537" s="895">
        <f>[1]Chino!$N$10</f>
        <v>2</v>
      </c>
      <c r="C537" s="629"/>
      <c r="D537" s="636">
        <f t="shared" si="109"/>
        <v>423606.3</v>
      </c>
      <c r="E537" s="629"/>
      <c r="F537" s="931">
        <f>0.65*B537</f>
        <v>1.3</v>
      </c>
      <c r="G537" s="908"/>
      <c r="H537" s="431">
        <f>F537*10</f>
        <v>13</v>
      </c>
      <c r="I537" s="81">
        <v>0</v>
      </c>
      <c r="J537" s="81">
        <f>160*B537</f>
        <v>320</v>
      </c>
      <c r="K537" s="81">
        <f>80*B537</f>
        <v>160</v>
      </c>
      <c r="L537" s="81">
        <f>K537+J537+I537</f>
        <v>480</v>
      </c>
      <c r="M537" s="905">
        <f>L537/(F537*427)</f>
        <v>0.86470906143037285</v>
      </c>
      <c r="N537" s="906"/>
    </row>
    <row r="538" spans="1:21" ht="14" thickBot="1">
      <c r="A538" s="38" t="s">
        <v>73</v>
      </c>
      <c r="B538" s="952">
        <f>[1]Chino!$N$11</f>
        <v>28</v>
      </c>
      <c r="C538" s="901"/>
      <c r="D538" s="944">
        <f t="shared" si="109"/>
        <v>5930488.2000000002</v>
      </c>
      <c r="E538" s="901"/>
      <c r="F538" s="945">
        <f>0.65*B538</f>
        <v>18.2</v>
      </c>
      <c r="G538" s="946"/>
      <c r="H538" s="435">
        <f>F538*10</f>
        <v>182</v>
      </c>
      <c r="I538" s="94">
        <v>0</v>
      </c>
      <c r="J538" s="94">
        <v>0</v>
      </c>
      <c r="K538" s="94">
        <f>240*B538</f>
        <v>6720</v>
      </c>
      <c r="L538" s="94">
        <f>K538+J538+I538</f>
        <v>6720</v>
      </c>
      <c r="M538" s="981">
        <f>L538/(F538*427)</f>
        <v>0.86470906143037296</v>
      </c>
      <c r="N538" s="982"/>
    </row>
    <row r="539" spans="1:21" s="275" customFormat="1" ht="14" thickBot="1">
      <c r="A539" s="280" t="s">
        <v>60</v>
      </c>
      <c r="B539" s="938">
        <f>SUM(B533:C538)</f>
        <v>187</v>
      </c>
      <c r="C539" s="939"/>
      <c r="D539" s="940">
        <f>SUM(D533:E538)</f>
        <v>10503253.0383</v>
      </c>
      <c r="E539" s="939"/>
      <c r="F539" s="941">
        <f>SUM(F533:G538)</f>
        <v>32.2333</v>
      </c>
      <c r="G539" s="942"/>
      <c r="H539" s="317">
        <f>SUM(H533:H538)</f>
        <v>387.90800000000002</v>
      </c>
      <c r="I539" s="279">
        <f>SUM(I533:I538)</f>
        <v>0</v>
      </c>
      <c r="J539" s="279">
        <f>SUM(J533:J538)</f>
        <v>320</v>
      </c>
      <c r="K539" s="279">
        <f>SUM(K533:K538)</f>
        <v>23600</v>
      </c>
      <c r="L539" s="279">
        <f>SUM(L533:L538)</f>
        <v>23920</v>
      </c>
      <c r="M539" s="961"/>
      <c r="N539" s="962"/>
      <c r="O539" s="276"/>
      <c r="P539" s="276"/>
      <c r="Q539" s="276"/>
      <c r="R539" s="276"/>
      <c r="S539" s="276"/>
      <c r="T539" s="276"/>
      <c r="U539" s="276"/>
    </row>
    <row r="540" spans="1:21" s="530" customFormat="1" ht="17" thickBot="1">
      <c r="A540" s="569" t="s">
        <v>105</v>
      </c>
      <c r="B540" s="711"/>
      <c r="C540" s="778"/>
      <c r="D540" s="623"/>
      <c r="E540" s="778"/>
      <c r="F540" s="712"/>
      <c r="G540" s="713"/>
      <c r="H540" s="541"/>
      <c r="I540" s="536"/>
      <c r="J540" s="536"/>
      <c r="K540" s="536"/>
      <c r="L540" s="570"/>
      <c r="M540" s="714"/>
      <c r="N540" s="715"/>
      <c r="O540" s="135"/>
      <c r="P540" s="135"/>
      <c r="Q540" s="135"/>
      <c r="R540" s="135"/>
      <c r="S540" s="135"/>
      <c r="T540" s="135"/>
      <c r="U540" s="135"/>
    </row>
    <row r="541" spans="1:21" ht="14" thickBot="1">
      <c r="A541" s="58" t="s">
        <v>31</v>
      </c>
      <c r="B541" s="1012">
        <f>[1]Chino!$N$6</f>
        <v>944</v>
      </c>
      <c r="C541" s="1011"/>
      <c r="D541" s="1010">
        <f>F541*325851</f>
        <v>10673836.036799999</v>
      </c>
      <c r="E541" s="1011"/>
      <c r="F541" s="983">
        <f>0.0347*B541</f>
        <v>32.756799999999998</v>
      </c>
      <c r="G541" s="984"/>
      <c r="H541" s="437">
        <f>F541*20</f>
        <v>655.13599999999997</v>
      </c>
      <c r="I541" s="269">
        <f>73.34*B541</f>
        <v>69232.960000000006</v>
      </c>
      <c r="J541" s="269">
        <f>35.66*B541</f>
        <v>33663.039999999994</v>
      </c>
      <c r="K541" s="269">
        <f>B541*60</f>
        <v>56640</v>
      </c>
      <c r="L541" s="270">
        <f>I541+J541+K541</f>
        <v>159536</v>
      </c>
      <c r="M541" s="985">
        <f>L541/(F541*427)</f>
        <v>11.405894620332189</v>
      </c>
      <c r="N541" s="986"/>
    </row>
    <row r="542" spans="1:21" s="275" customFormat="1" ht="14" thickBot="1">
      <c r="A542" s="281" t="s">
        <v>60</v>
      </c>
      <c r="B542" s="938">
        <f>SUM(B541)</f>
        <v>944</v>
      </c>
      <c r="C542" s="939"/>
      <c r="D542" s="940">
        <f>SUM(D541)</f>
        <v>10673836.036799999</v>
      </c>
      <c r="E542" s="939"/>
      <c r="F542" s="941">
        <f>SUM(F541)</f>
        <v>32.756799999999998</v>
      </c>
      <c r="G542" s="942"/>
      <c r="H542" s="317">
        <f>SUM(H541)</f>
        <v>655.13599999999997</v>
      </c>
      <c r="I542" s="279">
        <f>SUM(I541)</f>
        <v>69232.960000000006</v>
      </c>
      <c r="J542" s="279">
        <f>SUM(J541)</f>
        <v>33663.039999999994</v>
      </c>
      <c r="K542" s="279">
        <f>SUM(K541)</f>
        <v>56640</v>
      </c>
      <c r="L542" s="279">
        <f>SUM(L541)</f>
        <v>159536</v>
      </c>
      <c r="M542" s="961"/>
      <c r="N542" s="962"/>
      <c r="O542" s="276"/>
      <c r="P542" s="276"/>
      <c r="Q542" s="276"/>
      <c r="R542" s="276"/>
      <c r="S542" s="276"/>
      <c r="T542" s="276"/>
      <c r="U542" s="276"/>
    </row>
    <row r="543" spans="1:21" s="530" customFormat="1" ht="17" thickBot="1">
      <c r="A543" s="574" t="s">
        <v>50</v>
      </c>
      <c r="B543" s="711"/>
      <c r="C543" s="778"/>
      <c r="D543" s="623"/>
      <c r="E543" s="778"/>
      <c r="F543" s="712"/>
      <c r="G543" s="713"/>
      <c r="H543" s="541"/>
      <c r="I543" s="535"/>
      <c r="J543" s="535"/>
      <c r="K543" s="535"/>
      <c r="L543" s="535"/>
      <c r="M543" s="714"/>
      <c r="N543" s="715"/>
      <c r="O543" s="135"/>
      <c r="P543" s="135"/>
      <c r="Q543" s="135"/>
      <c r="R543" s="135"/>
      <c r="S543" s="135"/>
      <c r="T543" s="135"/>
      <c r="U543" s="135"/>
    </row>
    <row r="544" spans="1:21">
      <c r="A544" s="59" t="s">
        <v>26</v>
      </c>
      <c r="B544" s="988">
        <f>[1]Chino!$N$13</f>
        <v>0</v>
      </c>
      <c r="C544" s="989"/>
      <c r="D544" s="990">
        <f t="shared" si="109"/>
        <v>0</v>
      </c>
      <c r="E544" s="989"/>
      <c r="F544" s="995">
        <f>0.0278*B544</f>
        <v>0</v>
      </c>
      <c r="G544" s="996"/>
      <c r="H544" s="438">
        <f>F544*20</f>
        <v>0</v>
      </c>
      <c r="I544" s="128">
        <v>0</v>
      </c>
      <c r="J544" s="128">
        <f>15*B544</f>
        <v>0</v>
      </c>
      <c r="K544" s="128">
        <f>135*B544</f>
        <v>0</v>
      </c>
      <c r="L544" s="271">
        <f>SUM(I544:K544)</f>
        <v>0</v>
      </c>
      <c r="M544" s="997">
        <v>0</v>
      </c>
      <c r="N544" s="998"/>
    </row>
    <row r="545" spans="1:21">
      <c r="A545" s="26" t="s">
        <v>25</v>
      </c>
      <c r="B545" s="895">
        <f>[1]Chino!$N$14</f>
        <v>0</v>
      </c>
      <c r="C545" s="629"/>
      <c r="D545" s="636">
        <f t="shared" si="109"/>
        <v>0</v>
      </c>
      <c r="E545" s="629"/>
      <c r="F545" s="907">
        <f>0.0347*B545</f>
        <v>0</v>
      </c>
      <c r="G545" s="908"/>
      <c r="H545" s="414">
        <f>F545*20</f>
        <v>0</v>
      </c>
      <c r="I545" s="81">
        <v>0</v>
      </c>
      <c r="J545" s="81">
        <f>15*B545</f>
        <v>0</v>
      </c>
      <c r="K545" s="81">
        <f>135*B545</f>
        <v>0</v>
      </c>
      <c r="L545" s="81">
        <f t="shared" ref="L545:L551" si="110">SUM(I545:K545)</f>
        <v>0</v>
      </c>
      <c r="M545" s="905">
        <v>0</v>
      </c>
      <c r="N545" s="906"/>
    </row>
    <row r="546" spans="1:21">
      <c r="A546" s="26" t="s">
        <v>32</v>
      </c>
      <c r="B546" s="895">
        <f>[1]Chino!$N$15</f>
        <v>0</v>
      </c>
      <c r="C546" s="629"/>
      <c r="D546" s="636">
        <f t="shared" si="109"/>
        <v>0</v>
      </c>
      <c r="E546" s="629"/>
      <c r="F546" s="907">
        <f>0.0425*B546</f>
        <v>0</v>
      </c>
      <c r="G546" s="908"/>
      <c r="H546" s="431">
        <f>F546*20</f>
        <v>0</v>
      </c>
      <c r="I546" s="81">
        <v>0</v>
      </c>
      <c r="J546" s="81">
        <f>45*B546</f>
        <v>0</v>
      </c>
      <c r="K546" s="81">
        <f>165*B546</f>
        <v>0</v>
      </c>
      <c r="L546" s="81">
        <f t="shared" si="110"/>
        <v>0</v>
      </c>
      <c r="M546" s="905">
        <v>0</v>
      </c>
      <c r="N546" s="906"/>
    </row>
    <row r="547" spans="1:21">
      <c r="A547" s="26" t="s">
        <v>27</v>
      </c>
      <c r="B547" s="895">
        <f>[1]Chino!$N$16</f>
        <v>1</v>
      </c>
      <c r="C547" s="629"/>
      <c r="D547" s="636">
        <f t="shared" si="109"/>
        <v>39916.747499999998</v>
      </c>
      <c r="E547" s="629"/>
      <c r="F547" s="907">
        <f>0.1225*B547</f>
        <v>0.1225</v>
      </c>
      <c r="G547" s="908"/>
      <c r="H547" s="431">
        <f>F547*20</f>
        <v>2.4500000000000002</v>
      </c>
      <c r="I547" s="81">
        <v>0</v>
      </c>
      <c r="J547" s="81">
        <v>0</v>
      </c>
      <c r="K547" s="81">
        <f>400*B547</f>
        <v>400</v>
      </c>
      <c r="L547" s="81">
        <f t="shared" si="110"/>
        <v>400</v>
      </c>
      <c r="M547" s="905">
        <f>L547/(F547*427)</f>
        <v>7.6470869378196245</v>
      </c>
      <c r="N547" s="906"/>
    </row>
    <row r="548" spans="1:21">
      <c r="A548" s="26" t="s">
        <v>20</v>
      </c>
      <c r="B548" s="895">
        <f>[1]Chino!$N$17</f>
        <v>1</v>
      </c>
      <c r="C548" s="629"/>
      <c r="D548" s="636">
        <f t="shared" si="109"/>
        <v>209848.04399999999</v>
      </c>
      <c r="E548" s="629"/>
      <c r="F548" s="907">
        <f>0.644*B548</f>
        <v>0.64400000000000002</v>
      </c>
      <c r="G548" s="908"/>
      <c r="H548" s="431">
        <f>F548*5</f>
        <v>3.22</v>
      </c>
      <c r="I548" s="81">
        <v>0</v>
      </c>
      <c r="J548" s="81">
        <v>0</v>
      </c>
      <c r="K548" s="81">
        <f>625*B548</f>
        <v>625</v>
      </c>
      <c r="L548" s="81">
        <f t="shared" si="110"/>
        <v>625</v>
      </c>
      <c r="M548" s="905">
        <f>L548/(F548*427)</f>
        <v>2.2728264506087537</v>
      </c>
      <c r="N548" s="906"/>
    </row>
    <row r="549" spans="1:21">
      <c r="A549" s="26" t="s">
        <v>33</v>
      </c>
      <c r="B549" s="895">
        <f>[1]Chino!$N$18</f>
        <v>24</v>
      </c>
      <c r="C549" s="629"/>
      <c r="D549" s="636">
        <f t="shared" si="109"/>
        <v>661607.8703999999</v>
      </c>
      <c r="E549" s="629"/>
      <c r="F549" s="907">
        <f>0.0846*B549</f>
        <v>2.0303999999999998</v>
      </c>
      <c r="G549" s="908"/>
      <c r="H549" s="431">
        <f>F549*15</f>
        <v>30.455999999999996</v>
      </c>
      <c r="I549" s="81">
        <v>0</v>
      </c>
      <c r="J549" s="81">
        <f>70*B549</f>
        <v>1680</v>
      </c>
      <c r="K549" s="81">
        <f>130*B549</f>
        <v>3120</v>
      </c>
      <c r="L549" s="81">
        <f t="shared" si="110"/>
        <v>4800</v>
      </c>
      <c r="M549" s="905">
        <f>L549/(F549*427)</f>
        <v>5.5364547865419862</v>
      </c>
      <c r="N549" s="906"/>
    </row>
    <row r="550" spans="1:21">
      <c r="A550" s="26" t="s">
        <v>15</v>
      </c>
      <c r="B550" s="895">
        <f>[1]Chino!$N$19</f>
        <v>0</v>
      </c>
      <c r="C550" s="629"/>
      <c r="D550" s="636">
        <f t="shared" si="109"/>
        <v>0</v>
      </c>
      <c r="E550" s="629"/>
      <c r="F550" s="907">
        <f>0.1534*B550</f>
        <v>0</v>
      </c>
      <c r="G550" s="908"/>
      <c r="H550" s="431">
        <f>F550*5</f>
        <v>0</v>
      </c>
      <c r="I550" s="81">
        <v>0</v>
      </c>
      <c r="J550" s="81">
        <v>0</v>
      </c>
      <c r="K550" s="81">
        <f>150*B550</f>
        <v>0</v>
      </c>
      <c r="L550" s="81">
        <f t="shared" si="110"/>
        <v>0</v>
      </c>
      <c r="M550" s="905">
        <v>0</v>
      </c>
      <c r="N550" s="906"/>
    </row>
    <row r="551" spans="1:21" ht="14" thickBot="1">
      <c r="A551" s="160" t="s">
        <v>78</v>
      </c>
      <c r="B551" s="952">
        <f>[1]Chino!$N$20</f>
        <v>2</v>
      </c>
      <c r="C551" s="901"/>
      <c r="D551" s="944">
        <f t="shared" si="109"/>
        <v>423606.3</v>
      </c>
      <c r="E551" s="901"/>
      <c r="F551" s="945">
        <f>0.65*B551</f>
        <v>1.3</v>
      </c>
      <c r="G551" s="946"/>
      <c r="H551" s="435">
        <f>F551*10</f>
        <v>13</v>
      </c>
      <c r="I551" s="94">
        <v>0</v>
      </c>
      <c r="J551" s="94">
        <v>0</v>
      </c>
      <c r="K551" s="94">
        <f>630*B551</f>
        <v>1260</v>
      </c>
      <c r="L551" s="94">
        <f t="shared" si="110"/>
        <v>1260</v>
      </c>
      <c r="M551" s="981">
        <f>L551/(F551*427)</f>
        <v>2.2698612862547289</v>
      </c>
      <c r="N551" s="982"/>
    </row>
    <row r="552" spans="1:21" s="275" customFormat="1" ht="14" thickBot="1">
      <c r="A552" s="280" t="s">
        <v>60</v>
      </c>
      <c r="B552" s="938">
        <f>SUM(B544:C551)</f>
        <v>28</v>
      </c>
      <c r="C552" s="939"/>
      <c r="D552" s="940">
        <f>SUM(D542:E551)</f>
        <v>12008814.9987</v>
      </c>
      <c r="E552" s="939"/>
      <c r="F552" s="941">
        <f>SUM(F542:G551)</f>
        <v>36.853699999999996</v>
      </c>
      <c r="G552" s="942"/>
      <c r="H552" s="278">
        <f>SUM(H542:H551)</f>
        <v>704.26200000000006</v>
      </c>
      <c r="I552" s="279">
        <f>SUM(I542:I551)</f>
        <v>69232.960000000006</v>
      </c>
      <c r="J552" s="279">
        <f>SUM(J542:J551)</f>
        <v>35343.039999999994</v>
      </c>
      <c r="K552" s="279">
        <f>SUM(K542:K551)</f>
        <v>62045</v>
      </c>
      <c r="L552" s="279">
        <f>SUM(L542:L551)</f>
        <v>166621</v>
      </c>
      <c r="M552" s="961"/>
      <c r="N552" s="962"/>
      <c r="O552" s="276"/>
      <c r="P552" s="276"/>
      <c r="Q552" s="276"/>
      <c r="R552" s="276"/>
      <c r="S552" s="276"/>
      <c r="T552" s="276"/>
      <c r="U552" s="276"/>
    </row>
    <row r="553" spans="1:21" s="530" customFormat="1" ht="17" thickBot="1">
      <c r="A553" s="531" t="s">
        <v>17</v>
      </c>
      <c r="B553" s="711">
        <f>SUM(B552,B539,B542)</f>
        <v>1159</v>
      </c>
      <c r="C553" s="778"/>
      <c r="D553" s="623">
        <f>SUM(D552,D539,D542)</f>
        <v>33185904.073799998</v>
      </c>
      <c r="E553" s="778"/>
      <c r="F553" s="712">
        <f>SUM(F552,F539,F542)</f>
        <v>101.84379999999999</v>
      </c>
      <c r="G553" s="713"/>
      <c r="H553" s="532">
        <f>SUM(H552,H539,H542)</f>
        <v>1747.306</v>
      </c>
      <c r="I553" s="535">
        <f>I539+I542+I552</f>
        <v>138465.92000000001</v>
      </c>
      <c r="J553" s="535">
        <f>J539+J542+J552</f>
        <v>69326.079999999987</v>
      </c>
      <c r="K553" s="535">
        <f>K539+K542+K552</f>
        <v>142285</v>
      </c>
      <c r="L553" s="535">
        <f>L539+L542+L552</f>
        <v>350077</v>
      </c>
      <c r="M553" s="714"/>
      <c r="N553" s="715"/>
      <c r="O553" s="135"/>
      <c r="P553" s="135"/>
      <c r="Q553" s="135"/>
      <c r="R553" s="135"/>
      <c r="S553" s="135"/>
      <c r="T553" s="135"/>
      <c r="U553" s="135"/>
    </row>
    <row r="554" spans="1:21">
      <c r="A554" s="333"/>
      <c r="B554" s="934"/>
      <c r="C554" s="934"/>
      <c r="D554" s="934"/>
      <c r="E554" s="934"/>
      <c r="F554" s="937"/>
      <c r="G554" s="937"/>
      <c r="H554" s="220"/>
      <c r="I554" s="157"/>
      <c r="J554" s="157"/>
      <c r="K554" s="158"/>
      <c r="L554" s="157"/>
      <c r="M554" s="933"/>
      <c r="N554" s="933"/>
      <c r="O554" s="555"/>
    </row>
    <row r="555" spans="1:21">
      <c r="A555" s="299" t="s">
        <v>18</v>
      </c>
      <c r="B555" s="909" t="s">
        <v>59</v>
      </c>
      <c r="C555" s="909"/>
      <c r="D555" s="909"/>
      <c r="E555" s="909"/>
      <c r="F555" s="221"/>
      <c r="G555" s="221"/>
      <c r="H555" s="221"/>
      <c r="I555" s="2"/>
      <c r="J555" s="2"/>
      <c r="K555" s="2"/>
      <c r="L555" s="2"/>
      <c r="M555" s="2"/>
      <c r="N555" s="2"/>
    </row>
    <row r="556" spans="1:21" ht="15">
      <c r="A556" s="5"/>
      <c r="B556" s="987" t="s">
        <v>19</v>
      </c>
      <c r="C556" s="692"/>
      <c r="D556" s="692"/>
      <c r="E556" s="627"/>
    </row>
    <row r="557" spans="1:21" ht="16" thickBot="1">
      <c r="A557" s="442"/>
      <c r="B557" s="295"/>
      <c r="C557" s="291"/>
      <c r="D557" s="291"/>
      <c r="E557" s="294"/>
    </row>
    <row r="558" spans="1:21" s="178" customFormat="1" ht="16">
      <c r="A558" s="63"/>
      <c r="B558" s="943"/>
      <c r="C558" s="943"/>
      <c r="D558" s="943"/>
      <c r="E558" s="943"/>
      <c r="F558" s="200"/>
      <c r="G558" s="200"/>
      <c r="H558" s="200"/>
      <c r="I558" s="670" t="s">
        <v>0</v>
      </c>
      <c r="J558" s="670"/>
      <c r="K558" s="670"/>
      <c r="L558" s="670"/>
      <c r="M558" s="64"/>
      <c r="N558" s="65"/>
      <c r="O558" s="610"/>
      <c r="P558" s="610"/>
      <c r="Q558" s="610"/>
      <c r="R558" s="610"/>
      <c r="S558" s="610"/>
      <c r="T558" s="610"/>
      <c r="U558" s="610"/>
    </row>
    <row r="559" spans="1:21" ht="16">
      <c r="A559" s="62"/>
      <c r="B559" s="66" t="s">
        <v>1</v>
      </c>
      <c r="C559" s="66"/>
      <c r="D559" s="66" t="s">
        <v>2</v>
      </c>
      <c r="E559" s="66"/>
      <c r="F559" s="238" t="s">
        <v>3</v>
      </c>
      <c r="G559" s="238"/>
      <c r="H559" s="238" t="s">
        <v>3</v>
      </c>
      <c r="I559" s="78" t="s">
        <v>135</v>
      </c>
      <c r="J559" s="66"/>
      <c r="K559" s="66"/>
      <c r="L559" s="79"/>
      <c r="M559" s="66" t="s">
        <v>4</v>
      </c>
      <c r="N559" s="240"/>
    </row>
    <row r="560" spans="1:21" ht="19" thickBot="1">
      <c r="A560" s="67" t="s">
        <v>5</v>
      </c>
      <c r="B560" s="675" t="s">
        <v>6</v>
      </c>
      <c r="C560" s="675"/>
      <c r="D560" s="675" t="s">
        <v>7</v>
      </c>
      <c r="E560" s="675"/>
      <c r="F560" s="676" t="s">
        <v>7</v>
      </c>
      <c r="G560" s="676"/>
      <c r="H560" s="208" t="s">
        <v>58</v>
      </c>
      <c r="I560" s="185" t="s">
        <v>136</v>
      </c>
      <c r="J560" s="184" t="s">
        <v>8</v>
      </c>
      <c r="K560" s="184" t="s">
        <v>9</v>
      </c>
      <c r="L560" s="187" t="s">
        <v>10</v>
      </c>
      <c r="M560" s="677" t="s">
        <v>103</v>
      </c>
      <c r="N560" s="678"/>
    </row>
    <row r="561" spans="1:21" ht="24" thickBot="1">
      <c r="A561" s="60" t="s">
        <v>97</v>
      </c>
      <c r="B561" s="954"/>
      <c r="C561" s="954"/>
      <c r="D561" s="954"/>
      <c r="E561" s="954"/>
      <c r="F561" s="1005"/>
      <c r="G561" s="1005"/>
      <c r="H561" s="219"/>
      <c r="I561" s="57"/>
      <c r="J561" s="8"/>
      <c r="K561" s="8"/>
      <c r="L561" s="8"/>
      <c r="M561" s="954"/>
      <c r="N561" s="955"/>
    </row>
    <row r="562" spans="1:21" s="530" customFormat="1" ht="17" thickBot="1">
      <c r="A562" s="71" t="s">
        <v>61</v>
      </c>
      <c r="B562" s="977"/>
      <c r="C562" s="978"/>
      <c r="D562" s="956"/>
      <c r="E562" s="957"/>
      <c r="F562" s="1025"/>
      <c r="G562" s="1026"/>
      <c r="H562" s="554"/>
      <c r="I562" s="549"/>
      <c r="J562" s="549"/>
      <c r="K562" s="549"/>
      <c r="L562" s="550"/>
      <c r="M562" s="1023"/>
      <c r="N562" s="1024"/>
      <c r="O562" s="135"/>
      <c r="P562" s="135"/>
      <c r="Q562" s="135"/>
      <c r="R562" s="135"/>
      <c r="S562" s="135"/>
      <c r="T562" s="135"/>
      <c r="U562" s="135"/>
    </row>
    <row r="563" spans="1:21">
      <c r="A563" s="59" t="s">
        <v>62</v>
      </c>
      <c r="B563" s="971">
        <v>0</v>
      </c>
      <c r="C563" s="669"/>
      <c r="D563" s="972">
        <f>F563*325851</f>
        <v>0</v>
      </c>
      <c r="E563" s="669"/>
      <c r="F563" s="973">
        <f>0.0347*B563</f>
        <v>0</v>
      </c>
      <c r="G563" s="974"/>
      <c r="H563" s="433">
        <f>F563*20</f>
        <v>0</v>
      </c>
      <c r="I563" s="268">
        <v>0</v>
      </c>
      <c r="J563" s="268">
        <f>B563*6.5</f>
        <v>0</v>
      </c>
      <c r="K563" s="268">
        <f>B563*60</f>
        <v>0</v>
      </c>
      <c r="L563" s="272">
        <f>I563+J563+K563</f>
        <v>0</v>
      </c>
      <c r="M563" s="975">
        <v>0</v>
      </c>
      <c r="N563" s="976"/>
    </row>
    <row r="564" spans="1:21">
      <c r="A564" s="24" t="s">
        <v>63</v>
      </c>
      <c r="B564" s="895">
        <v>0</v>
      </c>
      <c r="C564" s="920"/>
      <c r="D564" s="636">
        <f>F564*325851</f>
        <v>0</v>
      </c>
      <c r="E564" s="629"/>
      <c r="F564" s="931">
        <f>0.0347*B564</f>
        <v>0</v>
      </c>
      <c r="G564" s="908"/>
      <c r="H564" s="414">
        <f>F564*20</f>
        <v>0</v>
      </c>
      <c r="I564" s="81">
        <v>0</v>
      </c>
      <c r="J564" s="81">
        <v>0</v>
      </c>
      <c r="K564" s="81">
        <f>B564*6.5</f>
        <v>0</v>
      </c>
      <c r="L564" s="81">
        <f>I564+J564+K564</f>
        <v>0</v>
      </c>
      <c r="M564" s="905">
        <v>0</v>
      </c>
      <c r="N564" s="906"/>
    </row>
    <row r="565" spans="1:21">
      <c r="A565" s="24" t="s">
        <v>64</v>
      </c>
      <c r="B565" s="895">
        <v>33</v>
      </c>
      <c r="C565" s="920"/>
      <c r="D565" s="636">
        <f>F565*325851</f>
        <v>373131.98009999999</v>
      </c>
      <c r="E565" s="629"/>
      <c r="F565" s="931">
        <f>0.0347*B565</f>
        <v>1.1451</v>
      </c>
      <c r="G565" s="908"/>
      <c r="H565" s="431">
        <f>F565*20</f>
        <v>22.902000000000001</v>
      </c>
      <c r="I565" s="81">
        <v>0</v>
      </c>
      <c r="J565" s="81">
        <f>B565*1</f>
        <v>33</v>
      </c>
      <c r="K565" s="81">
        <f>B565*60</f>
        <v>1980</v>
      </c>
      <c r="L565" s="81">
        <f>I565+J565+K565</f>
        <v>2013</v>
      </c>
      <c r="M565" s="905">
        <f>L565/(F565*427)</f>
        <v>4.1169205434335119</v>
      </c>
      <c r="N565" s="906"/>
    </row>
    <row r="566" spans="1:21" ht="14" thickBot="1">
      <c r="A566" s="159" t="s">
        <v>13</v>
      </c>
      <c r="B566" s="952">
        <v>128</v>
      </c>
      <c r="C566" s="958"/>
      <c r="D566" s="944">
        <f>F566*325851</f>
        <v>1151166.4128</v>
      </c>
      <c r="E566" s="901"/>
      <c r="F566" s="945">
        <f>0.0276*B566</f>
        <v>3.5327999999999999</v>
      </c>
      <c r="G566" s="946"/>
      <c r="H566" s="435">
        <f>F566*15</f>
        <v>52.991999999999997</v>
      </c>
      <c r="I566" s="94">
        <v>0</v>
      </c>
      <c r="J566" s="94">
        <f>B566*1</f>
        <v>128</v>
      </c>
      <c r="K566" s="94">
        <f>B566*110</f>
        <v>14080</v>
      </c>
      <c r="L566" s="94">
        <f>I566+J566+K566</f>
        <v>14208</v>
      </c>
      <c r="M566" s="981">
        <f>L566/(F566*427)</f>
        <v>9.4185928113226769</v>
      </c>
      <c r="N566" s="982"/>
    </row>
    <row r="567" spans="1:21" s="275" customFormat="1" ht="14" thickBot="1">
      <c r="A567" s="281" t="s">
        <v>60</v>
      </c>
      <c r="B567" s="938">
        <f>SUM(B563:C566)</f>
        <v>161</v>
      </c>
      <c r="C567" s="950"/>
      <c r="D567" s="940">
        <f>SUM(D563:E566)</f>
        <v>1524298.3929000001</v>
      </c>
      <c r="E567" s="939"/>
      <c r="F567" s="941">
        <f>SUM(F563:G566)</f>
        <v>4.6779000000000002</v>
      </c>
      <c r="G567" s="942"/>
      <c r="H567" s="278">
        <f>SUM(H563:H566)</f>
        <v>75.894000000000005</v>
      </c>
      <c r="I567" s="279">
        <f>SUM(I563:I566)</f>
        <v>0</v>
      </c>
      <c r="J567" s="279">
        <f>SUM(J563:J566)</f>
        <v>161</v>
      </c>
      <c r="K567" s="279">
        <f>SUM(K563:K566)</f>
        <v>16060</v>
      </c>
      <c r="L567" s="279">
        <f>SUM(L563:L566)</f>
        <v>16221</v>
      </c>
      <c r="M567" s="961"/>
      <c r="N567" s="962"/>
      <c r="O567" s="276"/>
      <c r="P567" s="276"/>
      <c r="Q567" s="276"/>
      <c r="R567" s="276"/>
      <c r="S567" s="276"/>
      <c r="T567" s="276"/>
      <c r="U567" s="276"/>
    </row>
    <row r="568" spans="1:21" s="530" customFormat="1" ht="17" thickBot="1">
      <c r="A568" s="569" t="s">
        <v>105</v>
      </c>
      <c r="B568" s="711"/>
      <c r="C568" s="778"/>
      <c r="D568" s="623"/>
      <c r="E568" s="778"/>
      <c r="F568" s="712"/>
      <c r="G568" s="713"/>
      <c r="H568" s="541"/>
      <c r="I568" s="535"/>
      <c r="J568" s="535"/>
      <c r="K568" s="535"/>
      <c r="L568" s="535"/>
      <c r="M568" s="714"/>
      <c r="N568" s="715"/>
      <c r="O568" s="135"/>
      <c r="P568" s="135"/>
      <c r="Q568" s="135"/>
      <c r="R568" s="135"/>
      <c r="S568" s="135"/>
      <c r="T568" s="135"/>
      <c r="U568" s="135"/>
    </row>
    <row r="569" spans="1:21" ht="14" thickBot="1">
      <c r="A569" s="58" t="s">
        <v>11</v>
      </c>
      <c r="B569" s="963">
        <v>145</v>
      </c>
      <c r="C569" s="964"/>
      <c r="D569" s="965">
        <f>F569*325851</f>
        <v>1639519.3065000002</v>
      </c>
      <c r="E569" s="964"/>
      <c r="F569" s="966">
        <f>0.0347*B569</f>
        <v>5.0315000000000003</v>
      </c>
      <c r="G569" s="967"/>
      <c r="H569" s="439">
        <f>F569*20</f>
        <v>100.63000000000001</v>
      </c>
      <c r="I569" s="163">
        <v>0</v>
      </c>
      <c r="J569" s="163">
        <f>B569*105</f>
        <v>15225</v>
      </c>
      <c r="K569" s="163">
        <f>B569*60</f>
        <v>8700</v>
      </c>
      <c r="L569" s="273">
        <f>I569+J569+K569</f>
        <v>23925</v>
      </c>
      <c r="M569" s="968">
        <f>L569/(F569*427)</f>
        <v>11.135932617484089</v>
      </c>
      <c r="N569" s="969"/>
    </row>
    <row r="570" spans="1:21" s="275" customFormat="1" ht="14" thickBot="1">
      <c r="A570" s="281" t="s">
        <v>60</v>
      </c>
      <c r="B570" s="949">
        <f>SUM(B569)</f>
        <v>145</v>
      </c>
      <c r="C570" s="950"/>
      <c r="D570" s="940">
        <f>SUM(D569)</f>
        <v>1639519.3065000002</v>
      </c>
      <c r="E570" s="939"/>
      <c r="F570" s="941">
        <f>SUM(F569)</f>
        <v>5.0315000000000003</v>
      </c>
      <c r="G570" s="942"/>
      <c r="H570" s="500">
        <f>SUM(H569)</f>
        <v>100.63000000000001</v>
      </c>
      <c r="I570" s="279">
        <f>SUM(I569)</f>
        <v>0</v>
      </c>
      <c r="J570" s="279">
        <f>SUM(J569)</f>
        <v>15225</v>
      </c>
      <c r="K570" s="279">
        <f>SUM(K569)</f>
        <v>8700</v>
      </c>
      <c r="L570" s="279">
        <f>SUM(L569)</f>
        <v>23925</v>
      </c>
      <c r="M570" s="961"/>
      <c r="N570" s="962"/>
      <c r="O570" s="276"/>
      <c r="P570" s="276"/>
      <c r="Q570" s="276"/>
      <c r="R570" s="276"/>
      <c r="S570" s="276"/>
      <c r="T570" s="276"/>
      <c r="U570" s="276"/>
    </row>
    <row r="571" spans="1:21" s="530" customFormat="1" ht="17" thickBot="1">
      <c r="A571" s="578" t="s">
        <v>50</v>
      </c>
      <c r="B571" s="711"/>
      <c r="C571" s="970"/>
      <c r="D571" s="711"/>
      <c r="E571" s="970"/>
      <c r="F571" s="712"/>
      <c r="G571" s="712"/>
      <c r="H571" s="568"/>
      <c r="I571" s="570"/>
      <c r="J571" s="570"/>
      <c r="K571" s="570"/>
      <c r="L571" s="570"/>
      <c r="M571" s="746"/>
      <c r="N571" s="715"/>
      <c r="O571" s="135"/>
      <c r="P571" s="135"/>
      <c r="Q571" s="135"/>
      <c r="R571" s="135"/>
      <c r="S571" s="135"/>
      <c r="T571" s="135"/>
      <c r="U571" s="135"/>
    </row>
    <row r="572" spans="1:21">
      <c r="A572" s="59" t="s">
        <v>66</v>
      </c>
      <c r="B572" s="971">
        <v>0</v>
      </c>
      <c r="C572" s="669"/>
      <c r="D572" s="972">
        <f t="shared" ref="D572:D577" si="111">F572*325851</f>
        <v>0</v>
      </c>
      <c r="E572" s="669"/>
      <c r="F572" s="1013">
        <f>0.0347*B572</f>
        <v>0</v>
      </c>
      <c r="G572" s="974"/>
      <c r="H572" s="433">
        <f>F572*20</f>
        <v>0</v>
      </c>
      <c r="I572" s="268">
        <v>0</v>
      </c>
      <c r="J572" s="268">
        <v>0</v>
      </c>
      <c r="K572" s="268">
        <v>0</v>
      </c>
      <c r="L572" s="272">
        <v>0</v>
      </c>
      <c r="M572" s="975">
        <v>0</v>
      </c>
      <c r="N572" s="976"/>
    </row>
    <row r="573" spans="1:21">
      <c r="A573" s="26" t="s">
        <v>68</v>
      </c>
      <c r="B573" s="909">
        <v>0</v>
      </c>
      <c r="C573" s="920"/>
      <c r="D573" s="636">
        <f t="shared" si="111"/>
        <v>0</v>
      </c>
      <c r="E573" s="629"/>
      <c r="F573" s="907">
        <f>0.644*B573</f>
        <v>0</v>
      </c>
      <c r="G573" s="908"/>
      <c r="H573" s="414">
        <f>F573*5</f>
        <v>0</v>
      </c>
      <c r="I573" s="81">
        <v>0</v>
      </c>
      <c r="J573" s="81">
        <v>0</v>
      </c>
      <c r="K573" s="81">
        <v>0</v>
      </c>
      <c r="L573" s="81">
        <v>0</v>
      </c>
      <c r="M573" s="905">
        <v>0</v>
      </c>
      <c r="N573" s="906"/>
    </row>
    <row r="574" spans="1:21">
      <c r="A574" s="26" t="s">
        <v>13</v>
      </c>
      <c r="B574" s="909">
        <v>0</v>
      </c>
      <c r="C574" s="920"/>
      <c r="D574" s="636">
        <f t="shared" si="111"/>
        <v>0</v>
      </c>
      <c r="E574" s="629"/>
      <c r="F574" s="907">
        <f>0.0276*B574</f>
        <v>0</v>
      </c>
      <c r="G574" s="908"/>
      <c r="H574" s="431">
        <f>F574*15</f>
        <v>0</v>
      </c>
      <c r="I574" s="81">
        <v>0</v>
      </c>
      <c r="J574" s="81">
        <v>0</v>
      </c>
      <c r="K574" s="81">
        <v>0</v>
      </c>
      <c r="L574" s="81">
        <f>I574+J574+K574</f>
        <v>0</v>
      </c>
      <c r="M574" s="905">
        <v>0</v>
      </c>
      <c r="N574" s="906"/>
    </row>
    <row r="575" spans="1:21">
      <c r="A575" s="26" t="s">
        <v>15</v>
      </c>
      <c r="B575" s="909">
        <v>0</v>
      </c>
      <c r="C575" s="920"/>
      <c r="D575" s="636">
        <f t="shared" si="111"/>
        <v>0</v>
      </c>
      <c r="E575" s="629"/>
      <c r="F575" s="907">
        <f>0.1534*B575</f>
        <v>0</v>
      </c>
      <c r="G575" s="908"/>
      <c r="H575" s="431">
        <f>F575*5</f>
        <v>0</v>
      </c>
      <c r="I575" s="81">
        <v>0</v>
      </c>
      <c r="J575" s="81">
        <v>0</v>
      </c>
      <c r="K575" s="81">
        <v>0</v>
      </c>
      <c r="L575" s="81">
        <f>I575+J575+K575</f>
        <v>0</v>
      </c>
      <c r="M575" s="905">
        <v>0</v>
      </c>
      <c r="N575" s="906"/>
    </row>
    <row r="576" spans="1:21">
      <c r="A576" s="27" t="s">
        <v>16</v>
      </c>
      <c r="B576" s="909">
        <v>0</v>
      </c>
      <c r="C576" s="920"/>
      <c r="D576" s="636">
        <f t="shared" si="111"/>
        <v>0</v>
      </c>
      <c r="E576" s="629"/>
      <c r="F576" s="907">
        <f>0.004*B576</f>
        <v>0</v>
      </c>
      <c r="G576" s="908"/>
      <c r="H576" s="431">
        <f>F576*5</f>
        <v>0</v>
      </c>
      <c r="I576" s="81">
        <v>0</v>
      </c>
      <c r="J576" s="81">
        <v>0</v>
      </c>
      <c r="K576" s="81">
        <v>0</v>
      </c>
      <c r="L576" s="81">
        <f>I576+J576+K576</f>
        <v>0</v>
      </c>
      <c r="M576" s="905">
        <v>0</v>
      </c>
      <c r="N576" s="906"/>
    </row>
    <row r="577" spans="1:21" ht="14" thickBot="1">
      <c r="A577" s="160" t="s">
        <v>78</v>
      </c>
      <c r="B577" s="954">
        <v>0</v>
      </c>
      <c r="C577" s="958"/>
      <c r="D577" s="944">
        <f t="shared" si="111"/>
        <v>0</v>
      </c>
      <c r="E577" s="901"/>
      <c r="F577" s="945">
        <f>0.65*B577</f>
        <v>0</v>
      </c>
      <c r="G577" s="946"/>
      <c r="H577" s="435">
        <f>F577*10</f>
        <v>0</v>
      </c>
      <c r="I577" s="94">
        <v>0</v>
      </c>
      <c r="J577" s="94">
        <v>0</v>
      </c>
      <c r="K577" s="94">
        <v>0</v>
      </c>
      <c r="L577" s="94">
        <f>I577+J577+K577</f>
        <v>0</v>
      </c>
      <c r="M577" s="981">
        <v>0</v>
      </c>
      <c r="N577" s="982"/>
    </row>
    <row r="578" spans="1:21" s="275" customFormat="1" ht="14" thickBot="1">
      <c r="A578" s="280" t="s">
        <v>60</v>
      </c>
      <c r="B578" s="949">
        <f>SUM(B572:C577)</f>
        <v>0</v>
      </c>
      <c r="C578" s="950"/>
      <c r="D578" s="940">
        <f>SUM(D572:E577)</f>
        <v>0</v>
      </c>
      <c r="E578" s="939"/>
      <c r="F578" s="941">
        <f>SUM(F572:G577)</f>
        <v>0</v>
      </c>
      <c r="G578" s="942"/>
      <c r="H578" s="278">
        <f>SUM(H572:H577)</f>
        <v>0</v>
      </c>
      <c r="I578" s="279">
        <f>SUM(I572:I577)</f>
        <v>0</v>
      </c>
      <c r="J578" s="279">
        <f>SUM(J572:J577)</f>
        <v>0</v>
      </c>
      <c r="K578" s="279">
        <f>SUM(K572:K577)</f>
        <v>0</v>
      </c>
      <c r="L578" s="279">
        <f>SUM(L572:L577)</f>
        <v>0</v>
      </c>
      <c r="M578" s="961"/>
      <c r="N578" s="962"/>
      <c r="O578" s="276"/>
      <c r="P578" s="276"/>
      <c r="Q578" s="276"/>
      <c r="R578" s="276"/>
      <c r="S578" s="276"/>
      <c r="T578" s="276"/>
      <c r="U578" s="276"/>
    </row>
    <row r="579" spans="1:21" s="534" customFormat="1" ht="14" thickBot="1">
      <c r="A579" s="543" t="s">
        <v>17</v>
      </c>
      <c r="B579" s="1014">
        <f>B567+B570+B578</f>
        <v>306</v>
      </c>
      <c r="C579" s="1015"/>
      <c r="D579" s="1014">
        <f>SUM(D578,D567,D570)</f>
        <v>3163817.6994000003</v>
      </c>
      <c r="E579" s="1015"/>
      <c r="F579" s="1016">
        <f>SUM(F578,F567,F570)</f>
        <v>9.7094000000000005</v>
      </c>
      <c r="G579" s="1016"/>
      <c r="H579" s="579">
        <f>SUM(H567,H570,H578)</f>
        <v>176.524</v>
      </c>
      <c r="I579" s="544">
        <f>I567+I570+I578</f>
        <v>0</v>
      </c>
      <c r="J579" s="544">
        <f>J567+J570+J578</f>
        <v>15386</v>
      </c>
      <c r="K579" s="544">
        <f>K567+K570+K578</f>
        <v>24760</v>
      </c>
      <c r="L579" s="544">
        <f>L567+L570+L578</f>
        <v>40146</v>
      </c>
      <c r="M579" s="947"/>
      <c r="N579" s="948"/>
      <c r="O579" s="75"/>
      <c r="P579" s="75"/>
      <c r="Q579" s="75"/>
      <c r="R579" s="75"/>
      <c r="S579" s="75"/>
      <c r="T579" s="75"/>
      <c r="U579" s="75"/>
    </row>
    <row r="580" spans="1:21">
      <c r="A580" s="333"/>
      <c r="B580" s="935"/>
      <c r="C580" s="936"/>
      <c r="D580" s="935"/>
      <c r="E580" s="936"/>
      <c r="F580" s="959"/>
      <c r="G580" s="959"/>
      <c r="H580" s="222"/>
      <c r="I580" s="190"/>
      <c r="J580" s="161"/>
      <c r="K580" s="161"/>
      <c r="L580" s="161"/>
      <c r="M580" s="951"/>
      <c r="N580" s="951"/>
    </row>
    <row r="581" spans="1:21" ht="14" thickBot="1">
      <c r="A581" s="332"/>
      <c r="B581" s="2"/>
      <c r="C581" s="2"/>
      <c r="D581" s="2"/>
      <c r="E581" s="2"/>
      <c r="F581" s="221"/>
      <c r="G581" s="221"/>
      <c r="H581" s="221"/>
      <c r="I581" s="2"/>
      <c r="J581" s="2"/>
      <c r="K581" s="2"/>
      <c r="L581" s="2"/>
      <c r="M581" s="2"/>
      <c r="N581" s="2"/>
    </row>
    <row r="582" spans="1:21" ht="24" thickBot="1">
      <c r="A582" s="60" t="s">
        <v>98</v>
      </c>
      <c r="B582" s="928"/>
      <c r="C582" s="680"/>
      <c r="D582" s="681"/>
      <c r="E582" s="682"/>
      <c r="F582" s="683"/>
      <c r="G582" s="684"/>
      <c r="H582" s="211"/>
      <c r="I582" s="3"/>
      <c r="J582" s="3"/>
      <c r="K582" s="3"/>
      <c r="L582" s="4"/>
      <c r="M582" s="929"/>
      <c r="N582" s="930"/>
    </row>
    <row r="583" spans="1:21" s="530" customFormat="1" ht="17" thickBot="1">
      <c r="A583" s="71" t="s">
        <v>61</v>
      </c>
      <c r="B583" s="663"/>
      <c r="C583" s="716"/>
      <c r="D583" s="729"/>
      <c r="E583" s="716"/>
      <c r="F583" s="717"/>
      <c r="G583" s="718"/>
      <c r="H583" s="524"/>
      <c r="I583" s="72"/>
      <c r="J583" s="72"/>
      <c r="K583" s="72"/>
      <c r="L583" s="521"/>
      <c r="M583" s="719"/>
      <c r="N583" s="689"/>
      <c r="O583" s="135"/>
      <c r="P583" s="135"/>
      <c r="Q583" s="135"/>
      <c r="R583" s="135"/>
      <c r="S583" s="135"/>
      <c r="T583" s="135"/>
      <c r="U583" s="135"/>
    </row>
    <row r="584" spans="1:21">
      <c r="A584" s="24" t="s">
        <v>62</v>
      </c>
      <c r="B584" s="909">
        <v>236</v>
      </c>
      <c r="C584" s="920"/>
      <c r="D584" s="636">
        <f>F584*325851</f>
        <v>2668459.0091999997</v>
      </c>
      <c r="E584" s="629"/>
      <c r="F584" s="931">
        <f>0.0347*B584</f>
        <v>8.1891999999999996</v>
      </c>
      <c r="G584" s="908"/>
      <c r="H584" s="431">
        <f>F584*20</f>
        <v>163.78399999999999</v>
      </c>
      <c r="I584" s="81">
        <v>0</v>
      </c>
      <c r="J584" s="81">
        <f>B584*6.5</f>
        <v>1534</v>
      </c>
      <c r="K584" s="81">
        <f>B584*60</f>
        <v>14160</v>
      </c>
      <c r="L584" s="81">
        <f>I584+J584+K584</f>
        <v>15694</v>
      </c>
      <c r="M584" s="905">
        <f>L584/(F584*427)</f>
        <v>4.4881182973496481</v>
      </c>
      <c r="N584" s="906"/>
    </row>
    <row r="585" spans="1:21">
      <c r="A585" s="24" t="s">
        <v>63</v>
      </c>
      <c r="B585" s="909">
        <v>2</v>
      </c>
      <c r="C585" s="920"/>
      <c r="D585" s="636">
        <f>F585*325851</f>
        <v>22614.059400000002</v>
      </c>
      <c r="E585" s="629"/>
      <c r="F585" s="931">
        <f>0.0347*B585</f>
        <v>6.9400000000000003E-2</v>
      </c>
      <c r="G585" s="908"/>
      <c r="H585" s="431">
        <f>F585*20</f>
        <v>1.3880000000000001</v>
      </c>
      <c r="I585" s="81">
        <v>0</v>
      </c>
      <c r="J585" s="81">
        <f>B585*11</f>
        <v>22</v>
      </c>
      <c r="K585" s="81">
        <f>B585*60</f>
        <v>120</v>
      </c>
      <c r="L585" s="81">
        <f>I585+J585+K585</f>
        <v>142</v>
      </c>
      <c r="M585" s="905">
        <f>L585/(F585*427)</f>
        <v>4.7918255505537592</v>
      </c>
      <c r="N585" s="906"/>
    </row>
    <row r="586" spans="1:21">
      <c r="A586" s="24" t="s">
        <v>64</v>
      </c>
      <c r="B586" s="909">
        <v>44</v>
      </c>
      <c r="C586" s="920"/>
      <c r="D586" s="636">
        <f>F586*325851</f>
        <v>497509.30680000008</v>
      </c>
      <c r="E586" s="629"/>
      <c r="F586" s="931">
        <f>0.0347*B586</f>
        <v>1.5268000000000002</v>
      </c>
      <c r="G586" s="908"/>
      <c r="H586" s="431">
        <f>F586*20</f>
        <v>30.536000000000001</v>
      </c>
      <c r="I586" s="81">
        <v>0</v>
      </c>
      <c r="J586" s="81">
        <f>B586*1</f>
        <v>44</v>
      </c>
      <c r="K586" s="81">
        <f>B586*60</f>
        <v>2640</v>
      </c>
      <c r="L586" s="81">
        <f>I586+J586+K586</f>
        <v>2684</v>
      </c>
      <c r="M586" s="905">
        <f>L586/(F586*427)</f>
        <v>4.116920543433511</v>
      </c>
      <c r="N586" s="906"/>
    </row>
    <row r="587" spans="1:21">
      <c r="A587" s="26" t="s">
        <v>13</v>
      </c>
      <c r="B587" s="909">
        <v>195</v>
      </c>
      <c r="C587" s="920"/>
      <c r="D587" s="636">
        <f>F587*325851</f>
        <v>1753730.0819999999</v>
      </c>
      <c r="E587" s="629"/>
      <c r="F587" s="931">
        <f>0.0276*B587</f>
        <v>5.3819999999999997</v>
      </c>
      <c r="G587" s="908"/>
      <c r="H587" s="431">
        <f>F587*15</f>
        <v>80.72999999999999</v>
      </c>
      <c r="I587" s="81">
        <v>0</v>
      </c>
      <c r="J587" s="81">
        <f>B587*1</f>
        <v>195</v>
      </c>
      <c r="K587" s="81">
        <f>B587*110</f>
        <v>21450</v>
      </c>
      <c r="L587" s="81">
        <f>I587+J587+K587</f>
        <v>21645</v>
      </c>
      <c r="M587" s="905">
        <f>L587/(F587*427)</f>
        <v>9.4185928113226751</v>
      </c>
      <c r="N587" s="906"/>
    </row>
    <row r="588" spans="1:21" ht="14" thickBot="1">
      <c r="A588" s="27" t="s">
        <v>14</v>
      </c>
      <c r="B588" s="909">
        <v>6</v>
      </c>
      <c r="C588" s="920"/>
      <c r="D588" s="895">
        <f>46.8*B588*365</f>
        <v>102491.99999999999</v>
      </c>
      <c r="E588" s="629"/>
      <c r="F588" s="931">
        <f>D588/325900</f>
        <v>0.31448910708806377</v>
      </c>
      <c r="G588" s="908"/>
      <c r="H588" s="431">
        <f>F588*5</f>
        <v>1.5724455354403188</v>
      </c>
      <c r="I588" s="81">
        <v>0</v>
      </c>
      <c r="J588" s="81">
        <v>1219</v>
      </c>
      <c r="K588" s="81">
        <v>0</v>
      </c>
      <c r="L588" s="81">
        <f>I588+J588+K588</f>
        <v>1219</v>
      </c>
      <c r="M588" s="905">
        <f>L588/(F588*427)</f>
        <v>9.0775828873740405</v>
      </c>
      <c r="N588" s="906"/>
    </row>
    <row r="589" spans="1:21" s="275" customFormat="1" ht="14" thickBot="1">
      <c r="A589" s="320" t="s">
        <v>60</v>
      </c>
      <c r="B589" s="657">
        <f>SUM(B584:C588)</f>
        <v>483</v>
      </c>
      <c r="C589" s="1008"/>
      <c r="D589" s="659">
        <f>SUM(D584:E588)</f>
        <v>5044804.4573999997</v>
      </c>
      <c r="E589" s="1008"/>
      <c r="F589" s="1009">
        <f>SUM(F584:G588)</f>
        <v>15.481889107088062</v>
      </c>
      <c r="G589" s="842"/>
      <c r="H589" s="479">
        <f>SUM(H584:H588)</f>
        <v>278.01044553544028</v>
      </c>
      <c r="I589" s="262">
        <f>SUM(I584:I588)</f>
        <v>0</v>
      </c>
      <c r="J589" s="262">
        <f>SUM(J584:J588)</f>
        <v>3014</v>
      </c>
      <c r="K589" s="262">
        <f>SUM(K584:K588)</f>
        <v>38370</v>
      </c>
      <c r="L589" s="262">
        <f>SUM(L584:L588)</f>
        <v>41384</v>
      </c>
      <c r="M589" s="1021"/>
      <c r="N589" s="1022"/>
      <c r="O589" s="276"/>
      <c r="P589" s="276"/>
      <c r="Q589" s="276"/>
      <c r="R589" s="276"/>
      <c r="S589" s="276"/>
      <c r="T589" s="276"/>
      <c r="U589" s="276"/>
    </row>
    <row r="590" spans="1:21" s="530" customFormat="1" ht="17" thickBot="1">
      <c r="A590" s="577" t="s">
        <v>105</v>
      </c>
      <c r="B590" s="663"/>
      <c r="C590" s="663"/>
      <c r="D590" s="663"/>
      <c r="E590" s="663"/>
      <c r="F590" s="687"/>
      <c r="G590" s="687"/>
      <c r="H590" s="529"/>
      <c r="I590" s="101"/>
      <c r="J590" s="101"/>
      <c r="K590" s="101"/>
      <c r="L590" s="101"/>
      <c r="M590" s="688"/>
      <c r="N590" s="689"/>
      <c r="O590" s="135"/>
      <c r="P590" s="135"/>
      <c r="Q590" s="135"/>
      <c r="R590" s="135"/>
      <c r="S590" s="135"/>
      <c r="T590" s="135"/>
      <c r="U590" s="135"/>
    </row>
    <row r="591" spans="1:21" ht="14" thickBot="1">
      <c r="A591" s="26" t="s">
        <v>11</v>
      </c>
      <c r="B591" s="909">
        <v>8</v>
      </c>
      <c r="C591" s="920"/>
      <c r="D591" s="636">
        <f>F591*325851</f>
        <v>90456.237600000008</v>
      </c>
      <c r="E591" s="629"/>
      <c r="F591" s="907">
        <f>0.0347*B591</f>
        <v>0.27760000000000001</v>
      </c>
      <c r="G591" s="908"/>
      <c r="H591" s="431">
        <f>F591*20</f>
        <v>5.5520000000000005</v>
      </c>
      <c r="I591" s="81">
        <v>0</v>
      </c>
      <c r="J591" s="81">
        <f>B591*105</f>
        <v>840</v>
      </c>
      <c r="K591" s="81">
        <f>B591*60</f>
        <v>480</v>
      </c>
      <c r="L591" s="82">
        <f>I591+J591+K591</f>
        <v>1320</v>
      </c>
      <c r="M591" s="905">
        <f>L591/(F591*427)</f>
        <v>11.135932617484089</v>
      </c>
      <c r="N591" s="906"/>
    </row>
    <row r="592" spans="1:21" s="275" customFormat="1" ht="14" thickBot="1">
      <c r="A592" s="40" t="s">
        <v>60</v>
      </c>
      <c r="B592" s="644">
        <f>SUM(B591)</f>
        <v>8</v>
      </c>
      <c r="C592" s="706"/>
      <c r="D592" s="645">
        <f>SUM(D591)</f>
        <v>90456.237600000008</v>
      </c>
      <c r="E592" s="706"/>
      <c r="F592" s="707">
        <f>SUM(F591)</f>
        <v>0.27760000000000001</v>
      </c>
      <c r="G592" s="708"/>
      <c r="H592" s="310">
        <f>SUM(H591)</f>
        <v>5.5520000000000005</v>
      </c>
      <c r="I592" s="86">
        <f>SUM(I591)</f>
        <v>0</v>
      </c>
      <c r="J592" s="86">
        <f>SUM(J591)</f>
        <v>840</v>
      </c>
      <c r="K592" s="86">
        <f>SUM(K591)</f>
        <v>480</v>
      </c>
      <c r="L592" s="86">
        <f>SUM(L591)</f>
        <v>1320</v>
      </c>
      <c r="M592" s="753"/>
      <c r="N592" s="732"/>
      <c r="O592" s="276"/>
      <c r="P592" s="276"/>
      <c r="Q592" s="276"/>
      <c r="R592" s="276"/>
      <c r="S592" s="276"/>
      <c r="T592" s="276"/>
      <c r="U592" s="276"/>
    </row>
    <row r="593" spans="1:21" s="530" customFormat="1" ht="17" thickBot="1">
      <c r="A593" s="71" t="s">
        <v>50</v>
      </c>
      <c r="B593" s="663"/>
      <c r="C593" s="716"/>
      <c r="D593" s="729"/>
      <c r="E593" s="716"/>
      <c r="F593" s="687"/>
      <c r="G593" s="718"/>
      <c r="H593" s="524"/>
      <c r="I593" s="100"/>
      <c r="J593" s="100"/>
      <c r="K593" s="100"/>
      <c r="L593" s="101"/>
      <c r="M593" s="719"/>
      <c r="N593" s="689"/>
      <c r="O593" s="135"/>
      <c r="P593" s="135"/>
      <c r="Q593" s="135"/>
      <c r="R593" s="135"/>
      <c r="S593" s="135"/>
      <c r="T593" s="135"/>
      <c r="U593" s="135"/>
    </row>
    <row r="594" spans="1:21">
      <c r="A594" s="26" t="s">
        <v>67</v>
      </c>
      <c r="B594" s="909">
        <v>0</v>
      </c>
      <c r="C594" s="920"/>
      <c r="D594" s="636">
        <f t="shared" ref="D594:D599" si="112">F594*325851</f>
        <v>0</v>
      </c>
      <c r="E594" s="629"/>
      <c r="F594" s="907">
        <f>0.0347*B594</f>
        <v>0</v>
      </c>
      <c r="G594" s="908"/>
      <c r="H594" s="431">
        <f>F594*20</f>
        <v>0</v>
      </c>
      <c r="I594" s="81">
        <v>0</v>
      </c>
      <c r="J594" s="81">
        <v>0</v>
      </c>
      <c r="K594" s="81">
        <f>B594*60</f>
        <v>0</v>
      </c>
      <c r="L594" s="81">
        <v>0</v>
      </c>
      <c r="M594" s="993">
        <v>0</v>
      </c>
      <c r="N594" s="994"/>
    </row>
    <row r="595" spans="1:21">
      <c r="A595" s="26" t="s">
        <v>20</v>
      </c>
      <c r="B595" s="909">
        <v>0</v>
      </c>
      <c r="C595" s="920"/>
      <c r="D595" s="636">
        <f t="shared" si="112"/>
        <v>0</v>
      </c>
      <c r="E595" s="629"/>
      <c r="F595" s="907">
        <f>0.644*B595</f>
        <v>0</v>
      </c>
      <c r="G595" s="908"/>
      <c r="H595" s="431">
        <f>F595*5</f>
        <v>0</v>
      </c>
      <c r="I595" s="81">
        <v>0</v>
      </c>
      <c r="J595" s="81">
        <v>0</v>
      </c>
      <c r="K595" s="81">
        <v>0</v>
      </c>
      <c r="L595" s="81">
        <v>0</v>
      </c>
      <c r="M595" s="905">
        <v>0</v>
      </c>
      <c r="N595" s="906"/>
    </row>
    <row r="596" spans="1:21">
      <c r="A596" s="26" t="s">
        <v>13</v>
      </c>
      <c r="B596" s="909">
        <v>18</v>
      </c>
      <c r="C596" s="920"/>
      <c r="D596" s="636">
        <f t="shared" si="112"/>
        <v>161882.77679999999</v>
      </c>
      <c r="E596" s="629"/>
      <c r="F596" s="907">
        <f>0.0276*B596</f>
        <v>0.49680000000000002</v>
      </c>
      <c r="G596" s="908"/>
      <c r="H596" s="431">
        <f>F596*15</f>
        <v>7.452</v>
      </c>
      <c r="I596" s="81">
        <v>0</v>
      </c>
      <c r="J596" s="81">
        <v>0</v>
      </c>
      <c r="K596" s="81">
        <f>B596*250</f>
        <v>4500</v>
      </c>
      <c r="L596" s="81">
        <f>I596+J596+K596</f>
        <v>4500</v>
      </c>
      <c r="M596" s="905">
        <f>L596/(F596*427)</f>
        <v>21.213046872348368</v>
      </c>
      <c r="N596" s="906"/>
    </row>
    <row r="597" spans="1:21">
      <c r="A597" s="27" t="s">
        <v>15</v>
      </c>
      <c r="B597" s="909">
        <v>0</v>
      </c>
      <c r="C597" s="920"/>
      <c r="D597" s="636">
        <f t="shared" si="112"/>
        <v>0</v>
      </c>
      <c r="E597" s="629"/>
      <c r="F597" s="907">
        <f>0.1534*B597</f>
        <v>0</v>
      </c>
      <c r="G597" s="908"/>
      <c r="H597" s="431">
        <f>F597*5</f>
        <v>0</v>
      </c>
      <c r="I597" s="81">
        <v>0</v>
      </c>
      <c r="J597" s="81">
        <v>0</v>
      </c>
      <c r="K597" s="81">
        <v>0</v>
      </c>
      <c r="L597" s="81">
        <f>I597+J597+K597</f>
        <v>0</v>
      </c>
      <c r="M597" s="905">
        <v>0</v>
      </c>
      <c r="N597" s="906"/>
    </row>
    <row r="598" spans="1:21">
      <c r="A598" s="27" t="s">
        <v>16</v>
      </c>
      <c r="B598" s="909">
        <v>0</v>
      </c>
      <c r="C598" s="920"/>
      <c r="D598" s="636">
        <f t="shared" si="112"/>
        <v>0</v>
      </c>
      <c r="E598" s="629"/>
      <c r="F598" s="907">
        <f>0.004*B598</f>
        <v>0</v>
      </c>
      <c r="G598" s="908"/>
      <c r="H598" s="431">
        <f>F598*5</f>
        <v>0</v>
      </c>
      <c r="I598" s="81">
        <v>0</v>
      </c>
      <c r="J598" s="81">
        <v>0</v>
      </c>
      <c r="K598" s="81">
        <v>0</v>
      </c>
      <c r="L598" s="81">
        <f>I598+J598+K598</f>
        <v>0</v>
      </c>
      <c r="M598" s="905">
        <v>0</v>
      </c>
      <c r="N598" s="906"/>
    </row>
    <row r="599" spans="1:21" ht="14" thickBot="1">
      <c r="A599" s="26" t="s">
        <v>12</v>
      </c>
      <c r="B599" s="909">
        <v>0</v>
      </c>
      <c r="C599" s="920"/>
      <c r="D599" s="636">
        <f t="shared" si="112"/>
        <v>0</v>
      </c>
      <c r="E599" s="629"/>
      <c r="F599" s="907">
        <f>3.2*B599</f>
        <v>0</v>
      </c>
      <c r="G599" s="908"/>
      <c r="H599" s="431">
        <f>F599*5</f>
        <v>0</v>
      </c>
      <c r="I599" s="81">
        <v>0</v>
      </c>
      <c r="J599" s="81">
        <v>0</v>
      </c>
      <c r="K599" s="81">
        <v>0</v>
      </c>
      <c r="L599" s="81">
        <v>0</v>
      </c>
      <c r="M599" s="905">
        <v>0</v>
      </c>
      <c r="N599" s="906"/>
    </row>
    <row r="600" spans="1:21" s="275" customFormat="1" ht="14" thickBot="1">
      <c r="A600" s="40" t="s">
        <v>60</v>
      </c>
      <c r="B600" s="644">
        <f>SUM(B594:C599)</f>
        <v>18</v>
      </c>
      <c r="C600" s="706"/>
      <c r="D600" s="645">
        <f>SUM(D593:E599)</f>
        <v>161882.77679999999</v>
      </c>
      <c r="E600" s="706"/>
      <c r="F600" s="707">
        <f>SUM(F593:G599)</f>
        <v>0.49680000000000002</v>
      </c>
      <c r="G600" s="708"/>
      <c r="H600" s="230">
        <f>SUM(H594:H599)</f>
        <v>7.452</v>
      </c>
      <c r="I600" s="98">
        <f>SUM(I594:I599)</f>
        <v>0</v>
      </c>
      <c r="J600" s="98">
        <f>SUM(J594:J599)</f>
        <v>0</v>
      </c>
      <c r="K600" s="98">
        <f>SUM(K594:K599)</f>
        <v>4500</v>
      </c>
      <c r="L600" s="98">
        <f>SUM(L594:L599)</f>
        <v>4500</v>
      </c>
      <c r="M600" s="753"/>
      <c r="N600" s="732"/>
      <c r="O600" s="276"/>
      <c r="P600" s="276"/>
      <c r="Q600" s="276"/>
      <c r="R600" s="276"/>
      <c r="S600" s="276"/>
      <c r="T600" s="276"/>
      <c r="U600" s="276"/>
    </row>
    <row r="601" spans="1:21" s="530" customFormat="1" ht="17" thickBot="1">
      <c r="A601" s="538" t="s">
        <v>17</v>
      </c>
      <c r="B601" s="761">
        <f>B600+B589+B592</f>
        <v>509</v>
      </c>
      <c r="C601" s="760"/>
      <c r="D601" s="759">
        <f>SUM(D600,D592,D589)</f>
        <v>5297143.4717999995</v>
      </c>
      <c r="E601" s="760"/>
      <c r="F601" s="960">
        <f>SUM(F600,F592,F589)</f>
        <v>16.256289107088062</v>
      </c>
      <c r="G601" s="764"/>
      <c r="H601" s="576">
        <f>SUM(H589,H592,H600)</f>
        <v>291.0144455354403</v>
      </c>
      <c r="I601" s="539">
        <f>I589+I592+I600</f>
        <v>0</v>
      </c>
      <c r="J601" s="539">
        <f>J589+J592+J600</f>
        <v>3854</v>
      </c>
      <c r="K601" s="539">
        <f>K589+K592+K600</f>
        <v>43350</v>
      </c>
      <c r="L601" s="539">
        <f>L589+L592+L600</f>
        <v>47204</v>
      </c>
      <c r="M601" s="757"/>
      <c r="N601" s="758"/>
      <c r="O601" s="135"/>
      <c r="P601" s="135"/>
      <c r="Q601" s="135"/>
      <c r="R601" s="135"/>
      <c r="S601" s="135"/>
      <c r="T601" s="135"/>
      <c r="U601" s="135"/>
    </row>
    <row r="603" spans="1:21" ht="15">
      <c r="A603" s="5" t="s">
        <v>18</v>
      </c>
      <c r="B603" s="979" t="s">
        <v>59</v>
      </c>
      <c r="C603" s="690"/>
      <c r="D603" s="690"/>
      <c r="E603" s="980"/>
    </row>
    <row r="604" spans="1:21">
      <c r="B604" s="627" t="s">
        <v>19</v>
      </c>
      <c r="C604" s="627"/>
      <c r="D604" s="627"/>
      <c r="E604" s="627"/>
    </row>
    <row r="605" spans="1:21" ht="14" thickBot="1">
      <c r="B605" s="294"/>
      <c r="C605" s="294"/>
      <c r="D605" s="294"/>
      <c r="E605" s="294"/>
    </row>
    <row r="606" spans="1:21" s="178" customFormat="1" ht="16">
      <c r="A606" s="63"/>
      <c r="B606" s="64"/>
      <c r="C606" s="64"/>
      <c r="D606" s="64"/>
      <c r="E606" s="64"/>
      <c r="F606" s="200"/>
      <c r="G606" s="200"/>
      <c r="H606" s="200"/>
      <c r="I606" s="670" t="s">
        <v>0</v>
      </c>
      <c r="J606" s="670"/>
      <c r="K606" s="670"/>
      <c r="L606" s="670"/>
      <c r="M606" s="64"/>
      <c r="N606" s="65"/>
      <c r="O606" s="610"/>
      <c r="P606" s="610"/>
      <c r="Q606" s="610"/>
      <c r="R606" s="610"/>
      <c r="S606" s="610"/>
      <c r="T606" s="610"/>
      <c r="U606" s="610"/>
    </row>
    <row r="607" spans="1:21" ht="16">
      <c r="A607" s="62"/>
      <c r="B607" s="671" t="s">
        <v>1</v>
      </c>
      <c r="C607" s="671"/>
      <c r="D607" s="671" t="s">
        <v>2</v>
      </c>
      <c r="E607" s="671"/>
      <c r="F607" s="672" t="s">
        <v>3</v>
      </c>
      <c r="G607" s="672"/>
      <c r="H607" s="207" t="s">
        <v>3</v>
      </c>
      <c r="I607" s="78" t="s">
        <v>135</v>
      </c>
      <c r="J607" s="66"/>
      <c r="K607" s="66"/>
      <c r="L607" s="79"/>
      <c r="M607" s="671" t="s">
        <v>4</v>
      </c>
      <c r="N607" s="674"/>
    </row>
    <row r="608" spans="1:21" ht="19" thickBot="1">
      <c r="A608" s="67" t="s">
        <v>5</v>
      </c>
      <c r="B608" s="675" t="s">
        <v>6</v>
      </c>
      <c r="C608" s="675"/>
      <c r="D608" s="675" t="s">
        <v>7</v>
      </c>
      <c r="E608" s="675"/>
      <c r="F608" s="676" t="s">
        <v>7</v>
      </c>
      <c r="G608" s="676"/>
      <c r="H608" s="208" t="s">
        <v>58</v>
      </c>
      <c r="I608" s="185" t="s">
        <v>136</v>
      </c>
      <c r="J608" s="184" t="s">
        <v>8</v>
      </c>
      <c r="K608" s="184" t="s">
        <v>9</v>
      </c>
      <c r="L608" s="187" t="s">
        <v>10</v>
      </c>
      <c r="M608" s="675" t="s">
        <v>103</v>
      </c>
      <c r="N608" s="678"/>
    </row>
    <row r="609" spans="1:21" ht="24" thickBot="1">
      <c r="A609" s="60" t="s">
        <v>99</v>
      </c>
      <c r="B609" s="928"/>
      <c r="C609" s="680"/>
      <c r="D609" s="681"/>
      <c r="E609" s="682"/>
      <c r="F609" s="683"/>
      <c r="G609" s="684"/>
      <c r="H609" s="211"/>
      <c r="I609" s="3"/>
      <c r="J609" s="3"/>
      <c r="K609" s="3"/>
      <c r="L609" s="4"/>
      <c r="M609" s="929"/>
      <c r="N609" s="930"/>
    </row>
    <row r="610" spans="1:21" s="530" customFormat="1" ht="17" thickBot="1">
      <c r="A610" s="71" t="s">
        <v>61</v>
      </c>
      <c r="B610" s="663"/>
      <c r="C610" s="716"/>
      <c r="D610" s="729"/>
      <c r="E610" s="716"/>
      <c r="F610" s="717"/>
      <c r="G610" s="718"/>
      <c r="H610" s="524"/>
      <c r="I610" s="72"/>
      <c r="J610" s="72"/>
      <c r="K610" s="72"/>
      <c r="L610" s="521"/>
      <c r="M610" s="719"/>
      <c r="N610" s="689"/>
      <c r="O610" s="135"/>
      <c r="P610" s="135"/>
      <c r="Q610" s="135"/>
      <c r="R610" s="135"/>
      <c r="S610" s="135"/>
      <c r="T610" s="135"/>
      <c r="U610" s="135"/>
    </row>
    <row r="611" spans="1:21">
      <c r="A611" s="24" t="s">
        <v>62</v>
      </c>
      <c r="B611" s="909">
        <v>287</v>
      </c>
      <c r="C611" s="920"/>
      <c r="D611" s="636">
        <f>F611*325851</f>
        <v>3245117.5238999999</v>
      </c>
      <c r="E611" s="629"/>
      <c r="F611" s="931">
        <f>0.0347*B611</f>
        <v>9.9588999999999999</v>
      </c>
      <c r="G611" s="908"/>
      <c r="H611" s="431">
        <f>F611*20</f>
        <v>199.178</v>
      </c>
      <c r="I611" s="81">
        <v>0</v>
      </c>
      <c r="J611" s="81">
        <v>574</v>
      </c>
      <c r="K611" s="81">
        <v>17220</v>
      </c>
      <c r="L611" s="81">
        <f>I611+J611+K611</f>
        <v>17794</v>
      </c>
      <c r="M611" s="905">
        <v>4.7</v>
      </c>
      <c r="N611" s="906"/>
    </row>
    <row r="612" spans="1:21">
      <c r="A612" s="24" t="s">
        <v>63</v>
      </c>
      <c r="B612" s="909">
        <v>2</v>
      </c>
      <c r="C612" s="920"/>
      <c r="D612" s="636">
        <f>F612*325851</f>
        <v>22614.059400000002</v>
      </c>
      <c r="E612" s="629"/>
      <c r="F612" s="931">
        <f>0.0347*B612</f>
        <v>6.9400000000000003E-2</v>
      </c>
      <c r="G612" s="908"/>
      <c r="H612" s="431">
        <f>F612*20</f>
        <v>1.3880000000000001</v>
      </c>
      <c r="I612" s="81">
        <v>0</v>
      </c>
      <c r="J612" s="81">
        <v>22</v>
      </c>
      <c r="K612" s="81">
        <v>120</v>
      </c>
      <c r="L612" s="81">
        <f>I612+J612+K612</f>
        <v>142</v>
      </c>
      <c r="M612" s="905">
        <v>3.4</v>
      </c>
      <c r="N612" s="906"/>
    </row>
    <row r="613" spans="1:21">
      <c r="A613" s="54" t="s">
        <v>168</v>
      </c>
      <c r="B613" s="909">
        <v>130</v>
      </c>
      <c r="C613" s="920"/>
      <c r="D613" s="636">
        <f>F613*325851</f>
        <v>1469913.861</v>
      </c>
      <c r="E613" s="629"/>
      <c r="F613" s="931">
        <f>0.0347*B613</f>
        <v>4.5110000000000001</v>
      </c>
      <c r="G613" s="908"/>
      <c r="H613" s="431">
        <f>F613*20</f>
        <v>90.22</v>
      </c>
      <c r="I613" s="81">
        <v>0</v>
      </c>
      <c r="J613" s="81">
        <v>130</v>
      </c>
      <c r="K613" s="81">
        <v>7800</v>
      </c>
      <c r="L613" s="81">
        <f>I613+J613+K613</f>
        <v>7930</v>
      </c>
      <c r="M613" s="905">
        <v>4.5999999999999996</v>
      </c>
      <c r="N613" s="906"/>
    </row>
    <row r="614" spans="1:21">
      <c r="A614" s="26" t="s">
        <v>13</v>
      </c>
      <c r="B614" s="909">
        <v>130</v>
      </c>
      <c r="C614" s="920"/>
      <c r="D614" s="636">
        <f>F614*325851</f>
        <v>1169153.388</v>
      </c>
      <c r="E614" s="629"/>
      <c r="F614" s="907">
        <f>0.0276*B614</f>
        <v>3.5880000000000001</v>
      </c>
      <c r="G614" s="908"/>
      <c r="H614" s="431">
        <f>F614*15</f>
        <v>53.82</v>
      </c>
      <c r="I614" s="81">
        <v>0</v>
      </c>
      <c r="J614" s="81">
        <v>130</v>
      </c>
      <c r="K614" s="81">
        <v>14300</v>
      </c>
      <c r="L614" s="81">
        <f>I614+J614+K614</f>
        <v>14430</v>
      </c>
      <c r="M614" s="905">
        <v>5.7</v>
      </c>
      <c r="N614" s="906"/>
    </row>
    <row r="615" spans="1:21" ht="14" thickBot="1">
      <c r="A615" s="27" t="s">
        <v>14</v>
      </c>
      <c r="B615" s="909">
        <v>23</v>
      </c>
      <c r="C615" s="920"/>
      <c r="D615" s="636">
        <v>802854</v>
      </c>
      <c r="E615" s="629"/>
      <c r="F615" s="907">
        <v>2.46</v>
      </c>
      <c r="G615" s="908"/>
      <c r="H615" s="431">
        <f>F615*5</f>
        <v>12.3</v>
      </c>
      <c r="I615" s="81">
        <v>0</v>
      </c>
      <c r="J615" s="81">
        <v>1219</v>
      </c>
      <c r="K615" s="81">
        <v>0</v>
      </c>
      <c r="L615" s="81">
        <f>I615+J615+K615</f>
        <v>1219</v>
      </c>
      <c r="M615" s="905">
        <v>2.4</v>
      </c>
      <c r="N615" s="906"/>
    </row>
    <row r="616" spans="1:21" s="275" customFormat="1" ht="14" thickBot="1">
      <c r="A616" s="40" t="s">
        <v>60</v>
      </c>
      <c r="B616" s="644">
        <f>SUM(B611:C615)</f>
        <v>572</v>
      </c>
      <c r="C616" s="706"/>
      <c r="D616" s="645">
        <f>SUM(D611:E615)</f>
        <v>6709652.8322999999</v>
      </c>
      <c r="E616" s="706"/>
      <c r="F616" s="707">
        <f>SUM(F611:G615)</f>
        <v>20.587300000000003</v>
      </c>
      <c r="G616" s="708"/>
      <c r="H616" s="310">
        <f>SUM(H611:H615)</f>
        <v>356.90600000000001</v>
      </c>
      <c r="I616" s="86">
        <f>SUM(I611:I615)</f>
        <v>0</v>
      </c>
      <c r="J616" s="86">
        <f>SUM(J611:J615)</f>
        <v>2075</v>
      </c>
      <c r="K616" s="86">
        <f>SUM(K611:K615)</f>
        <v>39440</v>
      </c>
      <c r="L616" s="86">
        <f>SUM(L611:L615)</f>
        <v>41515</v>
      </c>
      <c r="M616" s="753"/>
      <c r="N616" s="732"/>
      <c r="O616" s="276"/>
      <c r="P616" s="276"/>
      <c r="Q616" s="276"/>
      <c r="R616" s="276"/>
      <c r="S616" s="276"/>
      <c r="T616" s="276"/>
      <c r="U616" s="276"/>
    </row>
    <row r="617" spans="1:21" s="530" customFormat="1" ht="17" thickBot="1">
      <c r="A617" s="569" t="s">
        <v>105</v>
      </c>
      <c r="B617" s="663"/>
      <c r="C617" s="716"/>
      <c r="D617" s="729"/>
      <c r="E617" s="716"/>
      <c r="F617" s="687"/>
      <c r="G617" s="718"/>
      <c r="H617" s="524"/>
      <c r="I617" s="100"/>
      <c r="J617" s="100"/>
      <c r="K617" s="100"/>
      <c r="L617" s="101"/>
      <c r="M617" s="719"/>
      <c r="N617" s="689"/>
      <c r="O617" s="135"/>
      <c r="P617" s="135"/>
      <c r="Q617" s="135"/>
      <c r="R617" s="135"/>
      <c r="S617" s="135"/>
      <c r="T617" s="135"/>
      <c r="U617" s="135"/>
    </row>
    <row r="618" spans="1:21" ht="14" thickBot="1">
      <c r="A618" s="26" t="s">
        <v>11</v>
      </c>
      <c r="B618" s="895">
        <v>106</v>
      </c>
      <c r="C618" s="920"/>
      <c r="D618" s="636">
        <f>F618*325851</f>
        <v>1198545.1482000002</v>
      </c>
      <c r="E618" s="629"/>
      <c r="F618" s="907">
        <f>0.0347*B618</f>
        <v>3.6782000000000004</v>
      </c>
      <c r="G618" s="908"/>
      <c r="H618" s="431">
        <f>F618*20</f>
        <v>73.564000000000007</v>
      </c>
      <c r="I618" s="81">
        <v>0</v>
      </c>
      <c r="J618" s="81">
        <v>3604</v>
      </c>
      <c r="K618" s="81">
        <v>6360</v>
      </c>
      <c r="L618" s="81">
        <f>I618+J618+K618</f>
        <v>9964</v>
      </c>
      <c r="M618" s="905">
        <v>4.2</v>
      </c>
      <c r="N618" s="906"/>
    </row>
    <row r="619" spans="1:21" s="275" customFormat="1" ht="14" thickBot="1">
      <c r="A619" s="40" t="s">
        <v>60</v>
      </c>
      <c r="B619" s="644">
        <f>SUM(B618)</f>
        <v>106</v>
      </c>
      <c r="C619" s="643"/>
      <c r="D619" s="645">
        <f>SUM(D618)</f>
        <v>1198545.1482000002</v>
      </c>
      <c r="E619" s="643"/>
      <c r="F619" s="707">
        <f>SUM(F618)</f>
        <v>3.6782000000000004</v>
      </c>
      <c r="G619" s="708"/>
      <c r="H619" s="310">
        <f>SUM(H618)</f>
        <v>73.564000000000007</v>
      </c>
      <c r="I619" s="86">
        <f>SUM(I618)</f>
        <v>0</v>
      </c>
      <c r="J619" s="86">
        <f>SUM(J618)</f>
        <v>3604</v>
      </c>
      <c r="K619" s="86">
        <f>SUM(K618)</f>
        <v>6360</v>
      </c>
      <c r="L619" s="86">
        <f>SUM(L618)</f>
        <v>9964</v>
      </c>
      <c r="M619" s="753"/>
      <c r="N619" s="927"/>
      <c r="O619" s="276"/>
      <c r="P619" s="276"/>
      <c r="Q619" s="276"/>
      <c r="R619" s="276"/>
      <c r="S619" s="276"/>
      <c r="T619" s="276"/>
      <c r="U619" s="276"/>
    </row>
    <row r="620" spans="1:21" s="530" customFormat="1" ht="17" thickBot="1">
      <c r="A620" s="71" t="s">
        <v>50</v>
      </c>
      <c r="B620" s="663"/>
      <c r="C620" s="716"/>
      <c r="D620" s="729"/>
      <c r="E620" s="716"/>
      <c r="F620" s="687"/>
      <c r="G620" s="718"/>
      <c r="H620" s="524"/>
      <c r="I620" s="100"/>
      <c r="J620" s="100"/>
      <c r="K620" s="100"/>
      <c r="L620" s="101"/>
      <c r="M620" s="719"/>
      <c r="N620" s="689"/>
      <c r="O620" s="135"/>
      <c r="P620" s="135"/>
      <c r="Q620" s="135"/>
      <c r="R620" s="135"/>
      <c r="S620" s="135"/>
      <c r="T620" s="135"/>
      <c r="U620" s="135"/>
    </row>
    <row r="621" spans="1:21">
      <c r="A621" s="26" t="s">
        <v>13</v>
      </c>
      <c r="B621" s="909">
        <v>18</v>
      </c>
      <c r="C621" s="920"/>
      <c r="D621" s="636">
        <f>F621*325851</f>
        <v>161882.77679999999</v>
      </c>
      <c r="E621" s="629"/>
      <c r="F621" s="907">
        <f>0.0276*B621</f>
        <v>0.49680000000000002</v>
      </c>
      <c r="G621" s="908"/>
      <c r="H621" s="431">
        <f>F621*15</f>
        <v>7.452</v>
      </c>
      <c r="I621" s="81">
        <v>0</v>
      </c>
      <c r="J621" s="81">
        <v>0</v>
      </c>
      <c r="K621" s="81">
        <v>4500</v>
      </c>
      <c r="L621" s="81">
        <f>I621+J621+K621</f>
        <v>4500</v>
      </c>
      <c r="M621" s="905">
        <v>5.0999999999999996</v>
      </c>
      <c r="N621" s="906"/>
    </row>
    <row r="622" spans="1:21">
      <c r="A622" s="27" t="s">
        <v>70</v>
      </c>
      <c r="B622" s="909">
        <v>2</v>
      </c>
      <c r="C622" s="920"/>
      <c r="D622" s="636">
        <f>F622*325851</f>
        <v>99971.086800000005</v>
      </c>
      <c r="E622" s="629"/>
      <c r="F622" s="907">
        <f>0.1534*B622</f>
        <v>0.30680000000000002</v>
      </c>
      <c r="G622" s="908"/>
      <c r="H622" s="431">
        <f>F622*5</f>
        <v>1.534</v>
      </c>
      <c r="I622" s="81">
        <v>0</v>
      </c>
      <c r="J622" s="81">
        <v>0</v>
      </c>
      <c r="K622" s="81">
        <v>200</v>
      </c>
      <c r="L622" s="81">
        <f>I622+J622+K622</f>
        <v>200</v>
      </c>
      <c r="M622" s="905">
        <v>1.6</v>
      </c>
      <c r="N622" s="906"/>
    </row>
    <row r="623" spans="1:21">
      <c r="A623" s="27" t="s">
        <v>71</v>
      </c>
      <c r="B623" s="909">
        <v>24</v>
      </c>
      <c r="C623" s="920"/>
      <c r="D623" s="636">
        <f>F623*325851</f>
        <v>1199653.0416000001</v>
      </c>
      <c r="E623" s="629"/>
      <c r="F623" s="907">
        <f>0.1534*B623</f>
        <v>3.6816000000000004</v>
      </c>
      <c r="G623" s="908"/>
      <c r="H623" s="431">
        <f>F623*5</f>
        <v>18.408000000000001</v>
      </c>
      <c r="I623" s="81">
        <v>0</v>
      </c>
      <c r="J623" s="81">
        <v>2400</v>
      </c>
      <c r="K623" s="81">
        <v>2400</v>
      </c>
      <c r="L623" s="81">
        <f>I623+J623+K623</f>
        <v>4800</v>
      </c>
      <c r="M623" s="905">
        <v>3.1</v>
      </c>
      <c r="N623" s="906"/>
    </row>
    <row r="624" spans="1:21" ht="14" thickBot="1">
      <c r="A624" s="27" t="s">
        <v>16</v>
      </c>
      <c r="B624" s="909">
        <v>0</v>
      </c>
      <c r="C624" s="920"/>
      <c r="D624" s="636">
        <f>F624*325851</f>
        <v>0</v>
      </c>
      <c r="E624" s="629"/>
      <c r="F624" s="907">
        <f>0.004*B624</f>
        <v>0</v>
      </c>
      <c r="G624" s="908"/>
      <c r="H624" s="431">
        <f>F624*5</f>
        <v>0</v>
      </c>
      <c r="I624" s="81">
        <v>0</v>
      </c>
      <c r="J624" s="81">
        <v>0</v>
      </c>
      <c r="K624" s="81">
        <v>0</v>
      </c>
      <c r="L624" s="81">
        <f>I624+J624+K624</f>
        <v>0</v>
      </c>
      <c r="M624" s="905">
        <v>0</v>
      </c>
      <c r="N624" s="906"/>
    </row>
    <row r="625" spans="1:21" s="275" customFormat="1" ht="14" thickBot="1">
      <c r="A625" s="40" t="s">
        <v>60</v>
      </c>
      <c r="B625" s="644">
        <f>SUM(B621:C624)</f>
        <v>44</v>
      </c>
      <c r="C625" s="706"/>
      <c r="D625" s="645">
        <f>SUM(D621:E624)</f>
        <v>1461506.9052000002</v>
      </c>
      <c r="E625" s="706"/>
      <c r="F625" s="707">
        <f>SUM(F621:G624)</f>
        <v>4.4852000000000007</v>
      </c>
      <c r="G625" s="708"/>
      <c r="H625" s="230">
        <f>SUM(H621:H624)</f>
        <v>27.394000000000002</v>
      </c>
      <c r="I625" s="91">
        <f>SUM(I621:I624)</f>
        <v>0</v>
      </c>
      <c r="J625" s="91">
        <f>SUM(J621:J624)</f>
        <v>2400</v>
      </c>
      <c r="K625" s="180">
        <f>SUM(K621:K624)</f>
        <v>7100</v>
      </c>
      <c r="L625" s="91">
        <f>SUM(L621:L624)</f>
        <v>9500</v>
      </c>
      <c r="M625" s="753"/>
      <c r="N625" s="732"/>
      <c r="O625" s="276"/>
      <c r="P625" s="276"/>
      <c r="Q625" s="276"/>
      <c r="R625" s="276"/>
      <c r="S625" s="276"/>
      <c r="T625" s="276"/>
      <c r="U625" s="276"/>
    </row>
    <row r="626" spans="1:21" s="530" customFormat="1" ht="17" thickBot="1">
      <c r="A626" s="538" t="s">
        <v>17</v>
      </c>
      <c r="B626" s="761">
        <f>B616+B619+B625</f>
        <v>722</v>
      </c>
      <c r="C626" s="760"/>
      <c r="D626" s="759">
        <f>SUM(D625,D616,D619)</f>
        <v>9369704.8857000005</v>
      </c>
      <c r="E626" s="760"/>
      <c r="F626" s="960">
        <f>SUM(F625,F616,F619)</f>
        <v>28.750700000000005</v>
      </c>
      <c r="G626" s="764"/>
      <c r="H626" s="576">
        <f>H616+H619+H625</f>
        <v>457.86400000000003</v>
      </c>
      <c r="I626" s="539">
        <f>I616+I619+I625</f>
        <v>0</v>
      </c>
      <c r="J626" s="539">
        <f>J616+J619+J625</f>
        <v>8079</v>
      </c>
      <c r="K626" s="539">
        <f>K616+K619+K625</f>
        <v>52900</v>
      </c>
      <c r="L626" s="539">
        <f>L616+L619+L625</f>
        <v>60979</v>
      </c>
      <c r="M626" s="757"/>
      <c r="N626" s="758"/>
      <c r="O626" s="135"/>
      <c r="P626" s="135"/>
      <c r="Q626" s="135"/>
      <c r="R626" s="135"/>
      <c r="S626" s="135"/>
      <c r="T626" s="135"/>
      <c r="U626" s="135"/>
    </row>
    <row r="627" spans="1:21">
      <c r="A627" s="318"/>
      <c r="B627" s="2"/>
      <c r="C627" s="2"/>
      <c r="D627" s="2"/>
      <c r="E627" s="2"/>
      <c r="F627" s="221"/>
      <c r="G627" s="221"/>
      <c r="H627" s="221"/>
      <c r="I627" s="2"/>
      <c r="J627" s="2"/>
      <c r="K627" s="2"/>
      <c r="L627" s="2"/>
      <c r="M627" s="2"/>
      <c r="N627" s="318"/>
    </row>
    <row r="628" spans="1:21" ht="14" thickBot="1">
      <c r="A628" s="332"/>
      <c r="B628" s="2"/>
      <c r="C628" s="2"/>
      <c r="D628" s="2"/>
      <c r="E628" s="2"/>
      <c r="F628" s="221"/>
      <c r="G628" s="221"/>
      <c r="H628" s="221"/>
      <c r="I628" s="2"/>
      <c r="J628" s="2"/>
      <c r="K628" s="2"/>
      <c r="L628" s="2"/>
      <c r="M628" s="2"/>
      <c r="N628" s="332"/>
    </row>
    <row r="629" spans="1:21" ht="24" thickBot="1">
      <c r="A629" s="60" t="s">
        <v>100</v>
      </c>
      <c r="B629" s="9"/>
      <c r="C629" s="7"/>
      <c r="D629" s="6"/>
      <c r="E629" s="7"/>
      <c r="F629" s="204"/>
      <c r="G629" s="205"/>
      <c r="H629" s="205"/>
      <c r="I629" s="8"/>
      <c r="J629" s="8"/>
      <c r="K629" s="8"/>
      <c r="L629" s="8"/>
      <c r="M629" s="9"/>
      <c r="N629" s="10"/>
    </row>
    <row r="630" spans="1:21" s="530" customFormat="1" ht="17" thickBot="1">
      <c r="A630" s="71" t="s">
        <v>61</v>
      </c>
      <c r="B630" s="663"/>
      <c r="C630" s="716"/>
      <c r="D630" s="729"/>
      <c r="E630" s="716"/>
      <c r="F630" s="717"/>
      <c r="G630" s="718"/>
      <c r="H630" s="524"/>
      <c r="I630" s="72"/>
      <c r="J630" s="72"/>
      <c r="K630" s="72"/>
      <c r="L630" s="521"/>
      <c r="M630" s="719"/>
      <c r="N630" s="689"/>
      <c r="O630" s="135"/>
      <c r="P630" s="135"/>
      <c r="Q630" s="135"/>
      <c r="R630" s="135"/>
      <c r="S630" s="135"/>
      <c r="T630" s="135"/>
      <c r="U630" s="135"/>
    </row>
    <row r="631" spans="1:21">
      <c r="A631" s="24" t="s">
        <v>62</v>
      </c>
      <c r="B631" s="909">
        <v>370</v>
      </c>
      <c r="C631" s="920"/>
      <c r="D631" s="636">
        <f>F631*325851</f>
        <v>4183600.9890000001</v>
      </c>
      <c r="E631" s="629"/>
      <c r="F631" s="931">
        <f>0.0347*B631</f>
        <v>12.839</v>
      </c>
      <c r="G631" s="908"/>
      <c r="H631" s="431">
        <f>F631*20</f>
        <v>256.78000000000003</v>
      </c>
      <c r="I631" s="81">
        <v>0</v>
      </c>
      <c r="J631" s="81">
        <v>740</v>
      </c>
      <c r="K631" s="81">
        <v>22200</v>
      </c>
      <c r="L631" s="81">
        <f>I631+J631+K631</f>
        <v>22940</v>
      </c>
      <c r="M631" s="905">
        <v>4.7</v>
      </c>
      <c r="N631" s="906"/>
    </row>
    <row r="632" spans="1:21">
      <c r="A632" s="24" t="s">
        <v>63</v>
      </c>
      <c r="B632" s="909">
        <v>33</v>
      </c>
      <c r="C632" s="920"/>
      <c r="D632" s="636">
        <f>F632*325851</f>
        <v>373131.98009999999</v>
      </c>
      <c r="E632" s="629"/>
      <c r="F632" s="931">
        <f>0.0347*B632</f>
        <v>1.1451</v>
      </c>
      <c r="G632" s="908"/>
      <c r="H632" s="431">
        <f>F632*20</f>
        <v>22.902000000000001</v>
      </c>
      <c r="I632" s="81">
        <v>0</v>
      </c>
      <c r="J632" s="81">
        <v>363</v>
      </c>
      <c r="K632" s="81">
        <v>1980</v>
      </c>
      <c r="L632" s="81">
        <f>I632+J632+K632</f>
        <v>2343</v>
      </c>
      <c r="M632" s="905">
        <v>5.6</v>
      </c>
      <c r="N632" s="906"/>
    </row>
    <row r="633" spans="1:21">
      <c r="A633" s="24" t="s">
        <v>64</v>
      </c>
      <c r="B633" s="909">
        <v>14</v>
      </c>
      <c r="C633" s="920"/>
      <c r="D633" s="636">
        <f>F633*325851</f>
        <v>158298.41580000002</v>
      </c>
      <c r="E633" s="629"/>
      <c r="F633" s="931">
        <f>0.0347*B633</f>
        <v>0.48580000000000001</v>
      </c>
      <c r="G633" s="908"/>
      <c r="H633" s="431">
        <f>F633*20</f>
        <v>9.7160000000000011</v>
      </c>
      <c r="I633" s="81">
        <v>0</v>
      </c>
      <c r="J633" s="81">
        <v>14</v>
      </c>
      <c r="K633" s="81">
        <v>840</v>
      </c>
      <c r="L633" s="81">
        <f>I633+J633+K633</f>
        <v>854</v>
      </c>
      <c r="M633" s="905">
        <v>5.0999999999999996</v>
      </c>
      <c r="N633" s="906"/>
    </row>
    <row r="634" spans="1:21">
      <c r="A634" s="26" t="s">
        <v>13</v>
      </c>
      <c r="B634" s="909">
        <v>127</v>
      </c>
      <c r="C634" s="920"/>
      <c r="D634" s="636">
        <f>F634*325851</f>
        <v>1142172.9251999999</v>
      </c>
      <c r="E634" s="629"/>
      <c r="F634" s="931">
        <f>0.0276*B634</f>
        <v>3.5051999999999999</v>
      </c>
      <c r="G634" s="908"/>
      <c r="H634" s="431">
        <f>F634*15</f>
        <v>52.577999999999996</v>
      </c>
      <c r="I634" s="81">
        <v>0</v>
      </c>
      <c r="J634" s="81">
        <v>127</v>
      </c>
      <c r="K634" s="81">
        <v>13970</v>
      </c>
      <c r="L634" s="81">
        <f>I634+J634+K634</f>
        <v>14097</v>
      </c>
      <c r="M634" s="905">
        <v>5.8</v>
      </c>
      <c r="N634" s="906"/>
    </row>
    <row r="635" spans="1:21" ht="14" thickBot="1">
      <c r="A635" s="26" t="s">
        <v>14</v>
      </c>
      <c r="B635" s="909">
        <v>25</v>
      </c>
      <c r="C635" s="920"/>
      <c r="D635" s="895">
        <v>1246986</v>
      </c>
      <c r="E635" s="629"/>
      <c r="F635" s="931">
        <v>3.83</v>
      </c>
      <c r="G635" s="908"/>
      <c r="H635" s="431">
        <f>F635*5</f>
        <v>19.149999999999999</v>
      </c>
      <c r="I635" s="81">
        <v>0</v>
      </c>
      <c r="J635" s="81">
        <v>1325</v>
      </c>
      <c r="K635" s="81">
        <v>0</v>
      </c>
      <c r="L635" s="81">
        <f>I635+J635+K635</f>
        <v>1325</v>
      </c>
      <c r="M635" s="905">
        <v>2.4</v>
      </c>
      <c r="N635" s="906"/>
    </row>
    <row r="636" spans="1:21" s="275" customFormat="1" ht="14" thickBot="1">
      <c r="A636" s="40" t="s">
        <v>60</v>
      </c>
      <c r="B636" s="644">
        <f>SUM(B631:C635)</f>
        <v>569</v>
      </c>
      <c r="C636" s="706"/>
      <c r="D636" s="645">
        <f>SUM(D631:E635)</f>
        <v>7104190.3101000004</v>
      </c>
      <c r="E636" s="706"/>
      <c r="F636" s="707">
        <f>SUM(F631:G635)</f>
        <v>21.805099999999996</v>
      </c>
      <c r="G636" s="708"/>
      <c r="H636" s="310">
        <f>SUM(H631:H635)</f>
        <v>361.12599999999998</v>
      </c>
      <c r="I636" s="86">
        <f>SUM(I631:I635)</f>
        <v>0</v>
      </c>
      <c r="J636" s="86">
        <f>SUM(J631:J635)</f>
        <v>2569</v>
      </c>
      <c r="K636" s="86">
        <f>SUM(K631:K635)</f>
        <v>38990</v>
      </c>
      <c r="L636" s="86">
        <f>SUM(L631:L635)</f>
        <v>41559</v>
      </c>
      <c r="M636" s="753"/>
      <c r="N636" s="732"/>
      <c r="O636" s="276"/>
      <c r="P636" s="276"/>
      <c r="Q636" s="276"/>
      <c r="R636" s="276"/>
      <c r="S636" s="276"/>
      <c r="T636" s="276"/>
      <c r="U636" s="276"/>
    </row>
    <row r="637" spans="1:21" s="530" customFormat="1" ht="17" thickBot="1">
      <c r="A637" s="569" t="s">
        <v>105</v>
      </c>
      <c r="B637" s="663"/>
      <c r="C637" s="716"/>
      <c r="D637" s="729"/>
      <c r="E637" s="716"/>
      <c r="F637" s="687"/>
      <c r="G637" s="718"/>
      <c r="H637" s="524"/>
      <c r="I637" s="100"/>
      <c r="J637" s="100"/>
      <c r="K637" s="100"/>
      <c r="L637" s="101"/>
      <c r="M637" s="719"/>
      <c r="N637" s="689"/>
      <c r="O637" s="135"/>
      <c r="P637" s="135"/>
      <c r="Q637" s="135"/>
      <c r="R637" s="135"/>
      <c r="S637" s="135"/>
      <c r="T637" s="135"/>
      <c r="U637" s="135"/>
    </row>
    <row r="638" spans="1:21" ht="14" thickBot="1">
      <c r="A638" s="26" t="s">
        <v>11</v>
      </c>
      <c r="B638" s="909">
        <v>158</v>
      </c>
      <c r="C638" s="920"/>
      <c r="D638" s="636">
        <f>F638*325851</f>
        <v>1786510.6926000002</v>
      </c>
      <c r="E638" s="629"/>
      <c r="F638" s="907">
        <f>0.0347*B638</f>
        <v>5.4826000000000006</v>
      </c>
      <c r="G638" s="908"/>
      <c r="H638" s="431">
        <f>F638*20</f>
        <v>109.65200000000002</v>
      </c>
      <c r="I638" s="81">
        <v>0</v>
      </c>
      <c r="J638" s="81">
        <v>5372</v>
      </c>
      <c r="K638" s="81">
        <v>9480</v>
      </c>
      <c r="L638" s="81">
        <f>I638+J638+K638</f>
        <v>14852</v>
      </c>
      <c r="M638" s="905">
        <v>4.2</v>
      </c>
      <c r="N638" s="906"/>
    </row>
    <row r="639" spans="1:21" s="275" customFormat="1" ht="14" thickBot="1">
      <c r="A639" s="40" t="s">
        <v>60</v>
      </c>
      <c r="B639" s="644">
        <f>SUM(B638)</f>
        <v>158</v>
      </c>
      <c r="C639" s="706"/>
      <c r="D639" s="645">
        <f>SUM(D638)</f>
        <v>1786510.6926000002</v>
      </c>
      <c r="E639" s="706"/>
      <c r="F639" s="707">
        <f>SUM(F638)</f>
        <v>5.4826000000000006</v>
      </c>
      <c r="G639" s="708"/>
      <c r="H639" s="310">
        <f>SUM(H638)</f>
        <v>109.65200000000002</v>
      </c>
      <c r="I639" s="86">
        <f>SUM(I638)</f>
        <v>0</v>
      </c>
      <c r="J639" s="86">
        <f>SUM(J638)</f>
        <v>5372</v>
      </c>
      <c r="K639" s="86">
        <f>SUM(K638)</f>
        <v>9480</v>
      </c>
      <c r="L639" s="86">
        <f>SUM(L638)</f>
        <v>14852</v>
      </c>
      <c r="M639" s="753"/>
      <c r="N639" s="732"/>
      <c r="O639" s="276"/>
      <c r="P639" s="276"/>
      <c r="Q639" s="276"/>
      <c r="R639" s="276"/>
      <c r="S639" s="276"/>
      <c r="T639" s="276"/>
      <c r="U639" s="276"/>
    </row>
    <row r="640" spans="1:21" s="530" customFormat="1" ht="17" thickBot="1">
      <c r="A640" s="71" t="s">
        <v>50</v>
      </c>
      <c r="B640" s="663"/>
      <c r="C640" s="716"/>
      <c r="D640" s="729"/>
      <c r="E640" s="716"/>
      <c r="F640" s="687"/>
      <c r="G640" s="718"/>
      <c r="H640" s="524"/>
      <c r="I640" s="100"/>
      <c r="J640" s="100"/>
      <c r="K640" s="100"/>
      <c r="L640" s="101"/>
      <c r="M640" s="719"/>
      <c r="N640" s="689"/>
      <c r="O640" s="135"/>
      <c r="P640" s="135"/>
      <c r="Q640" s="135"/>
      <c r="R640" s="135"/>
      <c r="S640" s="135"/>
      <c r="T640" s="135"/>
      <c r="U640" s="135"/>
    </row>
    <row r="641" spans="1:21">
      <c r="A641" s="26" t="s">
        <v>13</v>
      </c>
      <c r="B641" s="626">
        <v>42</v>
      </c>
      <c r="C641" s="1020"/>
      <c r="D641" s="636">
        <f>F641*325851</f>
        <v>377726.4792</v>
      </c>
      <c r="E641" s="629"/>
      <c r="F641" s="907">
        <f>0.0276*B641</f>
        <v>1.1592</v>
      </c>
      <c r="G641" s="908"/>
      <c r="H641" s="431">
        <f>F641*15</f>
        <v>17.388000000000002</v>
      </c>
      <c r="I641" s="109">
        <v>0</v>
      </c>
      <c r="J641" s="109">
        <v>0</v>
      </c>
      <c r="K641" s="109">
        <v>10500</v>
      </c>
      <c r="L641" s="81">
        <f>I641+J641+K641</f>
        <v>10500</v>
      </c>
      <c r="M641" s="905">
        <v>5</v>
      </c>
      <c r="N641" s="906"/>
    </row>
    <row r="642" spans="1:21">
      <c r="A642" s="26" t="s">
        <v>15</v>
      </c>
      <c r="B642" s="626">
        <v>9</v>
      </c>
      <c r="C642" s="1020"/>
      <c r="D642" s="636">
        <f>F642*325851</f>
        <v>449869.89060000004</v>
      </c>
      <c r="E642" s="629"/>
      <c r="F642" s="907">
        <f>0.1534*B642</f>
        <v>1.3806</v>
      </c>
      <c r="G642" s="908"/>
      <c r="H642" s="431">
        <f>F642*5</f>
        <v>6.9030000000000005</v>
      </c>
      <c r="I642" s="81">
        <v>0</v>
      </c>
      <c r="J642" s="109">
        <v>900</v>
      </c>
      <c r="K642" s="109">
        <v>900</v>
      </c>
      <c r="L642" s="81">
        <f>I642+J642+K642</f>
        <v>1800</v>
      </c>
      <c r="M642" s="905">
        <v>3.1</v>
      </c>
      <c r="N642" s="906"/>
    </row>
    <row r="643" spans="1:21">
      <c r="A643" s="27" t="s">
        <v>16</v>
      </c>
      <c r="B643" s="626">
        <v>65</v>
      </c>
      <c r="C643" s="1020"/>
      <c r="D643" s="636">
        <f>F643*325851</f>
        <v>84721.260000000009</v>
      </c>
      <c r="E643" s="629"/>
      <c r="F643" s="907">
        <f>0.004*B643</f>
        <v>0.26</v>
      </c>
      <c r="G643" s="908"/>
      <c r="H643" s="431">
        <f>F643*5</f>
        <v>1.3</v>
      </c>
      <c r="I643" s="109">
        <v>0</v>
      </c>
      <c r="J643" s="109">
        <v>0</v>
      </c>
      <c r="K643" s="109">
        <v>3250</v>
      </c>
      <c r="L643" s="81">
        <f>I643+J643+K643</f>
        <v>3250</v>
      </c>
      <c r="M643" s="905">
        <v>0.6</v>
      </c>
      <c r="N643" s="906"/>
    </row>
    <row r="644" spans="1:21">
      <c r="A644" s="27" t="s">
        <v>12</v>
      </c>
      <c r="B644" s="626">
        <v>4</v>
      </c>
      <c r="C644" s="1020"/>
      <c r="D644" s="636">
        <f>F644*325851</f>
        <v>4170892.8000000003</v>
      </c>
      <c r="E644" s="629"/>
      <c r="F644" s="907">
        <f>3.2*B644</f>
        <v>12.8</v>
      </c>
      <c r="G644" s="908"/>
      <c r="H644" s="431">
        <f>F644*5</f>
        <v>64</v>
      </c>
      <c r="I644" s="81">
        <v>0</v>
      </c>
      <c r="J644" s="109">
        <v>0</v>
      </c>
      <c r="K644" s="109">
        <v>8000</v>
      </c>
      <c r="L644" s="81">
        <f>I644+J644+K644</f>
        <v>8000</v>
      </c>
      <c r="M644" s="905">
        <v>1.5</v>
      </c>
      <c r="N644" s="906"/>
    </row>
    <row r="645" spans="1:21" ht="14" thickBot="1">
      <c r="A645" s="26" t="s">
        <v>21</v>
      </c>
      <c r="B645" s="954" t="s">
        <v>22</v>
      </c>
      <c r="C645" s="958"/>
      <c r="D645" s="1017" t="s">
        <v>22</v>
      </c>
      <c r="E645" s="629"/>
      <c r="F645" s="945" t="s">
        <v>22</v>
      </c>
      <c r="G645" s="946"/>
      <c r="H645" s="431" t="s">
        <v>22</v>
      </c>
      <c r="I645" s="81" t="s">
        <v>22</v>
      </c>
      <c r="J645" s="81" t="s">
        <v>22</v>
      </c>
      <c r="K645" s="81" t="s">
        <v>22</v>
      </c>
      <c r="L645" s="81" t="s">
        <v>22</v>
      </c>
      <c r="M645" s="1018" t="s">
        <v>22</v>
      </c>
      <c r="N645" s="1019"/>
    </row>
    <row r="646" spans="1:21" s="275" customFormat="1" ht="14" thickBot="1">
      <c r="A646" s="40" t="s">
        <v>60</v>
      </c>
      <c r="B646" s="644">
        <f>SUM(B641:C645)</f>
        <v>120</v>
      </c>
      <c r="C646" s="706"/>
      <c r="D646" s="645">
        <f>SUM(D641:E645)</f>
        <v>5083210.4298</v>
      </c>
      <c r="E646" s="706"/>
      <c r="F646" s="707">
        <f>SUM(F641:G645)</f>
        <v>15.599800000000002</v>
      </c>
      <c r="G646" s="708"/>
      <c r="H646" s="231">
        <f>SUM(H641:H645)</f>
        <v>89.591000000000008</v>
      </c>
      <c r="I646" s="86">
        <f>SUM(I641:I645)</f>
        <v>0</v>
      </c>
      <c r="J646" s="86">
        <f>SUM(J641:J645)</f>
        <v>900</v>
      </c>
      <c r="K646" s="86">
        <f>SUM(K641:K645)</f>
        <v>22650</v>
      </c>
      <c r="L646" s="86">
        <f>SUM(L641:L645)</f>
        <v>23550</v>
      </c>
      <c r="M646" s="753"/>
      <c r="N646" s="732"/>
      <c r="O646" s="276"/>
      <c r="P646" s="276"/>
      <c r="Q646" s="276"/>
      <c r="R646" s="276"/>
      <c r="S646" s="276"/>
      <c r="T646" s="276"/>
      <c r="U646" s="276"/>
    </row>
    <row r="647" spans="1:21" s="530" customFormat="1" ht="17" thickBot="1">
      <c r="A647" s="538" t="s">
        <v>17</v>
      </c>
      <c r="B647" s="761">
        <f>B636+B639+B646</f>
        <v>847</v>
      </c>
      <c r="C647" s="762"/>
      <c r="D647" s="759">
        <f>SUM(D646,D639,D636)</f>
        <v>13973911.432500001</v>
      </c>
      <c r="E647" s="762"/>
      <c r="F647" s="773">
        <f>SUM(F646,F639,F636)</f>
        <v>42.887500000000003</v>
      </c>
      <c r="G647" s="713"/>
      <c r="H647" s="580">
        <f>SUM(H636,H639,H646)</f>
        <v>560.36900000000003</v>
      </c>
      <c r="I647" s="539">
        <f>I636+I639+I646</f>
        <v>0</v>
      </c>
      <c r="J647" s="539">
        <f>J636+J639+J646</f>
        <v>8841</v>
      </c>
      <c r="K647" s="539">
        <f>K636+K639+K646</f>
        <v>71120</v>
      </c>
      <c r="L647" s="539">
        <f>L636+L639+L646</f>
        <v>79961</v>
      </c>
      <c r="M647" s="757"/>
      <c r="N647" s="758"/>
      <c r="O647" s="135"/>
      <c r="P647" s="135"/>
      <c r="Q647" s="135"/>
      <c r="R647" s="135"/>
      <c r="S647" s="135"/>
      <c r="T647" s="135"/>
      <c r="U647" s="135"/>
    </row>
    <row r="648" spans="1:21">
      <c r="A648" s="318"/>
    </row>
    <row r="649" spans="1:21" ht="15">
      <c r="A649" s="5" t="s">
        <v>18</v>
      </c>
      <c r="B649" s="979" t="s">
        <v>59</v>
      </c>
      <c r="C649" s="690"/>
      <c r="D649" s="690"/>
      <c r="E649" s="980"/>
    </row>
    <row r="650" spans="1:21">
      <c r="B650" s="627" t="s">
        <v>19</v>
      </c>
      <c r="C650" s="627"/>
      <c r="D650" s="627"/>
      <c r="E650" s="627"/>
    </row>
  </sheetData>
  <mergeCells count="2295">
    <mergeCell ref="B37:C37"/>
    <mergeCell ref="D37:E37"/>
    <mergeCell ref="F37:G37"/>
    <mergeCell ref="M37:N37"/>
    <mergeCell ref="B39:E39"/>
    <mergeCell ref="B40:E40"/>
    <mergeCell ref="B32:C32"/>
    <mergeCell ref="D32:E32"/>
    <mergeCell ref="F32:G32"/>
    <mergeCell ref="M32:N32"/>
    <mergeCell ref="B33:C33"/>
    <mergeCell ref="D33:E33"/>
    <mergeCell ref="F33:G33"/>
    <mergeCell ref="M33:N33"/>
    <mergeCell ref="B34:C34"/>
    <mergeCell ref="D34:E34"/>
    <mergeCell ref="F34:G34"/>
    <mergeCell ref="B35:C35"/>
    <mergeCell ref="D35:E35"/>
    <mergeCell ref="F35:G35"/>
    <mergeCell ref="M35:N35"/>
    <mergeCell ref="B36:C36"/>
    <mergeCell ref="D36:E36"/>
    <mergeCell ref="F36:G36"/>
    <mergeCell ref="M36:N36"/>
    <mergeCell ref="B27:C27"/>
    <mergeCell ref="D27:E27"/>
    <mergeCell ref="F27:G27"/>
    <mergeCell ref="M27:N27"/>
    <mergeCell ref="B28:C28"/>
    <mergeCell ref="D28:E28"/>
    <mergeCell ref="F28:G28"/>
    <mergeCell ref="M28:N28"/>
    <mergeCell ref="B29:C29"/>
    <mergeCell ref="D29:E29"/>
    <mergeCell ref="F29:G29"/>
    <mergeCell ref="M29:N29"/>
    <mergeCell ref="B30:C30"/>
    <mergeCell ref="D30:E30"/>
    <mergeCell ref="F30:G30"/>
    <mergeCell ref="M30:N30"/>
    <mergeCell ref="B31:C31"/>
    <mergeCell ref="D31:E31"/>
    <mergeCell ref="F31:G31"/>
    <mergeCell ref="M31:N31"/>
    <mergeCell ref="B22:C22"/>
    <mergeCell ref="D22:E22"/>
    <mergeCell ref="F22:G22"/>
    <mergeCell ref="M22:N22"/>
    <mergeCell ref="B23:C23"/>
    <mergeCell ref="D23:E23"/>
    <mergeCell ref="F23:G23"/>
    <mergeCell ref="M23:N23"/>
    <mergeCell ref="B24:C24"/>
    <mergeCell ref="D24:E24"/>
    <mergeCell ref="F24:G24"/>
    <mergeCell ref="M24:N24"/>
    <mergeCell ref="B25:C25"/>
    <mergeCell ref="D25:E25"/>
    <mergeCell ref="F25:G25"/>
    <mergeCell ref="M25:N25"/>
    <mergeCell ref="B26:C26"/>
    <mergeCell ref="D26:E26"/>
    <mergeCell ref="F26:G26"/>
    <mergeCell ref="M26:N26"/>
    <mergeCell ref="B16:C16"/>
    <mergeCell ref="D16:E16"/>
    <mergeCell ref="F16:G16"/>
    <mergeCell ref="M16:N16"/>
    <mergeCell ref="B17:C17"/>
    <mergeCell ref="D17:E17"/>
    <mergeCell ref="F17:G17"/>
    <mergeCell ref="M17:N17"/>
    <mergeCell ref="B18:C18"/>
    <mergeCell ref="D18:E18"/>
    <mergeCell ref="F18:G18"/>
    <mergeCell ref="M18:N18"/>
    <mergeCell ref="B20:C20"/>
    <mergeCell ref="D20:E20"/>
    <mergeCell ref="F20:G20"/>
    <mergeCell ref="M20:N20"/>
    <mergeCell ref="B21:C21"/>
    <mergeCell ref="D21:E21"/>
    <mergeCell ref="F21:G21"/>
    <mergeCell ref="B19:C19"/>
    <mergeCell ref="D19:E19"/>
    <mergeCell ref="F19:G19"/>
    <mergeCell ref="M19:N19"/>
    <mergeCell ref="B11:C11"/>
    <mergeCell ref="D11:E11"/>
    <mergeCell ref="F11:G11"/>
    <mergeCell ref="M11:N11"/>
    <mergeCell ref="B12:C12"/>
    <mergeCell ref="D12:E12"/>
    <mergeCell ref="F12:G12"/>
    <mergeCell ref="M12:N12"/>
    <mergeCell ref="B13:C13"/>
    <mergeCell ref="D13:E13"/>
    <mergeCell ref="F13:G13"/>
    <mergeCell ref="M13:N13"/>
    <mergeCell ref="B14:C14"/>
    <mergeCell ref="D14:E14"/>
    <mergeCell ref="F14:G14"/>
    <mergeCell ref="B15:C15"/>
    <mergeCell ref="D15:E15"/>
    <mergeCell ref="F15:G15"/>
    <mergeCell ref="M15:N15"/>
    <mergeCell ref="B6:C6"/>
    <mergeCell ref="D6:E6"/>
    <mergeCell ref="F6:G6"/>
    <mergeCell ref="M6:N6"/>
    <mergeCell ref="B7:C7"/>
    <mergeCell ref="D7:E7"/>
    <mergeCell ref="F7:G7"/>
    <mergeCell ref="M7:N7"/>
    <mergeCell ref="B8:C8"/>
    <mergeCell ref="D8:E8"/>
    <mergeCell ref="F8:G8"/>
    <mergeCell ref="M8:N8"/>
    <mergeCell ref="B9:C9"/>
    <mergeCell ref="D9:E9"/>
    <mergeCell ref="F9:G9"/>
    <mergeCell ref="M9:N9"/>
    <mergeCell ref="B10:C10"/>
    <mergeCell ref="D10:E10"/>
    <mergeCell ref="F10:G10"/>
    <mergeCell ref="M10:N10"/>
    <mergeCell ref="I1:L1"/>
    <mergeCell ref="B2:C2"/>
    <mergeCell ref="D2:E2"/>
    <mergeCell ref="F2:G2"/>
    <mergeCell ref="M2:N2"/>
    <mergeCell ref="B3:C3"/>
    <mergeCell ref="D3:E3"/>
    <mergeCell ref="F3:G3"/>
    <mergeCell ref="M3:N3"/>
    <mergeCell ref="B4:C4"/>
    <mergeCell ref="D4:E4"/>
    <mergeCell ref="F4:G4"/>
    <mergeCell ref="M4:N4"/>
    <mergeCell ref="B5:C5"/>
    <mergeCell ref="D5:E5"/>
    <mergeCell ref="F5:G5"/>
    <mergeCell ref="M5:N5"/>
    <mergeCell ref="B116:C116"/>
    <mergeCell ref="D116:E116"/>
    <mergeCell ref="F116:G116"/>
    <mergeCell ref="M116:N116"/>
    <mergeCell ref="B118:E118"/>
    <mergeCell ref="B119:E119"/>
    <mergeCell ref="B111:C111"/>
    <mergeCell ref="D111:E111"/>
    <mergeCell ref="F111:G111"/>
    <mergeCell ref="M111:N111"/>
    <mergeCell ref="B112:C112"/>
    <mergeCell ref="D112:E112"/>
    <mergeCell ref="F112:G112"/>
    <mergeCell ref="M112:N112"/>
    <mergeCell ref="B113:C113"/>
    <mergeCell ref="D113:E113"/>
    <mergeCell ref="F113:G113"/>
    <mergeCell ref="B114:C114"/>
    <mergeCell ref="D114:E114"/>
    <mergeCell ref="F114:G114"/>
    <mergeCell ref="M114:N114"/>
    <mergeCell ref="B115:C115"/>
    <mergeCell ref="D115:E115"/>
    <mergeCell ref="F115:G115"/>
    <mergeCell ref="M115:N115"/>
    <mergeCell ref="B106:C106"/>
    <mergeCell ref="D106:E106"/>
    <mergeCell ref="F106:G106"/>
    <mergeCell ref="M106:N106"/>
    <mergeCell ref="B107:C107"/>
    <mergeCell ref="D107:E107"/>
    <mergeCell ref="F107:G107"/>
    <mergeCell ref="M107:N107"/>
    <mergeCell ref="B108:C108"/>
    <mergeCell ref="D108:E108"/>
    <mergeCell ref="F108:G108"/>
    <mergeCell ref="M108:N108"/>
    <mergeCell ref="B109:C109"/>
    <mergeCell ref="D109:E109"/>
    <mergeCell ref="F109:G109"/>
    <mergeCell ref="M109:N109"/>
    <mergeCell ref="B110:C110"/>
    <mergeCell ref="D110:E110"/>
    <mergeCell ref="F110:G110"/>
    <mergeCell ref="M110:N110"/>
    <mergeCell ref="B101:C101"/>
    <mergeCell ref="D101:E101"/>
    <mergeCell ref="F101:G101"/>
    <mergeCell ref="M101:N101"/>
    <mergeCell ref="B102:C102"/>
    <mergeCell ref="D102:E102"/>
    <mergeCell ref="F102:G102"/>
    <mergeCell ref="M102:N102"/>
    <mergeCell ref="B103:C103"/>
    <mergeCell ref="D103:E103"/>
    <mergeCell ref="F103:G103"/>
    <mergeCell ref="M103:N103"/>
    <mergeCell ref="B104:C104"/>
    <mergeCell ref="D104:E104"/>
    <mergeCell ref="F104:G104"/>
    <mergeCell ref="M104:N104"/>
    <mergeCell ref="B105:C105"/>
    <mergeCell ref="D105:E105"/>
    <mergeCell ref="F105:G105"/>
    <mergeCell ref="M105:N105"/>
    <mergeCell ref="B96:C96"/>
    <mergeCell ref="D96:E96"/>
    <mergeCell ref="F96:G96"/>
    <mergeCell ref="M96:N96"/>
    <mergeCell ref="B97:C97"/>
    <mergeCell ref="D97:E97"/>
    <mergeCell ref="F97:G97"/>
    <mergeCell ref="M97:N97"/>
    <mergeCell ref="B98:C98"/>
    <mergeCell ref="D98:E98"/>
    <mergeCell ref="F98:G98"/>
    <mergeCell ref="M98:N98"/>
    <mergeCell ref="B99:C99"/>
    <mergeCell ref="D99:E99"/>
    <mergeCell ref="F99:G99"/>
    <mergeCell ref="M99:N99"/>
    <mergeCell ref="B100:C100"/>
    <mergeCell ref="D100:E100"/>
    <mergeCell ref="F100:G100"/>
    <mergeCell ref="B91:C91"/>
    <mergeCell ref="D91:E91"/>
    <mergeCell ref="F91:G91"/>
    <mergeCell ref="M91:N91"/>
    <mergeCell ref="B92:C92"/>
    <mergeCell ref="D92:E92"/>
    <mergeCell ref="F92:G92"/>
    <mergeCell ref="M92:N92"/>
    <mergeCell ref="B93:C93"/>
    <mergeCell ref="D93:E93"/>
    <mergeCell ref="F93:G93"/>
    <mergeCell ref="M93:N93"/>
    <mergeCell ref="B94:C94"/>
    <mergeCell ref="D94:E94"/>
    <mergeCell ref="F94:G94"/>
    <mergeCell ref="B95:C95"/>
    <mergeCell ref="D95:E95"/>
    <mergeCell ref="F95:G95"/>
    <mergeCell ref="M95:N95"/>
    <mergeCell ref="B86:C86"/>
    <mergeCell ref="D86:E86"/>
    <mergeCell ref="F86:G86"/>
    <mergeCell ref="M86:N86"/>
    <mergeCell ref="B87:C87"/>
    <mergeCell ref="D87:E87"/>
    <mergeCell ref="F87:G87"/>
    <mergeCell ref="M87:N87"/>
    <mergeCell ref="B88:C88"/>
    <mergeCell ref="D88:E88"/>
    <mergeCell ref="F88:G88"/>
    <mergeCell ref="M88:N88"/>
    <mergeCell ref="B89:C89"/>
    <mergeCell ref="D89:E89"/>
    <mergeCell ref="F89:G89"/>
    <mergeCell ref="M89:N89"/>
    <mergeCell ref="B90:C90"/>
    <mergeCell ref="D90:E90"/>
    <mergeCell ref="F90:G90"/>
    <mergeCell ref="M90:N90"/>
    <mergeCell ref="I81:L81"/>
    <mergeCell ref="B82:C82"/>
    <mergeCell ref="D82:E82"/>
    <mergeCell ref="F82:G82"/>
    <mergeCell ref="M82:N82"/>
    <mergeCell ref="B83:C83"/>
    <mergeCell ref="D83:E83"/>
    <mergeCell ref="F83:G83"/>
    <mergeCell ref="M83:N83"/>
    <mergeCell ref="B84:C84"/>
    <mergeCell ref="D84:E84"/>
    <mergeCell ref="F84:G84"/>
    <mergeCell ref="M84:N84"/>
    <mergeCell ref="B85:C85"/>
    <mergeCell ref="D85:E85"/>
    <mergeCell ref="F85:G85"/>
    <mergeCell ref="M85:N85"/>
    <mergeCell ref="B158:E158"/>
    <mergeCell ref="B159:E159"/>
    <mergeCell ref="B152:C152"/>
    <mergeCell ref="D152:E152"/>
    <mergeCell ref="F152:G152"/>
    <mergeCell ref="M152:N152"/>
    <mergeCell ref="B153:C153"/>
    <mergeCell ref="D153:E153"/>
    <mergeCell ref="F153:G153"/>
    <mergeCell ref="M153:N153"/>
    <mergeCell ref="B154:C154"/>
    <mergeCell ref="D154:E154"/>
    <mergeCell ref="F154:G154"/>
    <mergeCell ref="M154:N154"/>
    <mergeCell ref="B155:C155"/>
    <mergeCell ref="D155:E155"/>
    <mergeCell ref="F155:G155"/>
    <mergeCell ref="M155:N155"/>
    <mergeCell ref="B156:C156"/>
    <mergeCell ref="D156:E156"/>
    <mergeCell ref="F156:G156"/>
    <mergeCell ref="M156:N156"/>
    <mergeCell ref="B147:C147"/>
    <mergeCell ref="D147:E147"/>
    <mergeCell ref="F147:G147"/>
    <mergeCell ref="M147:N147"/>
    <mergeCell ref="B148:C148"/>
    <mergeCell ref="D148:E148"/>
    <mergeCell ref="F148:G148"/>
    <mergeCell ref="M148:N148"/>
    <mergeCell ref="B149:C149"/>
    <mergeCell ref="D149:E149"/>
    <mergeCell ref="F149:G149"/>
    <mergeCell ref="M149:N149"/>
    <mergeCell ref="B150:C150"/>
    <mergeCell ref="D150:E150"/>
    <mergeCell ref="F150:G150"/>
    <mergeCell ref="M150:N150"/>
    <mergeCell ref="B151:C151"/>
    <mergeCell ref="D151:E151"/>
    <mergeCell ref="F151:G151"/>
    <mergeCell ref="M151:N151"/>
    <mergeCell ref="B142:C142"/>
    <mergeCell ref="D142:E142"/>
    <mergeCell ref="F142:G142"/>
    <mergeCell ref="M142:N142"/>
    <mergeCell ref="B143:C143"/>
    <mergeCell ref="D143:E143"/>
    <mergeCell ref="F143:G143"/>
    <mergeCell ref="M143:N143"/>
    <mergeCell ref="B144:C144"/>
    <mergeCell ref="D144:E144"/>
    <mergeCell ref="F144:G144"/>
    <mergeCell ref="M144:N144"/>
    <mergeCell ref="B145:C145"/>
    <mergeCell ref="D145:E145"/>
    <mergeCell ref="F145:G145"/>
    <mergeCell ref="M145:N145"/>
    <mergeCell ref="B146:C146"/>
    <mergeCell ref="D146:E146"/>
    <mergeCell ref="F146:G146"/>
    <mergeCell ref="M146:N146"/>
    <mergeCell ref="B138:C138"/>
    <mergeCell ref="D138:E138"/>
    <mergeCell ref="F138:G138"/>
    <mergeCell ref="M138:N138"/>
    <mergeCell ref="B139:C139"/>
    <mergeCell ref="D139:E139"/>
    <mergeCell ref="F139:G139"/>
    <mergeCell ref="M139:N139"/>
    <mergeCell ref="B140:C140"/>
    <mergeCell ref="D140:E140"/>
    <mergeCell ref="F140:G140"/>
    <mergeCell ref="M140:N140"/>
    <mergeCell ref="B141:C141"/>
    <mergeCell ref="D141:E141"/>
    <mergeCell ref="F141:G141"/>
    <mergeCell ref="M141:N141"/>
    <mergeCell ref="B131:C131"/>
    <mergeCell ref="D131:E131"/>
    <mergeCell ref="F131:G131"/>
    <mergeCell ref="M131:N131"/>
    <mergeCell ref="B133:C133"/>
    <mergeCell ref="D133:E133"/>
    <mergeCell ref="F133:G133"/>
    <mergeCell ref="M133:N133"/>
    <mergeCell ref="B134:C134"/>
    <mergeCell ref="D134:E134"/>
    <mergeCell ref="F134:G134"/>
    <mergeCell ref="M134:N134"/>
    <mergeCell ref="B135:C135"/>
    <mergeCell ref="D135:E135"/>
    <mergeCell ref="F135:G135"/>
    <mergeCell ref="M135:N135"/>
    <mergeCell ref="B136:C136"/>
    <mergeCell ref="D136:E136"/>
    <mergeCell ref="F136:G136"/>
    <mergeCell ref="M136:N136"/>
    <mergeCell ref="B126:C126"/>
    <mergeCell ref="D126:E126"/>
    <mergeCell ref="F126:G126"/>
    <mergeCell ref="M126:N126"/>
    <mergeCell ref="B127:C127"/>
    <mergeCell ref="D127:E127"/>
    <mergeCell ref="F127:G127"/>
    <mergeCell ref="M127:N127"/>
    <mergeCell ref="B128:C128"/>
    <mergeCell ref="D128:E128"/>
    <mergeCell ref="F128:G128"/>
    <mergeCell ref="M128:N128"/>
    <mergeCell ref="B129:C129"/>
    <mergeCell ref="D129:E129"/>
    <mergeCell ref="F129:G129"/>
    <mergeCell ref="M129:N129"/>
    <mergeCell ref="B130:C130"/>
    <mergeCell ref="D130:E130"/>
    <mergeCell ref="F130:G130"/>
    <mergeCell ref="M130:N130"/>
    <mergeCell ref="B132:C132"/>
    <mergeCell ref="D132:E132"/>
    <mergeCell ref="F132:G132"/>
    <mergeCell ref="M132:N132"/>
    <mergeCell ref="I121:L121"/>
    <mergeCell ref="B122:C122"/>
    <mergeCell ref="D122:E122"/>
    <mergeCell ref="F122:G122"/>
    <mergeCell ref="M122:N122"/>
    <mergeCell ref="B123:C123"/>
    <mergeCell ref="D123:E123"/>
    <mergeCell ref="F123:G123"/>
    <mergeCell ref="M123:N123"/>
    <mergeCell ref="B124:C124"/>
    <mergeCell ref="D124:E124"/>
    <mergeCell ref="F124:G124"/>
    <mergeCell ref="M124:N124"/>
    <mergeCell ref="B125:C125"/>
    <mergeCell ref="D125:E125"/>
    <mergeCell ref="F125:G125"/>
    <mergeCell ref="M125:N125"/>
    <mergeCell ref="I558:L558"/>
    <mergeCell ref="I528:L528"/>
    <mergeCell ref="B195:C195"/>
    <mergeCell ref="D195:E195"/>
    <mergeCell ref="F195:G195"/>
    <mergeCell ref="M195:N195"/>
    <mergeCell ref="B197:E197"/>
    <mergeCell ref="B198:E198"/>
    <mergeCell ref="B188:C188"/>
    <mergeCell ref="D188:E188"/>
    <mergeCell ref="F188:G188"/>
    <mergeCell ref="M188:N188"/>
    <mergeCell ref="B189:C189"/>
    <mergeCell ref="D189:E189"/>
    <mergeCell ref="F189:G189"/>
    <mergeCell ref="M189:N189"/>
    <mergeCell ref="B192:C192"/>
    <mergeCell ref="D192:E192"/>
    <mergeCell ref="F192:G192"/>
    <mergeCell ref="M192:N192"/>
    <mergeCell ref="B193:C193"/>
    <mergeCell ref="D193:E193"/>
    <mergeCell ref="F193:G193"/>
    <mergeCell ref="M193:N193"/>
    <mergeCell ref="B194:C194"/>
    <mergeCell ref="D194:E194"/>
    <mergeCell ref="F194:G194"/>
    <mergeCell ref="M194:N194"/>
    <mergeCell ref="B190:C190"/>
    <mergeCell ref="D190:E190"/>
    <mergeCell ref="B191:C191"/>
    <mergeCell ref="D191:E191"/>
    <mergeCell ref="M191:N191"/>
    <mergeCell ref="M190:N190"/>
    <mergeCell ref="B183:C183"/>
    <mergeCell ref="D183:E183"/>
    <mergeCell ref="F183:G183"/>
    <mergeCell ref="M183:N183"/>
    <mergeCell ref="B184:C184"/>
    <mergeCell ref="D184:E184"/>
    <mergeCell ref="F184:G184"/>
    <mergeCell ref="M184:N184"/>
    <mergeCell ref="B185:C185"/>
    <mergeCell ref="D185:E185"/>
    <mergeCell ref="F185:G185"/>
    <mergeCell ref="M185:N185"/>
    <mergeCell ref="B186:C186"/>
    <mergeCell ref="D186:E186"/>
    <mergeCell ref="F186:G186"/>
    <mergeCell ref="M186:N186"/>
    <mergeCell ref="B187:C187"/>
    <mergeCell ref="D187:E187"/>
    <mergeCell ref="F187:G187"/>
    <mergeCell ref="M187:N187"/>
    <mergeCell ref="F191:G191"/>
    <mergeCell ref="F190:G190"/>
    <mergeCell ref="B178:C178"/>
    <mergeCell ref="D178:E178"/>
    <mergeCell ref="F178:G178"/>
    <mergeCell ref="M178:N178"/>
    <mergeCell ref="B179:C179"/>
    <mergeCell ref="D179:E179"/>
    <mergeCell ref="F179:G179"/>
    <mergeCell ref="M179:N179"/>
    <mergeCell ref="B180:C180"/>
    <mergeCell ref="D180:E180"/>
    <mergeCell ref="F180:G180"/>
    <mergeCell ref="M180:N180"/>
    <mergeCell ref="B181:C181"/>
    <mergeCell ref="D181:E181"/>
    <mergeCell ref="F181:G181"/>
    <mergeCell ref="M181:N181"/>
    <mergeCell ref="B182:C182"/>
    <mergeCell ref="D182:E182"/>
    <mergeCell ref="F182:G182"/>
    <mergeCell ref="M182:N182"/>
    <mergeCell ref="B171:C171"/>
    <mergeCell ref="D171:E171"/>
    <mergeCell ref="F171:G171"/>
    <mergeCell ref="M171:N171"/>
    <mergeCell ref="B173:C173"/>
    <mergeCell ref="D173:E173"/>
    <mergeCell ref="F173:G173"/>
    <mergeCell ref="M173:N173"/>
    <mergeCell ref="B174:C174"/>
    <mergeCell ref="D174:E174"/>
    <mergeCell ref="F174:G174"/>
    <mergeCell ref="M174:N174"/>
    <mergeCell ref="B175:C175"/>
    <mergeCell ref="D175:E175"/>
    <mergeCell ref="F175:G175"/>
    <mergeCell ref="M175:N175"/>
    <mergeCell ref="B176:C176"/>
    <mergeCell ref="D176:E176"/>
    <mergeCell ref="F176:G176"/>
    <mergeCell ref="M176:N176"/>
    <mergeCell ref="B172:C172"/>
    <mergeCell ref="D172:E172"/>
    <mergeCell ref="F172:G172"/>
    <mergeCell ref="M172:N172"/>
    <mergeCell ref="B166:C166"/>
    <mergeCell ref="D166:E166"/>
    <mergeCell ref="F166:G166"/>
    <mergeCell ref="M166:N166"/>
    <mergeCell ref="B167:C167"/>
    <mergeCell ref="D167:E167"/>
    <mergeCell ref="F167:G167"/>
    <mergeCell ref="M167:N167"/>
    <mergeCell ref="B168:C168"/>
    <mergeCell ref="D168:E168"/>
    <mergeCell ref="F168:G168"/>
    <mergeCell ref="M168:N168"/>
    <mergeCell ref="B169:C169"/>
    <mergeCell ref="D169:E169"/>
    <mergeCell ref="F169:G169"/>
    <mergeCell ref="M169:N169"/>
    <mergeCell ref="B170:C170"/>
    <mergeCell ref="D170:E170"/>
    <mergeCell ref="F170:G170"/>
    <mergeCell ref="M170:N170"/>
    <mergeCell ref="I161:L161"/>
    <mergeCell ref="B162:C162"/>
    <mergeCell ref="D162:E162"/>
    <mergeCell ref="F162:G162"/>
    <mergeCell ref="M162:N162"/>
    <mergeCell ref="B163:C163"/>
    <mergeCell ref="D163:E163"/>
    <mergeCell ref="F163:G163"/>
    <mergeCell ref="M163:N163"/>
    <mergeCell ref="B164:C164"/>
    <mergeCell ref="D164:E164"/>
    <mergeCell ref="F164:G164"/>
    <mergeCell ref="M164:N164"/>
    <mergeCell ref="B165:C165"/>
    <mergeCell ref="D165:E165"/>
    <mergeCell ref="F165:G165"/>
    <mergeCell ref="M165:N165"/>
    <mergeCell ref="B242:E242"/>
    <mergeCell ref="B243:E243"/>
    <mergeCell ref="B236:C236"/>
    <mergeCell ref="D236:E236"/>
    <mergeCell ref="F236:G236"/>
    <mergeCell ref="M236:N236"/>
    <mergeCell ref="B237:C237"/>
    <mergeCell ref="D237:E237"/>
    <mergeCell ref="F237:G237"/>
    <mergeCell ref="M237:N237"/>
    <mergeCell ref="B238:C238"/>
    <mergeCell ref="D238:E238"/>
    <mergeCell ref="F238:G238"/>
    <mergeCell ref="M238:N238"/>
    <mergeCell ref="B239:C239"/>
    <mergeCell ref="D239:E239"/>
    <mergeCell ref="F239:G239"/>
    <mergeCell ref="M239:N239"/>
    <mergeCell ref="B240:C240"/>
    <mergeCell ref="D240:E240"/>
    <mergeCell ref="F240:G240"/>
    <mergeCell ref="M240:N240"/>
    <mergeCell ref="B230:C230"/>
    <mergeCell ref="D230:E230"/>
    <mergeCell ref="F230:G230"/>
    <mergeCell ref="M230:N230"/>
    <mergeCell ref="B231:C231"/>
    <mergeCell ref="D231:E231"/>
    <mergeCell ref="F231:G231"/>
    <mergeCell ref="M231:N231"/>
    <mergeCell ref="B232:C232"/>
    <mergeCell ref="D232:E232"/>
    <mergeCell ref="F232:G232"/>
    <mergeCell ref="M232:N232"/>
    <mergeCell ref="B233:C233"/>
    <mergeCell ref="D233:E233"/>
    <mergeCell ref="F233:G233"/>
    <mergeCell ref="M233:N233"/>
    <mergeCell ref="B234:C234"/>
    <mergeCell ref="D234:E234"/>
    <mergeCell ref="F234:G234"/>
    <mergeCell ref="M234:N234"/>
    <mergeCell ref="B225:C225"/>
    <mergeCell ref="D225:E225"/>
    <mergeCell ref="F225:G225"/>
    <mergeCell ref="M225:N225"/>
    <mergeCell ref="B226:C226"/>
    <mergeCell ref="D226:E226"/>
    <mergeCell ref="F226:G226"/>
    <mergeCell ref="M226:N226"/>
    <mergeCell ref="B227:C227"/>
    <mergeCell ref="D227:E227"/>
    <mergeCell ref="F227:G227"/>
    <mergeCell ref="M227:N227"/>
    <mergeCell ref="B228:C228"/>
    <mergeCell ref="D228:E228"/>
    <mergeCell ref="F228:G228"/>
    <mergeCell ref="M228:N228"/>
    <mergeCell ref="B229:C229"/>
    <mergeCell ref="D229:E229"/>
    <mergeCell ref="F229:G229"/>
    <mergeCell ref="M229:N229"/>
    <mergeCell ref="B220:C220"/>
    <mergeCell ref="D220:E220"/>
    <mergeCell ref="F220:G220"/>
    <mergeCell ref="M220:N220"/>
    <mergeCell ref="B221:C221"/>
    <mergeCell ref="D221:E221"/>
    <mergeCell ref="F221:G221"/>
    <mergeCell ref="M221:N221"/>
    <mergeCell ref="B222:C222"/>
    <mergeCell ref="D222:E222"/>
    <mergeCell ref="F222:G222"/>
    <mergeCell ref="M222:N222"/>
    <mergeCell ref="B223:C223"/>
    <mergeCell ref="D223:E223"/>
    <mergeCell ref="F223:G223"/>
    <mergeCell ref="M223:N223"/>
    <mergeCell ref="B224:C224"/>
    <mergeCell ref="D224:E224"/>
    <mergeCell ref="F224:G224"/>
    <mergeCell ref="M224:N224"/>
    <mergeCell ref="B215:C215"/>
    <mergeCell ref="D215:E215"/>
    <mergeCell ref="F215:G215"/>
    <mergeCell ref="M215:N215"/>
    <mergeCell ref="B216:C216"/>
    <mergeCell ref="D216:E216"/>
    <mergeCell ref="F216:G216"/>
    <mergeCell ref="M216:N216"/>
    <mergeCell ref="B217:C217"/>
    <mergeCell ref="D217:E217"/>
    <mergeCell ref="F217:G217"/>
    <mergeCell ref="M217:N217"/>
    <mergeCell ref="B218:C218"/>
    <mergeCell ref="D218:E218"/>
    <mergeCell ref="F218:G218"/>
    <mergeCell ref="M218:N218"/>
    <mergeCell ref="B219:C219"/>
    <mergeCell ref="D219:E219"/>
    <mergeCell ref="F219:G219"/>
    <mergeCell ref="M219:N219"/>
    <mergeCell ref="B210:C210"/>
    <mergeCell ref="D210:E210"/>
    <mergeCell ref="F210:G210"/>
    <mergeCell ref="M210:N210"/>
    <mergeCell ref="B211:C211"/>
    <mergeCell ref="D211:E211"/>
    <mergeCell ref="F211:G211"/>
    <mergeCell ref="M211:N211"/>
    <mergeCell ref="B212:C212"/>
    <mergeCell ref="D212:E212"/>
    <mergeCell ref="F212:G212"/>
    <mergeCell ref="M212:N212"/>
    <mergeCell ref="B213:C213"/>
    <mergeCell ref="D213:E213"/>
    <mergeCell ref="F213:G213"/>
    <mergeCell ref="M213:N213"/>
    <mergeCell ref="B214:C214"/>
    <mergeCell ref="D214:E214"/>
    <mergeCell ref="F214:G214"/>
    <mergeCell ref="M214:N214"/>
    <mergeCell ref="B205:C205"/>
    <mergeCell ref="D205:E205"/>
    <mergeCell ref="F205:G205"/>
    <mergeCell ref="M205:N205"/>
    <mergeCell ref="B206:C206"/>
    <mergeCell ref="D206:E206"/>
    <mergeCell ref="F206:G206"/>
    <mergeCell ref="M206:N206"/>
    <mergeCell ref="B207:C207"/>
    <mergeCell ref="D207:E207"/>
    <mergeCell ref="F207:G207"/>
    <mergeCell ref="M207:N207"/>
    <mergeCell ref="B208:C208"/>
    <mergeCell ref="D208:E208"/>
    <mergeCell ref="F208:G208"/>
    <mergeCell ref="M208:N208"/>
    <mergeCell ref="B209:C209"/>
    <mergeCell ref="D209:E209"/>
    <mergeCell ref="F209:G209"/>
    <mergeCell ref="M209:N209"/>
    <mergeCell ref="I200:L200"/>
    <mergeCell ref="B201:C201"/>
    <mergeCell ref="D201:E201"/>
    <mergeCell ref="F201:G201"/>
    <mergeCell ref="M201:N201"/>
    <mergeCell ref="B202:C202"/>
    <mergeCell ref="D202:E202"/>
    <mergeCell ref="F202:G202"/>
    <mergeCell ref="M202:N202"/>
    <mergeCell ref="B203:C203"/>
    <mergeCell ref="D203:E203"/>
    <mergeCell ref="F203:G203"/>
    <mergeCell ref="M203:N203"/>
    <mergeCell ref="B204:C204"/>
    <mergeCell ref="D204:E204"/>
    <mergeCell ref="F204:G204"/>
    <mergeCell ref="M204:N204"/>
    <mergeCell ref="B282:C282"/>
    <mergeCell ref="D282:E282"/>
    <mergeCell ref="F282:G282"/>
    <mergeCell ref="M282:N282"/>
    <mergeCell ref="B283:C283"/>
    <mergeCell ref="D283:E283"/>
    <mergeCell ref="F283:G283"/>
    <mergeCell ref="M283:N283"/>
    <mergeCell ref="B284:C284"/>
    <mergeCell ref="D284:E284"/>
    <mergeCell ref="F284:G284"/>
    <mergeCell ref="M284:N284"/>
    <mergeCell ref="B286:E286"/>
    <mergeCell ref="B287:E287"/>
    <mergeCell ref="B255:C255"/>
    <mergeCell ref="D255:E255"/>
    <mergeCell ref="F255:G255"/>
    <mergeCell ref="M255:N255"/>
    <mergeCell ref="B279:C279"/>
    <mergeCell ref="D279:E279"/>
    <mergeCell ref="F279:G279"/>
    <mergeCell ref="M279:N279"/>
    <mergeCell ref="B276:C276"/>
    <mergeCell ref="D276:E276"/>
    <mergeCell ref="F276:G276"/>
    <mergeCell ref="M276:N276"/>
    <mergeCell ref="B277:C277"/>
    <mergeCell ref="D277:E277"/>
    <mergeCell ref="F277:G277"/>
    <mergeCell ref="M277:N277"/>
    <mergeCell ref="B278:C278"/>
    <mergeCell ref="D278:E278"/>
    <mergeCell ref="F278:G278"/>
    <mergeCell ref="M278:N278"/>
    <mergeCell ref="B280:C280"/>
    <mergeCell ref="D280:E280"/>
    <mergeCell ref="F280:G280"/>
    <mergeCell ref="M280:N280"/>
    <mergeCell ref="B281:C281"/>
    <mergeCell ref="D281:E281"/>
    <mergeCell ref="F281:G281"/>
    <mergeCell ref="M281:N281"/>
    <mergeCell ref="B271:C271"/>
    <mergeCell ref="D271:E271"/>
    <mergeCell ref="F271:G271"/>
    <mergeCell ref="M271:N271"/>
    <mergeCell ref="B272:C272"/>
    <mergeCell ref="D272:E272"/>
    <mergeCell ref="F272:G272"/>
    <mergeCell ref="M272:N272"/>
    <mergeCell ref="B273:C273"/>
    <mergeCell ref="D273:E273"/>
    <mergeCell ref="F273:G273"/>
    <mergeCell ref="M273:N273"/>
    <mergeCell ref="B274:C274"/>
    <mergeCell ref="D274:E274"/>
    <mergeCell ref="F274:G274"/>
    <mergeCell ref="M274:N274"/>
    <mergeCell ref="B275:C275"/>
    <mergeCell ref="D275:E275"/>
    <mergeCell ref="F275:G275"/>
    <mergeCell ref="M275:N275"/>
    <mergeCell ref="B266:C266"/>
    <mergeCell ref="D266:E266"/>
    <mergeCell ref="F266:G266"/>
    <mergeCell ref="M266:N266"/>
    <mergeCell ref="B267:C267"/>
    <mergeCell ref="D267:E267"/>
    <mergeCell ref="F267:G267"/>
    <mergeCell ref="M267:N267"/>
    <mergeCell ref="B268:C268"/>
    <mergeCell ref="D268:E268"/>
    <mergeCell ref="F268:G268"/>
    <mergeCell ref="M268:N268"/>
    <mergeCell ref="B269:C269"/>
    <mergeCell ref="D269:E269"/>
    <mergeCell ref="F269:G269"/>
    <mergeCell ref="M269:N269"/>
    <mergeCell ref="B270:C270"/>
    <mergeCell ref="D270:E270"/>
    <mergeCell ref="F270:G270"/>
    <mergeCell ref="M270:N270"/>
    <mergeCell ref="B261:C261"/>
    <mergeCell ref="D261:E261"/>
    <mergeCell ref="F261:G261"/>
    <mergeCell ref="M261:N261"/>
    <mergeCell ref="B262:C262"/>
    <mergeCell ref="D262:E262"/>
    <mergeCell ref="F262:G262"/>
    <mergeCell ref="M262:N262"/>
    <mergeCell ref="B263:C263"/>
    <mergeCell ref="D263:E263"/>
    <mergeCell ref="F263:G263"/>
    <mergeCell ref="M263:N263"/>
    <mergeCell ref="B264:C264"/>
    <mergeCell ref="D264:E264"/>
    <mergeCell ref="F264:G264"/>
    <mergeCell ref="M264:N264"/>
    <mergeCell ref="B265:C265"/>
    <mergeCell ref="D265:E265"/>
    <mergeCell ref="F265:G265"/>
    <mergeCell ref="M265:N265"/>
    <mergeCell ref="B256:C256"/>
    <mergeCell ref="D256:E256"/>
    <mergeCell ref="F256:G256"/>
    <mergeCell ref="M256:N256"/>
    <mergeCell ref="B257:C257"/>
    <mergeCell ref="D257:E257"/>
    <mergeCell ref="F257:G257"/>
    <mergeCell ref="M257:N257"/>
    <mergeCell ref="B258:C258"/>
    <mergeCell ref="D258:E258"/>
    <mergeCell ref="F258:G258"/>
    <mergeCell ref="M258:N258"/>
    <mergeCell ref="B259:C259"/>
    <mergeCell ref="D259:E259"/>
    <mergeCell ref="F259:G259"/>
    <mergeCell ref="M259:N259"/>
    <mergeCell ref="B260:C260"/>
    <mergeCell ref="D260:E260"/>
    <mergeCell ref="F260:G260"/>
    <mergeCell ref="M260:N260"/>
    <mergeCell ref="B250:C250"/>
    <mergeCell ref="D250:E250"/>
    <mergeCell ref="F250:G250"/>
    <mergeCell ref="M250:N250"/>
    <mergeCell ref="B251:C251"/>
    <mergeCell ref="D251:E251"/>
    <mergeCell ref="F251:G251"/>
    <mergeCell ref="M251:N251"/>
    <mergeCell ref="B252:C252"/>
    <mergeCell ref="D252:E252"/>
    <mergeCell ref="F252:G252"/>
    <mergeCell ref="M252:N252"/>
    <mergeCell ref="B253:C253"/>
    <mergeCell ref="D253:E253"/>
    <mergeCell ref="F253:G253"/>
    <mergeCell ref="M253:N253"/>
    <mergeCell ref="B254:C254"/>
    <mergeCell ref="D254:E254"/>
    <mergeCell ref="F254:G254"/>
    <mergeCell ref="M254:N254"/>
    <mergeCell ref="I245:L245"/>
    <mergeCell ref="B246:C246"/>
    <mergeCell ref="D246:E246"/>
    <mergeCell ref="F246:G246"/>
    <mergeCell ref="M246:N246"/>
    <mergeCell ref="B247:C247"/>
    <mergeCell ref="D247:E247"/>
    <mergeCell ref="F247:G247"/>
    <mergeCell ref="M247:N247"/>
    <mergeCell ref="B248:C248"/>
    <mergeCell ref="D248:E248"/>
    <mergeCell ref="F248:G248"/>
    <mergeCell ref="M248:N248"/>
    <mergeCell ref="B249:C249"/>
    <mergeCell ref="D249:E249"/>
    <mergeCell ref="F249:G249"/>
    <mergeCell ref="M249:N249"/>
    <mergeCell ref="B395:C395"/>
    <mergeCell ref="D395:E395"/>
    <mergeCell ref="F395:G395"/>
    <mergeCell ref="M395:N395"/>
    <mergeCell ref="B379:C379"/>
    <mergeCell ref="D379:E379"/>
    <mergeCell ref="F379:G379"/>
    <mergeCell ref="M379:N379"/>
    <mergeCell ref="B359:C359"/>
    <mergeCell ref="D359:E359"/>
    <mergeCell ref="F359:G359"/>
    <mergeCell ref="M359:N359"/>
    <mergeCell ref="B361:C361"/>
    <mergeCell ref="D361:E361"/>
    <mergeCell ref="F361:G361"/>
    <mergeCell ref="M361:N361"/>
    <mergeCell ref="B357:C357"/>
    <mergeCell ref="D357:E357"/>
    <mergeCell ref="F357:G357"/>
    <mergeCell ref="M357:N357"/>
    <mergeCell ref="I368:L368"/>
    <mergeCell ref="B369:C369"/>
    <mergeCell ref="D369:E369"/>
    <mergeCell ref="F369:G369"/>
    <mergeCell ref="M369:N369"/>
    <mergeCell ref="B370:C370"/>
    <mergeCell ref="D370:E370"/>
    <mergeCell ref="F370:G370"/>
    <mergeCell ref="M370:N370"/>
    <mergeCell ref="B373:C373"/>
    <mergeCell ref="D373:E373"/>
    <mergeCell ref="F373:G373"/>
    <mergeCell ref="B365:E365"/>
    <mergeCell ref="B366:E366"/>
    <mergeCell ref="B358:C358"/>
    <mergeCell ref="D358:E358"/>
    <mergeCell ref="F358:G358"/>
    <mergeCell ref="M358:N358"/>
    <mergeCell ref="B362:C362"/>
    <mergeCell ref="D362:E362"/>
    <mergeCell ref="F362:G362"/>
    <mergeCell ref="M362:N362"/>
    <mergeCell ref="B363:C363"/>
    <mergeCell ref="D363:E363"/>
    <mergeCell ref="F363:G363"/>
    <mergeCell ref="M363:N363"/>
    <mergeCell ref="B356:C356"/>
    <mergeCell ref="D356:E356"/>
    <mergeCell ref="F356:G356"/>
    <mergeCell ref="M356:N356"/>
    <mergeCell ref="B360:C360"/>
    <mergeCell ref="D360:E360"/>
    <mergeCell ref="F360:G360"/>
    <mergeCell ref="M360:N360"/>
    <mergeCell ref="B351:C351"/>
    <mergeCell ref="D351:E351"/>
    <mergeCell ref="F351:G351"/>
    <mergeCell ref="M351:N351"/>
    <mergeCell ref="F355:G355"/>
    <mergeCell ref="M355:N355"/>
    <mergeCell ref="B352:C352"/>
    <mergeCell ref="D352:E352"/>
    <mergeCell ref="F352:G352"/>
    <mergeCell ref="M352:N352"/>
    <mergeCell ref="B353:C353"/>
    <mergeCell ref="D353:E353"/>
    <mergeCell ref="F353:G353"/>
    <mergeCell ref="M353:N353"/>
    <mergeCell ref="B354:C354"/>
    <mergeCell ref="D354:E354"/>
    <mergeCell ref="F354:G354"/>
    <mergeCell ref="M354:N354"/>
    <mergeCell ref="B355:C355"/>
    <mergeCell ref="D355:E355"/>
    <mergeCell ref="B347:C347"/>
    <mergeCell ref="D347:E347"/>
    <mergeCell ref="F347:G347"/>
    <mergeCell ref="M347:N347"/>
    <mergeCell ref="B346:C346"/>
    <mergeCell ref="D346:E346"/>
    <mergeCell ref="B348:C348"/>
    <mergeCell ref="D348:E348"/>
    <mergeCell ref="F348:G348"/>
    <mergeCell ref="M348:N348"/>
    <mergeCell ref="B349:C349"/>
    <mergeCell ref="D349:E349"/>
    <mergeCell ref="F349:G349"/>
    <mergeCell ref="M349:N349"/>
    <mergeCell ref="F346:G346"/>
    <mergeCell ref="M346:N346"/>
    <mergeCell ref="B350:C350"/>
    <mergeCell ref="D350:E350"/>
    <mergeCell ref="F350:G350"/>
    <mergeCell ref="M350:N350"/>
    <mergeCell ref="D341:E341"/>
    <mergeCell ref="F341:G341"/>
    <mergeCell ref="M341:N341"/>
    <mergeCell ref="B343:C343"/>
    <mergeCell ref="D343:E343"/>
    <mergeCell ref="F343:G343"/>
    <mergeCell ref="M343:N343"/>
    <mergeCell ref="B344:C344"/>
    <mergeCell ref="D344:E344"/>
    <mergeCell ref="F344:G344"/>
    <mergeCell ref="M344:N344"/>
    <mergeCell ref="B342:C342"/>
    <mergeCell ref="D342:E342"/>
    <mergeCell ref="F342:G342"/>
    <mergeCell ref="M342:N342"/>
    <mergeCell ref="B345:C345"/>
    <mergeCell ref="D345:E345"/>
    <mergeCell ref="F345:G345"/>
    <mergeCell ref="M345:N345"/>
    <mergeCell ref="B443:E443"/>
    <mergeCell ref="I331:L331"/>
    <mergeCell ref="B332:C332"/>
    <mergeCell ref="D332:E332"/>
    <mergeCell ref="F332:G332"/>
    <mergeCell ref="M332:N332"/>
    <mergeCell ref="B333:C333"/>
    <mergeCell ref="D333:E333"/>
    <mergeCell ref="F333:G333"/>
    <mergeCell ref="M333:N333"/>
    <mergeCell ref="B334:C334"/>
    <mergeCell ref="D334:E334"/>
    <mergeCell ref="F334:G334"/>
    <mergeCell ref="M334:N334"/>
    <mergeCell ref="B335:C335"/>
    <mergeCell ref="D335:E335"/>
    <mergeCell ref="F335:G335"/>
    <mergeCell ref="M335:N335"/>
    <mergeCell ref="B336:C336"/>
    <mergeCell ref="D336:E336"/>
    <mergeCell ref="F336:G336"/>
    <mergeCell ref="M336:N336"/>
    <mergeCell ref="B337:C337"/>
    <mergeCell ref="D337:E337"/>
    <mergeCell ref="F337:G337"/>
    <mergeCell ref="M337:N337"/>
    <mergeCell ref="B338:C338"/>
    <mergeCell ref="D338:E338"/>
    <mergeCell ref="F338:G338"/>
    <mergeCell ref="M338:N338"/>
    <mergeCell ref="B339:C339"/>
    <mergeCell ref="D339:E339"/>
    <mergeCell ref="B437:C437"/>
    <mergeCell ref="D437:E437"/>
    <mergeCell ref="F437:G437"/>
    <mergeCell ref="M437:N437"/>
    <mergeCell ref="B438:C438"/>
    <mergeCell ref="D438:E438"/>
    <mergeCell ref="F438:G438"/>
    <mergeCell ref="M438:N438"/>
    <mergeCell ref="B439:C439"/>
    <mergeCell ref="D439:E439"/>
    <mergeCell ref="F439:G439"/>
    <mergeCell ref="M439:N439"/>
    <mergeCell ref="B440:C440"/>
    <mergeCell ref="D440:E440"/>
    <mergeCell ref="F440:G440"/>
    <mergeCell ref="M440:N440"/>
    <mergeCell ref="B442:E442"/>
    <mergeCell ref="B432:C432"/>
    <mergeCell ref="B433:C433"/>
    <mergeCell ref="D433:E433"/>
    <mergeCell ref="F433:G433"/>
    <mergeCell ref="M433:N433"/>
    <mergeCell ref="B434:C434"/>
    <mergeCell ref="D434:E434"/>
    <mergeCell ref="F434:G434"/>
    <mergeCell ref="M434:N434"/>
    <mergeCell ref="B435:C435"/>
    <mergeCell ref="D435:E435"/>
    <mergeCell ref="F435:G435"/>
    <mergeCell ref="M435:N435"/>
    <mergeCell ref="B436:C436"/>
    <mergeCell ref="D436:E436"/>
    <mergeCell ref="F436:G436"/>
    <mergeCell ref="M436:N436"/>
    <mergeCell ref="B427:C427"/>
    <mergeCell ref="D427:E427"/>
    <mergeCell ref="F427:G427"/>
    <mergeCell ref="M427:N427"/>
    <mergeCell ref="B428:C428"/>
    <mergeCell ref="D428:E428"/>
    <mergeCell ref="F428:G428"/>
    <mergeCell ref="M428:N428"/>
    <mergeCell ref="B429:C429"/>
    <mergeCell ref="D429:E429"/>
    <mergeCell ref="F429:G429"/>
    <mergeCell ref="M429:N429"/>
    <mergeCell ref="B430:C430"/>
    <mergeCell ref="D430:E430"/>
    <mergeCell ref="F430:G430"/>
    <mergeCell ref="M430:N430"/>
    <mergeCell ref="B431:C431"/>
    <mergeCell ref="D431:E431"/>
    <mergeCell ref="F431:G431"/>
    <mergeCell ref="M431:N431"/>
    <mergeCell ref="B422:C422"/>
    <mergeCell ref="D422:E422"/>
    <mergeCell ref="F422:G422"/>
    <mergeCell ref="M422:N422"/>
    <mergeCell ref="B423:C423"/>
    <mergeCell ref="D423:E423"/>
    <mergeCell ref="F423:G423"/>
    <mergeCell ref="M423:N423"/>
    <mergeCell ref="B424:C424"/>
    <mergeCell ref="D424:E424"/>
    <mergeCell ref="F424:G424"/>
    <mergeCell ref="M424:N424"/>
    <mergeCell ref="B425:C425"/>
    <mergeCell ref="D425:E425"/>
    <mergeCell ref="F425:G425"/>
    <mergeCell ref="M425:N425"/>
    <mergeCell ref="B426:C426"/>
    <mergeCell ref="D426:E426"/>
    <mergeCell ref="F426:G426"/>
    <mergeCell ref="M426:N426"/>
    <mergeCell ref="B417:C417"/>
    <mergeCell ref="D417:E417"/>
    <mergeCell ref="F417:G417"/>
    <mergeCell ref="M417:N417"/>
    <mergeCell ref="B418:C418"/>
    <mergeCell ref="D418:E418"/>
    <mergeCell ref="F418:G418"/>
    <mergeCell ref="M418:N418"/>
    <mergeCell ref="B419:C419"/>
    <mergeCell ref="D419:E419"/>
    <mergeCell ref="F419:G419"/>
    <mergeCell ref="M419:N419"/>
    <mergeCell ref="B420:C420"/>
    <mergeCell ref="D420:E420"/>
    <mergeCell ref="F420:G420"/>
    <mergeCell ref="M420:N420"/>
    <mergeCell ref="B421:C421"/>
    <mergeCell ref="D421:E421"/>
    <mergeCell ref="F421:G421"/>
    <mergeCell ref="M421:N421"/>
    <mergeCell ref="B412:C412"/>
    <mergeCell ref="D412:E412"/>
    <mergeCell ref="F412:G412"/>
    <mergeCell ref="M412:N412"/>
    <mergeCell ref="B413:C413"/>
    <mergeCell ref="D413:E413"/>
    <mergeCell ref="F413:G413"/>
    <mergeCell ref="M413:N413"/>
    <mergeCell ref="B414:C414"/>
    <mergeCell ref="D414:E414"/>
    <mergeCell ref="F414:G414"/>
    <mergeCell ref="M414:N414"/>
    <mergeCell ref="B415:C415"/>
    <mergeCell ref="D415:E415"/>
    <mergeCell ref="F415:G415"/>
    <mergeCell ref="M415:N415"/>
    <mergeCell ref="B416:C416"/>
    <mergeCell ref="D416:E416"/>
    <mergeCell ref="F416:G416"/>
    <mergeCell ref="M416:N416"/>
    <mergeCell ref="B407:C407"/>
    <mergeCell ref="D407:E407"/>
    <mergeCell ref="F407:G407"/>
    <mergeCell ref="M407:N407"/>
    <mergeCell ref="B408:C408"/>
    <mergeCell ref="D408:E408"/>
    <mergeCell ref="F408:G408"/>
    <mergeCell ref="M408:N408"/>
    <mergeCell ref="B409:C409"/>
    <mergeCell ref="D409:E409"/>
    <mergeCell ref="F409:G409"/>
    <mergeCell ref="M409:N409"/>
    <mergeCell ref="B410:C410"/>
    <mergeCell ref="D410:E410"/>
    <mergeCell ref="F410:G410"/>
    <mergeCell ref="M410:N410"/>
    <mergeCell ref="B411:C411"/>
    <mergeCell ref="D411:E411"/>
    <mergeCell ref="F411:G411"/>
    <mergeCell ref="M411:N411"/>
    <mergeCell ref="I402:L402"/>
    <mergeCell ref="B403:C403"/>
    <mergeCell ref="D403:E403"/>
    <mergeCell ref="F403:G403"/>
    <mergeCell ref="M403:N403"/>
    <mergeCell ref="B404:C404"/>
    <mergeCell ref="D404:E404"/>
    <mergeCell ref="F404:G404"/>
    <mergeCell ref="M404:N404"/>
    <mergeCell ref="B405:C405"/>
    <mergeCell ref="D405:E405"/>
    <mergeCell ref="F405:G405"/>
    <mergeCell ref="M405:N405"/>
    <mergeCell ref="B406:C406"/>
    <mergeCell ref="D406:E406"/>
    <mergeCell ref="F406:G406"/>
    <mergeCell ref="M406:N406"/>
    <mergeCell ref="F483:G483"/>
    <mergeCell ref="M483:N483"/>
    <mergeCell ref="B477:C477"/>
    <mergeCell ref="D477:E477"/>
    <mergeCell ref="F477:G477"/>
    <mergeCell ref="M477:N477"/>
    <mergeCell ref="B478:C478"/>
    <mergeCell ref="D478:E478"/>
    <mergeCell ref="F478:G478"/>
    <mergeCell ref="M478:N478"/>
    <mergeCell ref="F473:G473"/>
    <mergeCell ref="M473:N473"/>
    <mergeCell ref="B485:E485"/>
    <mergeCell ref="B486:E486"/>
    <mergeCell ref="B482:C482"/>
    <mergeCell ref="D482:E482"/>
    <mergeCell ref="F482:G482"/>
    <mergeCell ref="M482:N482"/>
    <mergeCell ref="B483:C483"/>
    <mergeCell ref="D483:E483"/>
    <mergeCell ref="B474:C474"/>
    <mergeCell ref="D474:E474"/>
    <mergeCell ref="F474:G474"/>
    <mergeCell ref="M474:N474"/>
    <mergeCell ref="B475:C475"/>
    <mergeCell ref="B476:C476"/>
    <mergeCell ref="M476:N476"/>
    <mergeCell ref="D476:E476"/>
    <mergeCell ref="F476:G476"/>
    <mergeCell ref="B479:C479"/>
    <mergeCell ref="D479:E479"/>
    <mergeCell ref="F479:G479"/>
    <mergeCell ref="M479:N479"/>
    <mergeCell ref="B480:C480"/>
    <mergeCell ref="D480:E480"/>
    <mergeCell ref="F480:G480"/>
    <mergeCell ref="M480:N480"/>
    <mergeCell ref="B473:C473"/>
    <mergeCell ref="D473:E473"/>
    <mergeCell ref="M469:N469"/>
    <mergeCell ref="B470:C470"/>
    <mergeCell ref="D470:E470"/>
    <mergeCell ref="F470:G470"/>
    <mergeCell ref="M470:N470"/>
    <mergeCell ref="B471:C471"/>
    <mergeCell ref="D471:E471"/>
    <mergeCell ref="F471:G471"/>
    <mergeCell ref="B468:C468"/>
    <mergeCell ref="D468:E468"/>
    <mergeCell ref="F468:G468"/>
    <mergeCell ref="M468:N468"/>
    <mergeCell ref="B469:C469"/>
    <mergeCell ref="D469:E469"/>
    <mergeCell ref="F469:G469"/>
    <mergeCell ref="M472:N472"/>
    <mergeCell ref="B472:C472"/>
    <mergeCell ref="D472:E472"/>
    <mergeCell ref="F472:G472"/>
    <mergeCell ref="D466:E466"/>
    <mergeCell ref="F466:G466"/>
    <mergeCell ref="M466:N466"/>
    <mergeCell ref="B467:C467"/>
    <mergeCell ref="D467:E467"/>
    <mergeCell ref="F467:G467"/>
    <mergeCell ref="M467:N467"/>
    <mergeCell ref="M471:N471"/>
    <mergeCell ref="B464:C464"/>
    <mergeCell ref="D464:E464"/>
    <mergeCell ref="F464:G464"/>
    <mergeCell ref="M464:N464"/>
    <mergeCell ref="B465:C465"/>
    <mergeCell ref="D465:E465"/>
    <mergeCell ref="F465:G465"/>
    <mergeCell ref="M465:N465"/>
    <mergeCell ref="B466:C466"/>
    <mergeCell ref="B459:C459"/>
    <mergeCell ref="D459:E459"/>
    <mergeCell ref="F459:G459"/>
    <mergeCell ref="M459:N459"/>
    <mergeCell ref="B456:C456"/>
    <mergeCell ref="D456:E456"/>
    <mergeCell ref="F456:G456"/>
    <mergeCell ref="M456:N456"/>
    <mergeCell ref="B457:C457"/>
    <mergeCell ref="D457:E457"/>
    <mergeCell ref="F457:G457"/>
    <mergeCell ref="M457:N457"/>
    <mergeCell ref="B462:C462"/>
    <mergeCell ref="D462:E462"/>
    <mergeCell ref="F462:G462"/>
    <mergeCell ref="M462:N462"/>
    <mergeCell ref="B463:C463"/>
    <mergeCell ref="D463:E463"/>
    <mergeCell ref="F463:G463"/>
    <mergeCell ref="M463:N463"/>
    <mergeCell ref="B460:C460"/>
    <mergeCell ref="D460:E460"/>
    <mergeCell ref="F460:G460"/>
    <mergeCell ref="M460:N460"/>
    <mergeCell ref="B461:C461"/>
    <mergeCell ref="D461:E461"/>
    <mergeCell ref="F461:G461"/>
    <mergeCell ref="M461:N461"/>
    <mergeCell ref="B454:C454"/>
    <mergeCell ref="D454:E454"/>
    <mergeCell ref="F454:G454"/>
    <mergeCell ref="M454:N454"/>
    <mergeCell ref="B455:C455"/>
    <mergeCell ref="D455:E455"/>
    <mergeCell ref="F455:G455"/>
    <mergeCell ref="M455:N455"/>
    <mergeCell ref="B452:C452"/>
    <mergeCell ref="D452:E452"/>
    <mergeCell ref="F452:G452"/>
    <mergeCell ref="M452:N452"/>
    <mergeCell ref="B453:C453"/>
    <mergeCell ref="D453:E453"/>
    <mergeCell ref="F453:G453"/>
    <mergeCell ref="M453:N453"/>
    <mergeCell ref="B458:C458"/>
    <mergeCell ref="D458:E458"/>
    <mergeCell ref="F458:G458"/>
    <mergeCell ref="M458:N458"/>
    <mergeCell ref="I445:L445"/>
    <mergeCell ref="B446:C446"/>
    <mergeCell ref="D446:E446"/>
    <mergeCell ref="F446:G446"/>
    <mergeCell ref="M446:N446"/>
    <mergeCell ref="B447:C447"/>
    <mergeCell ref="D447:E447"/>
    <mergeCell ref="F447:G447"/>
    <mergeCell ref="M447:N447"/>
    <mergeCell ref="B450:C450"/>
    <mergeCell ref="D450:E450"/>
    <mergeCell ref="F450:G450"/>
    <mergeCell ref="M450:N450"/>
    <mergeCell ref="B451:C451"/>
    <mergeCell ref="D451:E451"/>
    <mergeCell ref="F451:G451"/>
    <mergeCell ref="M451:N451"/>
    <mergeCell ref="B448:C448"/>
    <mergeCell ref="D448:E448"/>
    <mergeCell ref="F448:G448"/>
    <mergeCell ref="M448:N448"/>
    <mergeCell ref="B449:C449"/>
    <mergeCell ref="D449:E449"/>
    <mergeCell ref="F449:G449"/>
    <mergeCell ref="M449:N449"/>
    <mergeCell ref="M522:N522"/>
    <mergeCell ref="B523:C523"/>
    <mergeCell ref="D523:E523"/>
    <mergeCell ref="F523:G523"/>
    <mergeCell ref="M562:N562"/>
    <mergeCell ref="B561:C561"/>
    <mergeCell ref="D561:E561"/>
    <mergeCell ref="F561:G561"/>
    <mergeCell ref="F562:G562"/>
    <mergeCell ref="B507:C507"/>
    <mergeCell ref="F505:G505"/>
    <mergeCell ref="D502:E502"/>
    <mergeCell ref="F502:G502"/>
    <mergeCell ref="F501:G501"/>
    <mergeCell ref="B526:E526"/>
    <mergeCell ref="M547:N547"/>
    <mergeCell ref="D542:E542"/>
    <mergeCell ref="F542:G542"/>
    <mergeCell ref="M542:N542"/>
    <mergeCell ref="M518:N518"/>
    <mergeCell ref="B519:C519"/>
    <mergeCell ref="B504:C504"/>
    <mergeCell ref="D504:E504"/>
    <mergeCell ref="F504:G504"/>
    <mergeCell ref="F546:G546"/>
    <mergeCell ref="M546:N546"/>
    <mergeCell ref="B545:C545"/>
    <mergeCell ref="D545:E545"/>
    <mergeCell ref="F545:G545"/>
    <mergeCell ref="F513:G513"/>
    <mergeCell ref="F517:G517"/>
    <mergeCell ref="M517:N517"/>
    <mergeCell ref="M613:N613"/>
    <mergeCell ref="B583:C583"/>
    <mergeCell ref="D583:E583"/>
    <mergeCell ref="F583:G583"/>
    <mergeCell ref="M583:N583"/>
    <mergeCell ref="B591:C591"/>
    <mergeCell ref="D591:E591"/>
    <mergeCell ref="B586:C586"/>
    <mergeCell ref="B584:C584"/>
    <mergeCell ref="M588:N588"/>
    <mergeCell ref="F589:G589"/>
    <mergeCell ref="F591:G591"/>
    <mergeCell ref="M616:N616"/>
    <mergeCell ref="F615:G615"/>
    <mergeCell ref="M611:N611"/>
    <mergeCell ref="F608:G608"/>
    <mergeCell ref="M608:N608"/>
    <mergeCell ref="M614:N614"/>
    <mergeCell ref="F616:G616"/>
    <mergeCell ref="F596:G596"/>
    <mergeCell ref="M596:N596"/>
    <mergeCell ref="D586:E586"/>
    <mergeCell ref="M586:N586"/>
    <mergeCell ref="B590:C590"/>
    <mergeCell ref="B589:C589"/>
    <mergeCell ref="D589:E589"/>
    <mergeCell ref="M590:N590"/>
    <mergeCell ref="F588:G588"/>
    <mergeCell ref="M609:N609"/>
    <mergeCell ref="M585:N585"/>
    <mergeCell ref="M584:N584"/>
    <mergeCell ref="D584:E584"/>
    <mergeCell ref="M631:N631"/>
    <mergeCell ref="M638:N638"/>
    <mergeCell ref="B633:C633"/>
    <mergeCell ref="D633:E633"/>
    <mergeCell ref="F633:G633"/>
    <mergeCell ref="M633:N633"/>
    <mergeCell ref="B634:C634"/>
    <mergeCell ref="D634:E634"/>
    <mergeCell ref="F635:G635"/>
    <mergeCell ref="M635:N635"/>
    <mergeCell ref="F634:G634"/>
    <mergeCell ref="M634:N634"/>
    <mergeCell ref="B635:C635"/>
    <mergeCell ref="D635:E635"/>
    <mergeCell ref="B599:C599"/>
    <mergeCell ref="B587:C587"/>
    <mergeCell ref="D587:E587"/>
    <mergeCell ref="F587:G587"/>
    <mergeCell ref="M589:N589"/>
    <mergeCell ref="D590:E590"/>
    <mergeCell ref="M591:N591"/>
    <mergeCell ref="F595:G595"/>
    <mergeCell ref="M595:N595"/>
    <mergeCell ref="B595:C595"/>
    <mergeCell ref="B630:C630"/>
    <mergeCell ref="D630:E630"/>
    <mergeCell ref="F630:G630"/>
    <mergeCell ref="M630:N630"/>
    <mergeCell ref="M587:N587"/>
    <mergeCell ref="F590:G590"/>
    <mergeCell ref="M610:N610"/>
    <mergeCell ref="M618:N618"/>
    <mergeCell ref="M636:N636"/>
    <mergeCell ref="F642:G642"/>
    <mergeCell ref="M642:N642"/>
    <mergeCell ref="D642:E642"/>
    <mergeCell ref="M637:N637"/>
    <mergeCell ref="F638:G638"/>
    <mergeCell ref="F632:G632"/>
    <mergeCell ref="B636:C636"/>
    <mergeCell ref="B643:C643"/>
    <mergeCell ref="M643:N643"/>
    <mergeCell ref="B641:C641"/>
    <mergeCell ref="D641:E641"/>
    <mergeCell ref="F641:G641"/>
    <mergeCell ref="M641:N641"/>
    <mergeCell ref="B642:C642"/>
    <mergeCell ref="F640:G640"/>
    <mergeCell ref="B637:C637"/>
    <mergeCell ref="M632:N632"/>
    <mergeCell ref="B610:C610"/>
    <mergeCell ref="D610:E610"/>
    <mergeCell ref="F610:G610"/>
    <mergeCell ref="B644:C644"/>
    <mergeCell ref="D644:E644"/>
    <mergeCell ref="F644:G644"/>
    <mergeCell ref="D643:E643"/>
    <mergeCell ref="F643:G643"/>
    <mergeCell ref="B632:C632"/>
    <mergeCell ref="D636:E636"/>
    <mergeCell ref="D632:E632"/>
    <mergeCell ref="B631:C631"/>
    <mergeCell ref="D631:E631"/>
    <mergeCell ref="F631:G631"/>
    <mergeCell ref="F613:G613"/>
    <mergeCell ref="D611:E611"/>
    <mergeCell ref="F611:G611"/>
    <mergeCell ref="D618:E618"/>
    <mergeCell ref="F618:G618"/>
    <mergeCell ref="F617:G617"/>
    <mergeCell ref="F636:G636"/>
    <mergeCell ref="M621:N621"/>
    <mergeCell ref="B622:C622"/>
    <mergeCell ref="D622:E622"/>
    <mergeCell ref="F622:G622"/>
    <mergeCell ref="M622:N622"/>
    <mergeCell ref="M617:N617"/>
    <mergeCell ref="B647:C647"/>
    <mergeCell ref="D647:E647"/>
    <mergeCell ref="F647:G647"/>
    <mergeCell ref="M647:N647"/>
    <mergeCell ref="B645:C645"/>
    <mergeCell ref="D645:E645"/>
    <mergeCell ref="F645:G645"/>
    <mergeCell ref="M645:N645"/>
    <mergeCell ref="B646:C646"/>
    <mergeCell ref="D646:E646"/>
    <mergeCell ref="D637:E637"/>
    <mergeCell ref="F637:G637"/>
    <mergeCell ref="B638:C638"/>
    <mergeCell ref="D638:E638"/>
    <mergeCell ref="B640:C640"/>
    <mergeCell ref="D640:E640"/>
    <mergeCell ref="B623:C623"/>
    <mergeCell ref="D623:E623"/>
    <mergeCell ref="F623:G623"/>
    <mergeCell ref="B625:C625"/>
    <mergeCell ref="D625:E625"/>
    <mergeCell ref="F625:G625"/>
    <mergeCell ref="B624:C624"/>
    <mergeCell ref="D624:E624"/>
    <mergeCell ref="F624:G624"/>
    <mergeCell ref="M644:N644"/>
    <mergeCell ref="M624:N624"/>
    <mergeCell ref="B614:C614"/>
    <mergeCell ref="D614:E614"/>
    <mergeCell ref="B619:C619"/>
    <mergeCell ref="D619:E619"/>
    <mergeCell ref="F619:G619"/>
    <mergeCell ref="B616:C616"/>
    <mergeCell ref="D616:E616"/>
    <mergeCell ref="B618:C618"/>
    <mergeCell ref="D617:E617"/>
    <mergeCell ref="M625:N625"/>
    <mergeCell ref="I606:L606"/>
    <mergeCell ref="B607:C607"/>
    <mergeCell ref="D607:E607"/>
    <mergeCell ref="F607:G607"/>
    <mergeCell ref="B617:C617"/>
    <mergeCell ref="F612:G612"/>
    <mergeCell ref="M619:N619"/>
    <mergeCell ref="F614:G614"/>
    <mergeCell ref="B613:C613"/>
    <mergeCell ref="M607:N607"/>
    <mergeCell ref="B608:C608"/>
    <mergeCell ref="D608:E608"/>
    <mergeCell ref="D613:E613"/>
    <mergeCell ref="B609:C609"/>
    <mergeCell ref="D609:E609"/>
    <mergeCell ref="F609:G609"/>
    <mergeCell ref="D612:E612"/>
    <mergeCell ref="M623:N623"/>
    <mergeCell ref="B621:C621"/>
    <mergeCell ref="D621:E621"/>
    <mergeCell ref="F621:G621"/>
    <mergeCell ref="F601:G601"/>
    <mergeCell ref="M601:N601"/>
    <mergeCell ref="B598:C598"/>
    <mergeCell ref="D598:E598"/>
    <mergeCell ref="B600:C600"/>
    <mergeCell ref="D600:E600"/>
    <mergeCell ref="F600:G600"/>
    <mergeCell ref="M600:N600"/>
    <mergeCell ref="F598:G598"/>
    <mergeCell ref="M598:N598"/>
    <mergeCell ref="M599:N599"/>
    <mergeCell ref="F599:G599"/>
    <mergeCell ref="D599:E599"/>
    <mergeCell ref="D595:E595"/>
    <mergeCell ref="B597:C597"/>
    <mergeCell ref="D597:E597"/>
    <mergeCell ref="D585:E585"/>
    <mergeCell ref="M565:N565"/>
    <mergeCell ref="B565:C565"/>
    <mergeCell ref="D565:E565"/>
    <mergeCell ref="D593:E593"/>
    <mergeCell ref="F594:G594"/>
    <mergeCell ref="M594:N594"/>
    <mergeCell ref="F593:G593"/>
    <mergeCell ref="M593:N593"/>
    <mergeCell ref="B585:C585"/>
    <mergeCell ref="F573:G573"/>
    <mergeCell ref="M573:N573"/>
    <mergeCell ref="B572:C572"/>
    <mergeCell ref="D572:E572"/>
    <mergeCell ref="F572:G572"/>
    <mergeCell ref="M572:N572"/>
    <mergeCell ref="M576:N576"/>
    <mergeCell ref="B579:C579"/>
    <mergeCell ref="D579:E579"/>
    <mergeCell ref="B577:C577"/>
    <mergeCell ref="M577:N577"/>
    <mergeCell ref="D577:E577"/>
    <mergeCell ref="M578:N578"/>
    <mergeCell ref="F579:G579"/>
    <mergeCell ref="F577:G577"/>
    <mergeCell ref="M582:N582"/>
    <mergeCell ref="F585:G585"/>
    <mergeCell ref="D530:E530"/>
    <mergeCell ref="F530:G530"/>
    <mergeCell ref="M530:N530"/>
    <mergeCell ref="F566:G566"/>
    <mergeCell ref="M566:N566"/>
    <mergeCell ref="M551:N551"/>
    <mergeCell ref="M537:N537"/>
    <mergeCell ref="B571:C571"/>
    <mergeCell ref="M543:N543"/>
    <mergeCell ref="M550:N550"/>
    <mergeCell ref="B573:C573"/>
    <mergeCell ref="D573:E573"/>
    <mergeCell ref="B575:C575"/>
    <mergeCell ref="D575:E575"/>
    <mergeCell ref="F575:G575"/>
    <mergeCell ref="M575:N575"/>
    <mergeCell ref="B574:C574"/>
    <mergeCell ref="M533:N533"/>
    <mergeCell ref="B547:C547"/>
    <mergeCell ref="D541:E541"/>
    <mergeCell ref="B549:C549"/>
    <mergeCell ref="D549:E549"/>
    <mergeCell ref="F549:G549"/>
    <mergeCell ref="M549:N549"/>
    <mergeCell ref="M545:N545"/>
    <mergeCell ref="D538:E538"/>
    <mergeCell ref="B541:C541"/>
    <mergeCell ref="F538:G538"/>
    <mergeCell ref="D539:E539"/>
    <mergeCell ref="M574:N574"/>
    <mergeCell ref="B568:C568"/>
    <mergeCell ref="D568:E568"/>
    <mergeCell ref="M544:N544"/>
    <mergeCell ref="B548:C548"/>
    <mergeCell ref="D548:E548"/>
    <mergeCell ref="F548:G548"/>
    <mergeCell ref="M548:N548"/>
    <mergeCell ref="D547:E547"/>
    <mergeCell ref="F547:G547"/>
    <mergeCell ref="B489:C489"/>
    <mergeCell ref="D489:E489"/>
    <mergeCell ref="F489:G489"/>
    <mergeCell ref="B532:C532"/>
    <mergeCell ref="D532:E532"/>
    <mergeCell ref="F532:G532"/>
    <mergeCell ref="B531:C531"/>
    <mergeCell ref="D531:E531"/>
    <mergeCell ref="F531:G531"/>
    <mergeCell ref="B502:C502"/>
    <mergeCell ref="F543:G543"/>
    <mergeCell ref="B522:C522"/>
    <mergeCell ref="D522:E522"/>
    <mergeCell ref="F522:G522"/>
    <mergeCell ref="D518:E518"/>
    <mergeCell ref="M523:N523"/>
    <mergeCell ref="B521:C521"/>
    <mergeCell ref="D521:E521"/>
    <mergeCell ref="F521:G521"/>
    <mergeCell ref="M521:N521"/>
    <mergeCell ref="B496:C496"/>
    <mergeCell ref="D496:E496"/>
    <mergeCell ref="F496:G496"/>
    <mergeCell ref="B543:C543"/>
    <mergeCell ref="D543:E543"/>
    <mergeCell ref="M492:N492"/>
    <mergeCell ref="M493:N493"/>
    <mergeCell ref="M494:N494"/>
    <mergeCell ref="M495:N495"/>
    <mergeCell ref="M497:N497"/>
    <mergeCell ref="M532:N532"/>
    <mergeCell ref="M531:N531"/>
    <mergeCell ref="M502:N502"/>
    <mergeCell ref="M498:N498"/>
    <mergeCell ref="M505:N505"/>
    <mergeCell ref="F544:G544"/>
    <mergeCell ref="B501:C501"/>
    <mergeCell ref="M501:N501"/>
    <mergeCell ref="B500:C500"/>
    <mergeCell ref="D500:E500"/>
    <mergeCell ref="D501:E501"/>
    <mergeCell ref="M500:N500"/>
    <mergeCell ref="D498:E498"/>
    <mergeCell ref="F498:G498"/>
    <mergeCell ref="B520:C520"/>
    <mergeCell ref="D520:E520"/>
    <mergeCell ref="F520:G520"/>
    <mergeCell ref="B503:C503"/>
    <mergeCell ref="D503:E503"/>
    <mergeCell ref="F503:G503"/>
    <mergeCell ref="M503:N503"/>
    <mergeCell ref="B525:E525"/>
    <mergeCell ref="D519:E519"/>
    <mergeCell ref="B511:C511"/>
    <mergeCell ref="D511:E511"/>
    <mergeCell ref="B513:C513"/>
    <mergeCell ref="D513:E513"/>
    <mergeCell ref="B650:E650"/>
    <mergeCell ref="B556:E556"/>
    <mergeCell ref="B603:E603"/>
    <mergeCell ref="B604:E604"/>
    <mergeCell ref="B492:C492"/>
    <mergeCell ref="D492:E492"/>
    <mergeCell ref="B495:C495"/>
    <mergeCell ref="D495:E495"/>
    <mergeCell ref="B553:C553"/>
    <mergeCell ref="D535:E535"/>
    <mergeCell ref="F492:G492"/>
    <mergeCell ref="B493:C493"/>
    <mergeCell ref="D493:E493"/>
    <mergeCell ref="F493:G493"/>
    <mergeCell ref="B494:C494"/>
    <mergeCell ref="D494:E494"/>
    <mergeCell ref="F494:G494"/>
    <mergeCell ref="F495:G495"/>
    <mergeCell ref="B497:C497"/>
    <mergeCell ref="D497:E497"/>
    <mergeCell ref="F497:G497"/>
    <mergeCell ref="B498:C498"/>
    <mergeCell ref="B544:C544"/>
    <mergeCell ref="D544:E544"/>
    <mergeCell ref="B534:C534"/>
    <mergeCell ref="D534:E534"/>
    <mergeCell ref="F534:G534"/>
    <mergeCell ref="B535:C535"/>
    <mergeCell ref="F535:G535"/>
    <mergeCell ref="B546:C546"/>
    <mergeCell ref="D546:E546"/>
    <mergeCell ref="F537:G537"/>
    <mergeCell ref="B649:E649"/>
    <mergeCell ref="D553:E553"/>
    <mergeCell ref="F553:G553"/>
    <mergeCell ref="M553:N553"/>
    <mergeCell ref="B551:C551"/>
    <mergeCell ref="B509:C509"/>
    <mergeCell ref="D509:E509"/>
    <mergeCell ref="B533:C533"/>
    <mergeCell ref="D533:E533"/>
    <mergeCell ref="F533:G533"/>
    <mergeCell ref="M534:N534"/>
    <mergeCell ref="M535:N535"/>
    <mergeCell ref="M538:N538"/>
    <mergeCell ref="B536:C536"/>
    <mergeCell ref="D536:E536"/>
    <mergeCell ref="F536:G536"/>
    <mergeCell ref="M536:N536"/>
    <mergeCell ref="B539:C539"/>
    <mergeCell ref="B537:C537"/>
    <mergeCell ref="B538:C538"/>
    <mergeCell ref="D537:E537"/>
    <mergeCell ref="F541:G541"/>
    <mergeCell ref="M541:N541"/>
    <mergeCell ref="B542:C542"/>
    <mergeCell ref="M564:N564"/>
    <mergeCell ref="M514:N514"/>
    <mergeCell ref="F539:G539"/>
    <mergeCell ref="M539:N539"/>
    <mergeCell ref="B540:C540"/>
    <mergeCell ref="D540:E540"/>
    <mergeCell ref="F540:G540"/>
    <mergeCell ref="M540:N540"/>
    <mergeCell ref="M520:N520"/>
    <mergeCell ref="F519:G519"/>
    <mergeCell ref="M519:N519"/>
    <mergeCell ref="B518:C518"/>
    <mergeCell ref="F518:G518"/>
    <mergeCell ref="B514:C514"/>
    <mergeCell ref="D515:E515"/>
    <mergeCell ref="F515:G515"/>
    <mergeCell ref="M515:N515"/>
    <mergeCell ref="F569:G569"/>
    <mergeCell ref="M569:N569"/>
    <mergeCell ref="D571:E571"/>
    <mergeCell ref="F571:G571"/>
    <mergeCell ref="M571:N571"/>
    <mergeCell ref="D576:E576"/>
    <mergeCell ref="F576:G576"/>
    <mergeCell ref="D570:E570"/>
    <mergeCell ref="F570:G570"/>
    <mergeCell ref="M552:N552"/>
    <mergeCell ref="D567:E567"/>
    <mergeCell ref="F567:G567"/>
    <mergeCell ref="M567:N567"/>
    <mergeCell ref="F568:G568"/>
    <mergeCell ref="M568:N568"/>
    <mergeCell ref="B563:C563"/>
    <mergeCell ref="D563:E563"/>
    <mergeCell ref="F563:G563"/>
    <mergeCell ref="M563:N563"/>
    <mergeCell ref="M560:N560"/>
    <mergeCell ref="B562:C562"/>
    <mergeCell ref="B560:C560"/>
    <mergeCell ref="D560:E560"/>
    <mergeCell ref="F564:G564"/>
    <mergeCell ref="D580:E580"/>
    <mergeCell ref="F580:G580"/>
    <mergeCell ref="M640:N640"/>
    <mergeCell ref="B639:C639"/>
    <mergeCell ref="D639:E639"/>
    <mergeCell ref="F639:G639"/>
    <mergeCell ref="M639:N639"/>
    <mergeCell ref="D588:E588"/>
    <mergeCell ref="B594:C594"/>
    <mergeCell ref="B611:C611"/>
    <mergeCell ref="M615:N615"/>
    <mergeCell ref="B612:C612"/>
    <mergeCell ref="F626:G626"/>
    <mergeCell ref="M626:N626"/>
    <mergeCell ref="B615:C615"/>
    <mergeCell ref="D615:E615"/>
    <mergeCell ref="B601:C601"/>
    <mergeCell ref="D601:E601"/>
    <mergeCell ref="B592:C592"/>
    <mergeCell ref="D592:E592"/>
    <mergeCell ref="F592:G592"/>
    <mergeCell ref="M592:N592"/>
    <mergeCell ref="B588:C588"/>
    <mergeCell ref="B576:C576"/>
    <mergeCell ref="F574:G574"/>
    <mergeCell ref="D574:E574"/>
    <mergeCell ref="M570:N570"/>
    <mergeCell ref="B569:C569"/>
    <mergeCell ref="D569:E569"/>
    <mergeCell ref="B582:C582"/>
    <mergeCell ref="F565:G565"/>
    <mergeCell ref="D481:E481"/>
    <mergeCell ref="F481:G481"/>
    <mergeCell ref="D551:E551"/>
    <mergeCell ref="F551:G551"/>
    <mergeCell ref="M579:N579"/>
    <mergeCell ref="B570:C570"/>
    <mergeCell ref="B578:C578"/>
    <mergeCell ref="D578:E578"/>
    <mergeCell ref="F578:G578"/>
    <mergeCell ref="M580:N580"/>
    <mergeCell ref="B481:C481"/>
    <mergeCell ref="M481:N481"/>
    <mergeCell ref="B516:C516"/>
    <mergeCell ref="B517:C517"/>
    <mergeCell ref="D517:E517"/>
    <mergeCell ref="D514:E514"/>
    <mergeCell ref="F514:G514"/>
    <mergeCell ref="B515:C515"/>
    <mergeCell ref="D510:E510"/>
    <mergeCell ref="F510:G510"/>
    <mergeCell ref="F511:G511"/>
    <mergeCell ref="F560:G560"/>
    <mergeCell ref="D566:E566"/>
    <mergeCell ref="B567:C567"/>
    <mergeCell ref="M561:N561"/>
    <mergeCell ref="D562:E562"/>
    <mergeCell ref="B566:C566"/>
    <mergeCell ref="B564:C564"/>
    <mergeCell ref="B491:C491"/>
    <mergeCell ref="D491:E491"/>
    <mergeCell ref="F491:G491"/>
    <mergeCell ref="D564:E564"/>
    <mergeCell ref="F646:G646"/>
    <mergeCell ref="M646:N646"/>
    <mergeCell ref="B530:C530"/>
    <mergeCell ref="M554:N554"/>
    <mergeCell ref="B554:C554"/>
    <mergeCell ref="B626:C626"/>
    <mergeCell ref="D626:E626"/>
    <mergeCell ref="B580:C580"/>
    <mergeCell ref="M612:N612"/>
    <mergeCell ref="B620:C620"/>
    <mergeCell ref="D620:E620"/>
    <mergeCell ref="F620:G620"/>
    <mergeCell ref="M620:N620"/>
    <mergeCell ref="F586:G586"/>
    <mergeCell ref="D594:E594"/>
    <mergeCell ref="B593:C593"/>
    <mergeCell ref="B550:C550"/>
    <mergeCell ref="D550:E550"/>
    <mergeCell ref="D554:E554"/>
    <mergeCell ref="F554:G554"/>
    <mergeCell ref="B552:C552"/>
    <mergeCell ref="D552:E552"/>
    <mergeCell ref="F552:G552"/>
    <mergeCell ref="F550:G550"/>
    <mergeCell ref="F584:G584"/>
    <mergeCell ref="F597:G597"/>
    <mergeCell ref="M597:N597"/>
    <mergeCell ref="B596:C596"/>
    <mergeCell ref="D596:E596"/>
    <mergeCell ref="D582:E582"/>
    <mergeCell ref="F582:G582"/>
    <mergeCell ref="B558:E558"/>
    <mergeCell ref="D507:E507"/>
    <mergeCell ref="F507:G507"/>
    <mergeCell ref="B505:C505"/>
    <mergeCell ref="D505:E505"/>
    <mergeCell ref="F506:G506"/>
    <mergeCell ref="B506:C506"/>
    <mergeCell ref="D506:E506"/>
    <mergeCell ref="B508:C508"/>
    <mergeCell ref="D508:E508"/>
    <mergeCell ref="B385:C385"/>
    <mergeCell ref="D385:E385"/>
    <mergeCell ref="F385:G385"/>
    <mergeCell ref="M385:N385"/>
    <mergeCell ref="B386:C386"/>
    <mergeCell ref="D386:E386"/>
    <mergeCell ref="F386:G386"/>
    <mergeCell ref="M386:N386"/>
    <mergeCell ref="B397:C397"/>
    <mergeCell ref="D397:E397"/>
    <mergeCell ref="F397:G397"/>
    <mergeCell ref="M397:N397"/>
    <mergeCell ref="F393:G393"/>
    <mergeCell ref="M393:N393"/>
    <mergeCell ref="B399:E399"/>
    <mergeCell ref="B400:E400"/>
    <mergeCell ref="B396:C396"/>
    <mergeCell ref="D396:E396"/>
    <mergeCell ref="F396:G396"/>
    <mergeCell ref="M396:N396"/>
    <mergeCell ref="B393:C393"/>
    <mergeCell ref="D393:E393"/>
    <mergeCell ref="B394:C394"/>
    <mergeCell ref="B376:C376"/>
    <mergeCell ref="D376:E376"/>
    <mergeCell ref="F376:G376"/>
    <mergeCell ref="M376:N376"/>
    <mergeCell ref="B374:C374"/>
    <mergeCell ref="D374:E374"/>
    <mergeCell ref="F374:G374"/>
    <mergeCell ref="M374:N374"/>
    <mergeCell ref="B375:C375"/>
    <mergeCell ref="D375:E375"/>
    <mergeCell ref="F375:G375"/>
    <mergeCell ref="M375:N375"/>
    <mergeCell ref="M380:N380"/>
    <mergeCell ref="F378:G378"/>
    <mergeCell ref="D378:E378"/>
    <mergeCell ref="B389:C389"/>
    <mergeCell ref="D389:E389"/>
    <mergeCell ref="F389:G389"/>
    <mergeCell ref="M389:N389"/>
    <mergeCell ref="B387:C387"/>
    <mergeCell ref="D387:E387"/>
    <mergeCell ref="F387:G387"/>
    <mergeCell ref="F381:G381"/>
    <mergeCell ref="M378:N378"/>
    <mergeCell ref="B384:C384"/>
    <mergeCell ref="D384:E384"/>
    <mergeCell ref="F384:G384"/>
    <mergeCell ref="M384:N384"/>
    <mergeCell ref="B381:C381"/>
    <mergeCell ref="D381:E381"/>
    <mergeCell ref="B380:C380"/>
    <mergeCell ref="D380:E380"/>
    <mergeCell ref="M513:N513"/>
    <mergeCell ref="B512:C512"/>
    <mergeCell ref="D512:E512"/>
    <mergeCell ref="F512:G512"/>
    <mergeCell ref="M512:N512"/>
    <mergeCell ref="B510:C510"/>
    <mergeCell ref="B390:C390"/>
    <mergeCell ref="D390:E390"/>
    <mergeCell ref="F390:G390"/>
    <mergeCell ref="M390:N390"/>
    <mergeCell ref="M510:N510"/>
    <mergeCell ref="M491:N491"/>
    <mergeCell ref="M507:N507"/>
    <mergeCell ref="M504:N504"/>
    <mergeCell ref="M506:N506"/>
    <mergeCell ref="M511:N511"/>
    <mergeCell ref="F508:G508"/>
    <mergeCell ref="M508:N508"/>
    <mergeCell ref="F509:G509"/>
    <mergeCell ref="M489:N489"/>
    <mergeCell ref="B490:C490"/>
    <mergeCell ref="D490:E490"/>
    <mergeCell ref="F490:G490"/>
    <mergeCell ref="M490:N490"/>
    <mergeCell ref="M496:N496"/>
    <mergeCell ref="B499:C499"/>
    <mergeCell ref="D499:E499"/>
    <mergeCell ref="F499:G499"/>
    <mergeCell ref="M499:N499"/>
    <mergeCell ref="M509:N509"/>
    <mergeCell ref="I488:L488"/>
    <mergeCell ref="F500:G500"/>
    <mergeCell ref="F380:G380"/>
    <mergeCell ref="M381:N381"/>
    <mergeCell ref="B382:C382"/>
    <mergeCell ref="D382:E382"/>
    <mergeCell ref="F382:G382"/>
    <mergeCell ref="M382:N382"/>
    <mergeCell ref="B377:C377"/>
    <mergeCell ref="D377:E377"/>
    <mergeCell ref="F377:G377"/>
    <mergeCell ref="M377:N377"/>
    <mergeCell ref="B378:C378"/>
    <mergeCell ref="B292:C292"/>
    <mergeCell ref="D292:E292"/>
    <mergeCell ref="F292:G292"/>
    <mergeCell ref="M292:N292"/>
    <mergeCell ref="B293:C293"/>
    <mergeCell ref="D293:E293"/>
    <mergeCell ref="F293:G293"/>
    <mergeCell ref="M293:N293"/>
    <mergeCell ref="M295:N295"/>
    <mergeCell ref="B299:C299"/>
    <mergeCell ref="D299:E299"/>
    <mergeCell ref="F299:G299"/>
    <mergeCell ref="M299:N299"/>
    <mergeCell ref="B306:C306"/>
    <mergeCell ref="D306:E306"/>
    <mergeCell ref="F306:G306"/>
    <mergeCell ref="M373:N373"/>
    <mergeCell ref="B371:C371"/>
    <mergeCell ref="D371:E371"/>
    <mergeCell ref="F371:G371"/>
    <mergeCell ref="M371:N371"/>
    <mergeCell ref="B372:C372"/>
    <mergeCell ref="D372:E372"/>
    <mergeCell ref="F372:G372"/>
    <mergeCell ref="M372:N372"/>
    <mergeCell ref="F339:G339"/>
    <mergeCell ref="M339:N339"/>
    <mergeCell ref="B340:C340"/>
    <mergeCell ref="D340:E340"/>
    <mergeCell ref="F340:G340"/>
    <mergeCell ref="M340:N340"/>
    <mergeCell ref="B341:C341"/>
    <mergeCell ref="M296:N296"/>
    <mergeCell ref="B297:C297"/>
    <mergeCell ref="D297:E297"/>
    <mergeCell ref="F297:G297"/>
    <mergeCell ref="M297:N297"/>
    <mergeCell ref="B294:C294"/>
    <mergeCell ref="D294:E294"/>
    <mergeCell ref="F294:G294"/>
    <mergeCell ref="M294:N294"/>
    <mergeCell ref="B295:C295"/>
    <mergeCell ref="D295:E295"/>
    <mergeCell ref="F295:G295"/>
    <mergeCell ref="B301:C301"/>
    <mergeCell ref="D301:E301"/>
    <mergeCell ref="F301:G301"/>
    <mergeCell ref="M301:N301"/>
    <mergeCell ref="B303:C303"/>
    <mergeCell ref="D303:E303"/>
    <mergeCell ref="F303:G303"/>
    <mergeCell ref="M303:N303"/>
    <mergeCell ref="B302:C302"/>
    <mergeCell ref="D394:E394"/>
    <mergeCell ref="F394:G394"/>
    <mergeCell ref="M394:N394"/>
    <mergeCell ref="B391:C391"/>
    <mergeCell ref="D391:E391"/>
    <mergeCell ref="F391:G391"/>
    <mergeCell ref="M391:N391"/>
    <mergeCell ref="B392:C392"/>
    <mergeCell ref="D392:E392"/>
    <mergeCell ref="F392:G392"/>
    <mergeCell ref="M392:N392"/>
    <mergeCell ref="M387:N387"/>
    <mergeCell ref="B388:C388"/>
    <mergeCell ref="D388:E388"/>
    <mergeCell ref="F388:G388"/>
    <mergeCell ref="M388:N388"/>
    <mergeCell ref="B383:C383"/>
    <mergeCell ref="D383:E383"/>
    <mergeCell ref="F383:G383"/>
    <mergeCell ref="M383:N383"/>
    <mergeCell ref="D302:E302"/>
    <mergeCell ref="F302:G302"/>
    <mergeCell ref="M302:N302"/>
    <mergeCell ref="I289:L289"/>
    <mergeCell ref="B290:C290"/>
    <mergeCell ref="D290:E290"/>
    <mergeCell ref="F290:G290"/>
    <mergeCell ref="M290:N290"/>
    <mergeCell ref="B291:C291"/>
    <mergeCell ref="D291:E291"/>
    <mergeCell ref="F291:G291"/>
    <mergeCell ref="M291:N291"/>
    <mergeCell ref="B298:C298"/>
    <mergeCell ref="D298:E298"/>
    <mergeCell ref="F298:G298"/>
    <mergeCell ref="M298:N298"/>
    <mergeCell ref="B300:C300"/>
    <mergeCell ref="D300:E300"/>
    <mergeCell ref="F300:G300"/>
    <mergeCell ref="M300:N300"/>
    <mergeCell ref="B296:C296"/>
    <mergeCell ref="D296:E296"/>
    <mergeCell ref="F296:G296"/>
    <mergeCell ref="B308:C308"/>
    <mergeCell ref="D308:E308"/>
    <mergeCell ref="F308:G308"/>
    <mergeCell ref="M308:N308"/>
    <mergeCell ref="B309:C309"/>
    <mergeCell ref="D309:E309"/>
    <mergeCell ref="F309:G309"/>
    <mergeCell ref="M309:N309"/>
    <mergeCell ref="M306:N306"/>
    <mergeCell ref="B307:C307"/>
    <mergeCell ref="D307:E307"/>
    <mergeCell ref="F307:G307"/>
    <mergeCell ref="M307:N307"/>
    <mergeCell ref="B304:C304"/>
    <mergeCell ref="D304:E304"/>
    <mergeCell ref="F304:G304"/>
    <mergeCell ref="M304:N304"/>
    <mergeCell ref="B305:C305"/>
    <mergeCell ref="D305:E305"/>
    <mergeCell ref="F305:G305"/>
    <mergeCell ref="M305:N305"/>
    <mergeCell ref="B312:C312"/>
    <mergeCell ref="D312:E312"/>
    <mergeCell ref="F312:G312"/>
    <mergeCell ref="M312:N312"/>
    <mergeCell ref="B313:C313"/>
    <mergeCell ref="D313:E313"/>
    <mergeCell ref="F313:G313"/>
    <mergeCell ref="M313:N313"/>
    <mergeCell ref="D321:E321"/>
    <mergeCell ref="F321:G321"/>
    <mergeCell ref="M321:N321"/>
    <mergeCell ref="B318:C318"/>
    <mergeCell ref="D318:E318"/>
    <mergeCell ref="F318:G318"/>
    <mergeCell ref="M318:N318"/>
    <mergeCell ref="B310:C310"/>
    <mergeCell ref="D310:E310"/>
    <mergeCell ref="F310:G310"/>
    <mergeCell ref="M310:N310"/>
    <mergeCell ref="B311:C311"/>
    <mergeCell ref="D311:E311"/>
    <mergeCell ref="F311:G311"/>
    <mergeCell ref="M311:N311"/>
    <mergeCell ref="B137:C137"/>
    <mergeCell ref="D137:E137"/>
    <mergeCell ref="F137:G137"/>
    <mergeCell ref="M137:N137"/>
    <mergeCell ref="B555:E555"/>
    <mergeCell ref="B177:C177"/>
    <mergeCell ref="D177:E177"/>
    <mergeCell ref="F177:G177"/>
    <mergeCell ref="M177:N177"/>
    <mergeCell ref="B328:E328"/>
    <mergeCell ref="B329:E329"/>
    <mergeCell ref="B319:C319"/>
    <mergeCell ref="D319:E319"/>
    <mergeCell ref="F319:G319"/>
    <mergeCell ref="M319:N319"/>
    <mergeCell ref="B320:C320"/>
    <mergeCell ref="D320:E320"/>
    <mergeCell ref="F320:G320"/>
    <mergeCell ref="M320:N320"/>
    <mergeCell ref="B325:C325"/>
    <mergeCell ref="B314:C314"/>
    <mergeCell ref="D314:E314"/>
    <mergeCell ref="F314:G314"/>
    <mergeCell ref="M314:N314"/>
    <mergeCell ref="B315:C315"/>
    <mergeCell ref="D315:E315"/>
    <mergeCell ref="F315:G315"/>
    <mergeCell ref="M315:N315"/>
    <mergeCell ref="B322:C322"/>
    <mergeCell ref="D322:E322"/>
    <mergeCell ref="F322:G322"/>
    <mergeCell ref="M322:N322"/>
    <mergeCell ref="D325:E325"/>
    <mergeCell ref="F325:G325"/>
    <mergeCell ref="M325:N325"/>
    <mergeCell ref="B326:C326"/>
    <mergeCell ref="D326:E326"/>
    <mergeCell ref="F326:G326"/>
    <mergeCell ref="M326:N326"/>
    <mergeCell ref="B324:C324"/>
    <mergeCell ref="D324:E324"/>
    <mergeCell ref="F324:G324"/>
    <mergeCell ref="M324:N324"/>
    <mergeCell ref="B321:C321"/>
    <mergeCell ref="B323:C323"/>
    <mergeCell ref="D323:E323"/>
    <mergeCell ref="F323:G323"/>
    <mergeCell ref="M323:N323"/>
    <mergeCell ref="B316:C316"/>
    <mergeCell ref="D316:E316"/>
    <mergeCell ref="F316:G316"/>
    <mergeCell ref="M316:N316"/>
    <mergeCell ref="B317:C317"/>
    <mergeCell ref="D317:E317"/>
    <mergeCell ref="F317:G317"/>
    <mergeCell ref="M317:N317"/>
    <mergeCell ref="I41:L41"/>
    <mergeCell ref="B42:C42"/>
    <mergeCell ref="D42:E42"/>
    <mergeCell ref="F42:G42"/>
    <mergeCell ref="M42:N42"/>
    <mergeCell ref="B43:C43"/>
    <mergeCell ref="D43:E43"/>
    <mergeCell ref="F43:G43"/>
    <mergeCell ref="M43:N43"/>
    <mergeCell ref="B44:C44"/>
    <mergeCell ref="D44:E44"/>
    <mergeCell ref="F44:G44"/>
    <mergeCell ref="M44:N44"/>
    <mergeCell ref="B45:C45"/>
    <mergeCell ref="D45:E45"/>
    <mergeCell ref="F45:G45"/>
    <mergeCell ref="M45:N45"/>
    <mergeCell ref="B46:C46"/>
    <mergeCell ref="D46:E46"/>
    <mergeCell ref="F46:G46"/>
    <mergeCell ref="M46:N46"/>
    <mergeCell ref="B47:C47"/>
    <mergeCell ref="D47:E47"/>
    <mergeCell ref="F47:G47"/>
    <mergeCell ref="M47:N47"/>
    <mergeCell ref="B48:C48"/>
    <mergeCell ref="D48:E48"/>
    <mergeCell ref="F48:G48"/>
    <mergeCell ref="M48:N48"/>
    <mergeCell ref="B49:C49"/>
    <mergeCell ref="D49:E49"/>
    <mergeCell ref="F49:G49"/>
    <mergeCell ref="M49:N49"/>
    <mergeCell ref="B50:C50"/>
    <mergeCell ref="D50:E50"/>
    <mergeCell ref="F50:G50"/>
    <mergeCell ref="M50:N50"/>
    <mergeCell ref="B51:C51"/>
    <mergeCell ref="D51:E51"/>
    <mergeCell ref="F51:G51"/>
    <mergeCell ref="M51:N51"/>
    <mergeCell ref="B52:C52"/>
    <mergeCell ref="D52:E52"/>
    <mergeCell ref="F52:G52"/>
    <mergeCell ref="M52:N52"/>
    <mergeCell ref="B53:C53"/>
    <mergeCell ref="D53:E53"/>
    <mergeCell ref="F53:G53"/>
    <mergeCell ref="M53:N53"/>
    <mergeCell ref="B54:C54"/>
    <mergeCell ref="D54:E54"/>
    <mergeCell ref="F54:G54"/>
    <mergeCell ref="B55:C55"/>
    <mergeCell ref="D55:E55"/>
    <mergeCell ref="F55:G55"/>
    <mergeCell ref="M55:N55"/>
    <mergeCell ref="B56:C56"/>
    <mergeCell ref="D56:E56"/>
    <mergeCell ref="F56:G56"/>
    <mergeCell ref="M56:N56"/>
    <mergeCell ref="B57:C57"/>
    <mergeCell ref="D57:E57"/>
    <mergeCell ref="F57:G57"/>
    <mergeCell ref="M57:N57"/>
    <mergeCell ref="B58:C58"/>
    <mergeCell ref="D58:E58"/>
    <mergeCell ref="F58:G58"/>
    <mergeCell ref="M58:N58"/>
    <mergeCell ref="B59:C59"/>
    <mergeCell ref="D59:E59"/>
    <mergeCell ref="F59:G59"/>
    <mergeCell ref="M59:N59"/>
    <mergeCell ref="B60:C60"/>
    <mergeCell ref="D60:E60"/>
    <mergeCell ref="F60:G60"/>
    <mergeCell ref="B61:C61"/>
    <mergeCell ref="D61:E61"/>
    <mergeCell ref="F61:G61"/>
    <mergeCell ref="M61:N61"/>
    <mergeCell ref="B62:C62"/>
    <mergeCell ref="D62:E62"/>
    <mergeCell ref="F62:G62"/>
    <mergeCell ref="M62:N62"/>
    <mergeCell ref="B63:C63"/>
    <mergeCell ref="D63:E63"/>
    <mergeCell ref="F63:G63"/>
    <mergeCell ref="M63:N63"/>
    <mergeCell ref="B64:C64"/>
    <mergeCell ref="D64:E64"/>
    <mergeCell ref="F64:G64"/>
    <mergeCell ref="M64:N64"/>
    <mergeCell ref="B65:C65"/>
    <mergeCell ref="D65:E65"/>
    <mergeCell ref="F65:G65"/>
    <mergeCell ref="M65:N65"/>
    <mergeCell ref="B66:C66"/>
    <mergeCell ref="D66:E66"/>
    <mergeCell ref="F66:G66"/>
    <mergeCell ref="M66:N66"/>
    <mergeCell ref="B67:C67"/>
    <mergeCell ref="D67:E67"/>
    <mergeCell ref="F67:G67"/>
    <mergeCell ref="M67:N67"/>
    <mergeCell ref="B68:C68"/>
    <mergeCell ref="D68:E68"/>
    <mergeCell ref="F68:G68"/>
    <mergeCell ref="M68:N68"/>
    <mergeCell ref="B69:C69"/>
    <mergeCell ref="D69:E69"/>
    <mergeCell ref="F69:G69"/>
    <mergeCell ref="M69:N69"/>
    <mergeCell ref="B70:C70"/>
    <mergeCell ref="D70:E70"/>
    <mergeCell ref="F70:G70"/>
    <mergeCell ref="M70:N70"/>
    <mergeCell ref="B76:C76"/>
    <mergeCell ref="D76:E76"/>
    <mergeCell ref="F76:G76"/>
    <mergeCell ref="M76:N76"/>
    <mergeCell ref="B78:E78"/>
    <mergeCell ref="B79:E79"/>
    <mergeCell ref="B71:C71"/>
    <mergeCell ref="D71:E71"/>
    <mergeCell ref="F71:G71"/>
    <mergeCell ref="M71:N71"/>
    <mergeCell ref="B72:C72"/>
    <mergeCell ref="D72:E72"/>
    <mergeCell ref="F72:G72"/>
    <mergeCell ref="M72:N72"/>
    <mergeCell ref="B73:C73"/>
    <mergeCell ref="D73:E73"/>
    <mergeCell ref="F73:G73"/>
    <mergeCell ref="B74:C74"/>
    <mergeCell ref="D74:E74"/>
    <mergeCell ref="F74:G74"/>
    <mergeCell ref="M74:N74"/>
    <mergeCell ref="B75:C75"/>
    <mergeCell ref="D75:E75"/>
    <mergeCell ref="F75:G75"/>
    <mergeCell ref="M75:N75"/>
  </mergeCells>
  <phoneticPr fontId="2" type="noConversion"/>
  <printOptions horizontalCentered="1"/>
  <pageMargins left="0.25" right="0.25" top="1.5" bottom="0" header="0.6" footer="0"/>
  <pageSetup scale="45" fitToHeight="0" orientation="landscape" r:id="rId1"/>
  <headerFooter alignWithMargins="0">
    <oddHeader xml:space="preserve">&amp;C&amp;22
&amp;"Arial,Bold"City of Chino 
IEUA Regional Conservation Programs Annual Report
</oddHeader>
  </headerFooter>
  <rowBreaks count="14" manualBreakCount="14">
    <brk id="79" max="16383" man="1"/>
    <brk id="119" max="13" man="1"/>
    <brk id="159" max="13" man="1"/>
    <brk id="198" max="13" man="1"/>
    <brk id="243" max="13" man="1"/>
    <brk id="287" max="13" man="1"/>
    <brk id="329" max="13" man="1"/>
    <brk id="366" max="13" man="1"/>
    <brk id="400" max="13" man="1"/>
    <brk id="443" max="13" man="1"/>
    <brk id="486" max="13" man="1"/>
    <brk id="526" max="13" man="1"/>
    <brk id="556" max="13" man="1"/>
    <brk id="604" max="1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Data</vt:lpstr>
      <vt:lpstr>Ontario</vt:lpstr>
      <vt:lpstr>Chino</vt:lpstr>
      <vt:lpstr>Info</vt:lpstr>
      <vt:lpstr>Ontario Total</vt:lpstr>
      <vt:lpstr>Chino Total</vt:lpstr>
      <vt:lpstr>Chino!Print_Area</vt:lpstr>
      <vt:lpstr>'Chino Total'!Print_Area</vt:lpstr>
      <vt:lpstr>Ontario!Print_Area</vt:lpstr>
      <vt:lpstr>'Ontario Total'!Print_Area</vt:lpstr>
    </vt:vector>
  </TitlesOfParts>
  <Company>Inland Empire Utilities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Conway</dc:creator>
  <cp:lastModifiedBy>Ed</cp:lastModifiedBy>
  <cp:lastPrinted>2020-08-31T15:13:14Z</cp:lastPrinted>
  <dcterms:created xsi:type="dcterms:W3CDTF">2006-10-31T15:04:28Z</dcterms:created>
  <dcterms:modified xsi:type="dcterms:W3CDTF">2020-12-13T21:26:43Z</dcterms:modified>
</cp:coreProperties>
</file>